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lowestofttc.sharepoint.com/sites/Operations/Shared Documents/Governance/Agendas/F&amp;G/240813/"/>
    </mc:Choice>
  </mc:AlternateContent>
  <xr:revisionPtr revIDLastSave="4" documentId="8_{33D8B71F-7293-4556-9650-6EE512489939}" xr6:coauthVersionLast="47" xr6:coauthVersionMax="47" xr10:uidLastSave="{24EAA9C2-222C-424E-92F5-B6657BD8BD9D}"/>
  <bookViews>
    <workbookView xWindow="28680" yWindow="-120" windowWidth="29040" windowHeight="15840" tabRatio="829" firstSheet="1" activeTab="1" xr2:uid="{00000000-000D-0000-FFFF-FFFF00000000}"/>
  </bookViews>
  <sheets>
    <sheet name="Sheet1" sheetId="62" state="hidden" r:id="rId1"/>
    <sheet name="Summary" sheetId="45" r:id="rId2"/>
    <sheet name="Headings" sheetId="58" state="veryHidden" r:id="rId3"/>
    <sheet name="1-General" sheetId="1" r:id="rId4"/>
    <sheet name="1-Parks" sheetId="2" r:id="rId5"/>
    <sheet name="1-Buildings" sheetId="4" r:id="rId6"/>
    <sheet name="1-Civic" sheetId="3" r:id="rId7"/>
    <sheet name="1-EMRs" sheetId="55" r:id="rId8"/>
    <sheet name="2-General Reserves" sheetId="5" r:id="rId9"/>
    <sheet name="2-Repairs and Maintenance" sheetId="6" r:id="rId10"/>
    <sheet name="2-Capital" sheetId="8" r:id="rId11"/>
    <sheet name="2-Compliance" sheetId="7" r:id="rId12"/>
    <sheet name="2-Consultancy and H&amp;S" sheetId="34" r:id="rId13"/>
    <sheet name="2-Community Safety" sheetId="9" r:id="rId14"/>
    <sheet name="2-Climate &amp; Ecological" sheetId="10" r:id="rId15"/>
    <sheet name="2-Horticulture" sheetId="12" r:id="rId16"/>
    <sheet name="2-Public Conveniences" sheetId="65" r:id="rId17"/>
    <sheet name="2-Parks and Open Spaces" sheetId="11" r:id="rId18"/>
    <sheet name="2-Waterways and Ponds" sheetId="63" r:id="rId19"/>
    <sheet name="2-Play Areas" sheetId="64" r:id="rId20"/>
    <sheet name="2-Triangle Market" sheetId="16" r:id="rId21"/>
    <sheet name="2-Allotments" sheetId="17" r:id="rId22"/>
    <sheet name="2-Normanston Park" sheetId="18" r:id="rId23"/>
    <sheet name="2-GELP" sheetId="19" r:id="rId24"/>
    <sheet name="2-Links Road Car Park" sheetId="20" r:id="rId25"/>
    <sheet name="2-Denes Oval" sheetId="21" r:id="rId26"/>
    <sheet name="2-Belle Vue Park" sheetId="22" r:id="rId27"/>
    <sheet name="2-Sparrows Nest" sheetId="23" r:id="rId28"/>
    <sheet name="2-The Ness" sheetId="24" r:id="rId29"/>
    <sheet name="2-Sea Wall" sheetId="56" r:id="rId30"/>
    <sheet name="2-Kensington Gardens" sheetId="25" r:id="rId31"/>
    <sheet name="2-Fen Park" sheetId="26" r:id="rId32"/>
    <sheet name="2-Community Halls" sheetId="27" r:id="rId33"/>
    <sheet name="2-Marina Theatre" sheetId="28" r:id="rId34"/>
    <sheet name="2-Town Hall" sheetId="29" r:id="rId35"/>
    <sheet name="TH Justification" sheetId="71" r:id="rId36"/>
    <sheet name="2-Staff" sheetId="30" r:id="rId37"/>
    <sheet name="2-Training" sheetId="44" r:id="rId38"/>
    <sheet name="2-Hamilton House" sheetId="74" r:id="rId39"/>
    <sheet name="2-Unit Two" sheetId="75" r:id="rId40"/>
    <sheet name="2-Grounds Maintenance" sheetId="31" r:id="rId41"/>
    <sheet name="Grounds Maintenance" sheetId="69" state="hidden" r:id="rId42"/>
    <sheet name="2-Professional Services" sheetId="32" r:id="rId43"/>
    <sheet name="2-Events" sheetId="36" r:id="rId44"/>
    <sheet name="2-Grants" sheetId="37" r:id="rId45"/>
    <sheet name="2-Community Engagement" sheetId="38" r:id="rId46"/>
    <sheet name="2-Festive Lights" sheetId="66" r:id="rId47"/>
    <sheet name="2-Civic" sheetId="40" r:id="rId48"/>
    <sheet name="2-Arts and Heritage" sheetId="41" r:id="rId49"/>
    <sheet name="2-CIL and External Funding" sheetId="42" r:id="rId50"/>
    <sheet name="B&amp;L Notes" sheetId="76" r:id="rId51"/>
    <sheet name="3-Quotes" sheetId="47" state="veryHidden" r:id="rId52"/>
    <sheet name="3-References" sheetId="48" state="veryHidden" r:id="rId53"/>
    <sheet name="3-Budgets to be Allocated" sheetId="57" state="veryHidden" r:id="rId54"/>
    <sheet name="4-Master Asset Register" sheetId="50" state="veryHidden" r:id="rId55"/>
    <sheet name="4-Disposed Assets" sheetId="61" state="veryHidden" r:id="rId56"/>
    <sheet name="4-Land" sheetId="59" state="veryHidden" r:id="rId57"/>
    <sheet name="4-Civic" sheetId="60" state="veryHidden" r:id="rId58"/>
    <sheet name="4-HH and Asset Equipment" sheetId="52" state="veryHidden" r:id="rId59"/>
    <sheet name="4-Play Equipment" sheetId="49" state="veryHidden" r:id="rId60"/>
    <sheet name="4-Stock" sheetId="54" state="veryHidden" r:id="rId61"/>
    <sheet name="4-Future Additional Costs" sheetId="51" state="veryHidden" r:id="rId62"/>
    <sheet name="4-Trees" sheetId="53" state="veryHidden" r:id="rId63"/>
  </sheets>
  <definedNames>
    <definedName name="_xlnm._FilterDatabase" localSheetId="14" hidden="1">'2-Climate &amp; Ecological'!$E$22:$P$146</definedName>
    <definedName name="_xlnm._FilterDatabase" localSheetId="11" hidden="1">'2-Compliance'!$E$25:$L$53</definedName>
    <definedName name="_xlnm._FilterDatabase" localSheetId="12" hidden="1">'2-Consultancy and H&amp;S'!$E$16:$M$52</definedName>
    <definedName name="_xlnm._FilterDatabase" localSheetId="43" hidden="1">'2-Events'!$E$24:$P$113</definedName>
    <definedName name="_xlnm._FilterDatabase" localSheetId="40" hidden="1">'2-Grounds Maintenance'!$E$16:$M$456</definedName>
    <definedName name="_xlnm._FilterDatabase" localSheetId="38" hidden="1">'2-Hamilton House'!$E$27:$M$467</definedName>
    <definedName name="_xlnm._FilterDatabase" localSheetId="15" hidden="1">'2-Horticulture'!$E$19:$L$38</definedName>
    <definedName name="_xlnm._FilterDatabase" localSheetId="17" hidden="1">'2-Parks and Open Spaces'!$E$20:$L$66</definedName>
    <definedName name="_xlnm._FilterDatabase" localSheetId="42" hidden="1">'2-Professional Services'!$E$23:$M$68</definedName>
    <definedName name="_xlnm._FilterDatabase" localSheetId="16" hidden="1">'2-Public Conveniences'!$E$17:$P$76</definedName>
    <definedName name="_xlnm._FilterDatabase" localSheetId="9" hidden="1">'2-Repairs and Maintenance'!$E$15:$M$171</definedName>
    <definedName name="_xlnm._FilterDatabase" localSheetId="27" hidden="1">'2-Sparrows Nest'!$E$20:$L$40</definedName>
    <definedName name="_xlnm._FilterDatabase" localSheetId="39" hidden="1">'2-Unit Two'!$E$15:$M$455</definedName>
    <definedName name="RPI">1.03</definedName>
    <definedName name="RPICurrent">1.085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 i="7" l="1"/>
  <c r="P27" i="10" l="1"/>
  <c r="P24" i="10"/>
  <c r="P24" i="31"/>
  <c r="P119" i="6"/>
  <c r="P43" i="36"/>
  <c r="P22" i="34"/>
  <c r="P48" i="32"/>
  <c r="P27" i="18"/>
  <c r="N9" i="22"/>
  <c r="N14" i="22"/>
  <c r="N13" i="22"/>
  <c r="N12" i="22"/>
  <c r="N11" i="22"/>
  <c r="N10" i="22"/>
  <c r="P30" i="27"/>
  <c r="N6" i="30"/>
  <c r="N11" i="30"/>
  <c r="N10" i="30"/>
  <c r="N9" i="30"/>
  <c r="N8" i="30"/>
  <c r="N7" i="30"/>
  <c r="N3" i="30"/>
  <c r="N10" i="9"/>
  <c r="N4" i="9"/>
  <c r="N9" i="9"/>
  <c r="N8" i="9"/>
  <c r="N3" i="9"/>
  <c r="O3" i="9" l="1"/>
  <c r="J4" i="25"/>
  <c r="N3" i="11"/>
  <c r="L52" i="27"/>
  <c r="P23" i="64" l="1"/>
  <c r="N7" i="37"/>
  <c r="N6" i="37"/>
  <c r="N14" i="28" l="1"/>
  <c r="N13" i="28"/>
  <c r="N12" i="28"/>
  <c r="N11" i="28"/>
  <c r="N10" i="28"/>
  <c r="N9" i="28"/>
  <c r="N8" i="28"/>
  <c r="M8" i="74"/>
  <c r="P10" i="4" s="1"/>
  <c r="P38" i="32" l="1"/>
  <c r="P47" i="6" l="1"/>
  <c r="N20" i="7" l="1"/>
  <c r="P32" i="36"/>
  <c r="F67" i="55" l="1"/>
  <c r="K67" i="55"/>
  <c r="N67" i="55"/>
  <c r="O67" i="55"/>
  <c r="R67" i="55"/>
  <c r="S67" i="55"/>
  <c r="V67" i="55"/>
  <c r="W67" i="55"/>
  <c r="Z67" i="55"/>
  <c r="AA67" i="55"/>
  <c r="AD67" i="55"/>
  <c r="AE67" i="55"/>
  <c r="B67" i="55"/>
  <c r="B69" i="55"/>
  <c r="C69" i="55"/>
  <c r="F69" i="55"/>
  <c r="G69" i="55"/>
  <c r="K69" i="55"/>
  <c r="N69" i="55"/>
  <c r="O69" i="55"/>
  <c r="R69" i="55"/>
  <c r="S69" i="55"/>
  <c r="V69" i="55"/>
  <c r="W69" i="55"/>
  <c r="Z69" i="55"/>
  <c r="AA69" i="55"/>
  <c r="AD69" i="55"/>
  <c r="AE69" i="55"/>
  <c r="B70" i="55"/>
  <c r="C70" i="55"/>
  <c r="F70" i="55"/>
  <c r="G70" i="55"/>
  <c r="K70" i="55"/>
  <c r="N70" i="55"/>
  <c r="O70" i="55"/>
  <c r="R70" i="55"/>
  <c r="S70" i="55"/>
  <c r="V70" i="55"/>
  <c r="W70" i="55"/>
  <c r="Z70" i="55"/>
  <c r="AA70" i="55"/>
  <c r="AD70" i="55"/>
  <c r="AE70" i="55"/>
  <c r="C68" i="55"/>
  <c r="F68" i="55"/>
  <c r="G68" i="55"/>
  <c r="K68" i="55"/>
  <c r="N68" i="55"/>
  <c r="O68" i="55"/>
  <c r="R68" i="55"/>
  <c r="S68" i="55"/>
  <c r="V68" i="55"/>
  <c r="W68" i="55"/>
  <c r="Z68" i="55"/>
  <c r="AA68" i="55"/>
  <c r="AD68" i="55"/>
  <c r="AE68" i="55"/>
  <c r="B68" i="55"/>
  <c r="Q15" i="2"/>
  <c r="Q16" i="2"/>
  <c r="Q19" i="2"/>
  <c r="Q20" i="2"/>
  <c r="Q32" i="2"/>
  <c r="Q9" i="1"/>
  <c r="N8" i="42"/>
  <c r="N7" i="42"/>
  <c r="N6" i="42" s="1"/>
  <c r="N12" i="41"/>
  <c r="N11" i="41"/>
  <c r="N10" i="41"/>
  <c r="N9" i="41"/>
  <c r="N8" i="41"/>
  <c r="N8" i="40"/>
  <c r="N7" i="40"/>
  <c r="N6" i="40" s="1"/>
  <c r="Q4" i="3" s="1"/>
  <c r="N7" i="66"/>
  <c r="N8" i="66"/>
  <c r="N9" i="66"/>
  <c r="N6" i="66"/>
  <c r="N7" i="38"/>
  <c r="N8" i="38"/>
  <c r="N9" i="38"/>
  <c r="N10" i="38"/>
  <c r="N11" i="38"/>
  <c r="N12" i="38"/>
  <c r="N13" i="38"/>
  <c r="N14" i="38"/>
  <c r="N6" i="38"/>
  <c r="N8" i="37"/>
  <c r="N7" i="36"/>
  <c r="N8" i="36"/>
  <c r="N9" i="36"/>
  <c r="N10" i="36"/>
  <c r="N11" i="36"/>
  <c r="N12" i="36"/>
  <c r="N13" i="36"/>
  <c r="N14" i="36"/>
  <c r="N15" i="36"/>
  <c r="N16" i="36"/>
  <c r="N17" i="36"/>
  <c r="N18" i="36"/>
  <c r="N19" i="36"/>
  <c r="N6" i="36"/>
  <c r="N9" i="32"/>
  <c r="N10" i="32"/>
  <c r="N11" i="32"/>
  <c r="N12" i="32"/>
  <c r="N13" i="32"/>
  <c r="N14" i="32"/>
  <c r="N15" i="32"/>
  <c r="N16" i="32"/>
  <c r="N17" i="32"/>
  <c r="N18" i="32"/>
  <c r="N8" i="32"/>
  <c r="N10" i="31"/>
  <c r="N9" i="31"/>
  <c r="N8" i="31"/>
  <c r="N7" i="31"/>
  <c r="N6" i="31"/>
  <c r="N9" i="75"/>
  <c r="N8" i="75"/>
  <c r="N7" i="75"/>
  <c r="N6" i="75"/>
  <c r="N10" i="74"/>
  <c r="N11" i="74"/>
  <c r="N12" i="74"/>
  <c r="N13" i="74"/>
  <c r="N14" i="74"/>
  <c r="N15" i="74"/>
  <c r="N17" i="74"/>
  <c r="N18" i="74"/>
  <c r="N19" i="74"/>
  <c r="N20" i="74"/>
  <c r="N21" i="74"/>
  <c r="N9" i="74"/>
  <c r="N7" i="44"/>
  <c r="N8" i="44"/>
  <c r="N6" i="44"/>
  <c r="N8" i="29"/>
  <c r="N9" i="29"/>
  <c r="N10" i="29"/>
  <c r="N11" i="29"/>
  <c r="N12" i="29"/>
  <c r="N13" i="29"/>
  <c r="N14" i="29"/>
  <c r="N15" i="29"/>
  <c r="N16" i="29"/>
  <c r="N17" i="29"/>
  <c r="N18" i="29"/>
  <c r="N19" i="29"/>
  <c r="N7" i="29"/>
  <c r="N16" i="27"/>
  <c r="N9" i="27"/>
  <c r="N10" i="27"/>
  <c r="N11" i="27"/>
  <c r="N12" i="27"/>
  <c r="N13" i="27"/>
  <c r="N14" i="27"/>
  <c r="N15" i="27"/>
  <c r="N8" i="27"/>
  <c r="N12" i="26"/>
  <c r="N11" i="26"/>
  <c r="N10" i="26"/>
  <c r="N9" i="26"/>
  <c r="N8" i="26"/>
  <c r="N10" i="25"/>
  <c r="N11" i="25"/>
  <c r="N12" i="25"/>
  <c r="N13" i="25"/>
  <c r="N14" i="25"/>
  <c r="N9" i="25"/>
  <c r="N10" i="24"/>
  <c r="N9" i="24"/>
  <c r="N8" i="24"/>
  <c r="N7" i="24" s="1"/>
  <c r="Q30" i="2" s="1"/>
  <c r="N10" i="23"/>
  <c r="N11" i="23"/>
  <c r="N12" i="23"/>
  <c r="N13" i="23"/>
  <c r="N14" i="23"/>
  <c r="N15" i="23"/>
  <c r="N9" i="23"/>
  <c r="N8" i="22"/>
  <c r="Q26" i="2" s="1"/>
  <c r="N8" i="63"/>
  <c r="N9" i="63"/>
  <c r="N10" i="63"/>
  <c r="N11" i="63"/>
  <c r="N12" i="63"/>
  <c r="N13" i="63"/>
  <c r="N14" i="63"/>
  <c r="N15" i="63"/>
  <c r="N7" i="63"/>
  <c r="N9" i="21"/>
  <c r="N10" i="21"/>
  <c r="N11" i="21"/>
  <c r="N12" i="21"/>
  <c r="N13" i="21"/>
  <c r="N14" i="21"/>
  <c r="N8" i="21"/>
  <c r="N10" i="20"/>
  <c r="N9" i="20"/>
  <c r="N8" i="20"/>
  <c r="N7" i="20"/>
  <c r="N9" i="18"/>
  <c r="N10" i="18"/>
  <c r="N11" i="18"/>
  <c r="N12" i="18"/>
  <c r="N13" i="18"/>
  <c r="N14" i="18"/>
  <c r="N15" i="18"/>
  <c r="N8" i="18"/>
  <c r="N7" i="17"/>
  <c r="N8" i="17"/>
  <c r="N9" i="17"/>
  <c r="N10" i="17"/>
  <c r="N11" i="17"/>
  <c r="N6" i="17"/>
  <c r="N8" i="16"/>
  <c r="N9" i="16"/>
  <c r="N10" i="16"/>
  <c r="N11" i="16"/>
  <c r="N12" i="16"/>
  <c r="N13" i="16"/>
  <c r="N7" i="16"/>
  <c r="N16" i="64"/>
  <c r="N12" i="65"/>
  <c r="N11" i="65"/>
  <c r="N10" i="65"/>
  <c r="N9" i="65"/>
  <c r="N8" i="65"/>
  <c r="N7" i="65"/>
  <c r="N14" i="11"/>
  <c r="N13" i="11"/>
  <c r="N12" i="11"/>
  <c r="N11" i="11"/>
  <c r="N10" i="11"/>
  <c r="N9" i="11"/>
  <c r="N8" i="11"/>
  <c r="N7" i="11"/>
  <c r="N14" i="12"/>
  <c r="N13" i="12"/>
  <c r="N12" i="12"/>
  <c r="N11" i="12"/>
  <c r="N10" i="12"/>
  <c r="N9" i="12"/>
  <c r="N8" i="12"/>
  <c r="N7" i="12"/>
  <c r="N6" i="12"/>
  <c r="N17" i="10"/>
  <c r="N16" i="10"/>
  <c r="N15" i="10"/>
  <c r="N14" i="10"/>
  <c r="N13" i="10"/>
  <c r="N12" i="10"/>
  <c r="N11" i="10"/>
  <c r="N10" i="10"/>
  <c r="N9" i="10"/>
  <c r="N8" i="10"/>
  <c r="N7" i="10"/>
  <c r="N11" i="34"/>
  <c r="N10" i="34"/>
  <c r="N9" i="34"/>
  <c r="N8" i="34"/>
  <c r="N7" i="34"/>
  <c r="N6" i="34"/>
  <c r="N19" i="7"/>
  <c r="N18" i="7"/>
  <c r="N17" i="7"/>
  <c r="N16" i="7"/>
  <c r="N15" i="7"/>
  <c r="N14" i="7"/>
  <c r="N13" i="7"/>
  <c r="N12" i="7"/>
  <c r="N11" i="7"/>
  <c r="N10" i="7"/>
  <c r="N9" i="7"/>
  <c r="N10" i="6"/>
  <c r="N9" i="6"/>
  <c r="N8" i="6"/>
  <c r="N7" i="6"/>
  <c r="N6" i="6"/>
  <c r="P18" i="34"/>
  <c r="J4" i="11"/>
  <c r="N4" i="11"/>
  <c r="P43" i="74"/>
  <c r="P42" i="74"/>
  <c r="N16" i="74" s="1"/>
  <c r="L145" i="10"/>
  <c r="N7" i="41" l="1"/>
  <c r="Q14" i="3" s="1"/>
  <c r="N6" i="20"/>
  <c r="Q22" i="2" s="1"/>
  <c r="N6" i="29"/>
  <c r="Q8" i="4" s="1"/>
  <c r="N7" i="28"/>
  <c r="Q6" i="4" s="1"/>
  <c r="N7" i="9"/>
  <c r="Q11" i="1" s="1"/>
  <c r="N6" i="11"/>
  <c r="Q4" i="2" s="1"/>
  <c r="N7" i="18"/>
  <c r="Q18" i="2" s="1"/>
  <c r="N5" i="44"/>
  <c r="Q18" i="4" s="1"/>
  <c r="N6" i="65"/>
  <c r="Q12" i="2" s="1"/>
  <c r="N7" i="21"/>
  <c r="Q24" i="2" s="1"/>
  <c r="N8" i="25"/>
  <c r="Q34" i="2" s="1"/>
  <c r="N8" i="23"/>
  <c r="Q28" i="2" s="1"/>
  <c r="N5" i="6"/>
  <c r="Q5" i="1" s="1"/>
  <c r="N7" i="26"/>
  <c r="Q36" i="2" s="1"/>
  <c r="N5" i="12"/>
  <c r="Q6" i="2" s="1"/>
  <c r="N5" i="38"/>
  <c r="Q11" i="3" s="1"/>
  <c r="N5" i="34"/>
  <c r="Q22" i="4" s="1"/>
  <c r="N7" i="32"/>
  <c r="Q20" i="4" s="1"/>
  <c r="N7" i="27"/>
  <c r="Q4" i="4" s="1"/>
  <c r="N5" i="30"/>
  <c r="Q16" i="4" s="1"/>
  <c r="N5" i="31"/>
  <c r="Q14" i="4" s="1"/>
  <c r="N5" i="66"/>
  <c r="Q8" i="3" s="1"/>
  <c r="N5" i="17"/>
  <c r="N6" i="63"/>
  <c r="Q8" i="2" s="1"/>
  <c r="J3" i="75"/>
  <c r="E16" i="74"/>
  <c r="I16" i="74"/>
  <c r="Q16" i="74"/>
  <c r="E18" i="74"/>
  <c r="F18" i="74"/>
  <c r="I18" i="74"/>
  <c r="J18" i="74"/>
  <c r="F19" i="74"/>
  <c r="I19" i="74"/>
  <c r="J19" i="74"/>
  <c r="Q19" i="74"/>
  <c r="R19" i="74" s="1"/>
  <c r="L486" i="75"/>
  <c r="L429" i="75"/>
  <c r="L364" i="75"/>
  <c r="L362" i="75"/>
  <c r="L321" i="75"/>
  <c r="L304" i="75"/>
  <c r="L263" i="75"/>
  <c r="L262" i="75"/>
  <c r="L255" i="75"/>
  <c r="L203" i="75"/>
  <c r="L191" i="75"/>
  <c r="L158" i="75"/>
  <c r="L130" i="75"/>
  <c r="L123" i="75"/>
  <c r="H114" i="75"/>
  <c r="L98" i="75"/>
  <c r="L96" i="75"/>
  <c r="H74" i="75"/>
  <c r="L72" i="75"/>
  <c r="H72" i="75"/>
  <c r="H37" i="75"/>
  <c r="H35" i="75"/>
  <c r="H34" i="75"/>
  <c r="H33" i="75"/>
  <c r="H32" i="75"/>
  <c r="H31" i="75"/>
  <c r="L30" i="75"/>
  <c r="H30" i="75"/>
  <c r="H27" i="75"/>
  <c r="H26" i="75"/>
  <c r="H24" i="75"/>
  <c r="L20" i="75"/>
  <c r="H20" i="75"/>
  <c r="H19" i="75"/>
  <c r="H18" i="75"/>
  <c r="H17" i="75"/>
  <c r="I5" i="75"/>
  <c r="M12" i="4" s="1"/>
  <c r="AC7" i="75"/>
  <c r="AD7" i="75" s="1"/>
  <c r="Z7" i="75"/>
  <c r="V7" i="75"/>
  <c r="R7" i="75"/>
  <c r="J7" i="75"/>
  <c r="F7" i="75"/>
  <c r="F6" i="75"/>
  <c r="E5" i="75"/>
  <c r="J12" i="4" s="1"/>
  <c r="AD3" i="75"/>
  <c r="Z3" i="75"/>
  <c r="V3" i="75"/>
  <c r="R3" i="75"/>
  <c r="N3" i="75"/>
  <c r="I2" i="75"/>
  <c r="M11" i="4" s="1"/>
  <c r="F3" i="75"/>
  <c r="AC2" i="75"/>
  <c r="Y2" i="75"/>
  <c r="U2" i="75"/>
  <c r="Q2" i="75"/>
  <c r="M2" i="75"/>
  <c r="P11" i="4" s="1"/>
  <c r="L498" i="74"/>
  <c r="L441" i="74"/>
  <c r="L376" i="74"/>
  <c r="L374" i="74"/>
  <c r="L333" i="74"/>
  <c r="L316" i="74"/>
  <c r="L275" i="74"/>
  <c r="L274" i="74"/>
  <c r="L267" i="74"/>
  <c r="L215" i="74"/>
  <c r="L203" i="74"/>
  <c r="L170" i="74"/>
  <c r="L142" i="74"/>
  <c r="L135" i="74"/>
  <c r="H126" i="74"/>
  <c r="L110" i="74"/>
  <c r="L108" i="74"/>
  <c r="H86" i="74"/>
  <c r="L84" i="74"/>
  <c r="H84" i="74"/>
  <c r="H49" i="74"/>
  <c r="H47" i="74"/>
  <c r="H46" i="74"/>
  <c r="H45" i="74"/>
  <c r="H44" i="74"/>
  <c r="H43" i="74"/>
  <c r="L42" i="74"/>
  <c r="H42" i="74"/>
  <c r="H39" i="74"/>
  <c r="H38" i="74"/>
  <c r="H36" i="74"/>
  <c r="L32" i="74"/>
  <c r="J16" i="74" s="1"/>
  <c r="H32" i="74"/>
  <c r="F20" i="74" s="1"/>
  <c r="H31" i="74"/>
  <c r="H30" i="74"/>
  <c r="F21" i="74" s="1"/>
  <c r="H29" i="74"/>
  <c r="F17" i="74" s="1"/>
  <c r="Q21" i="74"/>
  <c r="U21" i="74" s="1"/>
  <c r="J21" i="74"/>
  <c r="Q20" i="74"/>
  <c r="U20" i="74" s="1"/>
  <c r="J20" i="74"/>
  <c r="Q17" i="74"/>
  <c r="U17" i="74" s="1"/>
  <c r="J15" i="74"/>
  <c r="I15" i="74"/>
  <c r="F15" i="74"/>
  <c r="Q14" i="74"/>
  <c r="U14" i="74" s="1"/>
  <c r="J14" i="74"/>
  <c r="I14" i="74"/>
  <c r="Q13" i="74"/>
  <c r="R13" i="74" s="1"/>
  <c r="J13" i="74"/>
  <c r="F13" i="74"/>
  <c r="I12" i="74"/>
  <c r="Q11" i="74"/>
  <c r="R11" i="74" s="1"/>
  <c r="F11" i="74"/>
  <c r="Q10" i="74"/>
  <c r="U10" i="74" s="1"/>
  <c r="J10" i="74"/>
  <c r="J9" i="74"/>
  <c r="F9" i="74"/>
  <c r="AD6" i="74"/>
  <c r="Z6" i="74"/>
  <c r="V6" i="74"/>
  <c r="R6" i="74"/>
  <c r="N6" i="74"/>
  <c r="J6" i="74"/>
  <c r="F6" i="74"/>
  <c r="AD5" i="74"/>
  <c r="Z5" i="74"/>
  <c r="V5" i="74"/>
  <c r="R5" i="74"/>
  <c r="N5" i="74"/>
  <c r="J5" i="74"/>
  <c r="F5" i="74"/>
  <c r="AD4" i="74"/>
  <c r="Z4" i="74"/>
  <c r="V4" i="74"/>
  <c r="R4" i="74"/>
  <c r="N4" i="74"/>
  <c r="J4" i="74"/>
  <c r="F4" i="74"/>
  <c r="AD3" i="74"/>
  <c r="Z3" i="74"/>
  <c r="V3" i="74"/>
  <c r="R3" i="74"/>
  <c r="N3" i="74"/>
  <c r="J3" i="74"/>
  <c r="I3" i="74"/>
  <c r="F3" i="74"/>
  <c r="E3" i="74"/>
  <c r="AC2" i="74"/>
  <c r="Y2" i="74"/>
  <c r="U2" i="74"/>
  <c r="Q2" i="74"/>
  <c r="M2" i="74"/>
  <c r="P9" i="4" s="1"/>
  <c r="I2" i="74"/>
  <c r="M9" i="4" s="1"/>
  <c r="L41" i="7"/>
  <c r="P31" i="7" s="1"/>
  <c r="J12" i="74" l="1"/>
  <c r="S11" i="4"/>
  <c r="S12" i="4"/>
  <c r="D67" i="55"/>
  <c r="D68" i="55"/>
  <c r="G67" i="55"/>
  <c r="P70" i="55"/>
  <c r="H67" i="55"/>
  <c r="P69" i="55"/>
  <c r="T70" i="55"/>
  <c r="P68" i="55"/>
  <c r="T69" i="55"/>
  <c r="X70" i="55"/>
  <c r="P67" i="55"/>
  <c r="T68" i="55"/>
  <c r="X69" i="55"/>
  <c r="AB70" i="55"/>
  <c r="T67" i="55"/>
  <c r="X68" i="55"/>
  <c r="AB69" i="55"/>
  <c r="H68" i="55"/>
  <c r="S9" i="4"/>
  <c r="S10" i="4"/>
  <c r="X67" i="55"/>
  <c r="AB68" i="55"/>
  <c r="D70" i="55"/>
  <c r="C67" i="55"/>
  <c r="AB67" i="55"/>
  <c r="D69" i="55"/>
  <c r="H70" i="55"/>
  <c r="H69" i="55"/>
  <c r="L68" i="55"/>
  <c r="L69" i="55"/>
  <c r="L67" i="55"/>
  <c r="L70" i="55"/>
  <c r="J6" i="75"/>
  <c r="F14" i="74"/>
  <c r="F10" i="74"/>
  <c r="G5" i="74" s="1"/>
  <c r="F12" i="74"/>
  <c r="E8" i="74"/>
  <c r="J10" i="4" s="1"/>
  <c r="F16" i="74"/>
  <c r="G6" i="74"/>
  <c r="U16" i="74"/>
  <c r="R16" i="74"/>
  <c r="J17" i="74"/>
  <c r="Q18" i="74"/>
  <c r="J11" i="74"/>
  <c r="U19" i="74"/>
  <c r="Q5" i="75"/>
  <c r="R5" i="75" s="1"/>
  <c r="V2" i="75"/>
  <c r="F2" i="75"/>
  <c r="K11" i="4" s="1"/>
  <c r="M5" i="75"/>
  <c r="P12" i="4" s="1"/>
  <c r="J2" i="75"/>
  <c r="N11" i="4" s="1"/>
  <c r="Z2" i="75"/>
  <c r="AD2" i="75"/>
  <c r="N2" i="75"/>
  <c r="Q11" i="4" s="1"/>
  <c r="R2" i="75"/>
  <c r="J2" i="74"/>
  <c r="N9" i="4" s="1"/>
  <c r="G4" i="74"/>
  <c r="F2" i="74"/>
  <c r="K9" i="4" s="1"/>
  <c r="V2" i="74"/>
  <c r="AD2" i="74"/>
  <c r="N2" i="74"/>
  <c r="Q9" i="4" s="1"/>
  <c r="R2" i="74"/>
  <c r="Z2" i="74"/>
  <c r="F5" i="75"/>
  <c r="K12" i="4" s="1"/>
  <c r="I8" i="74"/>
  <c r="M10" i="4" s="1"/>
  <c r="R20" i="74"/>
  <c r="R10" i="74"/>
  <c r="E2" i="75"/>
  <c r="J11" i="4" s="1"/>
  <c r="Y14" i="74"/>
  <c r="V14" i="74"/>
  <c r="V21" i="74"/>
  <c r="Y21" i="74"/>
  <c r="Y17" i="74"/>
  <c r="V17" i="74"/>
  <c r="V10" i="74"/>
  <c r="Y10" i="74"/>
  <c r="Y20" i="74"/>
  <c r="V20" i="74"/>
  <c r="J70" i="55"/>
  <c r="U11" i="74"/>
  <c r="U13" i="74"/>
  <c r="Q15" i="74"/>
  <c r="R17" i="74"/>
  <c r="R14" i="74"/>
  <c r="R21" i="74"/>
  <c r="Q9" i="74"/>
  <c r="E2" i="74"/>
  <c r="J9" i="4" s="1"/>
  <c r="K6" i="74" l="1"/>
  <c r="E70" i="55"/>
  <c r="J68" i="55"/>
  <c r="E68" i="55"/>
  <c r="G3" i="74"/>
  <c r="E69" i="55"/>
  <c r="J5" i="75"/>
  <c r="N12" i="4" s="1"/>
  <c r="J69" i="55"/>
  <c r="K5" i="74"/>
  <c r="F8" i="74"/>
  <c r="K10" i="4" s="1"/>
  <c r="J8" i="74"/>
  <c r="N10" i="4" s="1"/>
  <c r="V16" i="74"/>
  <c r="Y16" i="74"/>
  <c r="J67" i="55"/>
  <c r="V19" i="74"/>
  <c r="Y19" i="74"/>
  <c r="U18" i="74"/>
  <c r="R18" i="74"/>
  <c r="K4" i="74"/>
  <c r="O3" i="75"/>
  <c r="S3" i="75" s="1"/>
  <c r="AC21" i="74"/>
  <c r="AD21" i="74" s="1"/>
  <c r="Z21" i="74"/>
  <c r="AC10" i="74"/>
  <c r="AD10" i="74" s="1"/>
  <c r="Z10" i="74"/>
  <c r="Q12" i="74"/>
  <c r="Q8" i="74" s="1"/>
  <c r="R8" i="74" s="1"/>
  <c r="N8" i="74"/>
  <c r="Q10" i="4" s="1"/>
  <c r="AC17" i="74"/>
  <c r="AD17" i="74" s="1"/>
  <c r="Z17" i="74"/>
  <c r="U15" i="74"/>
  <c r="R15" i="74"/>
  <c r="AC14" i="74"/>
  <c r="AD14" i="74" s="1"/>
  <c r="Z14" i="74"/>
  <c r="U9" i="74"/>
  <c r="R9" i="74"/>
  <c r="Y13" i="74"/>
  <c r="V13" i="74"/>
  <c r="Y11" i="74"/>
  <c r="V11" i="74"/>
  <c r="AC20" i="74"/>
  <c r="AD20" i="74" s="1"/>
  <c r="Z20" i="74"/>
  <c r="L487" i="31"/>
  <c r="E67" i="55" l="1"/>
  <c r="O4" i="74"/>
  <c r="I68" i="55"/>
  <c r="O5" i="74"/>
  <c r="I69" i="55"/>
  <c r="O6" i="74"/>
  <c r="I70" i="55"/>
  <c r="Z16" i="74"/>
  <c r="AC16" i="74"/>
  <c r="AD16" i="74" s="1"/>
  <c r="V18" i="74"/>
  <c r="Y18" i="74"/>
  <c r="Z19" i="74"/>
  <c r="AC19" i="74"/>
  <c r="AD19" i="74" s="1"/>
  <c r="N5" i="75"/>
  <c r="Q12" i="4" s="1"/>
  <c r="W3" i="75"/>
  <c r="U5" i="75"/>
  <c r="V5" i="75" s="1"/>
  <c r="Y15" i="74"/>
  <c r="V15" i="74"/>
  <c r="U12" i="74"/>
  <c r="R12" i="74"/>
  <c r="AC13" i="74"/>
  <c r="AD13" i="74" s="1"/>
  <c r="Z13" i="74"/>
  <c r="Y9" i="74"/>
  <c r="V9" i="74"/>
  <c r="AC11" i="74"/>
  <c r="AD11" i="74" s="1"/>
  <c r="Z11" i="74"/>
  <c r="S4" i="74" l="1"/>
  <c r="M68" i="55"/>
  <c r="M69" i="55"/>
  <c r="S5" i="74"/>
  <c r="M70" i="55"/>
  <c r="S6" i="74"/>
  <c r="Z18" i="74"/>
  <c r="AC18" i="74"/>
  <c r="AD18" i="74" s="1"/>
  <c r="Y5" i="75"/>
  <c r="Z5" i="75" s="1"/>
  <c r="AA3" i="75"/>
  <c r="AE3" i="75" s="1"/>
  <c r="Z9" i="74"/>
  <c r="AC9" i="74"/>
  <c r="V12" i="74"/>
  <c r="Y12" i="74"/>
  <c r="U8" i="74"/>
  <c r="V8" i="74" s="1"/>
  <c r="Z15" i="74"/>
  <c r="AC15" i="74"/>
  <c r="AD15" i="74" s="1"/>
  <c r="W5" i="74" l="1"/>
  <c r="Q69" i="55"/>
  <c r="Q68" i="55"/>
  <c r="W4" i="74"/>
  <c r="Q70" i="55"/>
  <c r="W6" i="74"/>
  <c r="AC5" i="75"/>
  <c r="AD5" i="75" s="1"/>
  <c r="AC12" i="74"/>
  <c r="AD12" i="74" s="1"/>
  <c r="Z12" i="74"/>
  <c r="AD9" i="74"/>
  <c r="Y8" i="74"/>
  <c r="Z8" i="74" s="1"/>
  <c r="AA5" i="74" l="1"/>
  <c r="Y69" i="55" s="1"/>
  <c r="AA4" i="74"/>
  <c r="U69" i="55"/>
  <c r="U68" i="55"/>
  <c r="AA6" i="74"/>
  <c r="U70" i="55"/>
  <c r="AC8" i="74"/>
  <c r="AD8" i="74" s="1"/>
  <c r="AE5" i="74" l="1"/>
  <c r="AC69" i="55" s="1"/>
  <c r="Y68" i="55"/>
  <c r="AE4" i="74"/>
  <c r="AC68" i="55" s="1"/>
  <c r="AE6" i="74"/>
  <c r="Y70" i="55"/>
  <c r="I66" i="55"/>
  <c r="N5" i="21"/>
  <c r="N4" i="64"/>
  <c r="J3" i="42"/>
  <c r="J3" i="40"/>
  <c r="J6" i="66"/>
  <c r="J3" i="66"/>
  <c r="J13" i="38"/>
  <c r="J12" i="38"/>
  <c r="J11" i="38"/>
  <c r="J10" i="38"/>
  <c r="J6" i="38"/>
  <c r="J3" i="38"/>
  <c r="J3" i="37"/>
  <c r="J3" i="36"/>
  <c r="K3" i="44"/>
  <c r="J3" i="44"/>
  <c r="J17" i="29"/>
  <c r="J16" i="29"/>
  <c r="J3" i="25"/>
  <c r="J9" i="22"/>
  <c r="K4" i="20"/>
  <c r="I35" i="55" s="1"/>
  <c r="J3" i="20"/>
  <c r="J3" i="18"/>
  <c r="J3" i="17"/>
  <c r="J4" i="16"/>
  <c r="J15" i="64"/>
  <c r="J14" i="64"/>
  <c r="J13" i="64"/>
  <c r="J12" i="64"/>
  <c r="J11" i="64"/>
  <c r="J10" i="64"/>
  <c r="J9" i="64"/>
  <c r="J6" i="64"/>
  <c r="J5" i="64"/>
  <c r="J4" i="64"/>
  <c r="J16" i="64"/>
  <c r="J3" i="63"/>
  <c r="J12" i="65"/>
  <c r="J11" i="65"/>
  <c r="J4" i="65"/>
  <c r="J14" i="11"/>
  <c r="J13" i="11"/>
  <c r="J12" i="11"/>
  <c r="J11" i="11"/>
  <c r="J10" i="11"/>
  <c r="J9" i="11"/>
  <c r="J8" i="11"/>
  <c r="J7" i="11"/>
  <c r="J3" i="11"/>
  <c r="J3" i="12"/>
  <c r="J17" i="10"/>
  <c r="J16" i="10"/>
  <c r="J3" i="34"/>
  <c r="N3" i="8"/>
  <c r="J3" i="8"/>
  <c r="J7" i="6"/>
  <c r="J6" i="6"/>
  <c r="J3" i="6"/>
  <c r="N6" i="5"/>
  <c r="J6" i="5"/>
  <c r="J3" i="5"/>
  <c r="N6" i="64"/>
  <c r="L62" i="65"/>
  <c r="L58" i="65"/>
  <c r="L43" i="18"/>
  <c r="K4" i="63"/>
  <c r="I20" i="55" s="1"/>
  <c r="AC70" i="55" l="1"/>
  <c r="L59" i="12"/>
  <c r="L20" i="21" l="1"/>
  <c r="L136" i="10" l="1"/>
  <c r="L134" i="10"/>
  <c r="L44" i="27" l="1"/>
  <c r="L86" i="65"/>
  <c r="L27" i="7"/>
  <c r="L430" i="31" l="1"/>
  <c r="L58" i="34"/>
  <c r="L192" i="6"/>
  <c r="B59" i="71"/>
  <c r="F58" i="71"/>
  <c r="F57" i="71"/>
  <c r="F59" i="71" s="1"/>
  <c r="B54" i="71"/>
  <c r="F53" i="71"/>
  <c r="F52" i="71"/>
  <c r="F54" i="71" s="1"/>
  <c r="B49" i="71"/>
  <c r="F48" i="71"/>
  <c r="I47" i="71"/>
  <c r="F47" i="71"/>
  <c r="F46" i="71"/>
  <c r="F45" i="71"/>
  <c r="F44" i="71"/>
  <c r="F43" i="71"/>
  <c r="F42" i="71"/>
  <c r="F49" i="71" s="1"/>
  <c r="I39" i="71"/>
  <c r="B39" i="71"/>
  <c r="B61" i="71" s="1"/>
  <c r="C61" i="71" s="1"/>
  <c r="F38" i="71"/>
  <c r="F37" i="71"/>
  <c r="F36" i="71"/>
  <c r="F35" i="71"/>
  <c r="I34" i="71"/>
  <c r="F34" i="71"/>
  <c r="F33" i="71"/>
  <c r="F32" i="71"/>
  <c r="F31" i="71"/>
  <c r="F30" i="71"/>
  <c r="F29" i="71"/>
  <c r="F28" i="71"/>
  <c r="I27" i="71"/>
  <c r="F27" i="71"/>
  <c r="I26" i="71"/>
  <c r="F26" i="71"/>
  <c r="F25" i="71"/>
  <c r="F24" i="71"/>
  <c r="F23" i="71"/>
  <c r="I22" i="71"/>
  <c r="F22" i="71"/>
  <c r="I21" i="71"/>
  <c r="F21" i="71"/>
  <c r="F20" i="71"/>
  <c r="F19" i="71"/>
  <c r="F18" i="71"/>
  <c r="I17" i="71"/>
  <c r="F17" i="71"/>
  <c r="F16" i="71"/>
  <c r="I15" i="71"/>
  <c r="F15" i="71"/>
  <c r="I14" i="71"/>
  <c r="F14" i="71"/>
  <c r="F13" i="71"/>
  <c r="F12" i="71"/>
  <c r="F11" i="71"/>
  <c r="F10" i="71"/>
  <c r="M9" i="71"/>
  <c r="F9" i="71"/>
  <c r="I8" i="71"/>
  <c r="I10" i="71" s="1"/>
  <c r="I49" i="71" s="1"/>
  <c r="F8" i="71"/>
  <c r="M7" i="71"/>
  <c r="F7" i="71"/>
  <c r="F6" i="71"/>
  <c r="F39" i="71" s="1"/>
  <c r="F61" i="71" s="1"/>
  <c r="G61" i="71" s="1"/>
  <c r="I51" i="71" s="1"/>
  <c r="M1" i="71" s="1"/>
  <c r="M13" i="71" s="1"/>
  <c r="M5" i="71"/>
  <c r="U4" i="29"/>
  <c r="Q4" i="29"/>
  <c r="L55" i="29" l="1"/>
  <c r="K8" i="45"/>
  <c r="J15" i="29"/>
  <c r="J14" i="29"/>
  <c r="J13" i="29"/>
  <c r="L54" i="12" l="1"/>
  <c r="U15" i="63"/>
  <c r="Q15" i="63"/>
  <c r="M15" i="63"/>
  <c r="M14" i="63"/>
  <c r="M4" i="41"/>
  <c r="M3" i="65" l="1"/>
  <c r="M11" i="65"/>
  <c r="M12" i="10"/>
  <c r="L44" i="23"/>
  <c r="L39" i="16"/>
  <c r="J3" i="16" s="1"/>
  <c r="L48" i="64"/>
  <c r="J3" i="64" s="1"/>
  <c r="L17" i="66"/>
  <c r="L71" i="36"/>
  <c r="L73" i="32"/>
  <c r="L43" i="29"/>
  <c r="L161" i="6"/>
  <c r="L87" i="36"/>
  <c r="L37" i="25"/>
  <c r="L35" i="27"/>
  <c r="L365" i="31"/>
  <c r="L263" i="31"/>
  <c r="L363" i="31"/>
  <c r="L34" i="27"/>
  <c r="L37" i="16"/>
  <c r="Q12" i="45"/>
  <c r="M18" i="32" l="1"/>
  <c r="M8" i="17"/>
  <c r="L18" i="20"/>
  <c r="L322" i="31" l="1"/>
  <c r="L133" i="6"/>
  <c r="L160" i="6"/>
  <c r="L305" i="31"/>
  <c r="L264" i="31" l="1"/>
  <c r="L23" i="17"/>
  <c r="L80" i="10"/>
  <c r="J11" i="29"/>
  <c r="J18" i="36"/>
  <c r="Y12" i="29"/>
  <c r="J12" i="29"/>
  <c r="I12" i="29"/>
  <c r="F12" i="29"/>
  <c r="AC12" i="29" l="1"/>
  <c r="AC4" i="29" s="1"/>
  <c r="Y4" i="29"/>
  <c r="I4" i="28" l="1"/>
  <c r="M12" i="27"/>
  <c r="M3" i="63" l="1"/>
  <c r="S7" i="3"/>
  <c r="S3" i="3"/>
  <c r="S17" i="4"/>
  <c r="S35" i="2"/>
  <c r="S31" i="2"/>
  <c r="S29" i="2"/>
  <c r="S23" i="2"/>
  <c r="S21" i="2"/>
  <c r="S19" i="2"/>
  <c r="S15" i="2"/>
  <c r="S10" i="1"/>
  <c r="M10" i="28" l="1"/>
  <c r="F10" i="30"/>
  <c r="J10" i="30"/>
  <c r="M2" i="27"/>
  <c r="M3" i="23"/>
  <c r="M12" i="22"/>
  <c r="L27" i="9" l="1"/>
  <c r="L18" i="65" l="1"/>
  <c r="L19" i="65" s="1"/>
  <c r="J13" i="16"/>
  <c r="I13" i="16"/>
  <c r="F13" i="16"/>
  <c r="J19" i="36"/>
  <c r="I5" i="36"/>
  <c r="E5" i="36"/>
  <c r="J10" i="10"/>
  <c r="M9" i="38"/>
  <c r="M8" i="38"/>
  <c r="M5" i="37"/>
  <c r="I5" i="37"/>
  <c r="E5" i="37"/>
  <c r="J8" i="37"/>
  <c r="J13" i="36"/>
  <c r="M9" i="20"/>
  <c r="E8" i="64"/>
  <c r="J14" i="12"/>
  <c r="J13" i="12"/>
  <c r="J12" i="12"/>
  <c r="J10" i="12"/>
  <c r="J9" i="12"/>
  <c r="J8" i="12"/>
  <c r="J7" i="12"/>
  <c r="J6" i="12"/>
  <c r="M10" i="10"/>
  <c r="J11" i="10"/>
  <c r="E6" i="10"/>
  <c r="M2" i="9"/>
  <c r="E2" i="9"/>
  <c r="J5" i="9"/>
  <c r="K5" i="9" s="1"/>
  <c r="O5" i="9" s="1"/>
  <c r="J4" i="9"/>
  <c r="L256" i="31"/>
  <c r="L55" i="36"/>
  <c r="L35" i="23"/>
  <c r="L51" i="65"/>
  <c r="L17" i="34"/>
  <c r="L39" i="34"/>
  <c r="L75" i="10"/>
  <c r="L74" i="10"/>
  <c r="L73" i="10"/>
  <c r="L48" i="32"/>
  <c r="L33" i="32"/>
  <c r="L47" i="32"/>
  <c r="L31" i="31"/>
  <c r="L20" i="44"/>
  <c r="Q13" i="16" l="1"/>
  <c r="M5" i="34"/>
  <c r="U13" i="16" l="1"/>
  <c r="L21" i="28"/>
  <c r="Y13" i="16" l="1"/>
  <c r="L32" i="23"/>
  <c r="L204" i="31"/>
  <c r="L63" i="10"/>
  <c r="L192" i="31"/>
  <c r="AC13" i="16" l="1"/>
  <c r="H25" i="31"/>
  <c r="L49" i="36"/>
  <c r="L60" i="36" l="1"/>
  <c r="L59" i="36"/>
  <c r="J10" i="18"/>
  <c r="J5" i="18"/>
  <c r="J10" i="26" l="1"/>
  <c r="M11" i="23" l="1"/>
  <c r="M10" i="22"/>
  <c r="J8" i="63"/>
  <c r="L175" i="69" l="1"/>
  <c r="L147" i="69"/>
  <c r="L140" i="69"/>
  <c r="H132" i="69"/>
  <c r="L115" i="69"/>
  <c r="L114" i="69"/>
  <c r="L113" i="69"/>
  <c r="L112" i="69"/>
  <c r="L90" i="69"/>
  <c r="H90" i="69"/>
  <c r="H88" i="69"/>
  <c r="L86" i="69"/>
  <c r="H52" i="69"/>
  <c r="H50" i="69"/>
  <c r="H49" i="69"/>
  <c r="H48" i="69"/>
  <c r="H47" i="69"/>
  <c r="H46" i="69"/>
  <c r="H45" i="69"/>
  <c r="H42" i="69"/>
  <c r="H41" i="69"/>
  <c r="H39" i="69"/>
  <c r="L36" i="69"/>
  <c r="L35" i="69"/>
  <c r="H35" i="69"/>
  <c r="L34" i="69"/>
  <c r="H34" i="69"/>
  <c r="H33" i="69"/>
  <c r="H32" i="69"/>
  <c r="M25" i="69"/>
  <c r="Q25" i="69" s="1"/>
  <c r="J25" i="69"/>
  <c r="F25" i="69"/>
  <c r="M24" i="69"/>
  <c r="Q24" i="69" s="1"/>
  <c r="J24" i="69"/>
  <c r="F24" i="69"/>
  <c r="J23" i="69"/>
  <c r="I23" i="69"/>
  <c r="M23" i="69" s="1"/>
  <c r="F23" i="69"/>
  <c r="J22" i="69"/>
  <c r="I22" i="69"/>
  <c r="M22" i="69" s="1"/>
  <c r="F22" i="69"/>
  <c r="E22" i="69"/>
  <c r="M21" i="69"/>
  <c r="N21" i="69" s="1"/>
  <c r="J21" i="69"/>
  <c r="F21" i="69"/>
  <c r="J20" i="69"/>
  <c r="F20" i="69"/>
  <c r="AD19" i="69"/>
  <c r="Z19" i="69"/>
  <c r="V19" i="69"/>
  <c r="R19" i="69"/>
  <c r="N19" i="69"/>
  <c r="J19" i="69"/>
  <c r="F19" i="69"/>
  <c r="AC18" i="69"/>
  <c r="AD18" i="69" s="1"/>
  <c r="Z18" i="69"/>
  <c r="V18" i="69"/>
  <c r="R18" i="69"/>
  <c r="N18" i="69"/>
  <c r="J18" i="69"/>
  <c r="F18" i="69"/>
  <c r="J17" i="69"/>
  <c r="J16" i="69"/>
  <c r="I16" i="69"/>
  <c r="F16" i="69"/>
  <c r="E16" i="69"/>
  <c r="J15" i="69"/>
  <c r="I15" i="69"/>
  <c r="M15" i="69" s="1"/>
  <c r="F15" i="69"/>
  <c r="M14" i="69"/>
  <c r="Q14" i="69" s="1"/>
  <c r="U14" i="69" s="1"/>
  <c r="J14" i="69"/>
  <c r="I14" i="69"/>
  <c r="F14" i="69"/>
  <c r="M13" i="69"/>
  <c r="Q13" i="69" s="1"/>
  <c r="J13" i="69"/>
  <c r="F13" i="69"/>
  <c r="J12" i="69"/>
  <c r="I12" i="69"/>
  <c r="M12" i="69" s="1"/>
  <c r="F12" i="69"/>
  <c r="M11" i="69"/>
  <c r="Q11" i="69" s="1"/>
  <c r="J11" i="69"/>
  <c r="F11" i="69"/>
  <c r="M10" i="69"/>
  <c r="N10" i="69" s="1"/>
  <c r="J10" i="69"/>
  <c r="F10" i="69"/>
  <c r="M9" i="69"/>
  <c r="Q9" i="69" s="1"/>
  <c r="J9" i="69"/>
  <c r="J8" i="69" s="1"/>
  <c r="F9" i="69"/>
  <c r="F8" i="69" s="1"/>
  <c r="E8" i="69"/>
  <c r="AD6" i="69"/>
  <c r="Z6" i="69"/>
  <c r="V6" i="69"/>
  <c r="R6" i="69"/>
  <c r="N6" i="69"/>
  <c r="J6" i="69"/>
  <c r="G6" i="69"/>
  <c r="F6" i="69"/>
  <c r="AD5" i="69"/>
  <c r="Z5" i="69"/>
  <c r="V5" i="69"/>
  <c r="V2" i="69" s="1"/>
  <c r="R5" i="69"/>
  <c r="N5" i="69"/>
  <c r="J5" i="69"/>
  <c r="F5" i="69"/>
  <c r="G5" i="69" s="1"/>
  <c r="AD4" i="69"/>
  <c r="Z4" i="69"/>
  <c r="Z2" i="69" s="1"/>
  <c r="V4" i="69"/>
  <c r="R4" i="69"/>
  <c r="N4" i="69"/>
  <c r="J4" i="69"/>
  <c r="F4" i="69"/>
  <c r="G4" i="69" s="1"/>
  <c r="AD3" i="69"/>
  <c r="AD2" i="69" s="1"/>
  <c r="Z3" i="69"/>
  <c r="V3" i="69"/>
  <c r="R3" i="69"/>
  <c r="R2" i="69" s="1"/>
  <c r="N3" i="69"/>
  <c r="N2" i="69" s="1"/>
  <c r="J3" i="69"/>
  <c r="J2" i="69" s="1"/>
  <c r="I3" i="69"/>
  <c r="F3" i="69"/>
  <c r="F2" i="69" s="1"/>
  <c r="E3" i="69"/>
  <c r="G3" i="69" s="1"/>
  <c r="AC2" i="69"/>
  <c r="Y2" i="69"/>
  <c r="U2" i="69"/>
  <c r="Q2" i="69"/>
  <c r="M2" i="69"/>
  <c r="I2" i="69"/>
  <c r="I8" i="69" l="1"/>
  <c r="N12" i="69"/>
  <c r="Q12" i="69"/>
  <c r="R12" i="69" s="1"/>
  <c r="N14" i="69"/>
  <c r="N13" i="69"/>
  <c r="Q10" i="69"/>
  <c r="L6" i="69"/>
  <c r="K5" i="69"/>
  <c r="O5" i="69" s="1"/>
  <c r="L5" i="69"/>
  <c r="U9" i="69"/>
  <c r="R9" i="69"/>
  <c r="U11" i="69"/>
  <c r="R11" i="69"/>
  <c r="Y14" i="69"/>
  <c r="V14" i="69"/>
  <c r="U25" i="69"/>
  <c r="R25" i="69"/>
  <c r="U13" i="69"/>
  <c r="R13" i="69"/>
  <c r="Q23" i="69"/>
  <c r="N23" i="69"/>
  <c r="L3" i="69"/>
  <c r="K3" i="69"/>
  <c r="Q22" i="69"/>
  <c r="N22" i="69"/>
  <c r="Q15" i="69"/>
  <c r="N15" i="69"/>
  <c r="L4" i="69"/>
  <c r="K4" i="69"/>
  <c r="U24" i="69"/>
  <c r="R24" i="69"/>
  <c r="N9" i="69"/>
  <c r="N11" i="69"/>
  <c r="R14" i="69"/>
  <c r="M16" i="69"/>
  <c r="M8" i="69" s="1"/>
  <c r="N8" i="69" s="1"/>
  <c r="Q21" i="69"/>
  <c r="N25" i="69"/>
  <c r="E2" i="69"/>
  <c r="K6" i="69"/>
  <c r="O6" i="69" s="1"/>
  <c r="N24" i="69"/>
  <c r="O4" i="69" l="1"/>
  <c r="S4" i="69" s="1"/>
  <c r="W4" i="69" s="1"/>
  <c r="U12" i="69"/>
  <c r="S5" i="69"/>
  <c r="U10" i="69"/>
  <c r="R10" i="69"/>
  <c r="U23" i="69"/>
  <c r="R23" i="69"/>
  <c r="Y11" i="69"/>
  <c r="V11" i="69"/>
  <c r="O3" i="69"/>
  <c r="S6" i="69"/>
  <c r="R15" i="69"/>
  <c r="U15" i="69"/>
  <c r="V13" i="69"/>
  <c r="Y13" i="69"/>
  <c r="Y9" i="69"/>
  <c r="V9" i="69"/>
  <c r="AC14" i="69"/>
  <c r="AD14" i="69" s="1"/>
  <c r="Z14" i="69"/>
  <c r="Y12" i="69"/>
  <c r="V12" i="69"/>
  <c r="N16" i="69"/>
  <c r="Q16" i="69"/>
  <c r="U21" i="69"/>
  <c r="R21" i="69"/>
  <c r="Y24" i="69"/>
  <c r="V24" i="69"/>
  <c r="R22" i="69"/>
  <c r="U22" i="69"/>
  <c r="Y25" i="69"/>
  <c r="V25" i="69"/>
  <c r="Y10" i="69" l="1"/>
  <c r="V10" i="69"/>
  <c r="W5" i="69" s="1"/>
  <c r="AA4" i="69"/>
  <c r="AE4" i="69" s="1"/>
  <c r="S3" i="69"/>
  <c r="U16" i="69"/>
  <c r="R16" i="69"/>
  <c r="Q8" i="69"/>
  <c r="R8" i="69" s="1"/>
  <c r="AC9" i="69"/>
  <c r="Z9" i="69"/>
  <c r="Z13" i="69"/>
  <c r="AC13" i="69"/>
  <c r="AD13" i="69" s="1"/>
  <c r="Z11" i="69"/>
  <c r="AC11" i="69"/>
  <c r="AD11" i="69" s="1"/>
  <c r="AC25" i="69"/>
  <c r="AD25" i="69" s="1"/>
  <c r="Z25" i="69"/>
  <c r="Y22" i="69"/>
  <c r="V22" i="69"/>
  <c r="AC24" i="69"/>
  <c r="AD24" i="69" s="1"/>
  <c r="Z24" i="69"/>
  <c r="Y21" i="69"/>
  <c r="V21" i="69"/>
  <c r="AC12" i="69"/>
  <c r="AD12" i="69" s="1"/>
  <c r="Z12" i="69"/>
  <c r="V15" i="69"/>
  <c r="Y15" i="69"/>
  <c r="Y23" i="69"/>
  <c r="V23" i="69"/>
  <c r="W6" i="69" s="1"/>
  <c r="AC10" i="69" l="1"/>
  <c r="AD10" i="69" s="1"/>
  <c r="Z10" i="69"/>
  <c r="AA5" i="69" s="1"/>
  <c r="AE5" i="69" s="1"/>
  <c r="AA6" i="69"/>
  <c r="AE6" i="69" s="1"/>
  <c r="AD9" i="69"/>
  <c r="AC21" i="69"/>
  <c r="AD21" i="69" s="1"/>
  <c r="Z21" i="69"/>
  <c r="V16" i="69"/>
  <c r="Y16" i="69"/>
  <c r="U8" i="69"/>
  <c r="V8" i="69" s="1"/>
  <c r="AC22" i="69"/>
  <c r="AD22" i="69" s="1"/>
  <c r="Z22" i="69"/>
  <c r="AC23" i="69"/>
  <c r="AD23" i="69" s="1"/>
  <c r="Z23" i="69"/>
  <c r="Z15" i="69"/>
  <c r="AC15" i="69"/>
  <c r="AD15" i="69" s="1"/>
  <c r="W3" i="69"/>
  <c r="AA3" i="69" l="1"/>
  <c r="AE3" i="69" s="1"/>
  <c r="Z16" i="69"/>
  <c r="AC16" i="69"/>
  <c r="AD16" i="69" s="1"/>
  <c r="Y8" i="69"/>
  <c r="Z8" i="69" s="1"/>
  <c r="AC8" i="69" l="1"/>
  <c r="AD8" i="69" s="1"/>
  <c r="H115" i="31" l="1"/>
  <c r="L73" i="31" l="1"/>
  <c r="L56" i="36" l="1"/>
  <c r="J17" i="36"/>
  <c r="L23" i="44"/>
  <c r="L159" i="31" l="1"/>
  <c r="L59" i="6"/>
  <c r="L19" i="44" l="1"/>
  <c r="L40" i="32"/>
  <c r="J14" i="32" s="1"/>
  <c r="L97" i="31" l="1"/>
  <c r="L67" i="6" l="1"/>
  <c r="L131" i="31"/>
  <c r="L28" i="28"/>
  <c r="L124" i="31"/>
  <c r="L30" i="65"/>
  <c r="L18" i="44" l="1"/>
  <c r="L23" i="10"/>
  <c r="J3" i="21" l="1"/>
  <c r="J5" i="21"/>
  <c r="L99" i="31" l="1"/>
  <c r="J8" i="3" l="1"/>
  <c r="J7" i="3"/>
  <c r="L15" i="66"/>
  <c r="Q9" i="66"/>
  <c r="J9" i="66"/>
  <c r="F9" i="66"/>
  <c r="Q8" i="66"/>
  <c r="J8" i="66"/>
  <c r="F8" i="66"/>
  <c r="J7" i="66"/>
  <c r="I7" i="66"/>
  <c r="F7" i="66"/>
  <c r="I6" i="66"/>
  <c r="F6" i="66"/>
  <c r="F5" i="66" s="1"/>
  <c r="E5" i="66"/>
  <c r="AD3" i="66"/>
  <c r="AD2" i="66" s="1"/>
  <c r="Z3" i="66"/>
  <c r="Z2" i="66" s="1"/>
  <c r="V3" i="66"/>
  <c r="V2" i="66" s="1"/>
  <c r="R3" i="66"/>
  <c r="N3" i="66"/>
  <c r="F3" i="66"/>
  <c r="G3" i="66" s="1"/>
  <c r="E3" i="66"/>
  <c r="AC2" i="66"/>
  <c r="Y2" i="66"/>
  <c r="U2" i="66"/>
  <c r="R2" i="66"/>
  <c r="Q2" i="66"/>
  <c r="M2" i="66"/>
  <c r="I2" i="66"/>
  <c r="E2" i="66"/>
  <c r="N2" i="66" l="1"/>
  <c r="M6" i="66"/>
  <c r="I5" i="66"/>
  <c r="M7" i="66"/>
  <c r="P7" i="3"/>
  <c r="J2" i="66"/>
  <c r="K3" i="66"/>
  <c r="J5" i="66"/>
  <c r="U8" i="66"/>
  <c r="R8" i="66"/>
  <c r="U9" i="66"/>
  <c r="R9" i="66"/>
  <c r="F2" i="66"/>
  <c r="Q7" i="3" l="1"/>
  <c r="Q7" i="66"/>
  <c r="M5" i="66"/>
  <c r="Q6" i="66"/>
  <c r="Q5" i="66" s="1"/>
  <c r="P8" i="3"/>
  <c r="O3" i="66"/>
  <c r="Y8" i="66"/>
  <c r="V8" i="66"/>
  <c r="U7" i="66"/>
  <c r="R7" i="66"/>
  <c r="Y9" i="66"/>
  <c r="V9" i="66"/>
  <c r="R6" i="66" l="1"/>
  <c r="U6" i="66"/>
  <c r="R5" i="66"/>
  <c r="S8" i="3"/>
  <c r="S3" i="66"/>
  <c r="AC8" i="66"/>
  <c r="Z8" i="66"/>
  <c r="AC9" i="66"/>
  <c r="Z9" i="66"/>
  <c r="Y7" i="66"/>
  <c r="V7" i="66"/>
  <c r="U5" i="66"/>
  <c r="V6" i="66" l="1"/>
  <c r="Y6" i="66"/>
  <c r="AD8" i="66"/>
  <c r="W3" i="66"/>
  <c r="V5" i="66"/>
  <c r="AD9" i="66"/>
  <c r="AC7" i="66"/>
  <c r="Z7" i="66"/>
  <c r="Y5" i="66"/>
  <c r="Z6" i="66" l="1"/>
  <c r="AC6" i="66"/>
  <c r="AA3" i="66"/>
  <c r="Z5" i="66"/>
  <c r="AD7" i="66"/>
  <c r="AC5" i="66"/>
  <c r="AD6" i="66" l="1"/>
  <c r="AD5" i="66"/>
  <c r="AE3" i="66"/>
  <c r="E2" i="65"/>
  <c r="I2" i="65"/>
  <c r="M2" i="65"/>
  <c r="Q2" i="65"/>
  <c r="U2" i="65"/>
  <c r="Y2" i="65"/>
  <c r="AC2" i="65"/>
  <c r="D3" i="65"/>
  <c r="F3" i="65"/>
  <c r="J3" i="65"/>
  <c r="N3" i="65"/>
  <c r="R3" i="65"/>
  <c r="V3" i="65"/>
  <c r="Z3" i="65"/>
  <c r="AD3" i="65"/>
  <c r="F4" i="65"/>
  <c r="N4" i="65"/>
  <c r="R4" i="65"/>
  <c r="V4" i="65"/>
  <c r="Z4" i="65"/>
  <c r="AD4" i="65"/>
  <c r="E6" i="65"/>
  <c r="F7" i="65"/>
  <c r="I7" i="65"/>
  <c r="J7" i="65"/>
  <c r="F8" i="65"/>
  <c r="J8" i="65"/>
  <c r="Q8" i="65"/>
  <c r="J9" i="65"/>
  <c r="M9" i="65"/>
  <c r="F10" i="65"/>
  <c r="I12" i="65"/>
  <c r="Q12" i="65"/>
  <c r="H18" i="65"/>
  <c r="F9" i="65" s="1"/>
  <c r="H23" i="65"/>
  <c r="F12" i="65" s="1"/>
  <c r="J10" i="65"/>
  <c r="M2" i="64"/>
  <c r="Q2" i="64"/>
  <c r="U2" i="64"/>
  <c r="Y2" i="64"/>
  <c r="AC2" i="64"/>
  <c r="E3" i="64"/>
  <c r="F3" i="64"/>
  <c r="I3" i="64"/>
  <c r="N3" i="64"/>
  <c r="R3" i="64"/>
  <c r="V3" i="64"/>
  <c r="Z3" i="64"/>
  <c r="AD3" i="64"/>
  <c r="F4" i="64"/>
  <c r="R4" i="64"/>
  <c r="V4" i="64"/>
  <c r="Z4" i="64"/>
  <c r="AD4" i="64"/>
  <c r="N5" i="64"/>
  <c r="R5" i="64"/>
  <c r="V5" i="64"/>
  <c r="Z5" i="64"/>
  <c r="AD5" i="64"/>
  <c r="F6" i="64"/>
  <c r="R6" i="64"/>
  <c r="V6" i="64"/>
  <c r="Z6" i="64"/>
  <c r="AD6" i="64"/>
  <c r="G8" i="64"/>
  <c r="F9" i="64"/>
  <c r="N9" i="64" s="1"/>
  <c r="Q9" i="64"/>
  <c r="F10" i="64"/>
  <c r="I10" i="64"/>
  <c r="F11" i="64"/>
  <c r="I11" i="64"/>
  <c r="F12" i="64"/>
  <c r="M12" i="64"/>
  <c r="I13" i="64"/>
  <c r="F14" i="64"/>
  <c r="I14" i="64"/>
  <c r="F15" i="64"/>
  <c r="I15" i="64"/>
  <c r="H26" i="64"/>
  <c r="F13" i="64" s="1"/>
  <c r="H32" i="64"/>
  <c r="F5" i="64" s="1"/>
  <c r="E2" i="63"/>
  <c r="I2" i="63"/>
  <c r="M2" i="63"/>
  <c r="Q2" i="63"/>
  <c r="U2" i="63"/>
  <c r="Y2" i="63"/>
  <c r="AC2" i="63"/>
  <c r="F3" i="63"/>
  <c r="N3" i="63"/>
  <c r="R3" i="63"/>
  <c r="V3" i="63"/>
  <c r="Z3" i="63"/>
  <c r="AD3" i="63"/>
  <c r="F4" i="63"/>
  <c r="J4" i="63"/>
  <c r="N4" i="63"/>
  <c r="R4" i="63"/>
  <c r="V4" i="63"/>
  <c r="Z4" i="63"/>
  <c r="AD4" i="63"/>
  <c r="E6" i="63"/>
  <c r="F7" i="63"/>
  <c r="J7" i="63"/>
  <c r="M7" i="63"/>
  <c r="F9" i="63"/>
  <c r="J9" i="63"/>
  <c r="F10" i="63"/>
  <c r="J10" i="63"/>
  <c r="F11" i="63"/>
  <c r="I11" i="63"/>
  <c r="K3" i="63" s="1"/>
  <c r="I19" i="55" s="1"/>
  <c r="J11" i="63"/>
  <c r="F12" i="63"/>
  <c r="I12" i="63"/>
  <c r="J12" i="63"/>
  <c r="F13" i="63"/>
  <c r="I13" i="63"/>
  <c r="J13" i="63"/>
  <c r="F14" i="63"/>
  <c r="I14" i="63"/>
  <c r="J14" i="63"/>
  <c r="F15" i="63"/>
  <c r="I15" i="63"/>
  <c r="J15" i="63"/>
  <c r="N13" i="64" l="1"/>
  <c r="N10" i="64"/>
  <c r="N11" i="64"/>
  <c r="N15" i="64"/>
  <c r="N12" i="64"/>
  <c r="N14" i="64"/>
  <c r="M11" i="64"/>
  <c r="Q11" i="64" s="1"/>
  <c r="M11" i="63"/>
  <c r="S7" i="2"/>
  <c r="R2" i="63"/>
  <c r="F2" i="63"/>
  <c r="M12" i="63"/>
  <c r="F6" i="63"/>
  <c r="M13" i="63"/>
  <c r="S11" i="2"/>
  <c r="M7" i="65"/>
  <c r="Q9" i="65"/>
  <c r="E2" i="64"/>
  <c r="F8" i="64"/>
  <c r="S9" i="2"/>
  <c r="M14" i="64"/>
  <c r="I2" i="64"/>
  <c r="M15" i="64"/>
  <c r="Q12" i="64"/>
  <c r="I8" i="64"/>
  <c r="G4" i="64"/>
  <c r="K4" i="64" s="1"/>
  <c r="J8" i="64"/>
  <c r="G3" i="63"/>
  <c r="G4" i="63"/>
  <c r="AD2" i="63"/>
  <c r="Z2" i="63"/>
  <c r="V2" i="63"/>
  <c r="N2" i="63"/>
  <c r="Q7" i="2" s="1"/>
  <c r="V2" i="65"/>
  <c r="R2" i="65"/>
  <c r="G3" i="64"/>
  <c r="F6" i="65"/>
  <c r="I6" i="65"/>
  <c r="AD2" i="65"/>
  <c r="Z2" i="65"/>
  <c r="G3" i="65"/>
  <c r="K3" i="65" s="1"/>
  <c r="I24" i="55" s="1"/>
  <c r="G4" i="65"/>
  <c r="K4" i="65" s="1"/>
  <c r="I25" i="55" s="1"/>
  <c r="J2" i="63"/>
  <c r="J6" i="63"/>
  <c r="AD2" i="64"/>
  <c r="Z2" i="64"/>
  <c r="V2" i="64"/>
  <c r="N2" i="64"/>
  <c r="R2" i="64"/>
  <c r="J6" i="65"/>
  <c r="J2" i="65"/>
  <c r="J2" i="64"/>
  <c r="N2" i="65"/>
  <c r="R9" i="65"/>
  <c r="U8" i="65"/>
  <c r="V8" i="65" s="1"/>
  <c r="R8" i="65"/>
  <c r="Q10" i="65"/>
  <c r="Q8" i="63"/>
  <c r="Q10" i="63"/>
  <c r="R10" i="63" s="1"/>
  <c r="R12" i="65"/>
  <c r="U12" i="65"/>
  <c r="F2" i="65"/>
  <c r="G6" i="64"/>
  <c r="R12" i="64"/>
  <c r="R9" i="64"/>
  <c r="U9" i="64"/>
  <c r="Q13" i="64"/>
  <c r="F2" i="64"/>
  <c r="Q13" i="63"/>
  <c r="Q7" i="63"/>
  <c r="Q14" i="63"/>
  <c r="Q11" i="63"/>
  <c r="I6" i="63"/>
  <c r="Q9" i="63"/>
  <c r="J11" i="12"/>
  <c r="K3" i="12" s="1"/>
  <c r="I18" i="55" l="1"/>
  <c r="N8" i="64"/>
  <c r="Q10" i="2" s="1"/>
  <c r="U12" i="64"/>
  <c r="Q9" i="2"/>
  <c r="Q11" i="2"/>
  <c r="Q7" i="65"/>
  <c r="M6" i="63"/>
  <c r="M6" i="65"/>
  <c r="I22" i="55"/>
  <c r="O4" i="64"/>
  <c r="S4" i="64" s="1"/>
  <c r="O3" i="65"/>
  <c r="Q15" i="64"/>
  <c r="U7" i="63"/>
  <c r="U10" i="63"/>
  <c r="U8" i="63"/>
  <c r="U13" i="63"/>
  <c r="Q12" i="63"/>
  <c r="R15" i="63"/>
  <c r="U9" i="65"/>
  <c r="Y8" i="65"/>
  <c r="N7" i="2"/>
  <c r="N8" i="2"/>
  <c r="O4" i="63"/>
  <c r="R10" i="65"/>
  <c r="U11" i="64"/>
  <c r="R11" i="64"/>
  <c r="Q14" i="64"/>
  <c r="M8" i="64"/>
  <c r="N9" i="2"/>
  <c r="N10" i="2"/>
  <c r="N11" i="2"/>
  <c r="N12" i="2"/>
  <c r="Y10" i="63"/>
  <c r="AC10" i="63" s="1"/>
  <c r="K3" i="64"/>
  <c r="K6" i="64"/>
  <c r="I23" i="55" s="1"/>
  <c r="U10" i="65"/>
  <c r="V10" i="65" s="1"/>
  <c r="R8" i="63"/>
  <c r="V12" i="65"/>
  <c r="Y12" i="65"/>
  <c r="AC8" i="65"/>
  <c r="Z8" i="65"/>
  <c r="U7" i="65"/>
  <c r="Q6" i="65"/>
  <c r="R7" i="65"/>
  <c r="U14" i="64"/>
  <c r="Q10" i="64"/>
  <c r="R13" i="64"/>
  <c r="U13" i="64"/>
  <c r="Y9" i="64"/>
  <c r="V9" i="64"/>
  <c r="R15" i="64"/>
  <c r="U15" i="64"/>
  <c r="V12" i="64"/>
  <c r="Y12" i="64"/>
  <c r="R7" i="63"/>
  <c r="R13" i="63"/>
  <c r="Y7" i="63"/>
  <c r="V7" i="63"/>
  <c r="U9" i="63"/>
  <c r="R9" i="63"/>
  <c r="Y13" i="63"/>
  <c r="Q6" i="63"/>
  <c r="U14" i="63"/>
  <c r="R14" i="63"/>
  <c r="Y15" i="63"/>
  <c r="R11" i="63"/>
  <c r="U11" i="63"/>
  <c r="O3" i="64" l="1"/>
  <c r="I21" i="55"/>
  <c r="AD10" i="63"/>
  <c r="V8" i="63"/>
  <c r="Y8" i="63"/>
  <c r="V10" i="63"/>
  <c r="V13" i="63"/>
  <c r="U12" i="63"/>
  <c r="R12" i="63"/>
  <c r="Z10" i="63"/>
  <c r="V15" i="63"/>
  <c r="AD8" i="65"/>
  <c r="V9" i="65"/>
  <c r="Y9" i="65"/>
  <c r="R14" i="64"/>
  <c r="S4" i="63"/>
  <c r="O3" i="63"/>
  <c r="Y10" i="65"/>
  <c r="R6" i="65"/>
  <c r="S12" i="2"/>
  <c r="V11" i="64"/>
  <c r="Y11" i="64"/>
  <c r="O6" i="64"/>
  <c r="W4" i="64"/>
  <c r="O4" i="65"/>
  <c r="R6" i="63"/>
  <c r="S8" i="2"/>
  <c r="Z10" i="65"/>
  <c r="V7" i="65"/>
  <c r="Y7" i="65"/>
  <c r="U6" i="65"/>
  <c r="Z12" i="65"/>
  <c r="AC12" i="65"/>
  <c r="V13" i="64"/>
  <c r="Y13" i="64"/>
  <c r="Z9" i="64"/>
  <c r="AC9" i="64"/>
  <c r="AC12" i="64"/>
  <c r="Z12" i="64"/>
  <c r="V15" i="64"/>
  <c r="Y15" i="64"/>
  <c r="Z11" i="64"/>
  <c r="AC11" i="64"/>
  <c r="Y14" i="64"/>
  <c r="V14" i="64"/>
  <c r="R10" i="64"/>
  <c r="U10" i="64"/>
  <c r="Q8" i="64"/>
  <c r="Z7" i="63"/>
  <c r="AC7" i="63"/>
  <c r="Z15" i="63"/>
  <c r="AC15" i="63"/>
  <c r="Z13" i="63"/>
  <c r="AC13" i="63"/>
  <c r="V14" i="63"/>
  <c r="Y14" i="63"/>
  <c r="Y11" i="63"/>
  <c r="V11" i="63"/>
  <c r="Y9" i="63"/>
  <c r="V9" i="63"/>
  <c r="U6" i="63"/>
  <c r="L34" i="10"/>
  <c r="AD13" i="63" l="1"/>
  <c r="AC8" i="63"/>
  <c r="Z8" i="63"/>
  <c r="AD7" i="63"/>
  <c r="V12" i="63"/>
  <c r="Y12" i="63"/>
  <c r="AD15" i="63"/>
  <c r="Z9" i="65"/>
  <c r="AC9" i="65"/>
  <c r="AD12" i="65"/>
  <c r="W4" i="63"/>
  <c r="S3" i="63"/>
  <c r="V6" i="65"/>
  <c r="AC10" i="65"/>
  <c r="R8" i="64"/>
  <c r="S10" i="2"/>
  <c r="AD12" i="64"/>
  <c r="AD11" i="64"/>
  <c r="S6" i="64"/>
  <c r="AA4" i="64"/>
  <c r="S3" i="65"/>
  <c r="S4" i="65"/>
  <c r="V6" i="63"/>
  <c r="S3" i="64"/>
  <c r="Z7" i="65"/>
  <c r="AC7" i="65"/>
  <c r="Y6" i="65"/>
  <c r="AC14" i="64"/>
  <c r="Z14" i="64"/>
  <c r="AD9" i="64"/>
  <c r="Z15" i="64"/>
  <c r="AC15" i="64"/>
  <c r="AC13" i="64"/>
  <c r="Z13" i="64"/>
  <c r="V10" i="64"/>
  <c r="Y10" i="64"/>
  <c r="U8" i="64"/>
  <c r="AC14" i="63"/>
  <c r="Z14" i="63"/>
  <c r="AC9" i="63"/>
  <c r="Z9" i="63"/>
  <c r="Y6" i="63"/>
  <c r="Z11" i="63"/>
  <c r="AC11" i="63"/>
  <c r="L25" i="32"/>
  <c r="F3" i="31"/>
  <c r="AD11" i="63" l="1"/>
  <c r="AD8" i="63"/>
  <c r="Z12" i="63"/>
  <c r="AC12" i="63"/>
  <c r="AD9" i="65"/>
  <c r="W3" i="63"/>
  <c r="AA4" i="63"/>
  <c r="Z6" i="65"/>
  <c r="AD10" i="65"/>
  <c r="V8" i="64"/>
  <c r="AD14" i="64"/>
  <c r="AD13" i="64"/>
  <c r="AD15" i="64"/>
  <c r="W6" i="64"/>
  <c r="AE4" i="64"/>
  <c r="W3" i="65"/>
  <c r="W4" i="65"/>
  <c r="AD14" i="63"/>
  <c r="Z6" i="63"/>
  <c r="W3" i="64"/>
  <c r="AC6" i="65"/>
  <c r="AD7" i="65"/>
  <c r="Z10" i="64"/>
  <c r="AC10" i="64"/>
  <c r="Y8" i="64"/>
  <c r="AD9" i="63"/>
  <c r="L21" i="31"/>
  <c r="L28" i="7"/>
  <c r="I5" i="12"/>
  <c r="I2" i="6"/>
  <c r="J3" i="31"/>
  <c r="J8" i="42"/>
  <c r="J7" i="42"/>
  <c r="J12" i="41"/>
  <c r="J11" i="41"/>
  <c r="J10" i="41"/>
  <c r="J9" i="41"/>
  <c r="J8" i="41"/>
  <c r="J8" i="40"/>
  <c r="J7" i="40"/>
  <c r="J14" i="38"/>
  <c r="J9" i="38"/>
  <c r="J8" i="38"/>
  <c r="J7" i="38"/>
  <c r="J7" i="37"/>
  <c r="J6" i="37"/>
  <c r="J16" i="36"/>
  <c r="J15" i="36"/>
  <c r="J14" i="36"/>
  <c r="J12" i="36"/>
  <c r="J11" i="36"/>
  <c r="J10" i="36"/>
  <c r="J9" i="36"/>
  <c r="J8" i="36"/>
  <c r="J7" i="36"/>
  <c r="J6" i="36"/>
  <c r="J18" i="32"/>
  <c r="J17" i="32"/>
  <c r="J16" i="32"/>
  <c r="J15" i="32"/>
  <c r="J13" i="32"/>
  <c r="J12" i="32"/>
  <c r="J11" i="32"/>
  <c r="J10" i="32"/>
  <c r="J9" i="32"/>
  <c r="J8" i="32"/>
  <c r="J7" i="31"/>
  <c r="J6" i="31"/>
  <c r="J8" i="44"/>
  <c r="J7" i="44"/>
  <c r="J6" i="44"/>
  <c r="J11" i="30"/>
  <c r="J9" i="30"/>
  <c r="J8" i="30"/>
  <c r="J7" i="30"/>
  <c r="J6" i="30"/>
  <c r="J19" i="29"/>
  <c r="J18" i="29"/>
  <c r="J10" i="29"/>
  <c r="M10" i="29" s="1"/>
  <c r="J9" i="29"/>
  <c r="J8" i="29"/>
  <c r="J7" i="29"/>
  <c r="J14" i="28"/>
  <c r="J13" i="28"/>
  <c r="J12" i="28"/>
  <c r="J11" i="28"/>
  <c r="J10" i="28"/>
  <c r="J9" i="28"/>
  <c r="J8" i="28"/>
  <c r="J16" i="27"/>
  <c r="J15" i="27"/>
  <c r="J14" i="27"/>
  <c r="J13" i="27"/>
  <c r="J12" i="27"/>
  <c r="J11" i="27"/>
  <c r="J10" i="27"/>
  <c r="J9" i="27"/>
  <c r="J8" i="27"/>
  <c r="J12" i="26"/>
  <c r="J11" i="26"/>
  <c r="J9" i="26"/>
  <c r="J8" i="26"/>
  <c r="J14" i="25"/>
  <c r="J13" i="25"/>
  <c r="J12" i="25"/>
  <c r="J11" i="25"/>
  <c r="J10" i="25"/>
  <c r="J9" i="25"/>
  <c r="J6" i="56"/>
  <c r="N32" i="2" s="1"/>
  <c r="J10" i="24"/>
  <c r="J9" i="24"/>
  <c r="J8" i="24"/>
  <c r="J7" i="24" s="1"/>
  <c r="N30" i="2" s="1"/>
  <c r="J15" i="23"/>
  <c r="J14" i="23"/>
  <c r="J13" i="23"/>
  <c r="J12" i="23"/>
  <c r="J11" i="23"/>
  <c r="J10" i="23"/>
  <c r="J9" i="23"/>
  <c r="J14" i="22"/>
  <c r="J13" i="22"/>
  <c r="J12" i="22"/>
  <c r="J11" i="22"/>
  <c r="J10" i="22"/>
  <c r="J14" i="21"/>
  <c r="J13" i="21"/>
  <c r="J12" i="21"/>
  <c r="J11" i="21"/>
  <c r="J10" i="21"/>
  <c r="J9" i="21"/>
  <c r="J8" i="21"/>
  <c r="J10" i="20"/>
  <c r="J9" i="20"/>
  <c r="J8" i="20"/>
  <c r="J7" i="20"/>
  <c r="J10" i="19"/>
  <c r="J9" i="19"/>
  <c r="J8" i="19"/>
  <c r="J7" i="19"/>
  <c r="J15" i="18"/>
  <c r="J14" i="18"/>
  <c r="J13" i="18"/>
  <c r="J12" i="18"/>
  <c r="J11" i="18"/>
  <c r="J9" i="18"/>
  <c r="J8" i="18"/>
  <c r="J11" i="17"/>
  <c r="J10" i="17"/>
  <c r="J9" i="17"/>
  <c r="J8" i="17"/>
  <c r="J7" i="17"/>
  <c r="J6" i="17"/>
  <c r="J12" i="16"/>
  <c r="J11" i="16"/>
  <c r="J10" i="16"/>
  <c r="J9" i="16"/>
  <c r="J8" i="16"/>
  <c r="J7" i="16"/>
  <c r="J15" i="10"/>
  <c r="J14" i="10"/>
  <c r="J13" i="10"/>
  <c r="J12" i="10"/>
  <c r="J9" i="10"/>
  <c r="J8" i="10"/>
  <c r="J7" i="10"/>
  <c r="J10" i="9"/>
  <c r="J9" i="9"/>
  <c r="J8" i="9"/>
  <c r="J11" i="34"/>
  <c r="J10" i="34"/>
  <c r="J9" i="34"/>
  <c r="J8" i="34"/>
  <c r="J7" i="34"/>
  <c r="J6" i="34"/>
  <c r="J20" i="7"/>
  <c r="J19" i="7"/>
  <c r="J18" i="7"/>
  <c r="J17" i="7"/>
  <c r="J16" i="7"/>
  <c r="J15" i="7"/>
  <c r="J14" i="7"/>
  <c r="J13" i="7"/>
  <c r="J12" i="7"/>
  <c r="J11" i="7"/>
  <c r="J10" i="7"/>
  <c r="J9" i="7"/>
  <c r="J7" i="8"/>
  <c r="J10" i="6"/>
  <c r="J9" i="6"/>
  <c r="J8" i="6"/>
  <c r="F7" i="5"/>
  <c r="H13" i="5"/>
  <c r="L13" i="5" s="1"/>
  <c r="H12" i="5"/>
  <c r="I6" i="6"/>
  <c r="H17" i="34"/>
  <c r="H18" i="31"/>
  <c r="J5" i="56" l="1"/>
  <c r="K3" i="6"/>
  <c r="K3" i="34"/>
  <c r="J7" i="5"/>
  <c r="J5" i="5" s="1"/>
  <c r="L14" i="5"/>
  <c r="AD12" i="63"/>
  <c r="AC6" i="63"/>
  <c r="J6" i="8"/>
  <c r="AE4" i="63"/>
  <c r="J6" i="19"/>
  <c r="AA3" i="63"/>
  <c r="AD6" i="65"/>
  <c r="Z8" i="64"/>
  <c r="AA6" i="64"/>
  <c r="AA3" i="64"/>
  <c r="J5" i="37"/>
  <c r="J6" i="16"/>
  <c r="AA4" i="65"/>
  <c r="AA3" i="65"/>
  <c r="J6" i="10"/>
  <c r="I5" i="6"/>
  <c r="AD6" i="63"/>
  <c r="J5" i="36"/>
  <c r="J7" i="26"/>
  <c r="N36" i="2" s="1"/>
  <c r="J2" i="36"/>
  <c r="J5" i="12"/>
  <c r="J5" i="30"/>
  <c r="J8" i="22"/>
  <c r="J5" i="17"/>
  <c r="AD10" i="64"/>
  <c r="AC8" i="64"/>
  <c r="J6" i="42"/>
  <c r="J6" i="40"/>
  <c r="J5" i="44"/>
  <c r="J7" i="41"/>
  <c r="J7" i="9"/>
  <c r="J7" i="18"/>
  <c r="J8" i="25"/>
  <c r="J7" i="21"/>
  <c r="J6" i="29"/>
  <c r="J6" i="11"/>
  <c r="J5" i="6"/>
  <c r="J7" i="32"/>
  <c r="J5" i="34"/>
  <c r="J7" i="28"/>
  <c r="J8" i="23"/>
  <c r="J6" i="20"/>
  <c r="J7" i="27"/>
  <c r="J8" i="7"/>
  <c r="H20" i="31"/>
  <c r="I3" i="55" l="1"/>
  <c r="I8" i="55"/>
  <c r="M7" i="5"/>
  <c r="M3" i="5" s="1"/>
  <c r="N14" i="2"/>
  <c r="N9" i="1"/>
  <c r="N4" i="1"/>
  <c r="N20" i="2"/>
  <c r="AE3" i="63"/>
  <c r="N16" i="4"/>
  <c r="J5" i="31"/>
  <c r="N22" i="2"/>
  <c r="AE6" i="64"/>
  <c r="AD8" i="64"/>
  <c r="N11" i="1"/>
  <c r="AE3" i="64"/>
  <c r="N6" i="2"/>
  <c r="N4" i="2"/>
  <c r="N13" i="1"/>
  <c r="N14" i="3"/>
  <c r="N10" i="3"/>
  <c r="N4" i="3"/>
  <c r="N6" i="3"/>
  <c r="N20" i="4"/>
  <c r="N18" i="4"/>
  <c r="N6" i="4"/>
  <c r="N4" i="4"/>
  <c r="N28" i="2"/>
  <c r="N24" i="2"/>
  <c r="N18" i="2"/>
  <c r="N16" i="2"/>
  <c r="AE3" i="65"/>
  <c r="AE4" i="65"/>
  <c r="N22" i="4"/>
  <c r="N7" i="1"/>
  <c r="N5" i="1"/>
  <c r="N5" i="3"/>
  <c r="N8" i="4"/>
  <c r="N34" i="2"/>
  <c r="N26" i="2"/>
  <c r="H20" i="25"/>
  <c r="H15" i="42"/>
  <c r="H56" i="11"/>
  <c r="H31" i="29"/>
  <c r="H22" i="27"/>
  <c r="H167" i="6"/>
  <c r="H27" i="29"/>
  <c r="H42" i="7"/>
  <c r="H39" i="7"/>
  <c r="H21" i="11"/>
  <c r="H17" i="9"/>
  <c r="H16" i="42"/>
  <c r="N7" i="5" l="1"/>
  <c r="N14" i="4"/>
  <c r="F7" i="44"/>
  <c r="H32" i="25"/>
  <c r="H28" i="32" l="1"/>
  <c r="J3" i="10" l="1"/>
  <c r="H47" i="36" l="1"/>
  <c r="H28" i="25"/>
  <c r="H48" i="10" l="1"/>
  <c r="H75" i="31"/>
  <c r="H16" i="37"/>
  <c r="I7" i="5" l="1"/>
  <c r="H73" i="31" l="1"/>
  <c r="H52" i="36" l="1"/>
  <c r="H45" i="10"/>
  <c r="AE5" i="55" l="1"/>
  <c r="F6" i="37" l="1"/>
  <c r="I17" i="32"/>
  <c r="I14" i="32"/>
  <c r="I11" i="32"/>
  <c r="I9" i="32"/>
  <c r="H25" i="28"/>
  <c r="H24" i="28" s="1"/>
  <c r="H41" i="10"/>
  <c r="H42" i="10"/>
  <c r="H26" i="12"/>
  <c r="F6" i="12" s="1"/>
  <c r="H28" i="29"/>
  <c r="H35" i="31"/>
  <c r="H34" i="31"/>
  <c r="H31" i="31"/>
  <c r="H26" i="27"/>
  <c r="H32" i="10" l="1"/>
  <c r="H23" i="10"/>
  <c r="H24" i="10"/>
  <c r="H25" i="10"/>
  <c r="H34" i="32"/>
  <c r="H29" i="36" l="1"/>
  <c r="H43" i="36"/>
  <c r="H25" i="36"/>
  <c r="H23" i="21"/>
  <c r="H36" i="10" l="1"/>
  <c r="F3" i="10" s="1"/>
  <c r="H21" i="31" l="1"/>
  <c r="F8" i="42"/>
  <c r="H30" i="44" l="1"/>
  <c r="H29" i="44"/>
  <c r="I4" i="9" l="1"/>
  <c r="I3" i="17"/>
  <c r="I2" i="9" l="1"/>
  <c r="I5" i="21"/>
  <c r="I3" i="36"/>
  <c r="F3" i="26"/>
  <c r="I5" i="18" l="1"/>
  <c r="F7" i="31"/>
  <c r="I9" i="10"/>
  <c r="I3" i="27" l="1"/>
  <c r="I3" i="12"/>
  <c r="F4" i="11"/>
  <c r="J6" i="23" l="1"/>
  <c r="J5" i="23"/>
  <c r="J4" i="23"/>
  <c r="F6" i="22"/>
  <c r="F5" i="22"/>
  <c r="F4" i="22"/>
  <c r="F4" i="16" l="1"/>
  <c r="I10" i="26"/>
  <c r="F12" i="38"/>
  <c r="F10" i="38"/>
  <c r="K5" i="26" l="1"/>
  <c r="Q11" i="38"/>
  <c r="Q12" i="38"/>
  <c r="Q10" i="38"/>
  <c r="H25" i="16"/>
  <c r="AE10" i="55"/>
  <c r="AD10" i="55"/>
  <c r="AA10" i="55"/>
  <c r="Z10" i="55"/>
  <c r="W10" i="55"/>
  <c r="V10" i="55"/>
  <c r="S10" i="55"/>
  <c r="R10" i="55"/>
  <c r="O10" i="55"/>
  <c r="N10" i="55"/>
  <c r="K10" i="55"/>
  <c r="G10" i="55"/>
  <c r="F10" i="55"/>
  <c r="C10" i="55"/>
  <c r="B10" i="55"/>
  <c r="AD4" i="8"/>
  <c r="AB10" i="55" s="1"/>
  <c r="Z4" i="8"/>
  <c r="X10" i="55" s="1"/>
  <c r="V4" i="8"/>
  <c r="T10" i="55" s="1"/>
  <c r="R4" i="8"/>
  <c r="P10" i="55" s="1"/>
  <c r="N4" i="8"/>
  <c r="J4" i="8"/>
  <c r="F4" i="8"/>
  <c r="G4" i="8" s="1"/>
  <c r="M13" i="27"/>
  <c r="F13" i="27"/>
  <c r="F14" i="10"/>
  <c r="F13" i="10"/>
  <c r="I12" i="10"/>
  <c r="AD6" i="31"/>
  <c r="Z6" i="31"/>
  <c r="V6" i="31"/>
  <c r="R6" i="31"/>
  <c r="F6" i="31"/>
  <c r="AD11" i="12"/>
  <c r="Z11" i="12"/>
  <c r="V11" i="12"/>
  <c r="R11" i="12"/>
  <c r="Q11" i="12"/>
  <c r="F11" i="12"/>
  <c r="AD10" i="12"/>
  <c r="Z10" i="12"/>
  <c r="V10" i="12"/>
  <c r="R10" i="12"/>
  <c r="Q10" i="12"/>
  <c r="F10" i="12"/>
  <c r="Q9" i="12"/>
  <c r="AD9" i="12"/>
  <c r="Z9" i="12"/>
  <c r="V9" i="12"/>
  <c r="R9" i="12"/>
  <c r="F9" i="12"/>
  <c r="AD8" i="12"/>
  <c r="Z8" i="12"/>
  <c r="V8" i="12"/>
  <c r="R8" i="12"/>
  <c r="F8" i="12"/>
  <c r="AE59" i="55"/>
  <c r="AD59" i="55"/>
  <c r="AB59" i="55"/>
  <c r="AA59" i="55"/>
  <c r="Z59" i="55"/>
  <c r="X59" i="55"/>
  <c r="W59" i="55"/>
  <c r="V59" i="55"/>
  <c r="T59" i="55"/>
  <c r="S59" i="55"/>
  <c r="R59" i="55"/>
  <c r="P59" i="55"/>
  <c r="O59" i="55"/>
  <c r="N59" i="55"/>
  <c r="L59" i="55"/>
  <c r="K59" i="55"/>
  <c r="H59" i="55"/>
  <c r="G59" i="55"/>
  <c r="F59" i="55"/>
  <c r="C59" i="55"/>
  <c r="B59" i="55"/>
  <c r="F5" i="27"/>
  <c r="K4" i="8" l="1"/>
  <c r="O4" i="8" s="1"/>
  <c r="I56" i="55"/>
  <c r="U10" i="38"/>
  <c r="V12" i="38" s="1"/>
  <c r="U12" i="38"/>
  <c r="U11" i="38"/>
  <c r="Q13" i="27"/>
  <c r="R13" i="27" s="1"/>
  <c r="D59" i="55"/>
  <c r="L10" i="55"/>
  <c r="U9" i="12"/>
  <c r="U10" i="12"/>
  <c r="U11" i="12"/>
  <c r="H10" i="55"/>
  <c r="Q14" i="10"/>
  <c r="Q13" i="10"/>
  <c r="R11" i="38"/>
  <c r="R12" i="38"/>
  <c r="D10" i="55"/>
  <c r="E10" i="55"/>
  <c r="F4" i="27"/>
  <c r="I3" i="34"/>
  <c r="Q7" i="6"/>
  <c r="F7" i="6"/>
  <c r="I10" i="55" l="1"/>
  <c r="Y10" i="38"/>
  <c r="V11" i="38"/>
  <c r="Y12" i="38"/>
  <c r="Y11" i="38"/>
  <c r="U13" i="27"/>
  <c r="U14" i="10"/>
  <c r="U13" i="10"/>
  <c r="Y9" i="12"/>
  <c r="U7" i="6"/>
  <c r="V7" i="6" s="1"/>
  <c r="Y10" i="12"/>
  <c r="Y11" i="12"/>
  <c r="J10" i="55"/>
  <c r="Q7" i="44"/>
  <c r="R7" i="6"/>
  <c r="Z11" i="38"/>
  <c r="Z12" i="38"/>
  <c r="Q11" i="10"/>
  <c r="O7" i="44"/>
  <c r="R7" i="44" l="1"/>
  <c r="AC11" i="38"/>
  <c r="AC12" i="38"/>
  <c r="AC10" i="38"/>
  <c r="Y13" i="27"/>
  <c r="V13" i="27"/>
  <c r="Y14" i="10"/>
  <c r="U11" i="10"/>
  <c r="Y11" i="10" s="1"/>
  <c r="Y13" i="10"/>
  <c r="AC9" i="12"/>
  <c r="Y7" i="6"/>
  <c r="AC10" i="12"/>
  <c r="AC11" i="12"/>
  <c r="U7" i="44"/>
  <c r="R11" i="10"/>
  <c r="J10" i="45"/>
  <c r="L10" i="45"/>
  <c r="Y7" i="44" l="1"/>
  <c r="AD11" i="38"/>
  <c r="AD12" i="38"/>
  <c r="AC13" i="27"/>
  <c r="Z13" i="27"/>
  <c r="V11" i="10"/>
  <c r="AC13" i="10"/>
  <c r="AC11" i="10"/>
  <c r="AC14" i="10"/>
  <c r="AC7" i="6"/>
  <c r="Z7" i="6"/>
  <c r="V7" i="44"/>
  <c r="Z11" i="10"/>
  <c r="Z7" i="44"/>
  <c r="AC7" i="44"/>
  <c r="F8" i="28"/>
  <c r="I9" i="7"/>
  <c r="I20" i="7"/>
  <c r="AD7" i="44" l="1"/>
  <c r="AD13" i="27"/>
  <c r="AD11" i="10"/>
  <c r="AD7" i="6"/>
  <c r="I9" i="41"/>
  <c r="I9" i="38"/>
  <c r="I8" i="38"/>
  <c r="H27" i="36"/>
  <c r="F7" i="36"/>
  <c r="F16" i="36"/>
  <c r="F15" i="36"/>
  <c r="I7" i="30"/>
  <c r="I3" i="22"/>
  <c r="F9" i="7"/>
  <c r="I2" i="44"/>
  <c r="I14" i="27"/>
  <c r="L22" i="28"/>
  <c r="I9" i="34"/>
  <c r="I5" i="34" l="1"/>
  <c r="H33" i="36"/>
  <c r="H110" i="6"/>
  <c r="H28" i="21"/>
  <c r="I11" i="27" l="1"/>
  <c r="M14" i="36"/>
  <c r="F14" i="36"/>
  <c r="I10" i="27"/>
  <c r="F45" i="55"/>
  <c r="K5" i="27" l="1"/>
  <c r="Q14" i="36"/>
  <c r="I4" i="27"/>
  <c r="H38" i="31"/>
  <c r="I59" i="55" l="1"/>
  <c r="U14" i="36"/>
  <c r="I2" i="27"/>
  <c r="F13" i="38"/>
  <c r="F9" i="38"/>
  <c r="F8" i="38"/>
  <c r="F7" i="38"/>
  <c r="F6" i="38"/>
  <c r="Y14" i="36" l="1"/>
  <c r="I8" i="17"/>
  <c r="I9" i="17" s="1"/>
  <c r="AC14" i="36" l="1"/>
  <c r="I15" i="10"/>
  <c r="F12" i="10"/>
  <c r="I19" i="7"/>
  <c r="E3" i="5"/>
  <c r="E3" i="23"/>
  <c r="L31" i="2"/>
  <c r="L32" i="2"/>
  <c r="J32" i="2"/>
  <c r="I6" i="10" l="1"/>
  <c r="Q19" i="7"/>
  <c r="AD32" i="2"/>
  <c r="AA32" i="2"/>
  <c r="X32" i="2"/>
  <c r="AD31" i="2"/>
  <c r="AA31" i="2"/>
  <c r="X31" i="2"/>
  <c r="U31" i="2"/>
  <c r="I6" i="56"/>
  <c r="F6" i="56"/>
  <c r="K32" i="2" s="1"/>
  <c r="E5" i="56"/>
  <c r="AD3" i="56"/>
  <c r="AD2" i="56" s="1"/>
  <c r="Z3" i="56"/>
  <c r="Z2" i="56" s="1"/>
  <c r="V3" i="56"/>
  <c r="V2" i="56" s="1"/>
  <c r="R3" i="56"/>
  <c r="R2" i="56" s="1"/>
  <c r="N3" i="56"/>
  <c r="J3" i="56"/>
  <c r="J2" i="56" s="1"/>
  <c r="N31" i="2" s="1"/>
  <c r="F3" i="56"/>
  <c r="F2" i="56" s="1"/>
  <c r="K31" i="2" s="1"/>
  <c r="AC2" i="56"/>
  <c r="Y2" i="56"/>
  <c r="U2" i="56"/>
  <c r="Q2" i="56"/>
  <c r="M2" i="56"/>
  <c r="P31" i="2" s="1"/>
  <c r="I2" i="56"/>
  <c r="M31" i="2" s="1"/>
  <c r="O31" i="2" l="1"/>
  <c r="U19" i="7"/>
  <c r="N2" i="56"/>
  <c r="Q31" i="2" s="1"/>
  <c r="R31" i="2" s="1"/>
  <c r="Q12" i="10"/>
  <c r="M32" i="2"/>
  <c r="O32" i="2" s="1"/>
  <c r="G3" i="56"/>
  <c r="K3" i="56" s="1"/>
  <c r="F5" i="56"/>
  <c r="I5" i="56"/>
  <c r="M6" i="56"/>
  <c r="E2" i="56"/>
  <c r="J31" i="2" s="1"/>
  <c r="P32" i="2" l="1"/>
  <c r="R32" i="2" s="1"/>
  <c r="U12" i="10"/>
  <c r="Y19" i="7"/>
  <c r="O3" i="56"/>
  <c r="N6" i="56"/>
  <c r="Q6" i="56"/>
  <c r="M5" i="56"/>
  <c r="N5" i="56" l="1"/>
  <c r="Q5" i="56"/>
  <c r="S32" i="2"/>
  <c r="U32" i="2" s="1"/>
  <c r="Y12" i="10"/>
  <c r="AC19" i="7"/>
  <c r="R6" i="56"/>
  <c r="U6" i="56"/>
  <c r="I3" i="28"/>
  <c r="R5" i="56" l="1"/>
  <c r="S3" i="56"/>
  <c r="AC12" i="10"/>
  <c r="Y6" i="56"/>
  <c r="U5" i="56"/>
  <c r="V6" i="56"/>
  <c r="I2" i="34"/>
  <c r="F24" i="55"/>
  <c r="W3" i="56" l="1"/>
  <c r="V5" i="56"/>
  <c r="Z6" i="56"/>
  <c r="AC6" i="56"/>
  <c r="Y5" i="56"/>
  <c r="B5" i="57"/>
  <c r="Z5" i="56" l="1"/>
  <c r="AD6" i="56"/>
  <c r="AA3" i="56"/>
  <c r="AE3" i="56" s="1"/>
  <c r="AC5" i="56"/>
  <c r="E3" i="28"/>
  <c r="E10" i="25"/>
  <c r="F5" i="24"/>
  <c r="F4" i="24"/>
  <c r="F3" i="24"/>
  <c r="E10" i="23"/>
  <c r="F6" i="23"/>
  <c r="F5" i="23"/>
  <c r="F4" i="23"/>
  <c r="F3" i="23"/>
  <c r="E14" i="23"/>
  <c r="E13" i="12"/>
  <c r="F5" i="21"/>
  <c r="F4" i="21"/>
  <c r="F3" i="21"/>
  <c r="H14" i="42"/>
  <c r="F3" i="42" s="1"/>
  <c r="H24" i="38"/>
  <c r="H26" i="36"/>
  <c r="H37" i="7"/>
  <c r="F19" i="7" s="1"/>
  <c r="G4" i="23" l="1"/>
  <c r="AD5" i="56"/>
  <c r="E6" i="12"/>
  <c r="F14" i="38"/>
  <c r="F11" i="38"/>
  <c r="H27" i="18" l="1"/>
  <c r="F4" i="18"/>
  <c r="F3" i="18"/>
  <c r="E3" i="17"/>
  <c r="AD10" i="21" l="1"/>
  <c r="Z10" i="21"/>
  <c r="V10" i="21"/>
  <c r="R10" i="21"/>
  <c r="AD10" i="20"/>
  <c r="Z10" i="20"/>
  <c r="V10" i="20"/>
  <c r="R10" i="20"/>
  <c r="AD10" i="19"/>
  <c r="Z10" i="19"/>
  <c r="V10" i="19"/>
  <c r="R10" i="19"/>
  <c r="N10" i="19"/>
  <c r="AD11" i="18"/>
  <c r="Z11" i="18"/>
  <c r="V11" i="18"/>
  <c r="R11" i="18"/>
  <c r="AD14" i="11"/>
  <c r="AD13" i="11"/>
  <c r="Z14" i="11"/>
  <c r="Z13" i="11"/>
  <c r="V14" i="11"/>
  <c r="V13" i="11"/>
  <c r="R14" i="11"/>
  <c r="R13" i="11"/>
  <c r="AG3" i="34"/>
  <c r="P16" i="55"/>
  <c r="T16" i="55"/>
  <c r="X16" i="55"/>
  <c r="AB16" i="55"/>
  <c r="AE4" i="55"/>
  <c r="G6" i="55"/>
  <c r="AE84" i="55"/>
  <c r="AD84" i="55"/>
  <c r="AA84" i="55"/>
  <c r="Z84" i="55"/>
  <c r="W84" i="55"/>
  <c r="V84" i="55"/>
  <c r="S84" i="55"/>
  <c r="R84" i="55"/>
  <c r="O84" i="55"/>
  <c r="N84" i="55"/>
  <c r="K84" i="55"/>
  <c r="G84" i="55"/>
  <c r="F84" i="55"/>
  <c r="C84" i="55"/>
  <c r="B84" i="55"/>
  <c r="AE83" i="55"/>
  <c r="AD83" i="55"/>
  <c r="AA83" i="55"/>
  <c r="Z83" i="55"/>
  <c r="W83" i="55"/>
  <c r="V83" i="55"/>
  <c r="S83" i="55"/>
  <c r="R83" i="55"/>
  <c r="O83" i="55"/>
  <c r="N83" i="55"/>
  <c r="K83" i="55"/>
  <c r="G83" i="55"/>
  <c r="F83" i="55"/>
  <c r="C83" i="55"/>
  <c r="B83" i="55"/>
  <c r="AE82" i="55"/>
  <c r="AD82" i="55"/>
  <c r="AA82" i="55"/>
  <c r="Z82" i="55"/>
  <c r="W82" i="55"/>
  <c r="V82" i="55"/>
  <c r="S82" i="55"/>
  <c r="R82" i="55"/>
  <c r="O82" i="55"/>
  <c r="N82" i="55"/>
  <c r="K82" i="55"/>
  <c r="G82" i="55"/>
  <c r="F82" i="55"/>
  <c r="C82" i="55"/>
  <c r="B82" i="55"/>
  <c r="AE81" i="55"/>
  <c r="AD81" i="55"/>
  <c r="AA81" i="55"/>
  <c r="Z81" i="55"/>
  <c r="W81" i="55"/>
  <c r="V81" i="55"/>
  <c r="S81" i="55"/>
  <c r="R81" i="55"/>
  <c r="O81" i="55"/>
  <c r="N81" i="55"/>
  <c r="K81" i="55"/>
  <c r="G81" i="55"/>
  <c r="F81" i="55"/>
  <c r="C81" i="55"/>
  <c r="B81" i="55"/>
  <c r="AE80" i="55"/>
  <c r="AD80" i="55"/>
  <c r="AA80" i="55"/>
  <c r="Z80" i="55"/>
  <c r="W80" i="55"/>
  <c r="V80" i="55"/>
  <c r="S80" i="55"/>
  <c r="R80" i="55"/>
  <c r="O80" i="55"/>
  <c r="N80" i="55"/>
  <c r="K80" i="55"/>
  <c r="F80" i="55"/>
  <c r="B80" i="55"/>
  <c r="AE79" i="55"/>
  <c r="AD79" i="55"/>
  <c r="AA79" i="55"/>
  <c r="Z79" i="55"/>
  <c r="W79" i="55"/>
  <c r="V79" i="55"/>
  <c r="S79" i="55"/>
  <c r="R79" i="55"/>
  <c r="O79" i="55"/>
  <c r="N79" i="55"/>
  <c r="K79" i="55"/>
  <c r="G79" i="55"/>
  <c r="F79" i="55"/>
  <c r="C79" i="55"/>
  <c r="B79" i="55"/>
  <c r="AE78" i="55"/>
  <c r="AD78" i="55"/>
  <c r="AA78" i="55"/>
  <c r="Z78" i="55"/>
  <c r="W78" i="55"/>
  <c r="V78" i="55"/>
  <c r="S78" i="55"/>
  <c r="R78" i="55"/>
  <c r="O78" i="55"/>
  <c r="N78" i="55"/>
  <c r="K78" i="55"/>
  <c r="G78" i="55"/>
  <c r="F78" i="55"/>
  <c r="C78" i="55"/>
  <c r="B78" i="55"/>
  <c r="AF77" i="55"/>
  <c r="AE76" i="55"/>
  <c r="AD76" i="55"/>
  <c r="AA76" i="55"/>
  <c r="Z76" i="55"/>
  <c r="W76" i="55"/>
  <c r="V76" i="55"/>
  <c r="S76" i="55"/>
  <c r="R76" i="55"/>
  <c r="O76" i="55"/>
  <c r="N76" i="55"/>
  <c r="K76" i="55"/>
  <c r="G76" i="55"/>
  <c r="F76" i="55"/>
  <c r="C76" i="55"/>
  <c r="B76" i="55"/>
  <c r="AE75" i="55"/>
  <c r="AF75" i="55" s="1"/>
  <c r="AD75" i="55"/>
  <c r="AA75" i="55"/>
  <c r="Z75" i="55"/>
  <c r="W75" i="55"/>
  <c r="V75" i="55"/>
  <c r="S75" i="55"/>
  <c r="R75" i="55"/>
  <c r="O75" i="55"/>
  <c r="N75" i="55"/>
  <c r="K75" i="55"/>
  <c r="G75" i="55"/>
  <c r="F75" i="55"/>
  <c r="C75" i="55"/>
  <c r="B75" i="55"/>
  <c r="AE74" i="55"/>
  <c r="AF74" i="55" s="1"/>
  <c r="AD74" i="55"/>
  <c r="AA74" i="55"/>
  <c r="Z74" i="55"/>
  <c r="W74" i="55"/>
  <c r="V74" i="55"/>
  <c r="S74" i="55"/>
  <c r="R74" i="55"/>
  <c r="O74" i="55"/>
  <c r="N74" i="55"/>
  <c r="K74" i="55"/>
  <c r="G74" i="55"/>
  <c r="F74" i="55"/>
  <c r="C74" i="55"/>
  <c r="B74" i="55"/>
  <c r="AE73" i="55"/>
  <c r="AF73" i="55" s="1"/>
  <c r="AD73" i="55"/>
  <c r="AA73" i="55"/>
  <c r="Z73" i="55"/>
  <c r="W73" i="55"/>
  <c r="V73" i="55"/>
  <c r="S73" i="55"/>
  <c r="R73" i="55"/>
  <c r="O73" i="55"/>
  <c r="N73" i="55"/>
  <c r="K73" i="55"/>
  <c r="G73" i="55"/>
  <c r="F73" i="55"/>
  <c r="C73" i="55"/>
  <c r="B73" i="55"/>
  <c r="AE72" i="55"/>
  <c r="AF72" i="55" s="1"/>
  <c r="AD72" i="55"/>
  <c r="AA72" i="55"/>
  <c r="Z72" i="55"/>
  <c r="W72" i="55"/>
  <c r="V72" i="55"/>
  <c r="S72" i="55"/>
  <c r="R72" i="55"/>
  <c r="O72" i="55"/>
  <c r="N72" i="55"/>
  <c r="K72" i="55"/>
  <c r="G72" i="55"/>
  <c r="F72" i="55"/>
  <c r="C72" i="55"/>
  <c r="B72" i="55"/>
  <c r="AE71" i="55"/>
  <c r="AD71" i="55"/>
  <c r="AA71" i="55"/>
  <c r="Z71" i="55"/>
  <c r="W71" i="55"/>
  <c r="V71" i="55"/>
  <c r="S71" i="55"/>
  <c r="R71" i="55"/>
  <c r="O71" i="55"/>
  <c r="N71" i="55"/>
  <c r="K71" i="55"/>
  <c r="G71" i="55"/>
  <c r="F71" i="55"/>
  <c r="C71" i="55"/>
  <c r="B71" i="55"/>
  <c r="AE66" i="55"/>
  <c r="AD66" i="55"/>
  <c r="AA66" i="55"/>
  <c r="Z66" i="55"/>
  <c r="W66" i="55"/>
  <c r="V66" i="55"/>
  <c r="S66" i="55"/>
  <c r="R66" i="55"/>
  <c r="O66" i="55"/>
  <c r="N66" i="55"/>
  <c r="K66" i="55"/>
  <c r="G66" i="55"/>
  <c r="F66" i="55"/>
  <c r="C66" i="55"/>
  <c r="B66" i="55"/>
  <c r="AE65" i="55"/>
  <c r="AD65" i="55"/>
  <c r="AA65" i="55"/>
  <c r="Z65" i="55"/>
  <c r="W65" i="55"/>
  <c r="V65" i="55"/>
  <c r="S65" i="55"/>
  <c r="R65" i="55"/>
  <c r="O65" i="55"/>
  <c r="N65" i="55"/>
  <c r="K65" i="55"/>
  <c r="G65" i="55"/>
  <c r="F65" i="55"/>
  <c r="B65" i="55"/>
  <c r="AE64" i="55"/>
  <c r="AF64" i="55" s="1"/>
  <c r="AD64" i="55"/>
  <c r="AA64" i="55"/>
  <c r="Z64" i="55"/>
  <c r="W64" i="55"/>
  <c r="V64" i="55"/>
  <c r="S64" i="55"/>
  <c r="R64" i="55"/>
  <c r="O64" i="55"/>
  <c r="N64" i="55"/>
  <c r="G64" i="55"/>
  <c r="F64" i="55"/>
  <c r="C64" i="55"/>
  <c r="B64" i="55"/>
  <c r="AE63" i="55"/>
  <c r="AF63" i="55" s="1"/>
  <c r="AD63" i="55"/>
  <c r="AA63" i="55"/>
  <c r="Z63" i="55"/>
  <c r="W63" i="55"/>
  <c r="V63" i="55"/>
  <c r="S63" i="55"/>
  <c r="R63" i="55"/>
  <c r="O63" i="55"/>
  <c r="N63" i="55"/>
  <c r="K63" i="55"/>
  <c r="F63" i="55"/>
  <c r="B63" i="55"/>
  <c r="AE62" i="55"/>
  <c r="AD62" i="55"/>
  <c r="AA62" i="55"/>
  <c r="Z62" i="55"/>
  <c r="W62" i="55"/>
  <c r="V62" i="55"/>
  <c r="S62" i="55"/>
  <c r="R62" i="55"/>
  <c r="O62" i="55"/>
  <c r="N62" i="55"/>
  <c r="K62" i="55"/>
  <c r="G62" i="55"/>
  <c r="F62" i="55"/>
  <c r="C62" i="55"/>
  <c r="B62" i="55"/>
  <c r="AE61" i="55"/>
  <c r="AD61" i="55"/>
  <c r="AA61" i="55"/>
  <c r="Z61" i="55"/>
  <c r="W61" i="55"/>
  <c r="V61" i="55"/>
  <c r="S61" i="55"/>
  <c r="R61" i="55"/>
  <c r="O61" i="55"/>
  <c r="N61" i="55"/>
  <c r="K61" i="55"/>
  <c r="G61" i="55"/>
  <c r="F61" i="55"/>
  <c r="C61" i="55"/>
  <c r="B61" i="55"/>
  <c r="AE60" i="55"/>
  <c r="AF60" i="55" s="1"/>
  <c r="AD60" i="55"/>
  <c r="AA60" i="55"/>
  <c r="Z60" i="55"/>
  <c r="W60" i="55"/>
  <c r="V60" i="55"/>
  <c r="S60" i="55"/>
  <c r="R60" i="55"/>
  <c r="O60" i="55"/>
  <c r="N60" i="55"/>
  <c r="K60" i="55"/>
  <c r="G60" i="55"/>
  <c r="F60" i="55"/>
  <c r="C60" i="55"/>
  <c r="B60" i="55"/>
  <c r="AE58" i="55"/>
  <c r="AD58" i="55"/>
  <c r="AA58" i="55"/>
  <c r="Z58" i="55"/>
  <c r="W58" i="55"/>
  <c r="V58" i="55"/>
  <c r="S58" i="55"/>
  <c r="R58" i="55"/>
  <c r="O58" i="55"/>
  <c r="N58" i="55"/>
  <c r="K58" i="55"/>
  <c r="G58" i="55"/>
  <c r="F58" i="55"/>
  <c r="D58" i="55"/>
  <c r="C58" i="55"/>
  <c r="B58" i="55"/>
  <c r="AE57" i="55"/>
  <c r="AF57" i="55" s="1"/>
  <c r="AD57" i="55"/>
  <c r="AA57" i="55"/>
  <c r="Z57" i="55"/>
  <c r="W57" i="55"/>
  <c r="V57" i="55"/>
  <c r="S57" i="55"/>
  <c r="R57" i="55"/>
  <c r="O57" i="55"/>
  <c r="N57" i="55"/>
  <c r="F57" i="55"/>
  <c r="B57" i="55"/>
  <c r="AE56" i="55"/>
  <c r="AD56" i="55"/>
  <c r="AA56" i="55"/>
  <c r="Z56" i="55"/>
  <c r="W56" i="55"/>
  <c r="V56" i="55"/>
  <c r="S56" i="55"/>
  <c r="R56" i="55"/>
  <c r="O56" i="55"/>
  <c r="N56" i="55"/>
  <c r="K56" i="55"/>
  <c r="G56" i="55"/>
  <c r="F56" i="55"/>
  <c r="D56" i="55"/>
  <c r="C56" i="55"/>
  <c r="B56" i="55"/>
  <c r="AE55" i="55"/>
  <c r="AD55" i="55"/>
  <c r="AA55" i="55"/>
  <c r="Z55" i="55"/>
  <c r="W55" i="55"/>
  <c r="V55" i="55"/>
  <c r="S55" i="55"/>
  <c r="R55" i="55"/>
  <c r="O55" i="55"/>
  <c r="N55" i="55"/>
  <c r="K55" i="55"/>
  <c r="G55" i="55"/>
  <c r="F55" i="55"/>
  <c r="D55" i="55"/>
  <c r="C55" i="55"/>
  <c r="B55" i="55"/>
  <c r="AE54" i="55"/>
  <c r="AD54" i="55"/>
  <c r="AA54" i="55"/>
  <c r="Z54" i="55"/>
  <c r="W54" i="55"/>
  <c r="V54" i="55"/>
  <c r="S54" i="55"/>
  <c r="R54" i="55"/>
  <c r="O54" i="55"/>
  <c r="N54" i="55"/>
  <c r="K54" i="55"/>
  <c r="G54" i="55"/>
  <c r="F54" i="55"/>
  <c r="C54" i="55"/>
  <c r="AE53" i="55"/>
  <c r="AD53" i="55"/>
  <c r="AA53" i="55"/>
  <c r="Z53" i="55"/>
  <c r="W53" i="55"/>
  <c r="V53" i="55"/>
  <c r="S53" i="55"/>
  <c r="R53" i="55"/>
  <c r="O53" i="55"/>
  <c r="N53" i="55"/>
  <c r="K53" i="55"/>
  <c r="G53" i="55"/>
  <c r="F53" i="55"/>
  <c r="D53" i="55"/>
  <c r="C53" i="55"/>
  <c r="B53" i="55"/>
  <c r="AE52" i="55"/>
  <c r="AD52" i="55"/>
  <c r="AA52" i="55"/>
  <c r="Z52" i="55"/>
  <c r="W52" i="55"/>
  <c r="V52" i="55"/>
  <c r="S52" i="55"/>
  <c r="R52" i="55"/>
  <c r="O52" i="55"/>
  <c r="N52" i="55"/>
  <c r="K52" i="55"/>
  <c r="G52" i="55"/>
  <c r="F52" i="55"/>
  <c r="D52" i="55"/>
  <c r="C52" i="55"/>
  <c r="B52" i="55"/>
  <c r="AE51" i="55"/>
  <c r="AD51" i="55"/>
  <c r="AA51" i="55"/>
  <c r="Z51" i="55"/>
  <c r="W51" i="55"/>
  <c r="V51" i="55"/>
  <c r="S51" i="55"/>
  <c r="R51" i="55"/>
  <c r="O51" i="55"/>
  <c r="N51" i="55"/>
  <c r="K51" i="55"/>
  <c r="G51" i="55"/>
  <c r="F51" i="55"/>
  <c r="D51" i="55"/>
  <c r="C51" i="55"/>
  <c r="B51" i="55"/>
  <c r="AE50" i="55"/>
  <c r="AF50" i="55" s="1"/>
  <c r="AD50" i="55"/>
  <c r="AA50" i="55"/>
  <c r="Z50" i="55"/>
  <c r="W50" i="55"/>
  <c r="V50" i="55"/>
  <c r="S50" i="55"/>
  <c r="R50" i="55"/>
  <c r="O50" i="55"/>
  <c r="N50" i="55"/>
  <c r="K50" i="55"/>
  <c r="F50" i="55"/>
  <c r="B50" i="55"/>
  <c r="AE49" i="55"/>
  <c r="AD49" i="55"/>
  <c r="AA49" i="55"/>
  <c r="Z49" i="55"/>
  <c r="W49" i="55"/>
  <c r="V49" i="55"/>
  <c r="S49" i="55"/>
  <c r="R49" i="55"/>
  <c r="O49" i="55"/>
  <c r="N49" i="55"/>
  <c r="K49" i="55"/>
  <c r="G49" i="55"/>
  <c r="F49" i="55"/>
  <c r="D49" i="55"/>
  <c r="C49" i="55"/>
  <c r="B49" i="55"/>
  <c r="AE48" i="55"/>
  <c r="AD48" i="55"/>
  <c r="AA48" i="55"/>
  <c r="Z48" i="55"/>
  <c r="W48" i="55"/>
  <c r="V48" i="55"/>
  <c r="S48" i="55"/>
  <c r="R48" i="55"/>
  <c r="O48" i="55"/>
  <c r="N48" i="55"/>
  <c r="K48" i="55"/>
  <c r="J48" i="55"/>
  <c r="G48" i="55"/>
  <c r="F48" i="55"/>
  <c r="D48" i="55"/>
  <c r="B48" i="55"/>
  <c r="AE47" i="55"/>
  <c r="AD47" i="55"/>
  <c r="AA47" i="55"/>
  <c r="Z47" i="55"/>
  <c r="W47" i="55"/>
  <c r="V47" i="55"/>
  <c r="S47" i="55"/>
  <c r="R47" i="55"/>
  <c r="O47" i="55"/>
  <c r="N47" i="55"/>
  <c r="K47" i="55"/>
  <c r="G47" i="55"/>
  <c r="F47" i="55"/>
  <c r="B47" i="55"/>
  <c r="AE46" i="55"/>
  <c r="AD46" i="55"/>
  <c r="AA46" i="55"/>
  <c r="Z46" i="55"/>
  <c r="W46" i="55"/>
  <c r="V46" i="55"/>
  <c r="S46" i="55"/>
  <c r="R46" i="55"/>
  <c r="O46" i="55"/>
  <c r="N46" i="55"/>
  <c r="K46" i="55"/>
  <c r="G46" i="55"/>
  <c r="F46" i="55"/>
  <c r="D46" i="55"/>
  <c r="C46" i="55"/>
  <c r="B46" i="55"/>
  <c r="AE45" i="55"/>
  <c r="AD45" i="55"/>
  <c r="AA45" i="55"/>
  <c r="Z45" i="55"/>
  <c r="W45" i="55"/>
  <c r="V45" i="55"/>
  <c r="S45" i="55"/>
  <c r="R45" i="55"/>
  <c r="O45" i="55"/>
  <c r="N45" i="55"/>
  <c r="K45" i="55"/>
  <c r="G45" i="55"/>
  <c r="D45" i="55"/>
  <c r="AE44" i="55"/>
  <c r="AD44" i="55"/>
  <c r="AA44" i="55"/>
  <c r="Z44" i="55"/>
  <c r="W44" i="55"/>
  <c r="V44" i="55"/>
  <c r="S44" i="55"/>
  <c r="R44" i="55"/>
  <c r="O44" i="55"/>
  <c r="N44" i="55"/>
  <c r="K44" i="55"/>
  <c r="J44" i="55"/>
  <c r="G44" i="55"/>
  <c r="F44" i="55"/>
  <c r="C44" i="55"/>
  <c r="B44" i="55"/>
  <c r="AE43" i="55"/>
  <c r="AF43" i="55" s="1"/>
  <c r="AD43" i="55"/>
  <c r="AA43" i="55"/>
  <c r="Z43" i="55"/>
  <c r="W43" i="55"/>
  <c r="V43" i="55"/>
  <c r="S43" i="55"/>
  <c r="R43" i="55"/>
  <c r="O43" i="55"/>
  <c r="N43" i="55"/>
  <c r="K43" i="55"/>
  <c r="G43" i="55"/>
  <c r="F43" i="55"/>
  <c r="C43" i="55"/>
  <c r="B43" i="55"/>
  <c r="AE42" i="55"/>
  <c r="AD42" i="55"/>
  <c r="AA42" i="55"/>
  <c r="Z42" i="55"/>
  <c r="W42" i="55"/>
  <c r="V42" i="55"/>
  <c r="S42" i="55"/>
  <c r="R42" i="55"/>
  <c r="O42" i="55"/>
  <c r="N42" i="55"/>
  <c r="K42" i="55"/>
  <c r="G42" i="55"/>
  <c r="F42" i="55"/>
  <c r="D42" i="55"/>
  <c r="C42" i="55"/>
  <c r="B42" i="55"/>
  <c r="AE41" i="55"/>
  <c r="AD41" i="55"/>
  <c r="AA41" i="55"/>
  <c r="Z41" i="55"/>
  <c r="W41" i="55"/>
  <c r="V41" i="55"/>
  <c r="S41" i="55"/>
  <c r="R41" i="55"/>
  <c r="O41" i="55"/>
  <c r="N41" i="55"/>
  <c r="K41" i="55"/>
  <c r="G41" i="55"/>
  <c r="F41" i="55"/>
  <c r="D41" i="55"/>
  <c r="C41" i="55"/>
  <c r="B41" i="55"/>
  <c r="AE40" i="55"/>
  <c r="AD40" i="55"/>
  <c r="AA40" i="55"/>
  <c r="Z40" i="55"/>
  <c r="W40" i="55"/>
  <c r="V40" i="55"/>
  <c r="S40" i="55"/>
  <c r="R40" i="55"/>
  <c r="O40" i="55"/>
  <c r="N40" i="55"/>
  <c r="K40" i="55"/>
  <c r="G40" i="55"/>
  <c r="F40" i="55"/>
  <c r="D40" i="55"/>
  <c r="C40" i="55"/>
  <c r="B40" i="55"/>
  <c r="AE39" i="55"/>
  <c r="AF39" i="55" s="1"/>
  <c r="AD39" i="55"/>
  <c r="AA39" i="55"/>
  <c r="Z39" i="55"/>
  <c r="W39" i="55"/>
  <c r="V39" i="55"/>
  <c r="S39" i="55"/>
  <c r="R39" i="55"/>
  <c r="O39" i="55"/>
  <c r="N39" i="55"/>
  <c r="K39" i="55"/>
  <c r="F39" i="55"/>
  <c r="AE38" i="55"/>
  <c r="AD38" i="55"/>
  <c r="AA38" i="55"/>
  <c r="Z38" i="55"/>
  <c r="W38" i="55"/>
  <c r="V38" i="55"/>
  <c r="S38" i="55"/>
  <c r="R38" i="55"/>
  <c r="O38" i="55"/>
  <c r="N38" i="55"/>
  <c r="K38" i="55"/>
  <c r="G38" i="55"/>
  <c r="F38" i="55"/>
  <c r="D38" i="55"/>
  <c r="C38" i="55"/>
  <c r="B38" i="55"/>
  <c r="AE37" i="55"/>
  <c r="AD37" i="55"/>
  <c r="AA37" i="55"/>
  <c r="Z37" i="55"/>
  <c r="W37" i="55"/>
  <c r="V37" i="55"/>
  <c r="S37" i="55"/>
  <c r="R37" i="55"/>
  <c r="O37" i="55"/>
  <c r="N37" i="55"/>
  <c r="K37" i="55"/>
  <c r="G37" i="55"/>
  <c r="F37" i="55"/>
  <c r="D37" i="55"/>
  <c r="C37" i="55"/>
  <c r="B37" i="55"/>
  <c r="AE36" i="55"/>
  <c r="AF36" i="55" s="1"/>
  <c r="AD36" i="55"/>
  <c r="AA36" i="55"/>
  <c r="Z36" i="55"/>
  <c r="W36" i="55"/>
  <c r="V36" i="55"/>
  <c r="S36" i="55"/>
  <c r="R36" i="55"/>
  <c r="O36" i="55"/>
  <c r="N36" i="55"/>
  <c r="K36" i="55"/>
  <c r="F36" i="55"/>
  <c r="B36" i="55"/>
  <c r="AE35" i="55"/>
  <c r="AD35" i="55"/>
  <c r="AA35" i="55"/>
  <c r="Z35" i="55"/>
  <c r="W35" i="55"/>
  <c r="V35" i="55"/>
  <c r="S35" i="55"/>
  <c r="R35" i="55"/>
  <c r="O35" i="55"/>
  <c r="N35" i="55"/>
  <c r="K35" i="55"/>
  <c r="G35" i="55"/>
  <c r="F35" i="55"/>
  <c r="D35" i="55"/>
  <c r="C35" i="55"/>
  <c r="B35" i="55"/>
  <c r="AE34" i="55"/>
  <c r="AF34" i="55" s="1"/>
  <c r="AD34" i="55"/>
  <c r="AA34" i="55"/>
  <c r="Z34" i="55"/>
  <c r="W34" i="55"/>
  <c r="V34" i="55"/>
  <c r="S34" i="55"/>
  <c r="R34" i="55"/>
  <c r="O34" i="55"/>
  <c r="N34" i="55"/>
  <c r="K34" i="55"/>
  <c r="F34" i="55"/>
  <c r="B34" i="55"/>
  <c r="AE33" i="55"/>
  <c r="AD33" i="55"/>
  <c r="AA33" i="55"/>
  <c r="Z33" i="55"/>
  <c r="W33" i="55"/>
  <c r="V33" i="55"/>
  <c r="S33" i="55"/>
  <c r="R33" i="55"/>
  <c r="O33" i="55"/>
  <c r="N33" i="55"/>
  <c r="K33" i="55"/>
  <c r="G33" i="55"/>
  <c r="F33" i="55"/>
  <c r="D33" i="55"/>
  <c r="C33" i="55"/>
  <c r="B33" i="55"/>
  <c r="AE32" i="55"/>
  <c r="AF32" i="55" s="1"/>
  <c r="AD32" i="55"/>
  <c r="AA32" i="55"/>
  <c r="Z32" i="55"/>
  <c r="W32" i="55"/>
  <c r="V32" i="55"/>
  <c r="S32" i="55"/>
  <c r="R32" i="55"/>
  <c r="O32" i="55"/>
  <c r="N32" i="55"/>
  <c r="K32" i="55"/>
  <c r="G32" i="55"/>
  <c r="F32" i="55"/>
  <c r="C32" i="55"/>
  <c r="B32" i="55"/>
  <c r="AE31" i="55"/>
  <c r="AD31" i="55"/>
  <c r="AA31" i="55"/>
  <c r="Z31" i="55"/>
  <c r="W31" i="55"/>
  <c r="V31" i="55"/>
  <c r="S31" i="55"/>
  <c r="R31" i="55"/>
  <c r="O31" i="55"/>
  <c r="N31" i="55"/>
  <c r="K31" i="55"/>
  <c r="F31" i="55"/>
  <c r="C31" i="55"/>
  <c r="B31" i="55"/>
  <c r="AE30" i="55"/>
  <c r="AD30" i="55"/>
  <c r="AA30" i="55"/>
  <c r="Z30" i="55"/>
  <c r="W30" i="55"/>
  <c r="V30" i="55"/>
  <c r="S30" i="55"/>
  <c r="R30" i="55"/>
  <c r="O30" i="55"/>
  <c r="N30" i="55"/>
  <c r="K30" i="55"/>
  <c r="G30" i="55"/>
  <c r="F30" i="55"/>
  <c r="D30" i="55"/>
  <c r="C30" i="55"/>
  <c r="B30" i="55"/>
  <c r="AE29" i="55"/>
  <c r="AF29" i="55" s="1"/>
  <c r="AD29" i="55"/>
  <c r="AA29" i="55"/>
  <c r="Z29" i="55"/>
  <c r="W29" i="55"/>
  <c r="V29" i="55"/>
  <c r="S29" i="55"/>
  <c r="R29" i="55"/>
  <c r="O29" i="55"/>
  <c r="N29" i="55"/>
  <c r="K29" i="55"/>
  <c r="F29" i="55"/>
  <c r="D29" i="55"/>
  <c r="C29" i="55"/>
  <c r="B29" i="55"/>
  <c r="AE28" i="55"/>
  <c r="AF28" i="55" s="1"/>
  <c r="AD28" i="55"/>
  <c r="AA28" i="55"/>
  <c r="Z28" i="55"/>
  <c r="W28" i="55"/>
  <c r="V28" i="55"/>
  <c r="S28" i="55"/>
  <c r="R28" i="55"/>
  <c r="O28" i="55"/>
  <c r="N28" i="55"/>
  <c r="G28" i="55"/>
  <c r="F28" i="55"/>
  <c r="C28" i="55"/>
  <c r="B28" i="55"/>
  <c r="AE27" i="55"/>
  <c r="AD27" i="55"/>
  <c r="AA27" i="55"/>
  <c r="Z27" i="55"/>
  <c r="W27" i="55"/>
  <c r="V27" i="55"/>
  <c r="S27" i="55"/>
  <c r="R27" i="55"/>
  <c r="O27" i="55"/>
  <c r="N27" i="55"/>
  <c r="K27" i="55"/>
  <c r="H27" i="55"/>
  <c r="G27" i="55"/>
  <c r="F27" i="55"/>
  <c r="D27" i="55"/>
  <c r="C27" i="55"/>
  <c r="B27" i="55"/>
  <c r="AE26" i="55"/>
  <c r="AF26" i="55" s="1"/>
  <c r="AD26" i="55"/>
  <c r="AA26" i="55"/>
  <c r="Z26" i="55"/>
  <c r="W26" i="55"/>
  <c r="V26" i="55"/>
  <c r="S26" i="55"/>
  <c r="R26" i="55"/>
  <c r="O26" i="55"/>
  <c r="N26" i="55"/>
  <c r="K26" i="55"/>
  <c r="H26" i="55"/>
  <c r="F26" i="55"/>
  <c r="B26" i="55"/>
  <c r="AE25" i="55"/>
  <c r="AD25" i="55"/>
  <c r="AA25" i="55"/>
  <c r="Z25" i="55"/>
  <c r="W25" i="55"/>
  <c r="V25" i="55"/>
  <c r="S25" i="55"/>
  <c r="R25" i="55"/>
  <c r="O25" i="55"/>
  <c r="N25" i="55"/>
  <c r="K25" i="55"/>
  <c r="J25" i="55"/>
  <c r="F25" i="55"/>
  <c r="D25" i="55"/>
  <c r="C25" i="55"/>
  <c r="B25" i="55"/>
  <c r="AE24" i="55"/>
  <c r="AD24" i="55"/>
  <c r="AA24" i="55"/>
  <c r="Z24" i="55"/>
  <c r="W24" i="55"/>
  <c r="V24" i="55"/>
  <c r="S24" i="55"/>
  <c r="R24" i="55"/>
  <c r="O24" i="55"/>
  <c r="N24" i="55"/>
  <c r="K24" i="55"/>
  <c r="J24" i="55"/>
  <c r="G24" i="55"/>
  <c r="C24" i="55"/>
  <c r="AE23" i="55"/>
  <c r="AD23" i="55"/>
  <c r="AA23" i="55"/>
  <c r="Z23" i="55"/>
  <c r="W23" i="55"/>
  <c r="V23" i="55"/>
  <c r="S23" i="55"/>
  <c r="R23" i="55"/>
  <c r="O23" i="55"/>
  <c r="N23" i="55"/>
  <c r="K23" i="55"/>
  <c r="J23" i="55"/>
  <c r="G23" i="55"/>
  <c r="F23" i="55"/>
  <c r="D23" i="55"/>
  <c r="C23" i="55"/>
  <c r="B23" i="55"/>
  <c r="AE22" i="55"/>
  <c r="AD22" i="55"/>
  <c r="AA22" i="55"/>
  <c r="Z22" i="55"/>
  <c r="W22" i="55"/>
  <c r="V22" i="55"/>
  <c r="S22" i="55"/>
  <c r="R22" i="55"/>
  <c r="O22" i="55"/>
  <c r="N22" i="55"/>
  <c r="K22" i="55"/>
  <c r="J22" i="55"/>
  <c r="G22" i="55"/>
  <c r="F22" i="55"/>
  <c r="C22" i="55"/>
  <c r="B22" i="55"/>
  <c r="AE21" i="55"/>
  <c r="AD21" i="55"/>
  <c r="AA21" i="55"/>
  <c r="Z21" i="55"/>
  <c r="W21" i="55"/>
  <c r="V21" i="55"/>
  <c r="S21" i="55"/>
  <c r="R21" i="55"/>
  <c r="O21" i="55"/>
  <c r="N21" i="55"/>
  <c r="K21" i="55"/>
  <c r="J21" i="55"/>
  <c r="F21" i="55"/>
  <c r="B21" i="55"/>
  <c r="AE20" i="55"/>
  <c r="AD20" i="55"/>
  <c r="AA20" i="55"/>
  <c r="Z20" i="55"/>
  <c r="W20" i="55"/>
  <c r="V20" i="55"/>
  <c r="S20" i="55"/>
  <c r="R20" i="55"/>
  <c r="O20" i="55"/>
  <c r="N20" i="55"/>
  <c r="K20" i="55"/>
  <c r="J20" i="55"/>
  <c r="G20" i="55"/>
  <c r="F20" i="55"/>
  <c r="D20" i="55"/>
  <c r="C20" i="55"/>
  <c r="B20" i="55"/>
  <c r="AE19" i="55"/>
  <c r="AD19" i="55"/>
  <c r="AA19" i="55"/>
  <c r="Z19" i="55"/>
  <c r="W19" i="55"/>
  <c r="V19" i="55"/>
  <c r="S19" i="55"/>
  <c r="R19" i="55"/>
  <c r="O19" i="55"/>
  <c r="N19" i="55"/>
  <c r="K19" i="55"/>
  <c r="J19" i="55"/>
  <c r="G19" i="55"/>
  <c r="F19" i="55"/>
  <c r="C19" i="55"/>
  <c r="B19" i="55"/>
  <c r="AE18" i="55"/>
  <c r="AD18" i="55"/>
  <c r="AA18" i="55"/>
  <c r="Z18" i="55"/>
  <c r="W18" i="55"/>
  <c r="V18" i="55"/>
  <c r="S18" i="55"/>
  <c r="R18" i="55"/>
  <c r="O18" i="55"/>
  <c r="N18" i="55"/>
  <c r="K18" i="55"/>
  <c r="J18" i="55"/>
  <c r="G18" i="55"/>
  <c r="F18" i="55"/>
  <c r="C18" i="55"/>
  <c r="B18" i="55"/>
  <c r="AE17" i="55"/>
  <c r="AD17" i="55"/>
  <c r="AA17" i="55"/>
  <c r="Z17" i="55"/>
  <c r="W17" i="55"/>
  <c r="V17" i="55"/>
  <c r="S17" i="55"/>
  <c r="R17" i="55"/>
  <c r="O17" i="55"/>
  <c r="N17" i="55"/>
  <c r="K17" i="55"/>
  <c r="G17" i="55"/>
  <c r="F17" i="55"/>
  <c r="D17" i="55"/>
  <c r="C17" i="55"/>
  <c r="B17" i="55"/>
  <c r="AE16" i="55"/>
  <c r="AD16" i="55"/>
  <c r="AA16" i="55"/>
  <c r="Z16" i="55"/>
  <c r="W16" i="55"/>
  <c r="V16" i="55"/>
  <c r="S16" i="55"/>
  <c r="R16" i="55"/>
  <c r="O16" i="55"/>
  <c r="N16" i="55"/>
  <c r="K16" i="55"/>
  <c r="H16" i="55"/>
  <c r="G16" i="55"/>
  <c r="F16" i="55"/>
  <c r="C16" i="55"/>
  <c r="B16" i="55"/>
  <c r="AE15" i="55"/>
  <c r="AF15" i="55" s="1"/>
  <c r="AD15" i="55"/>
  <c r="AA15" i="55"/>
  <c r="Z15" i="55"/>
  <c r="W15" i="55"/>
  <c r="V15" i="55"/>
  <c r="S15" i="55"/>
  <c r="R15" i="55"/>
  <c r="O15" i="55"/>
  <c r="N15" i="55"/>
  <c r="K15" i="55"/>
  <c r="F15" i="55"/>
  <c r="B15" i="55"/>
  <c r="AE14" i="55"/>
  <c r="AF14" i="55" s="1"/>
  <c r="AD14" i="55"/>
  <c r="AA14" i="55"/>
  <c r="Z14" i="55"/>
  <c r="W14" i="55"/>
  <c r="V14" i="55"/>
  <c r="S14" i="55"/>
  <c r="R14" i="55"/>
  <c r="O14" i="55"/>
  <c r="N14" i="55"/>
  <c r="K14" i="55"/>
  <c r="G14" i="55"/>
  <c r="F14" i="55"/>
  <c r="D14" i="55"/>
  <c r="C14" i="55"/>
  <c r="B14" i="55"/>
  <c r="AE13" i="55"/>
  <c r="AF13" i="55" s="1"/>
  <c r="AD13" i="55"/>
  <c r="AA13" i="55"/>
  <c r="Z13" i="55"/>
  <c r="W13" i="55"/>
  <c r="V13" i="55"/>
  <c r="S13" i="55"/>
  <c r="R13" i="55"/>
  <c r="O13" i="55"/>
  <c r="N13" i="55"/>
  <c r="K13" i="55"/>
  <c r="G13" i="55"/>
  <c r="F13" i="55"/>
  <c r="C13" i="55"/>
  <c r="B13" i="55"/>
  <c r="AE12" i="55"/>
  <c r="AF12" i="55" s="1"/>
  <c r="AD12" i="55"/>
  <c r="AC12" i="55"/>
  <c r="AA12" i="55"/>
  <c r="Z12" i="55"/>
  <c r="Y12" i="55"/>
  <c r="W12" i="55"/>
  <c r="V12" i="55"/>
  <c r="U12" i="55"/>
  <c r="S12" i="55"/>
  <c r="R12" i="55"/>
  <c r="Q12" i="55"/>
  <c r="O12" i="55"/>
  <c r="N12" i="55"/>
  <c r="K12" i="55"/>
  <c r="G12" i="55"/>
  <c r="F12" i="55"/>
  <c r="D12" i="55"/>
  <c r="C12" i="55"/>
  <c r="B12" i="55"/>
  <c r="AE11" i="55"/>
  <c r="AF11" i="55" s="1"/>
  <c r="AD11" i="55"/>
  <c r="AA11" i="55"/>
  <c r="Z11" i="55"/>
  <c r="W11" i="55"/>
  <c r="V11" i="55"/>
  <c r="S11" i="55"/>
  <c r="R11" i="55"/>
  <c r="O11" i="55"/>
  <c r="N11" i="55"/>
  <c r="K11" i="55"/>
  <c r="G11" i="55"/>
  <c r="F11" i="55"/>
  <c r="C11" i="55"/>
  <c r="B11" i="55"/>
  <c r="AE9" i="55"/>
  <c r="AD9" i="55"/>
  <c r="AA9" i="55"/>
  <c r="Z9" i="55"/>
  <c r="W9" i="55"/>
  <c r="V9" i="55"/>
  <c r="S9" i="55"/>
  <c r="R9" i="55"/>
  <c r="O9" i="55"/>
  <c r="N9" i="55"/>
  <c r="G9" i="55"/>
  <c r="F9" i="55"/>
  <c r="C9" i="55"/>
  <c r="B9" i="55"/>
  <c r="AE8" i="55"/>
  <c r="AF8" i="55" s="1"/>
  <c r="AD8" i="55"/>
  <c r="AA8" i="55"/>
  <c r="Z8" i="55"/>
  <c r="W8" i="55"/>
  <c r="V8" i="55"/>
  <c r="S8" i="55"/>
  <c r="R8" i="55"/>
  <c r="O8" i="55"/>
  <c r="N8" i="55"/>
  <c r="K8" i="55"/>
  <c r="G8" i="55"/>
  <c r="F8" i="55"/>
  <c r="C8" i="55"/>
  <c r="AE7" i="55"/>
  <c r="AD7" i="55"/>
  <c r="AA7" i="55"/>
  <c r="Z7" i="55"/>
  <c r="W7" i="55"/>
  <c r="V7" i="55"/>
  <c r="S7" i="55"/>
  <c r="R7" i="55"/>
  <c r="O7" i="55"/>
  <c r="N7" i="55"/>
  <c r="K7" i="55"/>
  <c r="G7" i="55"/>
  <c r="F7" i="55"/>
  <c r="C7" i="55"/>
  <c r="B7" i="55"/>
  <c r="AE6" i="55"/>
  <c r="AD6" i="55"/>
  <c r="AA6" i="55"/>
  <c r="Z6" i="55"/>
  <c r="W6" i="55"/>
  <c r="V6" i="55"/>
  <c r="S6" i="55"/>
  <c r="R6" i="55"/>
  <c r="O6" i="55"/>
  <c r="N6" i="55"/>
  <c r="K6" i="55"/>
  <c r="F6" i="55"/>
  <c r="C6" i="55"/>
  <c r="B6" i="55"/>
  <c r="AD5" i="55"/>
  <c r="AA5" i="55"/>
  <c r="Z5" i="55"/>
  <c r="W5" i="55"/>
  <c r="V5" i="55"/>
  <c r="S5" i="55"/>
  <c r="R5" i="55"/>
  <c r="O5" i="55"/>
  <c r="N5" i="55"/>
  <c r="K5" i="55"/>
  <c r="G5" i="55"/>
  <c r="F5" i="55"/>
  <c r="C5" i="55"/>
  <c r="B5" i="55"/>
  <c r="AD4" i="55"/>
  <c r="AA4" i="55"/>
  <c r="Z4" i="55"/>
  <c r="W4" i="55"/>
  <c r="V4" i="55"/>
  <c r="S4" i="55"/>
  <c r="R4" i="55"/>
  <c r="O4" i="55"/>
  <c r="N4" i="55"/>
  <c r="K4" i="55"/>
  <c r="G4" i="55"/>
  <c r="F4" i="55"/>
  <c r="C4" i="55"/>
  <c r="B4" i="55"/>
  <c r="AE3" i="55"/>
  <c r="AF3" i="55" s="1"/>
  <c r="AD3" i="55"/>
  <c r="AA3" i="55"/>
  <c r="Z3" i="55"/>
  <c r="W3" i="55"/>
  <c r="V3" i="55"/>
  <c r="S3" i="55"/>
  <c r="R3" i="55"/>
  <c r="O3" i="55"/>
  <c r="N3" i="55"/>
  <c r="K3" i="55"/>
  <c r="G3" i="55"/>
  <c r="F3" i="55"/>
  <c r="B3" i="55"/>
  <c r="AE2" i="55"/>
  <c r="AF2" i="55" s="1"/>
  <c r="AD2" i="55"/>
  <c r="Z2" i="55"/>
  <c r="V2" i="55"/>
  <c r="R2" i="55"/>
  <c r="N2" i="55"/>
  <c r="F2" i="55"/>
  <c r="C2" i="55"/>
  <c r="B2" i="55"/>
  <c r="H42" i="11"/>
  <c r="F13" i="12" l="1"/>
  <c r="Q13" i="12" l="1"/>
  <c r="U13" i="12" l="1"/>
  <c r="R13" i="12"/>
  <c r="Y13" i="12" l="1"/>
  <c r="V13" i="12"/>
  <c r="AC13" i="12" l="1"/>
  <c r="Z13" i="12"/>
  <c r="AD13" i="12" l="1"/>
  <c r="E12" i="11"/>
  <c r="F3" i="11"/>
  <c r="K9" i="55"/>
  <c r="F9" i="6"/>
  <c r="D15" i="55" l="1"/>
  <c r="Q9" i="6"/>
  <c r="I9" i="27"/>
  <c r="I9" i="16"/>
  <c r="I11" i="25"/>
  <c r="I10" i="18"/>
  <c r="I9" i="21"/>
  <c r="I12" i="23"/>
  <c r="I9" i="29"/>
  <c r="H12" i="45"/>
  <c r="H8" i="45"/>
  <c r="G8" i="45"/>
  <c r="F8" i="45"/>
  <c r="F9" i="45" s="1"/>
  <c r="E8" i="45"/>
  <c r="E9" i="45" s="1"/>
  <c r="D8" i="45"/>
  <c r="D9" i="45" s="1"/>
  <c r="B8" i="45"/>
  <c r="B9" i="45" s="1"/>
  <c r="B10" i="45" s="1"/>
  <c r="H9" i="45" l="1"/>
  <c r="H10" i="45" s="1"/>
  <c r="U9" i="6"/>
  <c r="R9" i="6"/>
  <c r="D10" i="45"/>
  <c r="E10" i="45"/>
  <c r="E11" i="45"/>
  <c r="F10" i="45"/>
  <c r="F11" i="45"/>
  <c r="C8" i="45"/>
  <c r="C9" i="45" s="1"/>
  <c r="C10" i="45" s="1"/>
  <c r="G9" i="45"/>
  <c r="M21" i="4"/>
  <c r="E5" i="34"/>
  <c r="F10" i="34"/>
  <c r="G57" i="55"/>
  <c r="I3" i="25"/>
  <c r="I9" i="18"/>
  <c r="M9" i="18" s="1"/>
  <c r="G31" i="55"/>
  <c r="G26" i="55"/>
  <c r="G21" i="55"/>
  <c r="G50" i="55" l="1"/>
  <c r="H11" i="45"/>
  <c r="D11" i="45"/>
  <c r="Y9" i="6"/>
  <c r="V9" i="6"/>
  <c r="Q10" i="34"/>
  <c r="Q13" i="38"/>
  <c r="G10" i="45"/>
  <c r="G11" i="45"/>
  <c r="AC9" i="6" l="1"/>
  <c r="Z9" i="6"/>
  <c r="U10" i="34"/>
  <c r="R10" i="34"/>
  <c r="U13" i="38"/>
  <c r="R13" i="38"/>
  <c r="AD9" i="6" l="1"/>
  <c r="Y10" i="34"/>
  <c r="V10" i="34"/>
  <c r="Y13" i="38"/>
  <c r="V13" i="38"/>
  <c r="AC10" i="34" l="1"/>
  <c r="Z10" i="34"/>
  <c r="AC13" i="38"/>
  <c r="Z13" i="38"/>
  <c r="AD10" i="34" l="1"/>
  <c r="AD13" i="38"/>
  <c r="I7" i="8"/>
  <c r="H25" i="18"/>
  <c r="F5" i="18" s="1"/>
  <c r="H29" i="10"/>
  <c r="H28" i="10"/>
  <c r="F7" i="10" s="1"/>
  <c r="H23" i="12"/>
  <c r="H36" i="31"/>
  <c r="H33" i="31"/>
  <c r="H32" i="31"/>
  <c r="H20" i="28"/>
  <c r="H28" i="31"/>
  <c r="H27" i="31"/>
  <c r="I18" i="7"/>
  <c r="F18" i="7"/>
  <c r="D31" i="55" l="1"/>
  <c r="K3" i="8"/>
  <c r="M18" i="7"/>
  <c r="D16" i="55"/>
  <c r="H19" i="31"/>
  <c r="H27" i="32"/>
  <c r="H15" i="44"/>
  <c r="H14" i="44"/>
  <c r="H20" i="30"/>
  <c r="I9" i="55" l="1"/>
  <c r="Q18" i="7"/>
  <c r="F14" i="11"/>
  <c r="H23" i="18"/>
  <c r="H22" i="18"/>
  <c r="U18" i="7" l="1"/>
  <c r="R19" i="7"/>
  <c r="R18" i="7"/>
  <c r="Y18" i="7" l="1"/>
  <c r="V19" i="7"/>
  <c r="V18" i="7"/>
  <c r="L15" i="1"/>
  <c r="D3" i="34"/>
  <c r="E15" i="27"/>
  <c r="E4" i="24"/>
  <c r="C48" i="55" s="1"/>
  <c r="E3" i="24"/>
  <c r="C47" i="55" s="1"/>
  <c r="E2" i="32"/>
  <c r="J19" i="4" s="1"/>
  <c r="E7" i="32"/>
  <c r="J20" i="4" s="1"/>
  <c r="E8" i="23"/>
  <c r="J13" i="1"/>
  <c r="E5" i="6"/>
  <c r="E5" i="5"/>
  <c r="E2" i="5"/>
  <c r="F3" i="44"/>
  <c r="F8" i="44"/>
  <c r="F6" i="44"/>
  <c r="E5" i="44"/>
  <c r="J18" i="4" s="1"/>
  <c r="AD3" i="44"/>
  <c r="Z3" i="44"/>
  <c r="V3" i="44"/>
  <c r="R3" i="44"/>
  <c r="N3" i="44"/>
  <c r="AC2" i="44"/>
  <c r="Y2" i="44"/>
  <c r="U2" i="44"/>
  <c r="Q2" i="44"/>
  <c r="M2" i="44"/>
  <c r="P17" i="4" s="1"/>
  <c r="M17" i="4"/>
  <c r="AD6" i="2"/>
  <c r="AA6" i="2"/>
  <c r="X6" i="2"/>
  <c r="C21" i="55"/>
  <c r="E3" i="11"/>
  <c r="E3" i="6"/>
  <c r="F10" i="6"/>
  <c r="F8" i="6"/>
  <c r="F6" i="6"/>
  <c r="AD3" i="6"/>
  <c r="Z3" i="6"/>
  <c r="V3" i="6"/>
  <c r="R3" i="6"/>
  <c r="N3" i="6"/>
  <c r="O3" i="6" s="1"/>
  <c r="F3" i="6"/>
  <c r="AC2" i="6"/>
  <c r="Y2" i="6"/>
  <c r="U2" i="6"/>
  <c r="Q2" i="6"/>
  <c r="M2" i="6"/>
  <c r="M6" i="1"/>
  <c r="C15" i="55" l="1"/>
  <c r="J28" i="2"/>
  <c r="J3" i="1"/>
  <c r="J4" i="1"/>
  <c r="B8" i="55"/>
  <c r="P6" i="1"/>
  <c r="S6" i="1"/>
  <c r="C3" i="55"/>
  <c r="AB3" i="55"/>
  <c r="L3" i="55"/>
  <c r="AD2" i="6"/>
  <c r="Q10" i="6"/>
  <c r="E2" i="6"/>
  <c r="N2" i="6"/>
  <c r="J2" i="6"/>
  <c r="H3" i="55"/>
  <c r="Z2" i="6"/>
  <c r="X3" i="55"/>
  <c r="R2" i="6"/>
  <c r="P3" i="55"/>
  <c r="V2" i="6"/>
  <c r="T3" i="55"/>
  <c r="J2" i="44"/>
  <c r="H66" i="55"/>
  <c r="Z2" i="44"/>
  <c r="X66" i="55"/>
  <c r="N2" i="44"/>
  <c r="L66" i="55"/>
  <c r="AD2" i="44"/>
  <c r="AB66" i="55"/>
  <c r="R2" i="44"/>
  <c r="P66" i="55"/>
  <c r="Q8" i="44"/>
  <c r="V2" i="44"/>
  <c r="T66" i="55"/>
  <c r="Q8" i="6"/>
  <c r="AC18" i="7"/>
  <c r="Z19" i="7"/>
  <c r="Z18" i="7"/>
  <c r="Q6" i="44"/>
  <c r="F2" i="44"/>
  <c r="K17" i="4" s="1"/>
  <c r="D66" i="55"/>
  <c r="F2" i="6"/>
  <c r="D3" i="55"/>
  <c r="G3" i="44"/>
  <c r="I5" i="44"/>
  <c r="F5" i="44"/>
  <c r="K18" i="4" s="1"/>
  <c r="E2" i="44"/>
  <c r="J17" i="4" s="1"/>
  <c r="G3" i="6"/>
  <c r="F5" i="6"/>
  <c r="Q17" i="4" l="1"/>
  <c r="Q6" i="1"/>
  <c r="N17" i="4"/>
  <c r="K6" i="1"/>
  <c r="J6" i="1"/>
  <c r="N6" i="1"/>
  <c r="J66" i="55"/>
  <c r="E3" i="55"/>
  <c r="U10" i="6"/>
  <c r="R10" i="6"/>
  <c r="U8" i="44"/>
  <c r="R8" i="44"/>
  <c r="U8" i="6"/>
  <c r="R8" i="6"/>
  <c r="M5" i="1"/>
  <c r="AD19" i="7"/>
  <c r="AD18" i="7"/>
  <c r="M18" i="4"/>
  <c r="U6" i="44"/>
  <c r="R6" i="44"/>
  <c r="E66" i="55"/>
  <c r="M5" i="44"/>
  <c r="M5" i="6"/>
  <c r="Q6" i="6"/>
  <c r="F10" i="9"/>
  <c r="O3" i="44" l="1"/>
  <c r="R6" i="6"/>
  <c r="J3" i="55"/>
  <c r="Y10" i="6"/>
  <c r="V10" i="6"/>
  <c r="Y8" i="44"/>
  <c r="V8" i="44"/>
  <c r="Y8" i="6"/>
  <c r="V8" i="6"/>
  <c r="P5" i="1"/>
  <c r="P18" i="4"/>
  <c r="Y6" i="44"/>
  <c r="V6" i="44"/>
  <c r="Q5" i="44"/>
  <c r="Q5" i="6"/>
  <c r="U6" i="6"/>
  <c r="F6" i="5"/>
  <c r="AD3" i="5"/>
  <c r="Z3" i="5"/>
  <c r="V3" i="5"/>
  <c r="R3" i="5"/>
  <c r="F3" i="5"/>
  <c r="D2" i="55" l="1"/>
  <c r="P2" i="55"/>
  <c r="S3" i="44"/>
  <c r="M66" i="55"/>
  <c r="V6" i="6"/>
  <c r="R5" i="6"/>
  <c r="S5" i="1"/>
  <c r="R5" i="44"/>
  <c r="S18" i="4"/>
  <c r="AC10" i="6"/>
  <c r="Z10" i="6"/>
  <c r="AD2" i="5"/>
  <c r="AB2" i="55"/>
  <c r="R2" i="5"/>
  <c r="V2" i="5"/>
  <c r="T2" i="55"/>
  <c r="F5" i="5"/>
  <c r="J2" i="5"/>
  <c r="H2" i="55"/>
  <c r="Z2" i="5"/>
  <c r="X2" i="55"/>
  <c r="AC8" i="44"/>
  <c r="Z8" i="44"/>
  <c r="AC8" i="6"/>
  <c r="Z8" i="6"/>
  <c r="I3" i="5"/>
  <c r="AC6" i="44"/>
  <c r="Z6" i="44"/>
  <c r="S3" i="6"/>
  <c r="M3" i="55"/>
  <c r="G3" i="5"/>
  <c r="F2" i="5"/>
  <c r="U5" i="44"/>
  <c r="Y6" i="6"/>
  <c r="U5" i="6"/>
  <c r="I5" i="5"/>
  <c r="I8" i="42"/>
  <c r="I7" i="42"/>
  <c r="F7" i="42"/>
  <c r="E6" i="42"/>
  <c r="AD4" i="42"/>
  <c r="Z4" i="42"/>
  <c r="V4" i="42"/>
  <c r="R4" i="42"/>
  <c r="N4" i="42"/>
  <c r="J4" i="42"/>
  <c r="F4" i="42"/>
  <c r="AD3" i="42"/>
  <c r="Z3" i="42"/>
  <c r="V3" i="42"/>
  <c r="R3" i="42"/>
  <c r="N3" i="42"/>
  <c r="AC2" i="42"/>
  <c r="Y2" i="42"/>
  <c r="U2" i="42"/>
  <c r="Q2" i="42"/>
  <c r="M2" i="42"/>
  <c r="I2" i="42"/>
  <c r="E2" i="42"/>
  <c r="E3" i="41"/>
  <c r="E5" i="23"/>
  <c r="F12" i="41"/>
  <c r="F11" i="41"/>
  <c r="M10" i="41"/>
  <c r="F10" i="41"/>
  <c r="F9" i="41"/>
  <c r="I8" i="41"/>
  <c r="F8" i="41"/>
  <c r="E7" i="41"/>
  <c r="AD5" i="41"/>
  <c r="Z5" i="41"/>
  <c r="V5" i="41"/>
  <c r="R5" i="41"/>
  <c r="N5" i="41"/>
  <c r="J5" i="41"/>
  <c r="F5" i="41"/>
  <c r="AD4" i="41"/>
  <c r="Z4" i="41"/>
  <c r="V4" i="41"/>
  <c r="R4" i="41"/>
  <c r="N4" i="41"/>
  <c r="J4" i="41"/>
  <c r="F4" i="41"/>
  <c r="AD3" i="41"/>
  <c r="Z3" i="41"/>
  <c r="V3" i="41"/>
  <c r="R3" i="41"/>
  <c r="N3" i="41"/>
  <c r="J3" i="41"/>
  <c r="F3" i="41"/>
  <c r="AC2" i="41"/>
  <c r="Y2" i="41"/>
  <c r="U2" i="41"/>
  <c r="Q2" i="41"/>
  <c r="M2" i="41"/>
  <c r="E2" i="41"/>
  <c r="D5" i="23"/>
  <c r="F8" i="40"/>
  <c r="I7" i="40"/>
  <c r="F7" i="40"/>
  <c r="E6" i="40"/>
  <c r="J4" i="3" s="1"/>
  <c r="AD4" i="40"/>
  <c r="AB79" i="55" s="1"/>
  <c r="Z4" i="40"/>
  <c r="X79" i="55" s="1"/>
  <c r="V4" i="40"/>
  <c r="T79" i="55" s="1"/>
  <c r="R4" i="40"/>
  <c r="P79" i="55" s="1"/>
  <c r="N4" i="40"/>
  <c r="L79" i="55" s="1"/>
  <c r="J4" i="40"/>
  <c r="F4" i="40"/>
  <c r="AD3" i="40"/>
  <c r="Z3" i="40"/>
  <c r="X78" i="55" s="1"/>
  <c r="V3" i="40"/>
  <c r="T78" i="55" s="1"/>
  <c r="R3" i="40"/>
  <c r="P78" i="55" s="1"/>
  <c r="N3" i="40"/>
  <c r="L78" i="55" s="1"/>
  <c r="F3" i="40"/>
  <c r="AC2" i="40"/>
  <c r="Y2" i="40"/>
  <c r="U2" i="40"/>
  <c r="Q2" i="40"/>
  <c r="M2" i="40"/>
  <c r="I2" i="40"/>
  <c r="M3" i="3" s="1"/>
  <c r="E2" i="40"/>
  <c r="J3" i="3" s="1"/>
  <c r="I14" i="38"/>
  <c r="I7" i="38"/>
  <c r="E5" i="38"/>
  <c r="AD3" i="38"/>
  <c r="Z3" i="38"/>
  <c r="V3" i="38"/>
  <c r="R3" i="38"/>
  <c r="N3" i="38"/>
  <c r="F3" i="38"/>
  <c r="AC2" i="38"/>
  <c r="Y2" i="38"/>
  <c r="U2" i="38"/>
  <c r="Q2" i="38"/>
  <c r="M2" i="38"/>
  <c r="I2" i="38"/>
  <c r="E2" i="38"/>
  <c r="F7" i="37"/>
  <c r="J10" i="3"/>
  <c r="AD3" i="37"/>
  <c r="Z3" i="37"/>
  <c r="V3" i="37"/>
  <c r="R3" i="37"/>
  <c r="N3" i="37"/>
  <c r="F3" i="37"/>
  <c r="AC2" i="37"/>
  <c r="Y2" i="37"/>
  <c r="U2" i="37"/>
  <c r="Q2" i="37"/>
  <c r="M2" i="37"/>
  <c r="I2" i="37"/>
  <c r="E2" i="37"/>
  <c r="F17" i="36"/>
  <c r="F12" i="36"/>
  <c r="F11" i="36"/>
  <c r="M10" i="36"/>
  <c r="F10" i="36"/>
  <c r="F9" i="36"/>
  <c r="F8" i="36"/>
  <c r="F6" i="36"/>
  <c r="J6" i="3"/>
  <c r="AD3" i="36"/>
  <c r="Z3" i="36"/>
  <c r="V3" i="36"/>
  <c r="R3" i="36"/>
  <c r="N3" i="36"/>
  <c r="F3" i="36"/>
  <c r="AC2" i="36"/>
  <c r="Y2" i="36"/>
  <c r="U2" i="36"/>
  <c r="Q2" i="36"/>
  <c r="M2" i="36"/>
  <c r="I2" i="36"/>
  <c r="E2" i="36"/>
  <c r="F11" i="34"/>
  <c r="F9" i="34"/>
  <c r="F8" i="34"/>
  <c r="F7" i="34"/>
  <c r="F6" i="34"/>
  <c r="J22" i="4"/>
  <c r="AD3" i="34"/>
  <c r="Z3" i="34"/>
  <c r="V3" i="34"/>
  <c r="R3" i="34"/>
  <c r="N3" i="34"/>
  <c r="O3" i="34" s="1"/>
  <c r="F3" i="34"/>
  <c r="AC2" i="34"/>
  <c r="Y2" i="34"/>
  <c r="U2" i="34"/>
  <c r="Q2" i="34"/>
  <c r="M2" i="34"/>
  <c r="I11" i="11"/>
  <c r="F11" i="11"/>
  <c r="F20" i="7"/>
  <c r="F17" i="7"/>
  <c r="I17" i="7"/>
  <c r="F18" i="32"/>
  <c r="F17" i="32"/>
  <c r="M16" i="32"/>
  <c r="F16" i="32"/>
  <c r="F15" i="32"/>
  <c r="M15" i="32"/>
  <c r="F14" i="32"/>
  <c r="F13" i="32"/>
  <c r="F12" i="32"/>
  <c r="M11" i="32"/>
  <c r="F11" i="32"/>
  <c r="F10" i="32"/>
  <c r="M9" i="32"/>
  <c r="F9" i="32"/>
  <c r="F8" i="32"/>
  <c r="AD5" i="32"/>
  <c r="Z5" i="32"/>
  <c r="V5" i="32"/>
  <c r="R5" i="32"/>
  <c r="N5" i="32"/>
  <c r="J5" i="32"/>
  <c r="F5" i="32"/>
  <c r="AD4" i="32"/>
  <c r="Z4" i="32"/>
  <c r="V4" i="32"/>
  <c r="R4" i="32"/>
  <c r="N4" i="32"/>
  <c r="J4" i="32"/>
  <c r="F4" i="32"/>
  <c r="AD3" i="32"/>
  <c r="Z3" i="32"/>
  <c r="V3" i="32"/>
  <c r="R3" i="32"/>
  <c r="N3" i="32"/>
  <c r="J3" i="32"/>
  <c r="F3" i="32"/>
  <c r="AC2" i="32"/>
  <c r="Y2" i="32"/>
  <c r="U2" i="32"/>
  <c r="Q2" i="32"/>
  <c r="S19" i="4" s="1"/>
  <c r="M2" i="32"/>
  <c r="I2" i="32"/>
  <c r="M19" i="4" s="1"/>
  <c r="C45" i="55" l="1"/>
  <c r="K4" i="1"/>
  <c r="E2" i="55"/>
  <c r="K3" i="1"/>
  <c r="K3" i="5"/>
  <c r="K3" i="42"/>
  <c r="K3" i="40"/>
  <c r="I78" i="55" s="1"/>
  <c r="K3" i="41"/>
  <c r="I80" i="55" s="1"/>
  <c r="AD6" i="44"/>
  <c r="P21" i="4"/>
  <c r="S21" i="4"/>
  <c r="P81" i="55"/>
  <c r="T82" i="55"/>
  <c r="T81" i="55"/>
  <c r="X82" i="55"/>
  <c r="J13" i="3"/>
  <c r="S13" i="3"/>
  <c r="X81" i="55"/>
  <c r="AB82" i="55"/>
  <c r="X80" i="55"/>
  <c r="AB81" i="55"/>
  <c r="J14" i="3"/>
  <c r="P82" i="55"/>
  <c r="C80" i="55"/>
  <c r="P12" i="3"/>
  <c r="M12" i="3"/>
  <c r="J11" i="3"/>
  <c r="S12" i="3"/>
  <c r="G3" i="38"/>
  <c r="J12" i="3"/>
  <c r="M5" i="36"/>
  <c r="S5" i="3"/>
  <c r="P5" i="3"/>
  <c r="M5" i="3"/>
  <c r="J5" i="3"/>
  <c r="L80" i="55"/>
  <c r="L81" i="55"/>
  <c r="L82" i="55"/>
  <c r="W3" i="44"/>
  <c r="N3" i="1"/>
  <c r="P13" i="3"/>
  <c r="F5" i="36"/>
  <c r="G3" i="36"/>
  <c r="K3" i="36" s="1"/>
  <c r="I74" i="55" s="1"/>
  <c r="T71" i="55"/>
  <c r="X72" i="55"/>
  <c r="AB73" i="55"/>
  <c r="X71" i="55"/>
  <c r="AB72" i="55"/>
  <c r="AB71" i="55"/>
  <c r="D73" i="55"/>
  <c r="D72" i="55"/>
  <c r="P73" i="55"/>
  <c r="P72" i="55"/>
  <c r="T73" i="55"/>
  <c r="P71" i="55"/>
  <c r="T72" i="55"/>
  <c r="X73" i="55"/>
  <c r="P3" i="3"/>
  <c r="J9" i="3"/>
  <c r="M9" i="3"/>
  <c r="P9" i="3"/>
  <c r="S9" i="3"/>
  <c r="D75" i="55"/>
  <c r="F5" i="37"/>
  <c r="L75" i="55"/>
  <c r="L73" i="55"/>
  <c r="L72" i="55"/>
  <c r="L71" i="55"/>
  <c r="Q66" i="55"/>
  <c r="L8" i="55"/>
  <c r="V5" i="6"/>
  <c r="Z6" i="6"/>
  <c r="AD8" i="6"/>
  <c r="AD10" i="6"/>
  <c r="P19" i="4"/>
  <c r="V5" i="44"/>
  <c r="AD8" i="44"/>
  <c r="P83" i="55"/>
  <c r="T84" i="55"/>
  <c r="T83" i="55"/>
  <c r="X84" i="55"/>
  <c r="AB84" i="55"/>
  <c r="P84" i="55"/>
  <c r="G3" i="42"/>
  <c r="L84" i="55"/>
  <c r="H84" i="55"/>
  <c r="H83" i="55"/>
  <c r="E5" i="31"/>
  <c r="H79" i="55"/>
  <c r="H78" i="55"/>
  <c r="H80" i="55"/>
  <c r="H82" i="55"/>
  <c r="H81" i="55"/>
  <c r="H8" i="55"/>
  <c r="H73" i="55"/>
  <c r="H72" i="55"/>
  <c r="B45" i="55"/>
  <c r="AD2" i="34"/>
  <c r="AB8" i="55"/>
  <c r="J2" i="34"/>
  <c r="N2" i="34"/>
  <c r="R2" i="34"/>
  <c r="P8" i="55"/>
  <c r="V2" i="34"/>
  <c r="T8" i="55"/>
  <c r="Z2" i="34"/>
  <c r="X8" i="55"/>
  <c r="AD2" i="40"/>
  <c r="AB78" i="55"/>
  <c r="J2" i="32"/>
  <c r="H71" i="55"/>
  <c r="J2" i="41"/>
  <c r="V2" i="41"/>
  <c r="T80" i="55"/>
  <c r="Z2" i="41"/>
  <c r="AD2" i="41"/>
  <c r="AB80" i="55"/>
  <c r="R2" i="41"/>
  <c r="P80" i="55"/>
  <c r="N2" i="41"/>
  <c r="Q10" i="41"/>
  <c r="AD2" i="42"/>
  <c r="AB83" i="55"/>
  <c r="Z2" i="42"/>
  <c r="X83" i="55"/>
  <c r="N2" i="42"/>
  <c r="L83" i="55"/>
  <c r="J2" i="42"/>
  <c r="Q12" i="32"/>
  <c r="G4" i="41"/>
  <c r="D81" i="55"/>
  <c r="G5" i="41"/>
  <c r="D82" i="55"/>
  <c r="G3" i="41"/>
  <c r="D80" i="55"/>
  <c r="F6" i="40"/>
  <c r="K4" i="3" s="1"/>
  <c r="G4" i="40"/>
  <c r="E79" i="55" s="1"/>
  <c r="D79" i="55"/>
  <c r="G3" i="40"/>
  <c r="E78" i="55" s="1"/>
  <c r="D78" i="55"/>
  <c r="M5" i="5"/>
  <c r="N5" i="5" s="1"/>
  <c r="Q4" i="1" s="1"/>
  <c r="Q6" i="5"/>
  <c r="M7" i="42"/>
  <c r="M17" i="32"/>
  <c r="I6" i="40"/>
  <c r="G2" i="55"/>
  <c r="I2" i="5"/>
  <c r="M17" i="7"/>
  <c r="M4" i="1"/>
  <c r="Q7" i="5"/>
  <c r="I7" i="32"/>
  <c r="E2" i="31"/>
  <c r="Q12" i="41"/>
  <c r="Q8" i="40"/>
  <c r="Q18" i="32"/>
  <c r="Q16" i="32"/>
  <c r="Q15" i="32"/>
  <c r="Q9" i="36"/>
  <c r="Q13" i="36"/>
  <c r="H74" i="55"/>
  <c r="Q6" i="36"/>
  <c r="Q10" i="36"/>
  <c r="Q17" i="36"/>
  <c r="N2" i="36"/>
  <c r="L74" i="55"/>
  <c r="R2" i="36"/>
  <c r="P74" i="55"/>
  <c r="Q7" i="36"/>
  <c r="Q11" i="36"/>
  <c r="V2" i="36"/>
  <c r="T74" i="55"/>
  <c r="Z2" i="36"/>
  <c r="X74" i="55"/>
  <c r="Q8" i="36"/>
  <c r="Q12" i="36"/>
  <c r="AD2" i="36"/>
  <c r="AB74" i="55"/>
  <c r="Q11" i="34"/>
  <c r="Q8" i="34"/>
  <c r="Q14" i="32"/>
  <c r="Q11" i="32"/>
  <c r="Q9" i="32"/>
  <c r="D83" i="55"/>
  <c r="G4" i="42"/>
  <c r="D84" i="55"/>
  <c r="J2" i="38"/>
  <c r="H76" i="55"/>
  <c r="N2" i="38"/>
  <c r="L76" i="55"/>
  <c r="V2" i="38"/>
  <c r="T76" i="55"/>
  <c r="AD2" i="38"/>
  <c r="AB76" i="55"/>
  <c r="R2" i="38"/>
  <c r="P76" i="55"/>
  <c r="Z2" i="38"/>
  <c r="X76" i="55"/>
  <c r="M14" i="38"/>
  <c r="N2" i="37"/>
  <c r="J2" i="37"/>
  <c r="H75" i="55"/>
  <c r="R2" i="37"/>
  <c r="P75" i="55"/>
  <c r="V2" i="37"/>
  <c r="T75" i="55"/>
  <c r="Z2" i="37"/>
  <c r="X75" i="55"/>
  <c r="J15" i="3"/>
  <c r="L6" i="45" s="1"/>
  <c r="AD2" i="37"/>
  <c r="AB75" i="55"/>
  <c r="F2" i="36"/>
  <c r="D74" i="55"/>
  <c r="F2" i="38"/>
  <c r="D76" i="55"/>
  <c r="F5" i="34"/>
  <c r="F2" i="34"/>
  <c r="D8" i="55"/>
  <c r="F2" i="32"/>
  <c r="D71" i="55"/>
  <c r="M11" i="11"/>
  <c r="Q9" i="34"/>
  <c r="Q7" i="34"/>
  <c r="Q3" i="55"/>
  <c r="W3" i="6"/>
  <c r="G3" i="37"/>
  <c r="G3" i="34"/>
  <c r="G5" i="32"/>
  <c r="G4" i="32"/>
  <c r="G3" i="32"/>
  <c r="Y5" i="44"/>
  <c r="AC5" i="44"/>
  <c r="Y5" i="6"/>
  <c r="AC6" i="6"/>
  <c r="R2" i="42"/>
  <c r="V2" i="42"/>
  <c r="F6" i="42"/>
  <c r="F2" i="42"/>
  <c r="I6" i="42"/>
  <c r="M8" i="42"/>
  <c r="F7" i="41"/>
  <c r="F2" i="41"/>
  <c r="I7" i="41"/>
  <c r="N2" i="40"/>
  <c r="Q3" i="3" s="1"/>
  <c r="R2" i="40"/>
  <c r="Z2" i="40"/>
  <c r="J2" i="40"/>
  <c r="V2" i="40"/>
  <c r="F2" i="40"/>
  <c r="K3" i="3" s="1"/>
  <c r="F5" i="38"/>
  <c r="I5" i="38"/>
  <c r="F2" i="37"/>
  <c r="K10" i="3"/>
  <c r="Q6" i="37"/>
  <c r="E2" i="34"/>
  <c r="N2" i="32"/>
  <c r="Z2" i="32"/>
  <c r="AD2" i="32"/>
  <c r="F7" i="32"/>
  <c r="R2" i="32"/>
  <c r="V2" i="32"/>
  <c r="M8" i="32"/>
  <c r="I2" i="55" l="1"/>
  <c r="P12" i="5"/>
  <c r="N3" i="5" s="1"/>
  <c r="K3" i="32"/>
  <c r="I83" i="55"/>
  <c r="Q13" i="3"/>
  <c r="Q9" i="3"/>
  <c r="Q12" i="3"/>
  <c r="Q21" i="4"/>
  <c r="Q19" i="4"/>
  <c r="Q5" i="3"/>
  <c r="M3" i="1"/>
  <c r="J2" i="55"/>
  <c r="M4" i="3"/>
  <c r="J21" i="4"/>
  <c r="U66" i="55"/>
  <c r="AA3" i="44"/>
  <c r="E82" i="55"/>
  <c r="K13" i="3"/>
  <c r="K14" i="3"/>
  <c r="K11" i="3"/>
  <c r="K12" i="3"/>
  <c r="K6" i="3"/>
  <c r="R7" i="36"/>
  <c r="R14" i="36"/>
  <c r="Q3" i="5"/>
  <c r="R6" i="5"/>
  <c r="K21" i="4"/>
  <c r="K22" i="4"/>
  <c r="K5" i="3"/>
  <c r="K20" i="4"/>
  <c r="K19" i="4"/>
  <c r="J14" i="4"/>
  <c r="N13" i="3"/>
  <c r="K9" i="3"/>
  <c r="R6" i="37"/>
  <c r="N3" i="3"/>
  <c r="N12" i="3"/>
  <c r="N9" i="3"/>
  <c r="N19" i="4"/>
  <c r="N21" i="4"/>
  <c r="Z5" i="6"/>
  <c r="U3" i="55"/>
  <c r="J13" i="4"/>
  <c r="AD5" i="44"/>
  <c r="Z5" i="44"/>
  <c r="J83" i="55"/>
  <c r="N5" i="36"/>
  <c r="J74" i="55"/>
  <c r="J5" i="38"/>
  <c r="U7" i="36"/>
  <c r="U10" i="41"/>
  <c r="R10" i="41"/>
  <c r="K5" i="41"/>
  <c r="I82" i="55" s="1"/>
  <c r="Q10" i="32"/>
  <c r="Q8" i="41"/>
  <c r="P4" i="1"/>
  <c r="U12" i="32"/>
  <c r="R12" i="32"/>
  <c r="U6" i="5"/>
  <c r="Q7" i="42"/>
  <c r="I3" i="41"/>
  <c r="E80" i="55"/>
  <c r="K4" i="41"/>
  <c r="E81" i="55"/>
  <c r="K4" i="40"/>
  <c r="I79" i="55" s="1"/>
  <c r="Q5" i="5"/>
  <c r="R13" i="32"/>
  <c r="K2" i="55"/>
  <c r="M2" i="5"/>
  <c r="Q11" i="41"/>
  <c r="Q8" i="42"/>
  <c r="AC5" i="6"/>
  <c r="AD6" i="6"/>
  <c r="Q17" i="32"/>
  <c r="Q17" i="7"/>
  <c r="Q9" i="41"/>
  <c r="U7" i="5"/>
  <c r="R7" i="5"/>
  <c r="M14" i="3"/>
  <c r="U12" i="41"/>
  <c r="R12" i="41"/>
  <c r="U8" i="40"/>
  <c r="R8" i="40"/>
  <c r="U18" i="32"/>
  <c r="R18" i="32"/>
  <c r="U16" i="32"/>
  <c r="R16" i="32"/>
  <c r="U15" i="32"/>
  <c r="R15" i="32"/>
  <c r="U9" i="36"/>
  <c r="R9" i="36"/>
  <c r="U6" i="36"/>
  <c r="R6" i="36"/>
  <c r="U10" i="36"/>
  <c r="R10" i="36"/>
  <c r="M6" i="3"/>
  <c r="U12" i="36"/>
  <c r="R12" i="36"/>
  <c r="U11" i="36"/>
  <c r="R11" i="36"/>
  <c r="U17" i="36"/>
  <c r="R17" i="36"/>
  <c r="U13" i="36"/>
  <c r="R13" i="36"/>
  <c r="Q5" i="36"/>
  <c r="P6" i="3"/>
  <c r="U8" i="36"/>
  <c r="R8" i="36"/>
  <c r="U11" i="34"/>
  <c r="R11" i="34"/>
  <c r="U8" i="34"/>
  <c r="R8" i="34"/>
  <c r="U14" i="32"/>
  <c r="R14" i="32"/>
  <c r="U11" i="32"/>
  <c r="R11" i="32"/>
  <c r="U9" i="32"/>
  <c r="R9" i="32"/>
  <c r="M20" i="4"/>
  <c r="K4" i="42"/>
  <c r="E84" i="55"/>
  <c r="E83" i="55"/>
  <c r="Q9" i="38"/>
  <c r="Q7" i="38"/>
  <c r="Q14" i="38"/>
  <c r="M11" i="3"/>
  <c r="Q8" i="38"/>
  <c r="M10" i="3"/>
  <c r="Q7" i="37"/>
  <c r="K3" i="37"/>
  <c r="E75" i="55"/>
  <c r="E74" i="55"/>
  <c r="K3" i="38"/>
  <c r="I76" i="55" s="1"/>
  <c r="E76" i="55"/>
  <c r="E8" i="55"/>
  <c r="K4" i="32"/>
  <c r="E72" i="55"/>
  <c r="K5" i="32"/>
  <c r="E73" i="55"/>
  <c r="E71" i="55"/>
  <c r="Q11" i="11"/>
  <c r="U9" i="34"/>
  <c r="R9" i="34"/>
  <c r="M22" i="4"/>
  <c r="U7" i="34"/>
  <c r="R7" i="34"/>
  <c r="AA3" i="6"/>
  <c r="M6" i="42"/>
  <c r="M7" i="41"/>
  <c r="M6" i="40"/>
  <c r="Q7" i="40"/>
  <c r="M5" i="38"/>
  <c r="Q6" i="38"/>
  <c r="U6" i="37"/>
  <c r="Q6" i="34"/>
  <c r="M7" i="32"/>
  <c r="Q8" i="32"/>
  <c r="O3" i="5" l="1"/>
  <c r="M2" i="55" s="1"/>
  <c r="N2" i="5"/>
  <c r="Q3" i="1" s="1"/>
  <c r="L2" i="55"/>
  <c r="I72" i="55"/>
  <c r="I73" i="55"/>
  <c r="I71" i="55"/>
  <c r="I75" i="55"/>
  <c r="K15" i="3"/>
  <c r="M6" i="45" s="1"/>
  <c r="Y66" i="55"/>
  <c r="AE3" i="44"/>
  <c r="AC66" i="55" s="1"/>
  <c r="Q6" i="3"/>
  <c r="I84" i="55"/>
  <c r="I81" i="55"/>
  <c r="R8" i="32"/>
  <c r="R6" i="34"/>
  <c r="J8" i="55"/>
  <c r="J82" i="55"/>
  <c r="J81" i="55"/>
  <c r="R10" i="38"/>
  <c r="R6" i="38"/>
  <c r="V14" i="36"/>
  <c r="R5" i="36"/>
  <c r="S6" i="3"/>
  <c r="Y7" i="36"/>
  <c r="U3" i="5"/>
  <c r="R5" i="5"/>
  <c r="S4" i="1"/>
  <c r="V6" i="5"/>
  <c r="P3" i="1"/>
  <c r="R8" i="41"/>
  <c r="J73" i="55"/>
  <c r="J71" i="55"/>
  <c r="J72" i="55"/>
  <c r="O5" i="41"/>
  <c r="S5" i="41" s="1"/>
  <c r="R7" i="40"/>
  <c r="J75" i="55"/>
  <c r="N5" i="37"/>
  <c r="V6" i="37"/>
  <c r="N11" i="3"/>
  <c r="N15" i="3" s="1"/>
  <c r="O6" i="45" s="1"/>
  <c r="R10" i="32"/>
  <c r="O4" i="32"/>
  <c r="O5" i="32"/>
  <c r="AD5" i="6"/>
  <c r="R7" i="42"/>
  <c r="J84" i="55"/>
  <c r="J79" i="55"/>
  <c r="J78" i="55"/>
  <c r="J76" i="55"/>
  <c r="U7" i="42"/>
  <c r="V7" i="36"/>
  <c r="Q6" i="42"/>
  <c r="U10" i="32"/>
  <c r="V10" i="32" s="1"/>
  <c r="U8" i="41"/>
  <c r="Q7" i="41"/>
  <c r="Y10" i="41"/>
  <c r="V10" i="41"/>
  <c r="O3" i="40"/>
  <c r="Y6" i="5"/>
  <c r="Y12" i="32"/>
  <c r="V12" i="32"/>
  <c r="O4" i="40"/>
  <c r="O4" i="41"/>
  <c r="G80" i="55"/>
  <c r="I2" i="41"/>
  <c r="U5" i="5"/>
  <c r="Y13" i="32"/>
  <c r="V13" i="32"/>
  <c r="O2" i="55"/>
  <c r="Q2" i="5"/>
  <c r="U11" i="41"/>
  <c r="R11" i="41"/>
  <c r="U17" i="32"/>
  <c r="R17" i="32"/>
  <c r="U17" i="7"/>
  <c r="R17" i="7"/>
  <c r="Y7" i="5"/>
  <c r="V7" i="5"/>
  <c r="U9" i="41"/>
  <c r="R9" i="41"/>
  <c r="U8" i="42"/>
  <c r="R8" i="42"/>
  <c r="P14" i="3"/>
  <c r="Y12" i="41"/>
  <c r="V12" i="41"/>
  <c r="P4" i="3"/>
  <c r="Y8" i="40"/>
  <c r="V8" i="40"/>
  <c r="P10" i="3"/>
  <c r="Y18" i="32"/>
  <c r="V18" i="32"/>
  <c r="Y16" i="32"/>
  <c r="V16" i="32"/>
  <c r="Y15" i="32"/>
  <c r="V15" i="32"/>
  <c r="P11" i="3"/>
  <c r="Y13" i="36"/>
  <c r="V13" i="36"/>
  <c r="Y8" i="36"/>
  <c r="V8" i="36"/>
  <c r="Y17" i="36"/>
  <c r="V17" i="36"/>
  <c r="Y10" i="36"/>
  <c r="V10" i="36"/>
  <c r="U5" i="36"/>
  <c r="Y11" i="36"/>
  <c r="V11" i="36"/>
  <c r="V6" i="36"/>
  <c r="Y6" i="36"/>
  <c r="Y12" i="36"/>
  <c r="V12" i="36"/>
  <c r="Y9" i="36"/>
  <c r="V9" i="36"/>
  <c r="Y11" i="34"/>
  <c r="V11" i="34"/>
  <c r="Y8" i="34"/>
  <c r="V8" i="34"/>
  <c r="P22" i="4"/>
  <c r="Y14" i="32"/>
  <c r="V14" i="32"/>
  <c r="Y11" i="32"/>
  <c r="V11" i="32"/>
  <c r="Y9" i="32"/>
  <c r="V9" i="32"/>
  <c r="P20" i="4"/>
  <c r="O3" i="42"/>
  <c r="O4" i="42"/>
  <c r="U14" i="38"/>
  <c r="R14" i="38"/>
  <c r="U7" i="38"/>
  <c r="R7" i="38"/>
  <c r="U8" i="38"/>
  <c r="R8" i="38"/>
  <c r="U9" i="38"/>
  <c r="R9" i="38"/>
  <c r="O3" i="37"/>
  <c r="U7" i="37"/>
  <c r="R7" i="37"/>
  <c r="Q5" i="37"/>
  <c r="O3" i="36"/>
  <c r="O3" i="38"/>
  <c r="O3" i="32"/>
  <c r="U11" i="11"/>
  <c r="R11" i="11"/>
  <c r="Y9" i="34"/>
  <c r="V9" i="34"/>
  <c r="Y7" i="34"/>
  <c r="V7" i="34"/>
  <c r="Y3" i="55"/>
  <c r="AE3" i="6"/>
  <c r="Q6" i="40"/>
  <c r="U7" i="40"/>
  <c r="Q5" i="38"/>
  <c r="U6" i="38"/>
  <c r="Y6" i="37"/>
  <c r="Q5" i="34"/>
  <c r="U6" i="34"/>
  <c r="U8" i="32"/>
  <c r="Q7" i="32"/>
  <c r="S3" i="5" l="1"/>
  <c r="Q2" i="55" s="1"/>
  <c r="P15" i="3"/>
  <c r="Q10" i="3"/>
  <c r="Q15" i="3" s="1"/>
  <c r="S3" i="34"/>
  <c r="V8" i="32"/>
  <c r="Z7" i="36"/>
  <c r="V6" i="34"/>
  <c r="R5" i="34"/>
  <c r="S22" i="4"/>
  <c r="J80" i="55"/>
  <c r="M13" i="3"/>
  <c r="M15" i="3" s="1"/>
  <c r="N6" i="45" s="1"/>
  <c r="V6" i="38"/>
  <c r="V10" i="38"/>
  <c r="AC7" i="36"/>
  <c r="AD7" i="36" s="1"/>
  <c r="Z14" i="36"/>
  <c r="V5" i="36"/>
  <c r="S3" i="1"/>
  <c r="Z6" i="5"/>
  <c r="V5" i="5"/>
  <c r="V8" i="41"/>
  <c r="R7" i="41"/>
  <c r="S14" i="3"/>
  <c r="S4" i="32"/>
  <c r="M72" i="55"/>
  <c r="Q82" i="55"/>
  <c r="M82" i="55"/>
  <c r="R6" i="40"/>
  <c r="S4" i="3"/>
  <c r="V7" i="40"/>
  <c r="R5" i="38"/>
  <c r="S11" i="3"/>
  <c r="Z6" i="37"/>
  <c r="R5" i="37"/>
  <c r="S10" i="3"/>
  <c r="S4" i="40"/>
  <c r="M78" i="55"/>
  <c r="S5" i="32"/>
  <c r="M73" i="55"/>
  <c r="Y10" i="32"/>
  <c r="AC10" i="32" s="1"/>
  <c r="M8" i="55"/>
  <c r="M76" i="55"/>
  <c r="S3" i="36"/>
  <c r="AC3" i="55"/>
  <c r="R7" i="32"/>
  <c r="S20" i="4"/>
  <c r="R6" i="42"/>
  <c r="V7" i="42"/>
  <c r="Y8" i="41"/>
  <c r="U6" i="42"/>
  <c r="AC6" i="5"/>
  <c r="Y7" i="42"/>
  <c r="AC7" i="42" s="1"/>
  <c r="S3" i="32"/>
  <c r="W5" i="41"/>
  <c r="S3" i="40"/>
  <c r="U7" i="41"/>
  <c r="AC10" i="41"/>
  <c r="Z10" i="41"/>
  <c r="M79" i="55"/>
  <c r="AC12" i="32"/>
  <c r="Z12" i="32"/>
  <c r="S4" i="41"/>
  <c r="M81" i="55"/>
  <c r="O3" i="41"/>
  <c r="Y5" i="5"/>
  <c r="AC13" i="32"/>
  <c r="Z13" i="32"/>
  <c r="S2" i="55"/>
  <c r="U2" i="5"/>
  <c r="Y11" i="41"/>
  <c r="V11" i="41"/>
  <c r="S3" i="37"/>
  <c r="AC7" i="5"/>
  <c r="Z7" i="5"/>
  <c r="Y3" i="5"/>
  <c r="Y8" i="42"/>
  <c r="V8" i="42"/>
  <c r="Y17" i="7"/>
  <c r="V17" i="7"/>
  <c r="Y9" i="41"/>
  <c r="V9" i="41"/>
  <c r="Y17" i="32"/>
  <c r="V17" i="32"/>
  <c r="AC12" i="41"/>
  <c r="Z12" i="41"/>
  <c r="AC8" i="40"/>
  <c r="Z8" i="40"/>
  <c r="P6" i="45"/>
  <c r="AC18" i="32"/>
  <c r="Z18" i="32"/>
  <c r="AC16" i="32"/>
  <c r="Z16" i="32"/>
  <c r="AC15" i="32"/>
  <c r="Z15" i="32"/>
  <c r="AC10" i="36"/>
  <c r="Z10" i="36"/>
  <c r="Z6" i="36"/>
  <c r="Y5" i="36"/>
  <c r="AC6" i="36"/>
  <c r="AC8" i="36"/>
  <c r="Z8" i="36"/>
  <c r="AC17" i="36"/>
  <c r="Z17" i="36"/>
  <c r="AC9" i="36"/>
  <c r="Z9" i="36"/>
  <c r="AC11" i="36"/>
  <c r="Z11" i="36"/>
  <c r="AC12" i="36"/>
  <c r="Z12" i="36"/>
  <c r="AC13" i="36"/>
  <c r="Z13" i="36"/>
  <c r="AC11" i="34"/>
  <c r="Z11" i="34"/>
  <c r="AC8" i="34"/>
  <c r="Z8" i="34"/>
  <c r="AC14" i="32"/>
  <c r="Z14" i="32"/>
  <c r="AC11" i="32"/>
  <c r="Z11" i="32"/>
  <c r="AC9" i="32"/>
  <c r="Z9" i="32"/>
  <c r="S4" i="42"/>
  <c r="M84" i="55"/>
  <c r="S3" i="42"/>
  <c r="M83" i="55"/>
  <c r="Y9" i="38"/>
  <c r="V9" i="38"/>
  <c r="Y7" i="38"/>
  <c r="V7" i="38"/>
  <c r="Y8" i="38"/>
  <c r="V8" i="38"/>
  <c r="Y14" i="38"/>
  <c r="V14" i="38"/>
  <c r="M75" i="55"/>
  <c r="Y7" i="37"/>
  <c r="V7" i="37"/>
  <c r="U5" i="37"/>
  <c r="M74" i="55"/>
  <c r="S3" i="38"/>
  <c r="M71" i="55"/>
  <c r="Y11" i="11"/>
  <c r="V11" i="11"/>
  <c r="AC9" i="34"/>
  <c r="Z9" i="34"/>
  <c r="AC7" i="34"/>
  <c r="Z7" i="34"/>
  <c r="Y7" i="40"/>
  <c r="U6" i="40"/>
  <c r="U5" i="38"/>
  <c r="Y6" i="38"/>
  <c r="AC6" i="37"/>
  <c r="U5" i="34"/>
  <c r="Y6" i="34"/>
  <c r="Y8" i="32"/>
  <c r="U7" i="32"/>
  <c r="W3" i="5" l="1"/>
  <c r="AA3" i="5" s="1"/>
  <c r="Z10" i="32"/>
  <c r="W3" i="34"/>
  <c r="Q8" i="55"/>
  <c r="Z8" i="32"/>
  <c r="AD15" i="32"/>
  <c r="AD16" i="32"/>
  <c r="AD11" i="32"/>
  <c r="AD12" i="32"/>
  <c r="AD13" i="32"/>
  <c r="AD9" i="32"/>
  <c r="AD11" i="34"/>
  <c r="Z6" i="34"/>
  <c r="AD9" i="34"/>
  <c r="AD7" i="34"/>
  <c r="V5" i="34"/>
  <c r="AD8" i="34"/>
  <c r="AD10" i="41"/>
  <c r="Z6" i="38"/>
  <c r="Z10" i="38"/>
  <c r="AD11" i="36"/>
  <c r="Z5" i="36"/>
  <c r="AD12" i="36"/>
  <c r="AD10" i="36"/>
  <c r="AD8" i="36"/>
  <c r="AD9" i="36"/>
  <c r="AD13" i="36"/>
  <c r="AD6" i="5"/>
  <c r="Z5" i="5"/>
  <c r="Z8" i="41"/>
  <c r="S15" i="3"/>
  <c r="Q6" i="45" s="1"/>
  <c r="AD12" i="41"/>
  <c r="V7" i="41"/>
  <c r="AD18" i="32"/>
  <c r="W4" i="32"/>
  <c r="Q72" i="55"/>
  <c r="Q73" i="55"/>
  <c r="W5" i="32"/>
  <c r="AA5" i="41"/>
  <c r="M80" i="55"/>
  <c r="AD8" i="40"/>
  <c r="Q79" i="55"/>
  <c r="V6" i="40"/>
  <c r="Z7" i="40"/>
  <c r="W4" i="40"/>
  <c r="V5" i="38"/>
  <c r="V5" i="37"/>
  <c r="Q78" i="55"/>
  <c r="Q75" i="55"/>
  <c r="AD10" i="32"/>
  <c r="Q76" i="55"/>
  <c r="Q74" i="55"/>
  <c r="W3" i="36"/>
  <c r="AD14" i="32"/>
  <c r="Q71" i="55"/>
  <c r="V7" i="32"/>
  <c r="V6" i="42"/>
  <c r="Z7" i="42"/>
  <c r="AC8" i="41"/>
  <c r="W3" i="32"/>
  <c r="U82" i="55"/>
  <c r="W3" i="40"/>
  <c r="Y7" i="41"/>
  <c r="S3" i="41"/>
  <c r="W4" i="41"/>
  <c r="Q81" i="55"/>
  <c r="W3" i="37"/>
  <c r="AC8" i="42"/>
  <c r="Z8" i="42"/>
  <c r="AC17" i="32"/>
  <c r="Z17" i="32"/>
  <c r="AC11" i="41"/>
  <c r="Z11" i="41"/>
  <c r="AD7" i="5"/>
  <c r="AC3" i="5"/>
  <c r="Y6" i="42"/>
  <c r="AC9" i="41"/>
  <c r="Z9" i="41"/>
  <c r="AC5" i="5"/>
  <c r="AD7" i="42"/>
  <c r="W2" i="55"/>
  <c r="Y2" i="5"/>
  <c r="AC17" i="7"/>
  <c r="Z17" i="7"/>
  <c r="AD17" i="36"/>
  <c r="AD14" i="36"/>
  <c r="AC5" i="36"/>
  <c r="AD6" i="36"/>
  <c r="Q83" i="55"/>
  <c r="W3" i="42"/>
  <c r="W4" i="42"/>
  <c r="Q84" i="55"/>
  <c r="AC14" i="38"/>
  <c r="Z14" i="38"/>
  <c r="AC8" i="38"/>
  <c r="Z8" i="38"/>
  <c r="AC7" i="38"/>
  <c r="Z7" i="38"/>
  <c r="AC9" i="38"/>
  <c r="Z9" i="38"/>
  <c r="AC7" i="37"/>
  <c r="Z7" i="37"/>
  <c r="AD6" i="37"/>
  <c r="Y5" i="37"/>
  <c r="W3" i="38"/>
  <c r="AC11" i="11"/>
  <c r="Z11" i="11"/>
  <c r="Y6" i="40"/>
  <c r="AC7" i="40"/>
  <c r="Y5" i="38"/>
  <c r="AC6" i="38"/>
  <c r="Y5" i="34"/>
  <c r="AC6" i="34"/>
  <c r="Y7" i="32"/>
  <c r="AC8" i="32"/>
  <c r="U2" i="55" l="1"/>
  <c r="AA3" i="34"/>
  <c r="Y8" i="55" s="1"/>
  <c r="U8" i="55"/>
  <c r="AD17" i="32"/>
  <c r="AD11" i="11"/>
  <c r="Z5" i="34"/>
  <c r="AD11" i="41"/>
  <c r="AD9" i="41"/>
  <c r="AD9" i="38"/>
  <c r="AD14" i="38"/>
  <c r="AD5" i="36"/>
  <c r="AD5" i="5"/>
  <c r="Y2" i="55"/>
  <c r="AD8" i="41"/>
  <c r="Z7" i="41"/>
  <c r="U72" i="55"/>
  <c r="AD17" i="7"/>
  <c r="AA4" i="32"/>
  <c r="AA5" i="32"/>
  <c r="U73" i="55"/>
  <c r="Q80" i="55"/>
  <c r="Y82" i="55"/>
  <c r="AE5" i="41"/>
  <c r="Z6" i="40"/>
  <c r="AA4" i="40"/>
  <c r="U79" i="55"/>
  <c r="AD7" i="38"/>
  <c r="Z5" i="38"/>
  <c r="AD7" i="37"/>
  <c r="Z5" i="37"/>
  <c r="U78" i="55"/>
  <c r="U75" i="55"/>
  <c r="U76" i="55"/>
  <c r="U74" i="55"/>
  <c r="AA3" i="36"/>
  <c r="Z7" i="32"/>
  <c r="U71" i="55"/>
  <c r="AD8" i="42"/>
  <c r="Z6" i="42"/>
  <c r="AA3" i="32"/>
  <c r="AC5" i="34"/>
  <c r="AD6" i="34"/>
  <c r="AA3" i="40"/>
  <c r="W3" i="41"/>
  <c r="U81" i="55"/>
  <c r="AA4" i="41"/>
  <c r="AD8" i="38"/>
  <c r="AD10" i="38"/>
  <c r="AE3" i="5"/>
  <c r="AC7" i="41"/>
  <c r="AC6" i="42"/>
  <c r="AA3" i="37"/>
  <c r="AC7" i="32"/>
  <c r="AD8" i="32"/>
  <c r="AC6" i="40"/>
  <c r="AD7" i="40"/>
  <c r="AA2" i="55"/>
  <c r="AC2" i="5"/>
  <c r="U84" i="55"/>
  <c r="AA4" i="42"/>
  <c r="U83" i="55"/>
  <c r="AA3" i="42"/>
  <c r="AC5" i="38"/>
  <c r="AD6" i="38"/>
  <c r="AC5" i="37"/>
  <c r="AA3" i="38"/>
  <c r="AD3" i="31"/>
  <c r="Z3" i="31"/>
  <c r="V3" i="31"/>
  <c r="R3" i="31"/>
  <c r="N3" i="31"/>
  <c r="AC2" i="31"/>
  <c r="Y2" i="31"/>
  <c r="U2" i="31"/>
  <c r="Q2" i="31"/>
  <c r="M2" i="31"/>
  <c r="I2" i="31"/>
  <c r="E3" i="30"/>
  <c r="I11" i="30"/>
  <c r="F11" i="30"/>
  <c r="M9" i="30"/>
  <c r="F9" i="30"/>
  <c r="M8" i="30"/>
  <c r="F8" i="30"/>
  <c r="F7" i="30"/>
  <c r="F6" i="30"/>
  <c r="E5" i="30"/>
  <c r="AD3" i="30"/>
  <c r="Z3" i="30"/>
  <c r="V3" i="30"/>
  <c r="R3" i="30"/>
  <c r="J3" i="30"/>
  <c r="F3" i="30"/>
  <c r="AC2" i="30"/>
  <c r="Y2" i="30"/>
  <c r="U2" i="30"/>
  <c r="Q2" i="30"/>
  <c r="M2" i="30"/>
  <c r="I2" i="30"/>
  <c r="E3" i="29"/>
  <c r="I19" i="29"/>
  <c r="F19" i="29"/>
  <c r="I18" i="29"/>
  <c r="F18" i="29"/>
  <c r="I11" i="29"/>
  <c r="F11" i="29"/>
  <c r="F10" i="29"/>
  <c r="M9" i="29"/>
  <c r="F9" i="29"/>
  <c r="F8" i="29"/>
  <c r="I7" i="29"/>
  <c r="F7" i="29"/>
  <c r="E6" i="29"/>
  <c r="AD4" i="29"/>
  <c r="Z4" i="29"/>
  <c r="V4" i="29"/>
  <c r="R4" i="29"/>
  <c r="N4" i="29"/>
  <c r="J4" i="29"/>
  <c r="F4" i="29"/>
  <c r="AD3" i="29"/>
  <c r="Z3" i="29"/>
  <c r="V3" i="29"/>
  <c r="R3" i="29"/>
  <c r="N3" i="29"/>
  <c r="J3" i="29"/>
  <c r="F3" i="29"/>
  <c r="AC2" i="29"/>
  <c r="Y2" i="29"/>
  <c r="U2" i="29"/>
  <c r="Q2" i="29"/>
  <c r="AD6" i="7"/>
  <c r="AD5" i="7"/>
  <c r="AD4" i="7"/>
  <c r="AD3" i="7"/>
  <c r="Z6" i="7"/>
  <c r="Z5" i="7"/>
  <c r="Z4" i="7"/>
  <c r="Z3" i="7"/>
  <c r="V6" i="7"/>
  <c r="V5" i="7"/>
  <c r="V4" i="7"/>
  <c r="V3" i="7"/>
  <c r="R6" i="7"/>
  <c r="R5" i="7"/>
  <c r="R4" i="7"/>
  <c r="R3" i="7"/>
  <c r="N6" i="7"/>
  <c r="N5" i="7"/>
  <c r="N4" i="7"/>
  <c r="N3" i="7"/>
  <c r="J3" i="7"/>
  <c r="J6" i="7"/>
  <c r="J5" i="7"/>
  <c r="J4" i="7"/>
  <c r="F6" i="7"/>
  <c r="F5" i="7"/>
  <c r="F4" i="7"/>
  <c r="F3" i="7"/>
  <c r="F5" i="28"/>
  <c r="F3" i="28"/>
  <c r="F4" i="28"/>
  <c r="F14" i="28"/>
  <c r="I14" i="28"/>
  <c r="I13" i="28"/>
  <c r="F13" i="28"/>
  <c r="M12" i="28"/>
  <c r="F12" i="28"/>
  <c r="F11" i="28"/>
  <c r="F10" i="28"/>
  <c r="F9" i="28"/>
  <c r="I8" i="28"/>
  <c r="E7" i="28"/>
  <c r="AD5" i="28"/>
  <c r="Z5" i="28"/>
  <c r="V5" i="28"/>
  <c r="R5" i="28"/>
  <c r="N5" i="28"/>
  <c r="J5" i="28"/>
  <c r="AD4" i="28"/>
  <c r="Z4" i="28"/>
  <c r="V4" i="28"/>
  <c r="R4" i="28"/>
  <c r="N4" i="28"/>
  <c r="J4" i="28"/>
  <c r="AD3" i="28"/>
  <c r="Z3" i="28"/>
  <c r="V3" i="28"/>
  <c r="R3" i="28"/>
  <c r="N3" i="28"/>
  <c r="J3" i="28"/>
  <c r="AC2" i="28"/>
  <c r="Y2" i="28"/>
  <c r="U2" i="28"/>
  <c r="Q2" i="28"/>
  <c r="M2" i="28"/>
  <c r="I2" i="28"/>
  <c r="E2" i="28"/>
  <c r="E3" i="27"/>
  <c r="E7" i="27"/>
  <c r="F16" i="27"/>
  <c r="I16" i="27"/>
  <c r="F15" i="27"/>
  <c r="M14" i="27"/>
  <c r="F14" i="27"/>
  <c r="F12" i="27"/>
  <c r="M11" i="27"/>
  <c r="F11" i="27"/>
  <c r="F10" i="27"/>
  <c r="M9" i="27"/>
  <c r="F9" i="27"/>
  <c r="M8" i="27"/>
  <c r="F8" i="27"/>
  <c r="AD4" i="27"/>
  <c r="Z4" i="27"/>
  <c r="V4" i="27"/>
  <c r="R4" i="27"/>
  <c r="N4" i="27"/>
  <c r="J4" i="27"/>
  <c r="AD3" i="27"/>
  <c r="Z3" i="27"/>
  <c r="V3" i="27"/>
  <c r="R3" i="27"/>
  <c r="N3" i="27"/>
  <c r="J3" i="27"/>
  <c r="F3" i="27"/>
  <c r="AC2" i="27"/>
  <c r="Y2" i="27"/>
  <c r="U2" i="27"/>
  <c r="Q2" i="27"/>
  <c r="M3" i="4"/>
  <c r="F9" i="26"/>
  <c r="E9" i="26"/>
  <c r="E7" i="26" s="1"/>
  <c r="J36" i="2" s="1"/>
  <c r="B24" i="55"/>
  <c r="D3" i="26"/>
  <c r="B54" i="55" s="1"/>
  <c r="E3" i="25"/>
  <c r="I12" i="26"/>
  <c r="F12" i="26"/>
  <c r="G4" i="26" s="1"/>
  <c r="E55" i="55" s="1"/>
  <c r="I11" i="26"/>
  <c r="F11" i="26"/>
  <c r="F10" i="26"/>
  <c r="G5" i="26" s="1"/>
  <c r="E56" i="55" s="1"/>
  <c r="I8" i="26"/>
  <c r="F8" i="26"/>
  <c r="AD5" i="26"/>
  <c r="Z5" i="26"/>
  <c r="X56" i="55" s="1"/>
  <c r="V5" i="26"/>
  <c r="T56" i="55" s="1"/>
  <c r="R5" i="26"/>
  <c r="P56" i="55" s="1"/>
  <c r="N5" i="26"/>
  <c r="J5" i="26"/>
  <c r="AD4" i="26"/>
  <c r="AB55" i="55" s="1"/>
  <c r="Z4" i="26"/>
  <c r="X55" i="55" s="1"/>
  <c r="V4" i="26"/>
  <c r="T55" i="55" s="1"/>
  <c r="R4" i="26"/>
  <c r="P55" i="55" s="1"/>
  <c r="N4" i="26"/>
  <c r="J4" i="26"/>
  <c r="AD3" i="26"/>
  <c r="AB54" i="55" s="1"/>
  <c r="Z3" i="26"/>
  <c r="X54" i="55" s="1"/>
  <c r="V3" i="26"/>
  <c r="T54" i="55" s="1"/>
  <c r="R3" i="26"/>
  <c r="P54" i="55" s="1"/>
  <c r="N3" i="26"/>
  <c r="J3" i="26"/>
  <c r="AC2" i="26"/>
  <c r="Y2" i="26"/>
  <c r="U2" i="26"/>
  <c r="Q2" i="26"/>
  <c r="M2" i="26"/>
  <c r="P35" i="2" s="1"/>
  <c r="I2" i="26"/>
  <c r="M35" i="2" s="1"/>
  <c r="E2" i="26"/>
  <c r="J35" i="2" s="1"/>
  <c r="I14" i="25"/>
  <c r="F14" i="25"/>
  <c r="I13" i="25"/>
  <c r="F13" i="25"/>
  <c r="F12" i="25"/>
  <c r="F11" i="25"/>
  <c r="F10" i="25"/>
  <c r="I9" i="25"/>
  <c r="F9" i="25"/>
  <c r="E8" i="25"/>
  <c r="AD6" i="25"/>
  <c r="Z6" i="25"/>
  <c r="V6" i="25"/>
  <c r="R6" i="25"/>
  <c r="N6" i="25"/>
  <c r="J6" i="25"/>
  <c r="G6" i="25"/>
  <c r="AD5" i="25"/>
  <c r="Z5" i="25"/>
  <c r="V5" i="25"/>
  <c r="R5" i="25"/>
  <c r="N5" i="25"/>
  <c r="J5" i="25"/>
  <c r="AD4" i="25"/>
  <c r="Z4" i="25"/>
  <c r="V4" i="25"/>
  <c r="R4" i="25"/>
  <c r="N4" i="25"/>
  <c r="AD3" i="25"/>
  <c r="Z3" i="25"/>
  <c r="V3" i="25"/>
  <c r="R3" i="25"/>
  <c r="N3" i="25"/>
  <c r="F3" i="25"/>
  <c r="AC2" i="25"/>
  <c r="Y2" i="25"/>
  <c r="U2" i="25"/>
  <c r="Q2" i="25"/>
  <c r="M2" i="25"/>
  <c r="I2" i="25"/>
  <c r="I10" i="24"/>
  <c r="F10" i="24"/>
  <c r="G5" i="24" s="1"/>
  <c r="F9" i="24"/>
  <c r="I8" i="24"/>
  <c r="F8" i="24"/>
  <c r="E7" i="24"/>
  <c r="J30" i="2" s="1"/>
  <c r="AD5" i="24"/>
  <c r="AB49" i="55" s="1"/>
  <c r="Z5" i="24"/>
  <c r="X49" i="55" s="1"/>
  <c r="V5" i="24"/>
  <c r="T49" i="55" s="1"/>
  <c r="R5" i="24"/>
  <c r="P49" i="55" s="1"/>
  <c r="N5" i="24"/>
  <c r="J5" i="24"/>
  <c r="AD4" i="24"/>
  <c r="AB48" i="55" s="1"/>
  <c r="Z4" i="24"/>
  <c r="X48" i="55" s="1"/>
  <c r="V4" i="24"/>
  <c r="T48" i="55" s="1"/>
  <c r="R4" i="24"/>
  <c r="P48" i="55" s="1"/>
  <c r="N4" i="24"/>
  <c r="J4" i="24"/>
  <c r="G4" i="24"/>
  <c r="E48" i="55" s="1"/>
  <c r="AD3" i="24"/>
  <c r="AB47" i="55" s="1"/>
  <c r="Z3" i="24"/>
  <c r="X47" i="55" s="1"/>
  <c r="V3" i="24"/>
  <c r="T47" i="55" s="1"/>
  <c r="R3" i="24"/>
  <c r="P47" i="55" s="1"/>
  <c r="N3" i="24"/>
  <c r="J3" i="24"/>
  <c r="AC2" i="24"/>
  <c r="Y2" i="24"/>
  <c r="U2" i="24"/>
  <c r="Q2" i="24"/>
  <c r="M2" i="24"/>
  <c r="P29" i="2" s="1"/>
  <c r="I2" i="24"/>
  <c r="M29" i="2" s="1"/>
  <c r="E2" i="24"/>
  <c r="J29" i="2" s="1"/>
  <c r="E2" i="23"/>
  <c r="M12" i="23"/>
  <c r="F12" i="23"/>
  <c r="AD4" i="23"/>
  <c r="Z4" i="23"/>
  <c r="V4" i="23"/>
  <c r="R4" i="23"/>
  <c r="N4" i="23"/>
  <c r="H44" i="55"/>
  <c r="I15" i="23"/>
  <c r="F15" i="23"/>
  <c r="F14" i="23"/>
  <c r="M13" i="23"/>
  <c r="F13" i="23"/>
  <c r="F11" i="23"/>
  <c r="F10" i="23"/>
  <c r="I9" i="23"/>
  <c r="F9" i="23"/>
  <c r="AD6" i="23"/>
  <c r="Z6" i="23"/>
  <c r="V6" i="23"/>
  <c r="R6" i="23"/>
  <c r="N6" i="23"/>
  <c r="H46" i="55"/>
  <c r="AD5" i="23"/>
  <c r="Z5" i="23"/>
  <c r="V5" i="23"/>
  <c r="R5" i="23"/>
  <c r="N5" i="23"/>
  <c r="H45" i="55"/>
  <c r="AD3" i="23"/>
  <c r="Z3" i="23"/>
  <c r="V3" i="23"/>
  <c r="R3" i="23"/>
  <c r="N3" i="23"/>
  <c r="J3" i="23"/>
  <c r="D43" i="55"/>
  <c r="AC2" i="23"/>
  <c r="Y2" i="23"/>
  <c r="U2" i="23"/>
  <c r="Q2" i="23"/>
  <c r="M2" i="23"/>
  <c r="I2" i="23"/>
  <c r="H47" i="55" l="1"/>
  <c r="H48" i="55"/>
  <c r="H49" i="55"/>
  <c r="K3" i="27"/>
  <c r="P62" i="55"/>
  <c r="T62" i="55"/>
  <c r="P61" i="55"/>
  <c r="X62" i="55"/>
  <c r="J5" i="4"/>
  <c r="T61" i="55"/>
  <c r="AB62" i="55"/>
  <c r="M5" i="4"/>
  <c r="P60" i="55"/>
  <c r="X61" i="55"/>
  <c r="J6" i="4"/>
  <c r="T60" i="55"/>
  <c r="AB61" i="55"/>
  <c r="AB60" i="55"/>
  <c r="S5" i="4"/>
  <c r="X60" i="55"/>
  <c r="L55" i="55"/>
  <c r="L54" i="55"/>
  <c r="L56" i="55"/>
  <c r="X44" i="55"/>
  <c r="P45" i="55"/>
  <c r="X46" i="55"/>
  <c r="G5" i="23"/>
  <c r="AB44" i="55"/>
  <c r="AB46" i="55"/>
  <c r="G6" i="23"/>
  <c r="J27" i="2"/>
  <c r="S27" i="2"/>
  <c r="T43" i="55"/>
  <c r="AB45" i="55"/>
  <c r="T45" i="55"/>
  <c r="X45" i="55"/>
  <c r="AB43" i="55"/>
  <c r="P44" i="55"/>
  <c r="T46" i="55"/>
  <c r="P27" i="2"/>
  <c r="P46" i="55"/>
  <c r="T44" i="55"/>
  <c r="K4" i="26"/>
  <c r="K4" i="27"/>
  <c r="AE3" i="34"/>
  <c r="I5" i="31"/>
  <c r="K3" i="74" s="1"/>
  <c r="AD5" i="34"/>
  <c r="AE5" i="32"/>
  <c r="D61" i="55"/>
  <c r="D65" i="55"/>
  <c r="M15" i="4"/>
  <c r="P65" i="55"/>
  <c r="S15" i="4"/>
  <c r="T65" i="55"/>
  <c r="X65" i="55"/>
  <c r="AB65" i="55"/>
  <c r="J16" i="4"/>
  <c r="AB50" i="55"/>
  <c r="P53" i="55"/>
  <c r="T53" i="55"/>
  <c r="S33" i="2"/>
  <c r="AB51" i="55"/>
  <c r="T52" i="55"/>
  <c r="X53" i="55"/>
  <c r="G5" i="25"/>
  <c r="P51" i="55"/>
  <c r="X52" i="55"/>
  <c r="AB53" i="55"/>
  <c r="C50" i="55"/>
  <c r="M33" i="2"/>
  <c r="T51" i="55"/>
  <c r="AB52" i="55"/>
  <c r="J34" i="2"/>
  <c r="G4" i="25"/>
  <c r="P33" i="2"/>
  <c r="P50" i="55"/>
  <c r="X51" i="55"/>
  <c r="D57" i="55"/>
  <c r="P58" i="55"/>
  <c r="T58" i="55"/>
  <c r="G5" i="27"/>
  <c r="J4" i="4"/>
  <c r="P57" i="55"/>
  <c r="X58" i="55"/>
  <c r="AB57" i="55"/>
  <c r="S3" i="4"/>
  <c r="AB58" i="55"/>
  <c r="X57" i="55"/>
  <c r="P15" i="4"/>
  <c r="AC2" i="55"/>
  <c r="AD7" i="41"/>
  <c r="P5" i="4"/>
  <c r="L65" i="55"/>
  <c r="L58" i="55"/>
  <c r="L57" i="55"/>
  <c r="Y79" i="55"/>
  <c r="M27" i="2"/>
  <c r="H65" i="55"/>
  <c r="P4" i="55"/>
  <c r="X4" i="55"/>
  <c r="P5" i="55"/>
  <c r="X5" i="55"/>
  <c r="P6" i="55"/>
  <c r="X6" i="55"/>
  <c r="D5" i="55"/>
  <c r="P7" i="55"/>
  <c r="X7" i="55"/>
  <c r="D4" i="55"/>
  <c r="T4" i="55"/>
  <c r="AB4" i="55"/>
  <c r="T5" i="55"/>
  <c r="AB5" i="55"/>
  <c r="T6" i="55"/>
  <c r="AB6" i="55"/>
  <c r="T7" i="55"/>
  <c r="AB7" i="55"/>
  <c r="Y72" i="55"/>
  <c r="AE4" i="32"/>
  <c r="Y73" i="55"/>
  <c r="U80" i="55"/>
  <c r="AC82" i="55"/>
  <c r="AE4" i="40"/>
  <c r="AC79" i="55" s="1"/>
  <c r="AD6" i="40"/>
  <c r="AD5" i="38"/>
  <c r="AD5" i="37"/>
  <c r="Y78" i="55"/>
  <c r="Y75" i="55"/>
  <c r="Y74" i="55"/>
  <c r="AE3" i="36"/>
  <c r="L62" i="55"/>
  <c r="L61" i="55"/>
  <c r="L60" i="55"/>
  <c r="L49" i="55"/>
  <c r="L48" i="55"/>
  <c r="L47" i="55"/>
  <c r="L43" i="55"/>
  <c r="L45" i="55"/>
  <c r="L44" i="55"/>
  <c r="L46" i="55"/>
  <c r="L63" i="55"/>
  <c r="P64" i="55"/>
  <c r="P63" i="55"/>
  <c r="C63" i="55"/>
  <c r="S7" i="4"/>
  <c r="T63" i="55"/>
  <c r="X64" i="55"/>
  <c r="AB64" i="55"/>
  <c r="J8" i="4"/>
  <c r="D63" i="55"/>
  <c r="L64" i="55"/>
  <c r="AD7" i="32"/>
  <c r="Y71" i="55"/>
  <c r="M13" i="4"/>
  <c r="P13" i="4"/>
  <c r="S13" i="4"/>
  <c r="L51" i="55"/>
  <c r="L50" i="55"/>
  <c r="L52" i="55"/>
  <c r="L53" i="55"/>
  <c r="AD6" i="42"/>
  <c r="F5" i="31"/>
  <c r="N2" i="26"/>
  <c r="H60" i="55"/>
  <c r="H61" i="55"/>
  <c r="H62" i="55"/>
  <c r="H56" i="55"/>
  <c r="H55" i="55"/>
  <c r="H54" i="55"/>
  <c r="H57" i="55"/>
  <c r="H58" i="55"/>
  <c r="H6" i="55"/>
  <c r="H7" i="55"/>
  <c r="H63" i="55"/>
  <c r="H64" i="55"/>
  <c r="H53" i="55"/>
  <c r="H52" i="55"/>
  <c r="H50" i="55"/>
  <c r="H43" i="55"/>
  <c r="H5" i="55"/>
  <c r="H4" i="55"/>
  <c r="AE3" i="32"/>
  <c r="G3" i="31"/>
  <c r="Q9" i="27"/>
  <c r="Q8" i="30"/>
  <c r="Q9" i="30"/>
  <c r="AA3" i="41"/>
  <c r="AD2" i="26"/>
  <c r="AB56" i="55"/>
  <c r="E2" i="27"/>
  <c r="C57" i="55"/>
  <c r="E2" i="30"/>
  <c r="C65" i="55"/>
  <c r="G3" i="26"/>
  <c r="AE3" i="40"/>
  <c r="E2" i="25"/>
  <c r="E2" i="29"/>
  <c r="G4" i="27"/>
  <c r="R2" i="29"/>
  <c r="Z2" i="29"/>
  <c r="X63" i="55"/>
  <c r="Q9" i="29"/>
  <c r="AD2" i="29"/>
  <c r="AB63" i="55"/>
  <c r="V2" i="29"/>
  <c r="T64" i="55"/>
  <c r="V2" i="27"/>
  <c r="T57" i="55"/>
  <c r="Q12" i="25"/>
  <c r="V2" i="25"/>
  <c r="T50" i="55"/>
  <c r="Z2" i="25"/>
  <c r="X50" i="55"/>
  <c r="Q11" i="25"/>
  <c r="J2" i="25"/>
  <c r="H51" i="55"/>
  <c r="R2" i="25"/>
  <c r="P52" i="55"/>
  <c r="AE4" i="41"/>
  <c r="Y81" i="55"/>
  <c r="F2" i="26"/>
  <c r="K35" i="2" s="1"/>
  <c r="D54" i="55"/>
  <c r="AE3" i="38"/>
  <c r="E59" i="55"/>
  <c r="Q11" i="28"/>
  <c r="Q9" i="28"/>
  <c r="Q14" i="23"/>
  <c r="Q11" i="23"/>
  <c r="Q12" i="23"/>
  <c r="R2" i="23"/>
  <c r="P43" i="55"/>
  <c r="Z2" i="23"/>
  <c r="X43" i="55"/>
  <c r="Q12" i="27"/>
  <c r="G3" i="28"/>
  <c r="AE3" i="37"/>
  <c r="M8" i="26"/>
  <c r="M15" i="23"/>
  <c r="K6" i="23"/>
  <c r="I46" i="55" s="1"/>
  <c r="M14" i="25"/>
  <c r="M10" i="25"/>
  <c r="M18" i="29"/>
  <c r="M10" i="23"/>
  <c r="M19" i="29"/>
  <c r="M11" i="30"/>
  <c r="M9" i="26"/>
  <c r="M8" i="28"/>
  <c r="M12" i="26"/>
  <c r="M13" i="28"/>
  <c r="M13" i="25"/>
  <c r="K5" i="25"/>
  <c r="M14" i="28"/>
  <c r="M7" i="29"/>
  <c r="M11" i="29"/>
  <c r="D64" i="55"/>
  <c r="G4" i="29"/>
  <c r="K4" i="29" s="1"/>
  <c r="I64" i="55" s="1"/>
  <c r="Q13" i="23"/>
  <c r="Q10" i="29"/>
  <c r="Q12" i="28"/>
  <c r="Q6" i="30"/>
  <c r="Q8" i="29"/>
  <c r="Q11" i="27"/>
  <c r="Q10" i="27"/>
  <c r="AD2" i="31"/>
  <c r="Z2" i="31"/>
  <c r="V2" i="31"/>
  <c r="Q14" i="27"/>
  <c r="M10" i="24"/>
  <c r="K5" i="24"/>
  <c r="M8" i="24"/>
  <c r="M9" i="24"/>
  <c r="D60" i="55"/>
  <c r="G5" i="28"/>
  <c r="D62" i="55"/>
  <c r="Y83" i="55"/>
  <c r="AE3" i="42"/>
  <c r="AE4" i="42"/>
  <c r="Y84" i="55"/>
  <c r="Y76" i="55"/>
  <c r="G5" i="7"/>
  <c r="D6" i="55"/>
  <c r="G6" i="7"/>
  <c r="D7" i="55"/>
  <c r="K6" i="25"/>
  <c r="E53" i="55"/>
  <c r="F2" i="25"/>
  <c r="D50" i="55"/>
  <c r="E49" i="55"/>
  <c r="G3" i="24"/>
  <c r="E47" i="55" s="1"/>
  <c r="D47" i="55"/>
  <c r="D44" i="55"/>
  <c r="E46" i="55"/>
  <c r="F2" i="31"/>
  <c r="G4" i="28"/>
  <c r="G3" i="29"/>
  <c r="F2" i="30"/>
  <c r="G3" i="30"/>
  <c r="R2" i="31"/>
  <c r="J2" i="31"/>
  <c r="N2" i="31"/>
  <c r="AD2" i="30"/>
  <c r="I5" i="30"/>
  <c r="N2" i="30"/>
  <c r="J2" i="30"/>
  <c r="V2" i="30"/>
  <c r="Z2" i="30"/>
  <c r="F5" i="30"/>
  <c r="R2" i="30"/>
  <c r="Q7" i="30"/>
  <c r="F2" i="29"/>
  <c r="N2" i="29"/>
  <c r="F6" i="29"/>
  <c r="J2" i="29"/>
  <c r="I6" i="29"/>
  <c r="F7" i="28"/>
  <c r="J2" i="28"/>
  <c r="R2" i="28"/>
  <c r="Z2" i="28"/>
  <c r="AD2" i="28"/>
  <c r="N2" i="28"/>
  <c r="V2" i="28"/>
  <c r="I7" i="28"/>
  <c r="F2" i="28"/>
  <c r="I7" i="27"/>
  <c r="G3" i="27"/>
  <c r="F7" i="27"/>
  <c r="R2" i="27"/>
  <c r="AD2" i="27"/>
  <c r="J2" i="27"/>
  <c r="Z2" i="27"/>
  <c r="N2" i="27"/>
  <c r="F2" i="27"/>
  <c r="Q8" i="27"/>
  <c r="V2" i="26"/>
  <c r="I7" i="26"/>
  <c r="J2" i="26"/>
  <c r="N35" i="2" s="1"/>
  <c r="F7" i="26"/>
  <c r="K36" i="2" s="1"/>
  <c r="R2" i="26"/>
  <c r="Z2" i="26"/>
  <c r="E54" i="55"/>
  <c r="N2" i="25"/>
  <c r="F8" i="25"/>
  <c r="AD2" i="25"/>
  <c r="I8" i="25"/>
  <c r="M9" i="25"/>
  <c r="G3" i="25"/>
  <c r="F2" i="24"/>
  <c r="K29" i="2" s="1"/>
  <c r="F7" i="24"/>
  <c r="K30" i="2" s="1"/>
  <c r="V2" i="24"/>
  <c r="AD2" i="24"/>
  <c r="R2" i="24"/>
  <c r="Z2" i="24"/>
  <c r="K4" i="24"/>
  <c r="N2" i="24"/>
  <c r="Q29" i="2" s="1"/>
  <c r="J2" i="24"/>
  <c r="N29" i="2" s="1"/>
  <c r="I7" i="24"/>
  <c r="Q8" i="24"/>
  <c r="G3" i="23"/>
  <c r="K3" i="23" s="1"/>
  <c r="I43" i="55" s="1"/>
  <c r="V2" i="23"/>
  <c r="J2" i="23"/>
  <c r="F2" i="23"/>
  <c r="AD2" i="23"/>
  <c r="F8" i="23"/>
  <c r="N2" i="23"/>
  <c r="I8" i="23"/>
  <c r="M9" i="23"/>
  <c r="E3" i="22"/>
  <c r="D3" i="22"/>
  <c r="I14" i="22"/>
  <c r="F14" i="22"/>
  <c r="F13" i="22"/>
  <c r="I12" i="22"/>
  <c r="F12" i="22"/>
  <c r="I11" i="22"/>
  <c r="F11" i="22"/>
  <c r="F10" i="22"/>
  <c r="I9" i="22"/>
  <c r="F9" i="22"/>
  <c r="E8" i="22"/>
  <c r="AD6" i="22"/>
  <c r="Z6" i="22"/>
  <c r="V6" i="22"/>
  <c r="R6" i="22"/>
  <c r="N6" i="22"/>
  <c r="J6" i="22"/>
  <c r="AD5" i="22"/>
  <c r="Z5" i="22"/>
  <c r="V5" i="22"/>
  <c r="R5" i="22"/>
  <c r="N5" i="22"/>
  <c r="J5" i="22"/>
  <c r="AD4" i="22"/>
  <c r="Z4" i="22"/>
  <c r="V4" i="22"/>
  <c r="R4" i="22"/>
  <c r="N4" i="22"/>
  <c r="J4" i="22"/>
  <c r="AD3" i="22"/>
  <c r="Z3" i="22"/>
  <c r="V3" i="22"/>
  <c r="R3" i="22"/>
  <c r="N3" i="22"/>
  <c r="J3" i="22"/>
  <c r="F3" i="22"/>
  <c r="AC2" i="22"/>
  <c r="Y2" i="22"/>
  <c r="U2" i="22"/>
  <c r="Q2" i="22"/>
  <c r="M2" i="22"/>
  <c r="E3" i="21"/>
  <c r="C36" i="55" s="1"/>
  <c r="AD5" i="21"/>
  <c r="AB38" i="55" s="1"/>
  <c r="Z5" i="21"/>
  <c r="X38" i="55" s="1"/>
  <c r="V5" i="21"/>
  <c r="T38" i="55" s="1"/>
  <c r="R5" i="21"/>
  <c r="I14" i="21"/>
  <c r="F14" i="21"/>
  <c r="I13" i="21"/>
  <c r="F13" i="21"/>
  <c r="G5" i="21" s="1"/>
  <c r="H38" i="55" s="1"/>
  <c r="I12" i="21"/>
  <c r="F12" i="21"/>
  <c r="F11" i="21"/>
  <c r="F10" i="21"/>
  <c r="G4" i="21" s="1"/>
  <c r="E37" i="55" s="1"/>
  <c r="F9" i="21"/>
  <c r="I8" i="21"/>
  <c r="F8" i="21"/>
  <c r="E7" i="21"/>
  <c r="J24" i="2" s="1"/>
  <c r="AD4" i="21"/>
  <c r="AB37" i="55" s="1"/>
  <c r="Z4" i="21"/>
  <c r="X37" i="55" s="1"/>
  <c r="V4" i="21"/>
  <c r="T37" i="55" s="1"/>
  <c r="R4" i="21"/>
  <c r="N4" i="21"/>
  <c r="J4" i="21"/>
  <c r="AD3" i="21"/>
  <c r="AB36" i="55" s="1"/>
  <c r="Z3" i="21"/>
  <c r="X36" i="55" s="1"/>
  <c r="V3" i="21"/>
  <c r="T36" i="55" s="1"/>
  <c r="R3" i="21"/>
  <c r="N3" i="21"/>
  <c r="D36" i="55"/>
  <c r="AC2" i="21"/>
  <c r="Y2" i="21"/>
  <c r="U2" i="21"/>
  <c r="Q2" i="21"/>
  <c r="M2" i="21"/>
  <c r="P23" i="2" s="1"/>
  <c r="E6" i="20"/>
  <c r="J22" i="2" s="1"/>
  <c r="E3" i="20"/>
  <c r="F10" i="20"/>
  <c r="F9" i="20"/>
  <c r="M8" i="20"/>
  <c r="F8" i="20"/>
  <c r="I7" i="20"/>
  <c r="F7" i="20"/>
  <c r="AD4" i="20"/>
  <c r="AB35" i="55" s="1"/>
  <c r="Z4" i="20"/>
  <c r="X35" i="55" s="1"/>
  <c r="V4" i="20"/>
  <c r="T35" i="55" s="1"/>
  <c r="R4" i="20"/>
  <c r="P35" i="55" s="1"/>
  <c r="N4" i="20"/>
  <c r="O4" i="20" s="1"/>
  <c r="J4" i="20"/>
  <c r="G4" i="20"/>
  <c r="E35" i="55" s="1"/>
  <c r="AD3" i="20"/>
  <c r="Z3" i="20"/>
  <c r="X34" i="55" s="1"/>
  <c r="V3" i="20"/>
  <c r="T34" i="55" s="1"/>
  <c r="R3" i="20"/>
  <c r="P34" i="55" s="1"/>
  <c r="N3" i="20"/>
  <c r="F3" i="20"/>
  <c r="AC2" i="20"/>
  <c r="Y2" i="20"/>
  <c r="U2" i="20"/>
  <c r="Q2" i="20"/>
  <c r="M2" i="20"/>
  <c r="P21" i="2" s="1"/>
  <c r="F10" i="19"/>
  <c r="F9" i="19"/>
  <c r="M8" i="19"/>
  <c r="F8" i="19"/>
  <c r="I7" i="19"/>
  <c r="F7" i="19"/>
  <c r="E6" i="19"/>
  <c r="J20" i="2" s="1"/>
  <c r="AD4" i="19"/>
  <c r="AB33" i="55" s="1"/>
  <c r="Z4" i="19"/>
  <c r="X33" i="55" s="1"/>
  <c r="V4" i="19"/>
  <c r="T33" i="55" s="1"/>
  <c r="R4" i="19"/>
  <c r="N4" i="19"/>
  <c r="J4" i="19"/>
  <c r="G4" i="19"/>
  <c r="E33" i="55" s="1"/>
  <c r="AD3" i="19"/>
  <c r="AB32" i="55" s="1"/>
  <c r="Z3" i="19"/>
  <c r="X32" i="55" s="1"/>
  <c r="V3" i="19"/>
  <c r="R3" i="19"/>
  <c r="P32" i="55" s="1"/>
  <c r="N3" i="19"/>
  <c r="L32" i="55" s="1"/>
  <c r="J3" i="19"/>
  <c r="F3" i="19"/>
  <c r="AC2" i="19"/>
  <c r="Y2" i="19"/>
  <c r="U2" i="19"/>
  <c r="Q2" i="19"/>
  <c r="M2" i="19"/>
  <c r="P19" i="2" s="1"/>
  <c r="I2" i="19"/>
  <c r="M19" i="2" s="1"/>
  <c r="E2" i="19"/>
  <c r="J19" i="2" s="1"/>
  <c r="F11" i="18"/>
  <c r="E12" i="18"/>
  <c r="E7" i="18" s="1"/>
  <c r="J18" i="2" s="1"/>
  <c r="I15" i="18"/>
  <c r="F15" i="18"/>
  <c r="I14" i="18"/>
  <c r="F14" i="18"/>
  <c r="I13" i="18"/>
  <c r="F13" i="18"/>
  <c r="F12" i="18"/>
  <c r="M10" i="18"/>
  <c r="F10" i="18"/>
  <c r="F9" i="18"/>
  <c r="I8" i="18"/>
  <c r="F8" i="18"/>
  <c r="AD5" i="18"/>
  <c r="AB31" i="55" s="1"/>
  <c r="Z5" i="18"/>
  <c r="X31" i="55" s="1"/>
  <c r="V5" i="18"/>
  <c r="T31" i="55" s="1"/>
  <c r="R5" i="18"/>
  <c r="P31" i="55" s="1"/>
  <c r="N5" i="18"/>
  <c r="H31" i="55"/>
  <c r="AD4" i="18"/>
  <c r="AB30" i="55" s="1"/>
  <c r="Z4" i="18"/>
  <c r="X30" i="55" s="1"/>
  <c r="V4" i="18"/>
  <c r="T30" i="55" s="1"/>
  <c r="R4" i="18"/>
  <c r="P30" i="55" s="1"/>
  <c r="N4" i="18"/>
  <c r="J4" i="18"/>
  <c r="AD3" i="18"/>
  <c r="AB29" i="55" s="1"/>
  <c r="Z3" i="18"/>
  <c r="X29" i="55" s="1"/>
  <c r="V3" i="18"/>
  <c r="T29" i="55" s="1"/>
  <c r="R3" i="18"/>
  <c r="P29" i="55" s="1"/>
  <c r="N3" i="18"/>
  <c r="AC2" i="18"/>
  <c r="Y2" i="18"/>
  <c r="U2" i="18"/>
  <c r="Q2" i="18"/>
  <c r="S17" i="2" s="1"/>
  <c r="M2" i="18"/>
  <c r="E2" i="18"/>
  <c r="J17" i="2" s="1"/>
  <c r="E2" i="17"/>
  <c r="J15" i="2" s="1"/>
  <c r="I11" i="17"/>
  <c r="F11" i="17"/>
  <c r="M10" i="17"/>
  <c r="F10" i="17"/>
  <c r="F9" i="17"/>
  <c r="F8" i="17"/>
  <c r="M7" i="17"/>
  <c r="F7" i="17"/>
  <c r="I6" i="17"/>
  <c r="F6" i="17"/>
  <c r="E5" i="17"/>
  <c r="J16" i="2" s="1"/>
  <c r="AD3" i="17"/>
  <c r="Z3" i="17"/>
  <c r="V3" i="17"/>
  <c r="R3" i="17"/>
  <c r="N3" i="17"/>
  <c r="F3" i="17"/>
  <c r="AC2" i="17"/>
  <c r="Y2" i="17"/>
  <c r="U2" i="17"/>
  <c r="Q2" i="17"/>
  <c r="I2" i="17"/>
  <c r="M15" i="2" s="1"/>
  <c r="E3" i="16"/>
  <c r="E10" i="16"/>
  <c r="I12" i="16"/>
  <c r="F12" i="16"/>
  <c r="I11" i="16"/>
  <c r="F11" i="16"/>
  <c r="M10" i="16"/>
  <c r="F10" i="16"/>
  <c r="M9" i="16"/>
  <c r="F9" i="16"/>
  <c r="M8" i="16"/>
  <c r="F8" i="16"/>
  <c r="F7" i="16"/>
  <c r="AD4" i="16"/>
  <c r="Z4" i="16"/>
  <c r="V4" i="16"/>
  <c r="R4" i="16"/>
  <c r="N4" i="16"/>
  <c r="AD3" i="16"/>
  <c r="Z3" i="16"/>
  <c r="V3" i="16"/>
  <c r="R3" i="16"/>
  <c r="N3" i="16"/>
  <c r="F3" i="16"/>
  <c r="AC2" i="16"/>
  <c r="Y2" i="16"/>
  <c r="U2" i="16"/>
  <c r="Q2" i="16"/>
  <c r="M2" i="16"/>
  <c r="I2" i="16"/>
  <c r="J12" i="2"/>
  <c r="AB25" i="55"/>
  <c r="X25" i="55"/>
  <c r="T25" i="55"/>
  <c r="P25" i="55"/>
  <c r="H25" i="55"/>
  <c r="AB24" i="55"/>
  <c r="T24" i="55"/>
  <c r="H24" i="55"/>
  <c r="D24" i="55"/>
  <c r="P11" i="2"/>
  <c r="J11" i="2"/>
  <c r="AB22" i="55"/>
  <c r="X22" i="55"/>
  <c r="T22" i="55"/>
  <c r="P22" i="55"/>
  <c r="E23" i="55"/>
  <c r="AB23" i="55"/>
  <c r="X23" i="55"/>
  <c r="T23" i="55"/>
  <c r="P23" i="55"/>
  <c r="AB21" i="55"/>
  <c r="X21" i="55"/>
  <c r="T21" i="55"/>
  <c r="P21" i="55"/>
  <c r="D21" i="55"/>
  <c r="P9" i="2"/>
  <c r="M9" i="2"/>
  <c r="J9" i="2"/>
  <c r="K4" i="25" l="1"/>
  <c r="E51" i="55"/>
  <c r="AC73" i="55"/>
  <c r="K3" i="30"/>
  <c r="I53" i="55"/>
  <c r="I51" i="55"/>
  <c r="O3" i="74"/>
  <c r="I67" i="55"/>
  <c r="AC8" i="55"/>
  <c r="I58" i="55"/>
  <c r="I57" i="55"/>
  <c r="P37" i="55"/>
  <c r="P38" i="55"/>
  <c r="P36" i="55"/>
  <c r="Q7" i="4"/>
  <c r="X27" i="55"/>
  <c r="M13" i="2"/>
  <c r="P26" i="55"/>
  <c r="AB27" i="55"/>
  <c r="G4" i="16"/>
  <c r="F6" i="16"/>
  <c r="T26" i="55"/>
  <c r="S13" i="2"/>
  <c r="X26" i="55"/>
  <c r="D26" i="55"/>
  <c r="T27" i="55"/>
  <c r="P13" i="2"/>
  <c r="J14" i="2"/>
  <c r="E6" i="16"/>
  <c r="P27" i="55"/>
  <c r="C26" i="55"/>
  <c r="Q5" i="4"/>
  <c r="Q35" i="2"/>
  <c r="K28" i="2"/>
  <c r="K27" i="2"/>
  <c r="Q27" i="2"/>
  <c r="Q33" i="2"/>
  <c r="Q3" i="4"/>
  <c r="Q15" i="4"/>
  <c r="Q13" i="4"/>
  <c r="G4" i="18"/>
  <c r="K3" i="21"/>
  <c r="I49" i="55"/>
  <c r="J47" i="55"/>
  <c r="K3" i="17"/>
  <c r="K5" i="21"/>
  <c r="R8" i="24"/>
  <c r="I52" i="55"/>
  <c r="I55" i="55"/>
  <c r="K4" i="16"/>
  <c r="I6" i="16"/>
  <c r="J49" i="55"/>
  <c r="I48" i="55"/>
  <c r="P17" i="2"/>
  <c r="L35" i="55"/>
  <c r="E62" i="55"/>
  <c r="K5" i="4"/>
  <c r="K6" i="4"/>
  <c r="E60" i="55"/>
  <c r="AC72" i="55"/>
  <c r="R6" i="30"/>
  <c r="K16" i="4"/>
  <c r="K15" i="4"/>
  <c r="M5" i="30"/>
  <c r="J15" i="4"/>
  <c r="E52" i="55"/>
  <c r="J33" i="2"/>
  <c r="K34" i="2"/>
  <c r="K33" i="2"/>
  <c r="K4" i="4"/>
  <c r="K3" i="4"/>
  <c r="E58" i="55"/>
  <c r="J3" i="4"/>
  <c r="R8" i="27"/>
  <c r="H33" i="55"/>
  <c r="N15" i="4"/>
  <c r="K14" i="4"/>
  <c r="E6" i="55"/>
  <c r="E7" i="55"/>
  <c r="AC81" i="55"/>
  <c r="AE3" i="41"/>
  <c r="AC78" i="55"/>
  <c r="AC75" i="55"/>
  <c r="J7" i="55"/>
  <c r="N5" i="4"/>
  <c r="N3" i="4"/>
  <c r="N27" i="2"/>
  <c r="AC76" i="55"/>
  <c r="AC74" i="55"/>
  <c r="L36" i="55"/>
  <c r="L37" i="55"/>
  <c r="L38" i="55"/>
  <c r="N7" i="4"/>
  <c r="K8" i="4"/>
  <c r="K7" i="4"/>
  <c r="I3" i="29"/>
  <c r="J7" i="4"/>
  <c r="AC71" i="55"/>
  <c r="N13" i="4"/>
  <c r="K13" i="4"/>
  <c r="J51" i="55"/>
  <c r="N33" i="2"/>
  <c r="D39" i="55"/>
  <c r="T41" i="55"/>
  <c r="AB42" i="55"/>
  <c r="P40" i="55"/>
  <c r="X41" i="55"/>
  <c r="J26" i="2"/>
  <c r="T40" i="55"/>
  <c r="AB41" i="55"/>
  <c r="G5" i="22"/>
  <c r="K5" i="22" s="1"/>
  <c r="P39" i="55"/>
  <c r="X40" i="55"/>
  <c r="S25" i="2"/>
  <c r="T39" i="55"/>
  <c r="AB40" i="55"/>
  <c r="B39" i="55"/>
  <c r="X39" i="55"/>
  <c r="P42" i="55"/>
  <c r="G6" i="22"/>
  <c r="E42" i="55" s="1"/>
  <c r="AB39" i="55"/>
  <c r="T42" i="55"/>
  <c r="P41" i="55"/>
  <c r="X42" i="55"/>
  <c r="G4" i="22"/>
  <c r="L40" i="55"/>
  <c r="L39" i="55"/>
  <c r="L42" i="55"/>
  <c r="L41" i="55"/>
  <c r="P25" i="2"/>
  <c r="L31" i="55"/>
  <c r="AC84" i="55"/>
  <c r="AC83" i="55"/>
  <c r="J56" i="55"/>
  <c r="J55" i="55"/>
  <c r="J54" i="55"/>
  <c r="J53" i="55"/>
  <c r="J52" i="55"/>
  <c r="E27" i="55"/>
  <c r="M5" i="31"/>
  <c r="H34" i="55"/>
  <c r="H42" i="55"/>
  <c r="H39" i="55"/>
  <c r="H41" i="55"/>
  <c r="H40" i="55"/>
  <c r="G3" i="17"/>
  <c r="H37" i="55"/>
  <c r="H30" i="55"/>
  <c r="Q10" i="22"/>
  <c r="AD2" i="20"/>
  <c r="AB34" i="55"/>
  <c r="E2" i="22"/>
  <c r="C39" i="55"/>
  <c r="E2" i="16"/>
  <c r="J2" i="19"/>
  <c r="H32" i="55"/>
  <c r="N2" i="19"/>
  <c r="L33" i="55"/>
  <c r="E2" i="21"/>
  <c r="J23" i="2" s="1"/>
  <c r="E2" i="20"/>
  <c r="J21" i="2" s="1"/>
  <c r="C34" i="55"/>
  <c r="R2" i="19"/>
  <c r="P33" i="55"/>
  <c r="Q8" i="19"/>
  <c r="N8" i="19"/>
  <c r="J2" i="20"/>
  <c r="H35" i="55"/>
  <c r="U9" i="30"/>
  <c r="R9" i="30"/>
  <c r="Q8" i="20"/>
  <c r="Y80" i="55"/>
  <c r="U8" i="30"/>
  <c r="R8" i="30"/>
  <c r="V2" i="19"/>
  <c r="T32" i="55"/>
  <c r="N2" i="20"/>
  <c r="L34" i="55"/>
  <c r="J10" i="2"/>
  <c r="Q8" i="26"/>
  <c r="U6" i="30"/>
  <c r="U9" i="27"/>
  <c r="R9" i="27"/>
  <c r="Q9" i="16"/>
  <c r="AD2" i="16"/>
  <c r="AB26" i="55"/>
  <c r="C85" i="55"/>
  <c r="Q8" i="16"/>
  <c r="Q10" i="18"/>
  <c r="Q9" i="18"/>
  <c r="U9" i="29"/>
  <c r="R9" i="29"/>
  <c r="U11" i="25"/>
  <c r="R11" i="25"/>
  <c r="U12" i="25"/>
  <c r="R12" i="25"/>
  <c r="G5" i="18"/>
  <c r="V2" i="17"/>
  <c r="T28" i="55"/>
  <c r="Q10" i="17"/>
  <c r="J2" i="17"/>
  <c r="H28" i="55"/>
  <c r="Z2" i="17"/>
  <c r="X28" i="55"/>
  <c r="N2" i="17"/>
  <c r="AD2" i="17"/>
  <c r="AB28" i="55"/>
  <c r="R2" i="17"/>
  <c r="P28" i="55"/>
  <c r="Q7" i="17"/>
  <c r="F2" i="17"/>
  <c r="K15" i="2" s="1"/>
  <c r="D28" i="55"/>
  <c r="O5" i="27"/>
  <c r="U9" i="28"/>
  <c r="R9" i="28"/>
  <c r="Q10" i="28"/>
  <c r="U11" i="28"/>
  <c r="R11" i="28"/>
  <c r="U11" i="23"/>
  <c r="R11" i="23"/>
  <c r="U12" i="23"/>
  <c r="R12" i="23"/>
  <c r="U14" i="23"/>
  <c r="R14" i="23"/>
  <c r="U12" i="27"/>
  <c r="R12" i="27"/>
  <c r="K3" i="26"/>
  <c r="Q7" i="29"/>
  <c r="G3" i="18"/>
  <c r="Q8" i="28"/>
  <c r="M7" i="24"/>
  <c r="M6" i="29"/>
  <c r="M4" i="29" s="1"/>
  <c r="J2" i="18"/>
  <c r="H29" i="55"/>
  <c r="M7" i="26"/>
  <c r="Q10" i="25"/>
  <c r="M7" i="19"/>
  <c r="M8" i="21"/>
  <c r="M11" i="22"/>
  <c r="Q12" i="26"/>
  <c r="Q19" i="29"/>
  <c r="Q11" i="30"/>
  <c r="M11" i="16"/>
  <c r="M12" i="16"/>
  <c r="M13" i="21"/>
  <c r="M34" i="2"/>
  <c r="Q10" i="26"/>
  <c r="Q14" i="25"/>
  <c r="M14" i="18"/>
  <c r="Q13" i="25"/>
  <c r="I5" i="17"/>
  <c r="Q11" i="29"/>
  <c r="Q10" i="23"/>
  <c r="Q15" i="23"/>
  <c r="M12" i="18"/>
  <c r="M14" i="22"/>
  <c r="Q14" i="28"/>
  <c r="Q10" i="16"/>
  <c r="M9" i="19"/>
  <c r="M13" i="22"/>
  <c r="Q13" i="28"/>
  <c r="Q9" i="26"/>
  <c r="Q11" i="26"/>
  <c r="M11" i="17"/>
  <c r="M15" i="18"/>
  <c r="M36" i="2"/>
  <c r="Q18" i="29"/>
  <c r="Q9" i="20"/>
  <c r="M28" i="2"/>
  <c r="U13" i="23"/>
  <c r="R13" i="23"/>
  <c r="U10" i="29"/>
  <c r="R10" i="29"/>
  <c r="M15" i="27"/>
  <c r="Q16" i="27"/>
  <c r="M6" i="4"/>
  <c r="U12" i="28"/>
  <c r="R12" i="28"/>
  <c r="P16" i="4"/>
  <c r="U7" i="30"/>
  <c r="R7" i="30"/>
  <c r="M16" i="4"/>
  <c r="M14" i="4"/>
  <c r="M8" i="4"/>
  <c r="U8" i="29"/>
  <c r="R8" i="29"/>
  <c r="U11" i="27"/>
  <c r="R11" i="27"/>
  <c r="K57" i="55"/>
  <c r="P3" i="4"/>
  <c r="U10" i="27"/>
  <c r="R10" i="27"/>
  <c r="Q8" i="17"/>
  <c r="K5" i="28"/>
  <c r="I62" i="55" s="1"/>
  <c r="M4" i="4"/>
  <c r="U14" i="27"/>
  <c r="R14" i="27"/>
  <c r="M30" i="2"/>
  <c r="Q9" i="24"/>
  <c r="Q10" i="24"/>
  <c r="K3" i="28"/>
  <c r="I60" i="55" s="1"/>
  <c r="K4" i="28"/>
  <c r="I61" i="55" s="1"/>
  <c r="E61" i="55"/>
  <c r="E65" i="55"/>
  <c r="E63" i="55"/>
  <c r="E64" i="55"/>
  <c r="E57" i="55"/>
  <c r="K3" i="25"/>
  <c r="E50" i="55"/>
  <c r="O6" i="25"/>
  <c r="K3" i="24"/>
  <c r="K5" i="23"/>
  <c r="I45" i="55" s="1"/>
  <c r="E45" i="55"/>
  <c r="E43" i="55"/>
  <c r="K4" i="23"/>
  <c r="E44" i="55"/>
  <c r="F2" i="20"/>
  <c r="K21" i="2" s="1"/>
  <c r="D34" i="55"/>
  <c r="G3" i="19"/>
  <c r="D32" i="55"/>
  <c r="M14" i="21"/>
  <c r="M11" i="21"/>
  <c r="E38" i="55"/>
  <c r="X24" i="55"/>
  <c r="E25" i="55"/>
  <c r="P24" i="55"/>
  <c r="O4" i="24"/>
  <c r="D22" i="55"/>
  <c r="F5" i="17"/>
  <c r="K16" i="2" s="1"/>
  <c r="G3" i="16"/>
  <c r="K3" i="16" s="1"/>
  <c r="E21" i="55"/>
  <c r="F6" i="20"/>
  <c r="K22" i="2" s="1"/>
  <c r="G3" i="20"/>
  <c r="K11" i="2"/>
  <c r="G3" i="21"/>
  <c r="F2" i="19"/>
  <c r="K19" i="2" s="1"/>
  <c r="M7" i="28"/>
  <c r="U8" i="27"/>
  <c r="M8" i="25"/>
  <c r="Q9" i="25"/>
  <c r="U8" i="24"/>
  <c r="G3" i="22"/>
  <c r="M8" i="23"/>
  <c r="Q9" i="23"/>
  <c r="Z2" i="22"/>
  <c r="J2" i="22"/>
  <c r="R2" i="22"/>
  <c r="V2" i="22"/>
  <c r="N2" i="22"/>
  <c r="Q25" i="2" s="1"/>
  <c r="AD2" i="22"/>
  <c r="F8" i="22"/>
  <c r="I8" i="22"/>
  <c r="F2" i="22"/>
  <c r="K4" i="22"/>
  <c r="M9" i="22"/>
  <c r="F7" i="21"/>
  <c r="K24" i="2" s="1"/>
  <c r="F2" i="21"/>
  <c r="K23" i="2" s="1"/>
  <c r="R2" i="21"/>
  <c r="AD2" i="21"/>
  <c r="K4" i="21"/>
  <c r="Z2" i="21"/>
  <c r="V2" i="21"/>
  <c r="I7" i="21"/>
  <c r="N2" i="21"/>
  <c r="Z2" i="20"/>
  <c r="V2" i="20"/>
  <c r="R2" i="20"/>
  <c r="I6" i="20"/>
  <c r="M7" i="20"/>
  <c r="F6" i="19"/>
  <c r="K20" i="2" s="1"/>
  <c r="Z2" i="19"/>
  <c r="K4" i="19"/>
  <c r="AD2" i="19"/>
  <c r="I6" i="19"/>
  <c r="V2" i="18"/>
  <c r="Z2" i="18"/>
  <c r="N2" i="18"/>
  <c r="R2" i="18"/>
  <c r="F2" i="18"/>
  <c r="AD2" i="18"/>
  <c r="F7" i="18"/>
  <c r="I7" i="18"/>
  <c r="M8" i="18"/>
  <c r="M6" i="17"/>
  <c r="K14" i="2"/>
  <c r="N2" i="16"/>
  <c r="V2" i="16"/>
  <c r="F2" i="16"/>
  <c r="J2" i="16"/>
  <c r="Z2" i="16"/>
  <c r="R2" i="16"/>
  <c r="Q7" i="16"/>
  <c r="K12" i="2"/>
  <c r="K10" i="2"/>
  <c r="K9" i="2"/>
  <c r="J8" i="2"/>
  <c r="AB20" i="55"/>
  <c r="X20" i="55"/>
  <c r="T20" i="55"/>
  <c r="P20" i="55"/>
  <c r="H20" i="55"/>
  <c r="E20" i="55"/>
  <c r="X19" i="55"/>
  <c r="T19" i="55"/>
  <c r="P7" i="2"/>
  <c r="M7" i="2"/>
  <c r="J7" i="2"/>
  <c r="F14" i="12"/>
  <c r="F12" i="12"/>
  <c r="F7" i="12"/>
  <c r="M6" i="12"/>
  <c r="E5" i="12"/>
  <c r="AD3" i="12"/>
  <c r="Z3" i="12"/>
  <c r="V3" i="12"/>
  <c r="R3" i="12"/>
  <c r="N3" i="12"/>
  <c r="F3" i="12"/>
  <c r="AC2" i="12"/>
  <c r="Y2" i="12"/>
  <c r="U2" i="12"/>
  <c r="Q2" i="12"/>
  <c r="M2" i="12"/>
  <c r="I2" i="12"/>
  <c r="E2" i="12"/>
  <c r="E6" i="11"/>
  <c r="F13" i="11"/>
  <c r="F12" i="11"/>
  <c r="I10" i="11"/>
  <c r="F10" i="11"/>
  <c r="F9" i="11"/>
  <c r="I8" i="11"/>
  <c r="F8" i="11"/>
  <c r="I7" i="11"/>
  <c r="F7" i="11"/>
  <c r="AD4" i="11"/>
  <c r="Z4" i="11"/>
  <c r="V4" i="11"/>
  <c r="R4" i="11"/>
  <c r="H17" i="55"/>
  <c r="AD3" i="11"/>
  <c r="Z3" i="11"/>
  <c r="V3" i="11"/>
  <c r="R3" i="11"/>
  <c r="H15" i="55"/>
  <c r="AC2" i="11"/>
  <c r="Y2" i="11"/>
  <c r="U2" i="11"/>
  <c r="Q2" i="11"/>
  <c r="M2" i="11"/>
  <c r="E2" i="11"/>
  <c r="I16" i="7"/>
  <c r="F16" i="7"/>
  <c r="I15" i="7"/>
  <c r="F15" i="7"/>
  <c r="I14" i="7"/>
  <c r="F14" i="7"/>
  <c r="I13" i="7"/>
  <c r="F13" i="7"/>
  <c r="I12" i="7"/>
  <c r="F12" i="7"/>
  <c r="F11" i="7"/>
  <c r="I10" i="7"/>
  <c r="F10" i="7"/>
  <c r="E8" i="7"/>
  <c r="K6" i="7"/>
  <c r="K5" i="7"/>
  <c r="G4" i="7"/>
  <c r="V2" i="7"/>
  <c r="R2" i="7"/>
  <c r="F2" i="7"/>
  <c r="AD2" i="7"/>
  <c r="AC2" i="7"/>
  <c r="Z2" i="7"/>
  <c r="Y2" i="7"/>
  <c r="U2" i="7"/>
  <c r="Q2" i="7"/>
  <c r="N2" i="7"/>
  <c r="M2" i="7"/>
  <c r="J2" i="7"/>
  <c r="I2" i="7"/>
  <c r="E2" i="7"/>
  <c r="M15" i="10"/>
  <c r="F15" i="10"/>
  <c r="F10" i="10"/>
  <c r="F9" i="10"/>
  <c r="M8" i="10"/>
  <c r="F8" i="10"/>
  <c r="AD4" i="10"/>
  <c r="Z4" i="10"/>
  <c r="V4" i="10"/>
  <c r="R4" i="10"/>
  <c r="N4" i="10"/>
  <c r="J4" i="10"/>
  <c r="AD3" i="10"/>
  <c r="Z3" i="10"/>
  <c r="V3" i="10"/>
  <c r="R3" i="10"/>
  <c r="N3" i="10"/>
  <c r="AC2" i="10"/>
  <c r="Y2" i="10"/>
  <c r="U2" i="10"/>
  <c r="Q2" i="10"/>
  <c r="M2" i="10"/>
  <c r="I2" i="10"/>
  <c r="E2" i="10"/>
  <c r="I10" i="9"/>
  <c r="M9" i="9"/>
  <c r="F9" i="9"/>
  <c r="G4" i="9" s="1"/>
  <c r="I8" i="9"/>
  <c r="F8" i="9"/>
  <c r="E7" i="9"/>
  <c r="J11" i="1" s="1"/>
  <c r="AD4" i="9"/>
  <c r="Z4" i="9"/>
  <c r="V4" i="9"/>
  <c r="R4" i="9"/>
  <c r="H12" i="55"/>
  <c r="AD3" i="9"/>
  <c r="Z3" i="9"/>
  <c r="V3" i="9"/>
  <c r="R3" i="9"/>
  <c r="J3" i="9"/>
  <c r="F3" i="9"/>
  <c r="AC2" i="9"/>
  <c r="Y2" i="9"/>
  <c r="U2" i="9"/>
  <c r="Q2" i="9"/>
  <c r="S12" i="1" s="1"/>
  <c r="P12" i="1"/>
  <c r="M12" i="1"/>
  <c r="J12" i="1"/>
  <c r="M7" i="8"/>
  <c r="F7" i="8"/>
  <c r="E6" i="8"/>
  <c r="J9" i="1" s="1"/>
  <c r="AD3" i="8"/>
  <c r="Z3" i="8"/>
  <c r="V3" i="8"/>
  <c r="R3" i="8"/>
  <c r="F3" i="8"/>
  <c r="AC2" i="8"/>
  <c r="Y2" i="8"/>
  <c r="U2" i="8"/>
  <c r="Q2" i="8"/>
  <c r="M2" i="8"/>
  <c r="P10" i="1" s="1"/>
  <c r="I2" i="8"/>
  <c r="M10" i="1" s="1"/>
  <c r="E2" i="8"/>
  <c r="J10" i="1" s="1"/>
  <c r="K6" i="22" l="1"/>
  <c r="I42" i="55" s="1"/>
  <c r="I65" i="55"/>
  <c r="X12" i="55"/>
  <c r="P11" i="55"/>
  <c r="AB12" i="55"/>
  <c r="D11" i="55"/>
  <c r="F2" i="9"/>
  <c r="T12" i="55"/>
  <c r="X11" i="55"/>
  <c r="K4" i="9"/>
  <c r="I36" i="55"/>
  <c r="M67" i="55"/>
  <c r="S3" i="74"/>
  <c r="Q23" i="4"/>
  <c r="K13" i="2"/>
  <c r="J13" i="2"/>
  <c r="X17" i="55"/>
  <c r="P3" i="2"/>
  <c r="T15" i="55"/>
  <c r="AB17" i="55"/>
  <c r="X15" i="55"/>
  <c r="G5" i="64"/>
  <c r="S3" i="2"/>
  <c r="AB15" i="55"/>
  <c r="J4" i="2"/>
  <c r="P15" i="55"/>
  <c r="G4" i="11"/>
  <c r="T17" i="55"/>
  <c r="J3" i="2"/>
  <c r="P17" i="55"/>
  <c r="Q17" i="2"/>
  <c r="R17" i="2" s="1"/>
  <c r="Q23" i="2"/>
  <c r="R23" i="2" s="1"/>
  <c r="J45" i="55"/>
  <c r="J46" i="55"/>
  <c r="J43" i="55"/>
  <c r="Q13" i="2"/>
  <c r="R13" i="2" s="1"/>
  <c r="Q21" i="2"/>
  <c r="R21" i="2" s="1"/>
  <c r="Q8" i="1"/>
  <c r="K5" i="18"/>
  <c r="I26" i="55"/>
  <c r="M6" i="16"/>
  <c r="K18" i="2"/>
  <c r="O5" i="24"/>
  <c r="I33" i="55"/>
  <c r="V8" i="24"/>
  <c r="K17" i="2"/>
  <c r="I47" i="55"/>
  <c r="N7" i="19"/>
  <c r="P30" i="2"/>
  <c r="J38" i="55"/>
  <c r="J36" i="55"/>
  <c r="R8" i="28"/>
  <c r="I38" i="55"/>
  <c r="R7" i="16"/>
  <c r="N7" i="8"/>
  <c r="O4" i="26"/>
  <c r="M55" i="55" s="1"/>
  <c r="K3" i="18"/>
  <c r="K3" i="29"/>
  <c r="I63" i="55" s="1"/>
  <c r="O3" i="31"/>
  <c r="I37" i="55"/>
  <c r="R9" i="23"/>
  <c r="I44" i="55"/>
  <c r="I50" i="55"/>
  <c r="R8" i="26"/>
  <c r="O6" i="23"/>
  <c r="I54" i="55"/>
  <c r="I27" i="55"/>
  <c r="I28" i="55"/>
  <c r="E30" i="55"/>
  <c r="K4" i="18"/>
  <c r="I41" i="55"/>
  <c r="K3" i="22"/>
  <c r="I39" i="55" s="1"/>
  <c r="I40" i="55"/>
  <c r="I6" i="55"/>
  <c r="I7" i="55"/>
  <c r="J23" i="4"/>
  <c r="L5" i="45" s="1"/>
  <c r="J62" i="55"/>
  <c r="J61" i="55"/>
  <c r="J60" i="55"/>
  <c r="K64" i="55"/>
  <c r="K85" i="55" s="1"/>
  <c r="M2" i="29"/>
  <c r="J65" i="55"/>
  <c r="V6" i="30"/>
  <c r="Q5" i="30"/>
  <c r="R5" i="30" s="1"/>
  <c r="J50" i="55"/>
  <c r="R9" i="25"/>
  <c r="O5" i="25"/>
  <c r="O4" i="25"/>
  <c r="V8" i="27"/>
  <c r="J57" i="55"/>
  <c r="J58" i="55"/>
  <c r="J59" i="55"/>
  <c r="L11" i="55"/>
  <c r="N2" i="9"/>
  <c r="I2" i="29"/>
  <c r="J33" i="55"/>
  <c r="N19" i="2"/>
  <c r="O19" i="2" s="1"/>
  <c r="J32" i="55"/>
  <c r="S14" i="1"/>
  <c r="M6" i="10"/>
  <c r="P14" i="1"/>
  <c r="J14" i="1"/>
  <c r="M14" i="1"/>
  <c r="L9" i="55"/>
  <c r="F6" i="10"/>
  <c r="X13" i="55"/>
  <c r="T14" i="55"/>
  <c r="AB13" i="55"/>
  <c r="P13" i="55"/>
  <c r="X14" i="55"/>
  <c r="T13" i="55"/>
  <c r="AB14" i="55"/>
  <c r="K23" i="4"/>
  <c r="M5" i="45" s="1"/>
  <c r="J35" i="55"/>
  <c r="N21" i="2"/>
  <c r="J5" i="2"/>
  <c r="P5" i="2"/>
  <c r="M5" i="2"/>
  <c r="S5" i="2"/>
  <c r="D18" i="55"/>
  <c r="P8" i="1"/>
  <c r="S8" i="1"/>
  <c r="K4" i="7"/>
  <c r="O4" i="7" s="1"/>
  <c r="J6" i="55"/>
  <c r="M8" i="1"/>
  <c r="J7" i="1"/>
  <c r="AC80" i="55"/>
  <c r="N23" i="4"/>
  <c r="O5" i="45" s="1"/>
  <c r="G63" i="55"/>
  <c r="O5" i="28"/>
  <c r="O5" i="23"/>
  <c r="N17" i="2"/>
  <c r="N15" i="2"/>
  <c r="O15" i="2" s="1"/>
  <c r="N13" i="2"/>
  <c r="O13" i="2" s="1"/>
  <c r="N8" i="1"/>
  <c r="J64" i="55"/>
  <c r="P8" i="4"/>
  <c r="M7" i="4"/>
  <c r="R7" i="29"/>
  <c r="O5" i="26"/>
  <c r="P36" i="2"/>
  <c r="R36" i="2" s="1"/>
  <c r="M53" i="55"/>
  <c r="E40" i="55"/>
  <c r="K26" i="2"/>
  <c r="N25" i="2"/>
  <c r="K25" i="2"/>
  <c r="J25" i="2"/>
  <c r="E41" i="55"/>
  <c r="J42" i="55"/>
  <c r="J41" i="55"/>
  <c r="J40" i="55"/>
  <c r="J37" i="55"/>
  <c r="J30" i="55"/>
  <c r="J27" i="55"/>
  <c r="J2" i="9"/>
  <c r="E31" i="55"/>
  <c r="J12" i="55"/>
  <c r="U8" i="26"/>
  <c r="Y6" i="30"/>
  <c r="H11" i="55"/>
  <c r="H14" i="55"/>
  <c r="E28" i="55"/>
  <c r="J28" i="55"/>
  <c r="O3" i="25"/>
  <c r="O3" i="24"/>
  <c r="I8" i="7"/>
  <c r="U8" i="20"/>
  <c r="R8" i="20"/>
  <c r="Z2" i="8"/>
  <c r="X9" i="55"/>
  <c r="AB19" i="55"/>
  <c r="AD2" i="8"/>
  <c r="AB9" i="55"/>
  <c r="Y9" i="30"/>
  <c r="V9" i="30"/>
  <c r="Y9" i="27"/>
  <c r="V9" i="27"/>
  <c r="N2" i="8"/>
  <c r="Q10" i="1" s="1"/>
  <c r="Q9" i="9"/>
  <c r="P19" i="55"/>
  <c r="R2" i="8"/>
  <c r="P9" i="55"/>
  <c r="Y8" i="30"/>
  <c r="V8" i="30"/>
  <c r="V2" i="8"/>
  <c r="T9" i="55"/>
  <c r="U8" i="19"/>
  <c r="R8" i="19"/>
  <c r="U10" i="22"/>
  <c r="R10" i="22"/>
  <c r="O4" i="27"/>
  <c r="U8" i="16"/>
  <c r="R8" i="16"/>
  <c r="U9" i="16"/>
  <c r="R9" i="16"/>
  <c r="U9" i="18"/>
  <c r="R9" i="18"/>
  <c r="U10" i="18"/>
  <c r="R10" i="18"/>
  <c r="Y9" i="29"/>
  <c r="V9" i="29"/>
  <c r="Z2" i="12"/>
  <c r="X18" i="55"/>
  <c r="J2" i="12"/>
  <c r="H18" i="55"/>
  <c r="V2" i="12"/>
  <c r="T18" i="55"/>
  <c r="AD2" i="12"/>
  <c r="AB18" i="55"/>
  <c r="N2" i="12"/>
  <c r="R2" i="12"/>
  <c r="P18" i="55"/>
  <c r="Y11" i="25"/>
  <c r="V11" i="25"/>
  <c r="Y12" i="25"/>
  <c r="V12" i="25"/>
  <c r="U7" i="29"/>
  <c r="U8" i="28"/>
  <c r="Q8" i="21"/>
  <c r="R2" i="9"/>
  <c r="P12" i="55"/>
  <c r="AD2" i="9"/>
  <c r="AB11" i="55"/>
  <c r="V2" i="9"/>
  <c r="T11" i="55"/>
  <c r="O3" i="26"/>
  <c r="U7" i="17"/>
  <c r="R7" i="17"/>
  <c r="K28" i="55"/>
  <c r="M2" i="17"/>
  <c r="U10" i="17"/>
  <c r="R10" i="17"/>
  <c r="S5" i="27"/>
  <c r="M59" i="55"/>
  <c r="J6" i="2"/>
  <c r="Q7" i="28"/>
  <c r="U10" i="28"/>
  <c r="R10" i="28"/>
  <c r="Y11" i="28"/>
  <c r="V11" i="28"/>
  <c r="Y9" i="28"/>
  <c r="V9" i="28"/>
  <c r="Y12" i="23"/>
  <c r="V12" i="23"/>
  <c r="Y14" i="23"/>
  <c r="V14" i="23"/>
  <c r="Y11" i="23"/>
  <c r="V11" i="23"/>
  <c r="Q8" i="10"/>
  <c r="G4" i="10"/>
  <c r="K4" i="10" s="1"/>
  <c r="I14" i="55" s="1"/>
  <c r="Y12" i="27"/>
  <c r="V12" i="27"/>
  <c r="Q13" i="21"/>
  <c r="O5" i="21"/>
  <c r="Q7" i="19"/>
  <c r="Q7" i="24"/>
  <c r="M6" i="19"/>
  <c r="J2" i="8"/>
  <c r="H9" i="55"/>
  <c r="R2" i="10"/>
  <c r="P14" i="55"/>
  <c r="Q13" i="22"/>
  <c r="Q14" i="22"/>
  <c r="U11" i="29"/>
  <c r="R11" i="29"/>
  <c r="Q14" i="18"/>
  <c r="U19" i="29"/>
  <c r="R19" i="29"/>
  <c r="M13" i="7"/>
  <c r="U18" i="29"/>
  <c r="R18" i="29"/>
  <c r="U11" i="26"/>
  <c r="R11" i="26"/>
  <c r="Q9" i="17"/>
  <c r="Q13" i="18"/>
  <c r="M18" i="2"/>
  <c r="O18" i="2" s="1"/>
  <c r="Q9" i="19"/>
  <c r="N9" i="19"/>
  <c r="Q12" i="18"/>
  <c r="U14" i="25"/>
  <c r="R14" i="25"/>
  <c r="U12" i="26"/>
  <c r="R12" i="26"/>
  <c r="U9" i="26"/>
  <c r="R9" i="26"/>
  <c r="U10" i="26"/>
  <c r="R10" i="26"/>
  <c r="Q12" i="16"/>
  <c r="U10" i="25"/>
  <c r="R10" i="25"/>
  <c r="M20" i="2"/>
  <c r="S6" i="25"/>
  <c r="U10" i="16"/>
  <c r="R10" i="16"/>
  <c r="U15" i="23"/>
  <c r="R15" i="23"/>
  <c r="U13" i="25"/>
  <c r="R13" i="25"/>
  <c r="Q11" i="16"/>
  <c r="N6" i="16"/>
  <c r="Q15" i="18"/>
  <c r="U13" i="28"/>
  <c r="R13" i="28"/>
  <c r="Q11" i="22"/>
  <c r="P34" i="2"/>
  <c r="R34" i="2" s="1"/>
  <c r="Q6" i="29"/>
  <c r="U14" i="28"/>
  <c r="R14" i="28"/>
  <c r="U10" i="23"/>
  <c r="R10" i="23"/>
  <c r="Q12" i="22"/>
  <c r="O4" i="22"/>
  <c r="U11" i="30"/>
  <c r="R11" i="30"/>
  <c r="M10" i="9"/>
  <c r="M26" i="2"/>
  <c r="O26" i="2" s="1"/>
  <c r="Q7" i="26"/>
  <c r="Q11" i="17"/>
  <c r="G39" i="55"/>
  <c r="I2" i="22"/>
  <c r="K7" i="2"/>
  <c r="L7" i="2" s="1"/>
  <c r="D19" i="55"/>
  <c r="I3" i="20"/>
  <c r="M22" i="2"/>
  <c r="O22" i="2" s="1"/>
  <c r="U9" i="20"/>
  <c r="R9" i="20"/>
  <c r="P28" i="2"/>
  <c r="R28" i="2" s="1"/>
  <c r="Y13" i="23"/>
  <c r="V13" i="23"/>
  <c r="Y10" i="29"/>
  <c r="V10" i="29"/>
  <c r="U16" i="27"/>
  <c r="R16" i="27"/>
  <c r="Q15" i="27"/>
  <c r="M7" i="27"/>
  <c r="Y12" i="28"/>
  <c r="V12" i="28"/>
  <c r="P6" i="4"/>
  <c r="O3" i="30"/>
  <c r="Y7" i="30"/>
  <c r="V7" i="30"/>
  <c r="M23" i="4"/>
  <c r="N5" i="45" s="1"/>
  <c r="P14" i="4"/>
  <c r="Y8" i="29"/>
  <c r="V8" i="29"/>
  <c r="Y11" i="27"/>
  <c r="V11" i="27"/>
  <c r="Y10" i="27"/>
  <c r="V10" i="27"/>
  <c r="E12" i="55"/>
  <c r="M16" i="2"/>
  <c r="O16" i="2" s="1"/>
  <c r="U8" i="17"/>
  <c r="R8" i="17"/>
  <c r="M14" i="2"/>
  <c r="O14" i="2" s="1"/>
  <c r="Q7" i="12"/>
  <c r="Q12" i="12"/>
  <c r="Q14" i="12"/>
  <c r="Q9" i="10"/>
  <c r="Q15" i="10"/>
  <c r="Q10" i="10"/>
  <c r="Q20" i="7"/>
  <c r="F2" i="8"/>
  <c r="K10" i="1" s="1"/>
  <c r="D9" i="55"/>
  <c r="O4" i="28"/>
  <c r="O3" i="28"/>
  <c r="Y14" i="27"/>
  <c r="V14" i="27"/>
  <c r="U10" i="24"/>
  <c r="R10" i="24"/>
  <c r="U9" i="24"/>
  <c r="R9" i="24"/>
  <c r="E5" i="55"/>
  <c r="O4" i="29"/>
  <c r="E39" i="55"/>
  <c r="O4" i="23"/>
  <c r="O3" i="23"/>
  <c r="E34" i="55"/>
  <c r="K3" i="19"/>
  <c r="E32" i="55"/>
  <c r="G29" i="55"/>
  <c r="I2" i="18"/>
  <c r="G25" i="55"/>
  <c r="M11" i="2"/>
  <c r="O11" i="2" s="1"/>
  <c r="H19" i="55"/>
  <c r="M10" i="11"/>
  <c r="M8" i="11"/>
  <c r="M9" i="11"/>
  <c r="J2" i="10"/>
  <c r="H13" i="55"/>
  <c r="F2" i="10"/>
  <c r="D13" i="55"/>
  <c r="Q9" i="21"/>
  <c r="E36" i="55"/>
  <c r="Q11" i="21"/>
  <c r="Q14" i="21"/>
  <c r="M24" i="2"/>
  <c r="O24" i="2" s="1"/>
  <c r="Q12" i="21"/>
  <c r="E29" i="55"/>
  <c r="E26" i="55"/>
  <c r="E24" i="55"/>
  <c r="M12" i="2"/>
  <c r="O12" i="2" s="1"/>
  <c r="M10" i="2"/>
  <c r="O10" i="2" s="1"/>
  <c r="E22" i="55"/>
  <c r="S4" i="24"/>
  <c r="M48" i="55"/>
  <c r="O4" i="21"/>
  <c r="O4" i="19"/>
  <c r="O6" i="7"/>
  <c r="O5" i="7"/>
  <c r="E16" i="55"/>
  <c r="M12" i="11"/>
  <c r="G3" i="11"/>
  <c r="G3" i="12"/>
  <c r="F2" i="12"/>
  <c r="F8" i="7"/>
  <c r="G3" i="10"/>
  <c r="K3" i="10" s="1"/>
  <c r="I13" i="55" s="1"/>
  <c r="Q5" i="31"/>
  <c r="Y8" i="28"/>
  <c r="Y8" i="27"/>
  <c r="Q8" i="25"/>
  <c r="U9" i="25"/>
  <c r="Y8" i="24"/>
  <c r="Q8" i="23"/>
  <c r="U9" i="23"/>
  <c r="M8" i="22"/>
  <c r="Q9" i="22"/>
  <c r="M7" i="21"/>
  <c r="M6" i="20"/>
  <c r="Q7" i="20"/>
  <c r="U7" i="19"/>
  <c r="M7" i="18"/>
  <c r="Q8" i="18"/>
  <c r="M5" i="17"/>
  <c r="Q6" i="17"/>
  <c r="U7" i="16"/>
  <c r="K8" i="2"/>
  <c r="L8" i="2" s="1"/>
  <c r="F5" i="12"/>
  <c r="M5" i="12"/>
  <c r="Q6" i="12"/>
  <c r="F6" i="11"/>
  <c r="V2" i="11"/>
  <c r="Z2" i="11"/>
  <c r="I6" i="11"/>
  <c r="AD2" i="11"/>
  <c r="F2" i="11"/>
  <c r="J2" i="11"/>
  <c r="N2" i="11"/>
  <c r="R2" i="11"/>
  <c r="AD2" i="10"/>
  <c r="V2" i="10"/>
  <c r="N2" i="10"/>
  <c r="Z2" i="10"/>
  <c r="G3" i="7"/>
  <c r="K3" i="7" s="1"/>
  <c r="G3" i="9"/>
  <c r="Z2" i="9"/>
  <c r="K12" i="1"/>
  <c r="F7" i="9"/>
  <c r="K11" i="1" s="1"/>
  <c r="I7" i="9"/>
  <c r="M8" i="9"/>
  <c r="G3" i="8"/>
  <c r="F6" i="8"/>
  <c r="K9" i="1" s="1"/>
  <c r="M6" i="8"/>
  <c r="I6" i="8"/>
  <c r="Q7" i="8"/>
  <c r="K8" i="1"/>
  <c r="J8" i="1"/>
  <c r="J5" i="1"/>
  <c r="K5" i="1"/>
  <c r="AD19" i="2"/>
  <c r="AA19" i="2"/>
  <c r="X19" i="2"/>
  <c r="U19" i="2"/>
  <c r="R19" i="2"/>
  <c r="L19" i="2"/>
  <c r="AD15" i="2"/>
  <c r="AA15" i="2"/>
  <c r="X15" i="2"/>
  <c r="U15" i="2"/>
  <c r="L15" i="2"/>
  <c r="AD3" i="2"/>
  <c r="AA3" i="2"/>
  <c r="X3" i="2"/>
  <c r="U3" i="2"/>
  <c r="AD36" i="2"/>
  <c r="AA36" i="2"/>
  <c r="X36" i="2"/>
  <c r="O36" i="2"/>
  <c r="L36" i="2"/>
  <c r="AD35" i="2"/>
  <c r="AA35" i="2"/>
  <c r="X35" i="2"/>
  <c r="U35" i="2"/>
  <c r="R35" i="2"/>
  <c r="O35" i="2"/>
  <c r="L35" i="2"/>
  <c r="AD34" i="2"/>
  <c r="AA34" i="2"/>
  <c r="X34" i="2"/>
  <c r="O34" i="2"/>
  <c r="L34" i="2"/>
  <c r="AD33" i="2"/>
  <c r="AA33" i="2"/>
  <c r="X33" i="2"/>
  <c r="U33" i="2"/>
  <c r="R33" i="2"/>
  <c r="O33" i="2"/>
  <c r="L33" i="2"/>
  <c r="AD30" i="2"/>
  <c r="AA30" i="2"/>
  <c r="X30" i="2"/>
  <c r="R30" i="2"/>
  <c r="O30" i="2"/>
  <c r="L30" i="2"/>
  <c r="AD29" i="2"/>
  <c r="AA29" i="2"/>
  <c r="X29" i="2"/>
  <c r="U29" i="2"/>
  <c r="R29" i="2"/>
  <c r="O29" i="2"/>
  <c r="L29" i="2"/>
  <c r="AD28" i="2"/>
  <c r="AA28" i="2"/>
  <c r="X28" i="2"/>
  <c r="O28" i="2"/>
  <c r="L28" i="2"/>
  <c r="AD27" i="2"/>
  <c r="AA27" i="2"/>
  <c r="X27" i="2"/>
  <c r="U27" i="2"/>
  <c r="R27" i="2"/>
  <c r="O27" i="2"/>
  <c r="L27" i="2"/>
  <c r="AD26" i="2"/>
  <c r="AA26" i="2"/>
  <c r="X26" i="2"/>
  <c r="L26" i="2"/>
  <c r="AD25" i="2"/>
  <c r="AA25" i="2"/>
  <c r="X25" i="2"/>
  <c r="U25" i="2"/>
  <c r="R25" i="2"/>
  <c r="L25" i="2"/>
  <c r="AD24" i="2"/>
  <c r="AA24" i="2"/>
  <c r="X24" i="2"/>
  <c r="L24" i="2"/>
  <c r="AD23" i="2"/>
  <c r="AA23" i="2"/>
  <c r="X23" i="2"/>
  <c r="U23" i="2"/>
  <c r="L23" i="2"/>
  <c r="AD22" i="2"/>
  <c r="AA22" i="2"/>
  <c r="X22" i="2"/>
  <c r="L22" i="2"/>
  <c r="AD21" i="2"/>
  <c r="AA21" i="2"/>
  <c r="X21" i="2"/>
  <c r="U21" i="2"/>
  <c r="L21" i="2"/>
  <c r="AD20" i="2"/>
  <c r="AA20" i="2"/>
  <c r="X20" i="2"/>
  <c r="O20" i="2"/>
  <c r="L20" i="2"/>
  <c r="AD18" i="2"/>
  <c r="AA18" i="2"/>
  <c r="X18" i="2"/>
  <c r="L18" i="2"/>
  <c r="AD17" i="2"/>
  <c r="AA17" i="2"/>
  <c r="X17" i="2"/>
  <c r="U17" i="2"/>
  <c r="L17" i="2"/>
  <c r="AD16" i="2"/>
  <c r="AA16" i="2"/>
  <c r="X16" i="2"/>
  <c r="L16" i="2"/>
  <c r="AD14" i="2"/>
  <c r="AA14" i="2"/>
  <c r="X14" i="2"/>
  <c r="L14" i="2"/>
  <c r="AD13" i="2"/>
  <c r="AA13" i="2"/>
  <c r="X13" i="2"/>
  <c r="U13" i="2"/>
  <c r="L13" i="2"/>
  <c r="AD12" i="2"/>
  <c r="AA12" i="2"/>
  <c r="X12" i="2"/>
  <c r="U12" i="2"/>
  <c r="L12" i="2"/>
  <c r="AD11" i="2"/>
  <c r="AA11" i="2"/>
  <c r="X11" i="2"/>
  <c r="U11" i="2"/>
  <c r="R11" i="2"/>
  <c r="L11" i="2"/>
  <c r="AD10" i="2"/>
  <c r="AA10" i="2"/>
  <c r="X10" i="2"/>
  <c r="U10" i="2"/>
  <c r="L10" i="2"/>
  <c r="AD9" i="2"/>
  <c r="AA9" i="2"/>
  <c r="X9" i="2"/>
  <c r="U9" i="2"/>
  <c r="R9" i="2"/>
  <c r="O9" i="2"/>
  <c r="L9" i="2"/>
  <c r="AD8" i="2"/>
  <c r="AA8" i="2"/>
  <c r="X8" i="2"/>
  <c r="U8" i="2"/>
  <c r="AD7" i="2"/>
  <c r="AA7" i="2"/>
  <c r="X7" i="2"/>
  <c r="U7" i="2"/>
  <c r="R7" i="2"/>
  <c r="O7" i="2"/>
  <c r="AD5" i="2"/>
  <c r="AA5" i="2"/>
  <c r="X5" i="2"/>
  <c r="U5" i="2"/>
  <c r="AD4" i="2"/>
  <c r="AA4" i="2"/>
  <c r="X4" i="2"/>
  <c r="I12" i="55" l="1"/>
  <c r="K3" i="9"/>
  <c r="K4" i="11"/>
  <c r="E17" i="55"/>
  <c r="K5" i="64"/>
  <c r="M49" i="55"/>
  <c r="Q67" i="55"/>
  <c r="W3" i="74"/>
  <c r="I31" i="55"/>
  <c r="O5" i="18"/>
  <c r="J26" i="55"/>
  <c r="Q12" i="1"/>
  <c r="K3" i="11"/>
  <c r="Q3" i="2"/>
  <c r="R3" i="2" s="1"/>
  <c r="K4" i="2"/>
  <c r="L4" i="2" s="1"/>
  <c r="K3" i="2"/>
  <c r="L3" i="2" s="1"/>
  <c r="M46" i="55"/>
  <c r="Q14" i="1"/>
  <c r="Q14" i="2"/>
  <c r="N8" i="7"/>
  <c r="Q7" i="1" s="1"/>
  <c r="Q5" i="2"/>
  <c r="M62" i="55"/>
  <c r="S4" i="26"/>
  <c r="O3" i="12"/>
  <c r="O4" i="9"/>
  <c r="R7" i="20"/>
  <c r="K3" i="20"/>
  <c r="R13" i="16"/>
  <c r="O4" i="16"/>
  <c r="M27" i="55" s="1"/>
  <c r="V7" i="19"/>
  <c r="S6" i="23"/>
  <c r="M17" i="2"/>
  <c r="O17" i="2" s="1"/>
  <c r="S5" i="24"/>
  <c r="R8" i="21"/>
  <c r="R7" i="24"/>
  <c r="S30" i="2"/>
  <c r="U30" i="2" s="1"/>
  <c r="V8" i="28"/>
  <c r="S16" i="4"/>
  <c r="O3" i="8"/>
  <c r="Z8" i="24"/>
  <c r="V7" i="16"/>
  <c r="R7" i="19"/>
  <c r="I30" i="55"/>
  <c r="O4" i="18"/>
  <c r="I4" i="55"/>
  <c r="O3" i="16"/>
  <c r="R6" i="17"/>
  <c r="Z8" i="28"/>
  <c r="I32" i="55"/>
  <c r="V8" i="26"/>
  <c r="J29" i="55"/>
  <c r="R8" i="23"/>
  <c r="S28" i="2"/>
  <c r="U28" i="2" s="1"/>
  <c r="P20" i="2"/>
  <c r="R20" i="2" s="1"/>
  <c r="R7" i="28"/>
  <c r="S6" i="4"/>
  <c r="O5" i="22"/>
  <c r="M41" i="55" s="1"/>
  <c r="R7" i="8"/>
  <c r="R8" i="18"/>
  <c r="V9" i="23"/>
  <c r="U13" i="21"/>
  <c r="O3" i="10"/>
  <c r="O4" i="10"/>
  <c r="O3" i="17"/>
  <c r="O3" i="18"/>
  <c r="I29" i="55"/>
  <c r="O3" i="21"/>
  <c r="I5" i="55"/>
  <c r="K13" i="1"/>
  <c r="M51" i="55"/>
  <c r="M52" i="55"/>
  <c r="S5" i="25"/>
  <c r="P7" i="4"/>
  <c r="U5" i="30"/>
  <c r="V5" i="30" s="1"/>
  <c r="Z6" i="30"/>
  <c r="S5" i="28"/>
  <c r="V9" i="25"/>
  <c r="S4" i="25"/>
  <c r="M47" i="55"/>
  <c r="S3" i="24"/>
  <c r="N10" i="1"/>
  <c r="O3" i="27"/>
  <c r="Z8" i="27"/>
  <c r="P15" i="2"/>
  <c r="R15" i="2" s="1"/>
  <c r="J63" i="55"/>
  <c r="S5" i="23"/>
  <c r="M45" i="55"/>
  <c r="K14" i="1"/>
  <c r="O3" i="29"/>
  <c r="J37" i="2"/>
  <c r="L4" i="45" s="1"/>
  <c r="R6" i="12"/>
  <c r="K6" i="2"/>
  <c r="L6" i="2" s="1"/>
  <c r="K5" i="2"/>
  <c r="L5" i="2" s="1"/>
  <c r="K7" i="1"/>
  <c r="J5" i="55"/>
  <c r="J16" i="55"/>
  <c r="N5" i="2"/>
  <c r="O5" i="2" s="1"/>
  <c r="O5" i="64"/>
  <c r="N3" i="2"/>
  <c r="M65" i="55"/>
  <c r="N14" i="1"/>
  <c r="M61" i="55"/>
  <c r="M43" i="55"/>
  <c r="M38" i="55"/>
  <c r="R6" i="29"/>
  <c r="S8" i="4"/>
  <c r="V7" i="29"/>
  <c r="V12" i="29"/>
  <c r="R5" i="31"/>
  <c r="S14" i="4"/>
  <c r="M58" i="55"/>
  <c r="M56" i="55"/>
  <c r="R7" i="26"/>
  <c r="S36" i="2"/>
  <c r="U36" i="2" s="1"/>
  <c r="M54" i="55"/>
  <c r="S5" i="26"/>
  <c r="R8" i="25"/>
  <c r="S34" i="2"/>
  <c r="U34" i="2" s="1"/>
  <c r="W6" i="25"/>
  <c r="M50" i="55"/>
  <c r="R9" i="22"/>
  <c r="M25" i="2"/>
  <c r="O25" i="2" s="1"/>
  <c r="J39" i="55"/>
  <c r="O6" i="22"/>
  <c r="J31" i="55"/>
  <c r="J17" i="55"/>
  <c r="J11" i="55"/>
  <c r="J9" i="55"/>
  <c r="Y7" i="29"/>
  <c r="AC7" i="29" s="1"/>
  <c r="Y8" i="26"/>
  <c r="J15" i="1"/>
  <c r="L3" i="45" s="1"/>
  <c r="AC6" i="30"/>
  <c r="AD6" i="30" s="1"/>
  <c r="E14" i="55"/>
  <c r="N12" i="1"/>
  <c r="U8" i="21"/>
  <c r="S3" i="25"/>
  <c r="U7" i="24"/>
  <c r="E11" i="55"/>
  <c r="U9" i="9"/>
  <c r="R9" i="9"/>
  <c r="AC8" i="30"/>
  <c r="Z8" i="30"/>
  <c r="Y10" i="22"/>
  <c r="V10" i="22"/>
  <c r="AC9" i="27"/>
  <c r="Z9" i="27"/>
  <c r="Y8" i="19"/>
  <c r="V8" i="19"/>
  <c r="AC9" i="30"/>
  <c r="Z9" i="30"/>
  <c r="Y8" i="20"/>
  <c r="V8" i="20"/>
  <c r="S3" i="28"/>
  <c r="S4" i="27"/>
  <c r="Y9" i="16"/>
  <c r="V9" i="16"/>
  <c r="Y8" i="16"/>
  <c r="V8" i="16"/>
  <c r="Y10" i="18"/>
  <c r="V10" i="18"/>
  <c r="Y9" i="18"/>
  <c r="V9" i="18"/>
  <c r="AC9" i="29"/>
  <c r="Z9" i="29"/>
  <c r="AC11" i="25"/>
  <c r="Z11" i="25"/>
  <c r="AC12" i="25"/>
  <c r="Z12" i="25"/>
  <c r="R13" i="21"/>
  <c r="P14" i="2"/>
  <c r="S3" i="26"/>
  <c r="E9" i="55"/>
  <c r="Y10" i="17"/>
  <c r="V10" i="17"/>
  <c r="Y7" i="17"/>
  <c r="V7" i="17"/>
  <c r="R13" i="10"/>
  <c r="R14" i="10"/>
  <c r="W5" i="27"/>
  <c r="Q59" i="55"/>
  <c r="AC11" i="28"/>
  <c r="Z11" i="28"/>
  <c r="AC9" i="28"/>
  <c r="Z9" i="28"/>
  <c r="Y10" i="28"/>
  <c r="V10" i="28"/>
  <c r="AC14" i="23"/>
  <c r="Z14" i="23"/>
  <c r="AC11" i="23"/>
  <c r="Z11" i="23"/>
  <c r="AC12" i="23"/>
  <c r="Z12" i="23"/>
  <c r="U8" i="10"/>
  <c r="R8" i="10"/>
  <c r="AC12" i="27"/>
  <c r="Z12" i="27"/>
  <c r="Q6" i="19"/>
  <c r="M8" i="2"/>
  <c r="O8" i="2" s="1"/>
  <c r="Q6" i="16"/>
  <c r="U7" i="26"/>
  <c r="U6" i="29"/>
  <c r="S4" i="29"/>
  <c r="N6" i="19"/>
  <c r="U7" i="28"/>
  <c r="M8" i="7"/>
  <c r="Q9" i="7"/>
  <c r="P12" i="2"/>
  <c r="R12" i="2" s="1"/>
  <c r="U14" i="18"/>
  <c r="R14" i="18"/>
  <c r="P18" i="2"/>
  <c r="R18" i="2" s="1"/>
  <c r="Q16" i="7"/>
  <c r="Q11" i="7"/>
  <c r="U12" i="22"/>
  <c r="R12" i="22"/>
  <c r="U11" i="16"/>
  <c r="R11" i="16"/>
  <c r="Y10" i="25"/>
  <c r="V10" i="25"/>
  <c r="Y9" i="26"/>
  <c r="V9" i="26"/>
  <c r="U9" i="19"/>
  <c r="R9" i="19"/>
  <c r="U13" i="18"/>
  <c r="R13" i="18"/>
  <c r="P26" i="2"/>
  <c r="R26" i="2" s="1"/>
  <c r="U15" i="18"/>
  <c r="R15" i="18"/>
  <c r="Q13" i="7"/>
  <c r="Y11" i="29"/>
  <c r="V11" i="29"/>
  <c r="U11" i="17"/>
  <c r="R11" i="17"/>
  <c r="Q12" i="7"/>
  <c r="Q10" i="7"/>
  <c r="Y10" i="23"/>
  <c r="V10" i="23"/>
  <c r="Y13" i="25"/>
  <c r="V13" i="25"/>
  <c r="Y12" i="26"/>
  <c r="V12" i="26"/>
  <c r="U9" i="17"/>
  <c r="R9" i="17"/>
  <c r="Q53" i="55"/>
  <c r="U14" i="22"/>
  <c r="R14" i="22"/>
  <c r="Y13" i="28"/>
  <c r="V13" i="28"/>
  <c r="M11" i="1"/>
  <c r="Q10" i="9"/>
  <c r="Y14" i="28"/>
  <c r="V14" i="28"/>
  <c r="Q15" i="7"/>
  <c r="Y15" i="23"/>
  <c r="V15" i="23"/>
  <c r="U12" i="16"/>
  <c r="R12" i="16"/>
  <c r="Y14" i="25"/>
  <c r="V14" i="25"/>
  <c r="Y11" i="26"/>
  <c r="V11" i="26"/>
  <c r="P9" i="1"/>
  <c r="N6" i="8"/>
  <c r="U11" i="22"/>
  <c r="R11" i="22"/>
  <c r="Y19" i="29"/>
  <c r="V19" i="29"/>
  <c r="U13" i="22"/>
  <c r="R13" i="22"/>
  <c r="M9" i="1"/>
  <c r="P24" i="2"/>
  <c r="R24" i="2" s="1"/>
  <c r="Y11" i="30"/>
  <c r="V11" i="30"/>
  <c r="Q14" i="7"/>
  <c r="Y10" i="16"/>
  <c r="V10" i="16"/>
  <c r="Y10" i="26"/>
  <c r="V10" i="26"/>
  <c r="U12" i="18"/>
  <c r="R12" i="18"/>
  <c r="Y18" i="29"/>
  <c r="V18" i="29"/>
  <c r="S3" i="30"/>
  <c r="E19" i="55"/>
  <c r="Y9" i="20"/>
  <c r="V9" i="20"/>
  <c r="P22" i="2"/>
  <c r="R22" i="2" s="1"/>
  <c r="G34" i="55"/>
  <c r="I2" i="20"/>
  <c r="AC13" i="23"/>
  <c r="Z13" i="23"/>
  <c r="AC10" i="29"/>
  <c r="Z10" i="29"/>
  <c r="P4" i="4"/>
  <c r="U15" i="27"/>
  <c r="R15" i="27"/>
  <c r="Q7" i="27"/>
  <c r="Y16" i="27"/>
  <c r="V16" i="27"/>
  <c r="AC12" i="28"/>
  <c r="Z12" i="28"/>
  <c r="AC7" i="30"/>
  <c r="Z7" i="30"/>
  <c r="AC8" i="29"/>
  <c r="Z8" i="29"/>
  <c r="AC11" i="27"/>
  <c r="Z11" i="27"/>
  <c r="AC10" i="27"/>
  <c r="Z10" i="27"/>
  <c r="P16" i="2"/>
  <c r="R16" i="2" s="1"/>
  <c r="Y8" i="17"/>
  <c r="V8" i="17"/>
  <c r="U7" i="12"/>
  <c r="R7" i="12"/>
  <c r="U12" i="12"/>
  <c r="R12" i="12"/>
  <c r="P6" i="2"/>
  <c r="R6" i="2" s="1"/>
  <c r="U14" i="12"/>
  <c r="R14" i="12"/>
  <c r="U9" i="10"/>
  <c r="R9" i="10"/>
  <c r="U15" i="10"/>
  <c r="R12" i="10"/>
  <c r="R15" i="10"/>
  <c r="M13" i="1"/>
  <c r="U10" i="10"/>
  <c r="R10" i="10"/>
  <c r="U20" i="7"/>
  <c r="R20" i="7"/>
  <c r="M7" i="1"/>
  <c r="M64" i="55"/>
  <c r="P10" i="2"/>
  <c r="R10" i="2" s="1"/>
  <c r="M60" i="55"/>
  <c r="S4" i="28"/>
  <c r="AC14" i="27"/>
  <c r="Z14" i="27"/>
  <c r="Y9" i="24"/>
  <c r="V9" i="24"/>
  <c r="Y10" i="24"/>
  <c r="V10" i="24"/>
  <c r="M6" i="2"/>
  <c r="O6" i="2" s="1"/>
  <c r="S3" i="23"/>
  <c r="S3" i="31"/>
  <c r="E4" i="55"/>
  <c r="O3" i="22"/>
  <c r="S4" i="23"/>
  <c r="M44" i="55"/>
  <c r="O3" i="19"/>
  <c r="M25" i="55"/>
  <c r="E18" i="55"/>
  <c r="M4" i="2"/>
  <c r="O4" i="2" s="1"/>
  <c r="Q12" i="11"/>
  <c r="Q8" i="11"/>
  <c r="M6" i="11"/>
  <c r="Q9" i="11"/>
  <c r="Q10" i="11"/>
  <c r="E13" i="55"/>
  <c r="U11" i="21"/>
  <c r="R11" i="21"/>
  <c r="Q7" i="21"/>
  <c r="U12" i="21"/>
  <c r="R12" i="21"/>
  <c r="G36" i="55"/>
  <c r="I2" i="21"/>
  <c r="M23" i="2" s="1"/>
  <c r="Y13" i="21"/>
  <c r="V13" i="21"/>
  <c r="U14" i="21"/>
  <c r="R14" i="21"/>
  <c r="U9" i="21"/>
  <c r="R9" i="21"/>
  <c r="M24" i="55"/>
  <c r="W4" i="24"/>
  <c r="Q48" i="55"/>
  <c r="S4" i="22"/>
  <c r="M40" i="55"/>
  <c r="S4" i="21"/>
  <c r="M37" i="55"/>
  <c r="S4" i="20"/>
  <c r="M35" i="55"/>
  <c r="S4" i="19"/>
  <c r="M33" i="55"/>
  <c r="M20" i="55"/>
  <c r="S6" i="7"/>
  <c r="M7" i="55"/>
  <c r="S5" i="7"/>
  <c r="M6" i="55"/>
  <c r="S4" i="7"/>
  <c r="M5" i="55"/>
  <c r="I2" i="11"/>
  <c r="G15" i="55"/>
  <c r="E15" i="55"/>
  <c r="H21" i="55"/>
  <c r="U5" i="31"/>
  <c r="AC8" i="28"/>
  <c r="AC8" i="27"/>
  <c r="AC8" i="26"/>
  <c r="Y9" i="25"/>
  <c r="U8" i="25"/>
  <c r="AC8" i="24"/>
  <c r="Y9" i="23"/>
  <c r="U8" i="23"/>
  <c r="Q8" i="22"/>
  <c r="U9" i="22"/>
  <c r="Y8" i="21"/>
  <c r="Q6" i="20"/>
  <c r="U7" i="20"/>
  <c r="Y7" i="19"/>
  <c r="Q7" i="18"/>
  <c r="U8" i="18"/>
  <c r="Q5" i="17"/>
  <c r="U6" i="17"/>
  <c r="Y7" i="16"/>
  <c r="Q5" i="12"/>
  <c r="U6" i="12"/>
  <c r="Q7" i="11"/>
  <c r="Q7" i="10"/>
  <c r="M7" i="9"/>
  <c r="Q8" i="9"/>
  <c r="Q6" i="8"/>
  <c r="U7" i="8"/>
  <c r="I11" i="55" l="1"/>
  <c r="M12" i="55"/>
  <c r="I15" i="55"/>
  <c r="I16" i="55"/>
  <c r="I17" i="55"/>
  <c r="G85" i="55"/>
  <c r="Q49" i="55"/>
  <c r="Q47" i="55"/>
  <c r="U67" i="55"/>
  <c r="AA3" i="74"/>
  <c r="S4" i="18"/>
  <c r="W4" i="18" s="1"/>
  <c r="J15" i="55"/>
  <c r="L37" i="2"/>
  <c r="R14" i="2"/>
  <c r="Q37" i="2"/>
  <c r="R5" i="2"/>
  <c r="Q55" i="55"/>
  <c r="Q46" i="55"/>
  <c r="M30" i="55"/>
  <c r="Z9" i="23"/>
  <c r="V7" i="20"/>
  <c r="R6" i="20"/>
  <c r="S22" i="2"/>
  <c r="U22" i="2" s="1"/>
  <c r="V13" i="16"/>
  <c r="U6" i="19"/>
  <c r="O3" i="7"/>
  <c r="V7" i="8"/>
  <c r="Z8" i="21"/>
  <c r="AD13" i="23"/>
  <c r="W6" i="23"/>
  <c r="W4" i="26"/>
  <c r="U55" i="55" s="1"/>
  <c r="J34" i="55"/>
  <c r="V6" i="17"/>
  <c r="M21" i="2"/>
  <c r="O21" i="2" s="1"/>
  <c r="R6" i="16"/>
  <c r="S14" i="2"/>
  <c r="U14" i="2" s="1"/>
  <c r="AD12" i="23"/>
  <c r="AD9" i="28"/>
  <c r="S5" i="21"/>
  <c r="R8" i="9"/>
  <c r="O4" i="11"/>
  <c r="I34" i="55"/>
  <c r="O3" i="20"/>
  <c r="M34" i="55" s="1"/>
  <c r="Z7" i="16"/>
  <c r="R6" i="8"/>
  <c r="S9" i="1"/>
  <c r="W5" i="24"/>
  <c r="V8" i="18"/>
  <c r="V8" i="23"/>
  <c r="Y7" i="24"/>
  <c r="R6" i="19"/>
  <c r="S20" i="2"/>
  <c r="U20" i="2" s="1"/>
  <c r="AD11" i="23"/>
  <c r="AD11" i="28"/>
  <c r="V7" i="24"/>
  <c r="S4" i="16"/>
  <c r="V7" i="28"/>
  <c r="Z8" i="26"/>
  <c r="O3" i="11"/>
  <c r="W3" i="24"/>
  <c r="R7" i="11"/>
  <c r="Z7" i="19"/>
  <c r="AD12" i="28"/>
  <c r="AD14" i="23"/>
  <c r="V8" i="21"/>
  <c r="Q52" i="55"/>
  <c r="Q51" i="55"/>
  <c r="R7" i="18"/>
  <c r="S18" i="2"/>
  <c r="U18" i="2" s="1"/>
  <c r="P23" i="4"/>
  <c r="P5" i="45" s="1"/>
  <c r="K15" i="1"/>
  <c r="M3" i="45" s="1"/>
  <c r="Q62" i="55"/>
  <c r="W5" i="23"/>
  <c r="Q45" i="55"/>
  <c r="M63" i="55"/>
  <c r="S3" i="29"/>
  <c r="W3" i="29" s="1"/>
  <c r="M57" i="55"/>
  <c r="W5" i="28"/>
  <c r="AD9" i="30"/>
  <c r="Y5" i="30"/>
  <c r="AD8" i="30"/>
  <c r="AD12" i="25"/>
  <c r="W5" i="25"/>
  <c r="W4" i="25"/>
  <c r="Z9" i="25"/>
  <c r="AD10" i="27"/>
  <c r="S3" i="27"/>
  <c r="AD11" i="27"/>
  <c r="AD14" i="27"/>
  <c r="AD8" i="27"/>
  <c r="AD9" i="27"/>
  <c r="N6" i="10"/>
  <c r="J13" i="55"/>
  <c r="J14" i="55"/>
  <c r="K37" i="2"/>
  <c r="M4" i="45" s="1"/>
  <c r="R7" i="21"/>
  <c r="S24" i="2"/>
  <c r="U24" i="2" s="1"/>
  <c r="R5" i="17"/>
  <c r="S16" i="2"/>
  <c r="U16" i="2" s="1"/>
  <c r="V6" i="12"/>
  <c r="J4" i="55"/>
  <c r="P7" i="1"/>
  <c r="R9" i="7"/>
  <c r="S5" i="64"/>
  <c r="AD7" i="30"/>
  <c r="U53" i="55"/>
  <c r="AA6" i="25"/>
  <c r="M26" i="55"/>
  <c r="N15" i="1"/>
  <c r="O3" i="45" s="1"/>
  <c r="Q60" i="55"/>
  <c r="Q43" i="55"/>
  <c r="M42" i="55"/>
  <c r="M28" i="55"/>
  <c r="AD8" i="29"/>
  <c r="AD9" i="29"/>
  <c r="Z7" i="29"/>
  <c r="AD10" i="29"/>
  <c r="Z12" i="29"/>
  <c r="Q64" i="55"/>
  <c r="V6" i="29"/>
  <c r="V5" i="31"/>
  <c r="R7" i="27"/>
  <c r="S4" i="4"/>
  <c r="S23" i="4" s="1"/>
  <c r="Q5" i="45" s="1"/>
  <c r="Q58" i="55"/>
  <c r="AD12" i="27"/>
  <c r="Q56" i="55"/>
  <c r="Q54" i="55"/>
  <c r="W5" i="26"/>
  <c r="V7" i="26"/>
  <c r="V8" i="25"/>
  <c r="AD11" i="25"/>
  <c r="Q50" i="55"/>
  <c r="S6" i="22"/>
  <c r="V9" i="22"/>
  <c r="R8" i="22"/>
  <c r="S26" i="2"/>
  <c r="U26" i="2" s="1"/>
  <c r="S5" i="22"/>
  <c r="M39" i="55"/>
  <c r="M31" i="55"/>
  <c r="M29" i="55"/>
  <c r="R5" i="12"/>
  <c r="S6" i="2"/>
  <c r="M3" i="2"/>
  <c r="O3" i="2" s="1"/>
  <c r="W3" i="25"/>
  <c r="W4" i="28"/>
  <c r="U9" i="7"/>
  <c r="W3" i="30"/>
  <c r="W3" i="28"/>
  <c r="AC8" i="20"/>
  <c r="Z8" i="20"/>
  <c r="AC10" i="22"/>
  <c r="Z10" i="22"/>
  <c r="AC8" i="19"/>
  <c r="Z8" i="19"/>
  <c r="Y9" i="9"/>
  <c r="V9" i="9"/>
  <c r="W4" i="27"/>
  <c r="AC8" i="16"/>
  <c r="Z8" i="16"/>
  <c r="AC9" i="16"/>
  <c r="Z9" i="16"/>
  <c r="AC9" i="18"/>
  <c r="Z9" i="18"/>
  <c r="AC10" i="18"/>
  <c r="Z10" i="18"/>
  <c r="W3" i="26"/>
  <c r="S5" i="18"/>
  <c r="M10" i="55"/>
  <c r="S4" i="8"/>
  <c r="W4" i="29"/>
  <c r="S3" i="16"/>
  <c r="AC7" i="17"/>
  <c r="Z7" i="17"/>
  <c r="AC10" i="17"/>
  <c r="Z10" i="17"/>
  <c r="S3" i="17"/>
  <c r="V14" i="10"/>
  <c r="V13" i="10"/>
  <c r="AA5" i="27"/>
  <c r="U59" i="55"/>
  <c r="AC10" i="28"/>
  <c r="Z10" i="28"/>
  <c r="Y8" i="10"/>
  <c r="V8" i="10"/>
  <c r="U6" i="16"/>
  <c r="Y6" i="29"/>
  <c r="Y7" i="26"/>
  <c r="U7" i="21"/>
  <c r="Y7" i="28"/>
  <c r="P13" i="1"/>
  <c r="AC10" i="25"/>
  <c r="Z10" i="25"/>
  <c r="M15" i="1"/>
  <c r="N3" i="45" s="1"/>
  <c r="AC19" i="29"/>
  <c r="Z19" i="29"/>
  <c r="AC11" i="26"/>
  <c r="Z11" i="26"/>
  <c r="Y9" i="17"/>
  <c r="V9" i="17"/>
  <c r="U10" i="7"/>
  <c r="R10" i="7"/>
  <c r="U13" i="7"/>
  <c r="R13" i="7"/>
  <c r="AC13" i="28"/>
  <c r="Z13" i="28"/>
  <c r="U16" i="7"/>
  <c r="R16" i="7"/>
  <c r="Y14" i="22"/>
  <c r="V14" i="22"/>
  <c r="Y13" i="18"/>
  <c r="V13" i="18"/>
  <c r="Y11" i="16"/>
  <c r="V11" i="16"/>
  <c r="AD7" i="29"/>
  <c r="Q8" i="7"/>
  <c r="AC18" i="29"/>
  <c r="Z18" i="29"/>
  <c r="AC10" i="16"/>
  <c r="Z10" i="16"/>
  <c r="Y11" i="22"/>
  <c r="V11" i="22"/>
  <c r="AC15" i="23"/>
  <c r="Z15" i="23"/>
  <c r="U10" i="9"/>
  <c r="R10" i="9"/>
  <c r="AC12" i="26"/>
  <c r="Z12" i="26"/>
  <c r="U12" i="7"/>
  <c r="R12" i="7"/>
  <c r="Y15" i="18"/>
  <c r="V15" i="18"/>
  <c r="Y9" i="19"/>
  <c r="V9" i="19"/>
  <c r="Y12" i="22"/>
  <c r="V12" i="22"/>
  <c r="P11" i="1"/>
  <c r="AD8" i="28"/>
  <c r="AD8" i="26"/>
  <c r="Y12" i="18"/>
  <c r="V12" i="18"/>
  <c r="U14" i="7"/>
  <c r="R14" i="7"/>
  <c r="AC14" i="25"/>
  <c r="Z14" i="25"/>
  <c r="U15" i="7"/>
  <c r="R15" i="7"/>
  <c r="AC13" i="25"/>
  <c r="Z13" i="25"/>
  <c r="Y11" i="17"/>
  <c r="V11" i="17"/>
  <c r="Y14" i="18"/>
  <c r="V14" i="18"/>
  <c r="AC9" i="26"/>
  <c r="Z9" i="26"/>
  <c r="U11" i="7"/>
  <c r="R11" i="7"/>
  <c r="Q6" i="10"/>
  <c r="R7" i="10"/>
  <c r="AC10" i="26"/>
  <c r="Z10" i="26"/>
  <c r="AC11" i="30"/>
  <c r="Z11" i="30"/>
  <c r="Y13" i="22"/>
  <c r="V13" i="22"/>
  <c r="Y12" i="16"/>
  <c r="V12" i="16"/>
  <c r="AC14" i="28"/>
  <c r="Z14" i="28"/>
  <c r="AC10" i="23"/>
  <c r="Z10" i="23"/>
  <c r="AC11" i="29"/>
  <c r="Z11" i="29"/>
  <c r="Q65" i="55"/>
  <c r="M19" i="55"/>
  <c r="E85" i="55"/>
  <c r="AC9" i="20"/>
  <c r="Z9" i="20"/>
  <c r="AC16" i="27"/>
  <c r="Z16" i="27"/>
  <c r="Y15" i="27"/>
  <c r="V15" i="27"/>
  <c r="U7" i="27"/>
  <c r="W3" i="31"/>
  <c r="AC8" i="17"/>
  <c r="Z8" i="17"/>
  <c r="U25" i="55"/>
  <c r="P8" i="2"/>
  <c r="R8" i="2" s="1"/>
  <c r="Y7" i="12"/>
  <c r="V7" i="12"/>
  <c r="Y12" i="12"/>
  <c r="V12" i="12"/>
  <c r="Y14" i="12"/>
  <c r="V14" i="12"/>
  <c r="Y9" i="10"/>
  <c r="V9" i="10"/>
  <c r="Y15" i="10"/>
  <c r="V12" i="10"/>
  <c r="V15" i="10"/>
  <c r="Y10" i="10"/>
  <c r="V10" i="10"/>
  <c r="Y20" i="7"/>
  <c r="V20" i="7"/>
  <c r="P4" i="2"/>
  <c r="Q61" i="55"/>
  <c r="AD8" i="24"/>
  <c r="AC10" i="24"/>
  <c r="Z10" i="24"/>
  <c r="AC9" i="24"/>
  <c r="Z9" i="24"/>
  <c r="W3" i="23"/>
  <c r="S3" i="22"/>
  <c r="W4" i="23"/>
  <c r="Q44" i="55"/>
  <c r="S3" i="19"/>
  <c r="M32" i="55"/>
  <c r="U10" i="11"/>
  <c r="R10" i="11"/>
  <c r="U8" i="11"/>
  <c r="R8" i="11"/>
  <c r="U9" i="11"/>
  <c r="R9" i="11"/>
  <c r="U12" i="11"/>
  <c r="R12" i="11"/>
  <c r="AC13" i="21"/>
  <c r="Z13" i="21"/>
  <c r="Y9" i="21"/>
  <c r="V9" i="21"/>
  <c r="Y12" i="21"/>
  <c r="V12" i="21"/>
  <c r="Y14" i="21"/>
  <c r="V14" i="21"/>
  <c r="Y11" i="21"/>
  <c r="V11" i="21"/>
  <c r="S3" i="18"/>
  <c r="Q24" i="55"/>
  <c r="AA4" i="24"/>
  <c r="U48" i="55"/>
  <c r="Q40" i="55"/>
  <c r="W4" i="21"/>
  <c r="Q37" i="55"/>
  <c r="W4" i="20"/>
  <c r="Q35" i="55"/>
  <c r="W4" i="19"/>
  <c r="Q33" i="55"/>
  <c r="Q20" i="55"/>
  <c r="W5" i="7"/>
  <c r="Q6" i="55"/>
  <c r="W4" i="7"/>
  <c r="Q5" i="55"/>
  <c r="W6" i="7"/>
  <c r="Q7" i="55"/>
  <c r="M16" i="55"/>
  <c r="H22" i="55"/>
  <c r="H23" i="55"/>
  <c r="Y5" i="31"/>
  <c r="Y8" i="25"/>
  <c r="AC9" i="25"/>
  <c r="Y8" i="23"/>
  <c r="AC9" i="23"/>
  <c r="Y9" i="22"/>
  <c r="U8" i="22"/>
  <c r="AC8" i="21"/>
  <c r="Y7" i="20"/>
  <c r="U6" i="20"/>
  <c r="AC7" i="19"/>
  <c r="Y8" i="18"/>
  <c r="U7" i="18"/>
  <c r="Y6" i="17"/>
  <c r="U5" i="17"/>
  <c r="AC7" i="16"/>
  <c r="Y6" i="12"/>
  <c r="U5" i="12"/>
  <c r="U7" i="11"/>
  <c r="Q6" i="11"/>
  <c r="U7" i="10"/>
  <c r="Y9" i="7"/>
  <c r="U8" i="9"/>
  <c r="Q7" i="9"/>
  <c r="Y7" i="8"/>
  <c r="U6" i="8"/>
  <c r="Q30" i="55" l="1"/>
  <c r="Q38" i="55"/>
  <c r="U47" i="55"/>
  <c r="Y67" i="55"/>
  <c r="AE3" i="74"/>
  <c r="Q57" i="55"/>
  <c r="AA5" i="23"/>
  <c r="AE5" i="23" s="1"/>
  <c r="Q13" i="1"/>
  <c r="Q15" i="1" s="1"/>
  <c r="U46" i="55"/>
  <c r="U49" i="55"/>
  <c r="W5" i="21"/>
  <c r="S3" i="20"/>
  <c r="Q34" i="55" s="1"/>
  <c r="Q27" i="55"/>
  <c r="M17" i="55"/>
  <c r="Z8" i="23"/>
  <c r="Z7" i="8"/>
  <c r="V6" i="20"/>
  <c r="AD13" i="21"/>
  <c r="Z13" i="16"/>
  <c r="AD12" i="26"/>
  <c r="AD10" i="16"/>
  <c r="Z5" i="30"/>
  <c r="V6" i="16"/>
  <c r="AD8" i="19"/>
  <c r="AD9" i="24"/>
  <c r="AA6" i="23"/>
  <c r="Y46" i="55" s="1"/>
  <c r="AD9" i="16"/>
  <c r="AA5" i="24"/>
  <c r="AD9" i="20"/>
  <c r="AD10" i="23"/>
  <c r="AD9" i="26"/>
  <c r="AD15" i="23"/>
  <c r="AD10" i="17"/>
  <c r="V8" i="9"/>
  <c r="AA3" i="24"/>
  <c r="Z6" i="17"/>
  <c r="R6" i="11"/>
  <c r="S4" i="2"/>
  <c r="U4" i="2" s="1"/>
  <c r="Z8" i="18"/>
  <c r="AD10" i="24"/>
  <c r="M11" i="55"/>
  <c r="W4" i="16"/>
  <c r="Z7" i="28"/>
  <c r="AD10" i="28"/>
  <c r="AD8" i="16"/>
  <c r="Z7" i="24"/>
  <c r="R7" i="9"/>
  <c r="S11" i="1"/>
  <c r="Z7" i="20"/>
  <c r="S4" i="11"/>
  <c r="AD13" i="28"/>
  <c r="AD7" i="17"/>
  <c r="AD8" i="20"/>
  <c r="V6" i="19"/>
  <c r="AD14" i="28"/>
  <c r="V6" i="8"/>
  <c r="Y6" i="19"/>
  <c r="AA4" i="26"/>
  <c r="AD10" i="18"/>
  <c r="I85" i="55"/>
  <c r="AD9" i="18"/>
  <c r="V7" i="18"/>
  <c r="M8" i="45"/>
  <c r="U45" i="55"/>
  <c r="U51" i="55"/>
  <c r="U52" i="55"/>
  <c r="U62" i="55"/>
  <c r="AA5" i="28"/>
  <c r="Q63" i="55"/>
  <c r="AD11" i="30"/>
  <c r="AD10" i="25"/>
  <c r="AD14" i="25"/>
  <c r="AA4" i="25"/>
  <c r="AA5" i="25"/>
  <c r="AD13" i="25"/>
  <c r="W3" i="27"/>
  <c r="AD16" i="27"/>
  <c r="R6" i="10"/>
  <c r="S13" i="1"/>
  <c r="M9" i="55"/>
  <c r="V7" i="21"/>
  <c r="AD8" i="17"/>
  <c r="V5" i="17"/>
  <c r="Z6" i="12"/>
  <c r="S3" i="12"/>
  <c r="M18" i="55"/>
  <c r="R8" i="7"/>
  <c r="S7" i="1"/>
  <c r="Z9" i="7"/>
  <c r="V9" i="7"/>
  <c r="M37" i="2"/>
  <c r="N4" i="45" s="1"/>
  <c r="N8" i="45" s="1"/>
  <c r="N9" i="45" s="1"/>
  <c r="M15" i="55"/>
  <c r="W5" i="64"/>
  <c r="AE6" i="25"/>
  <c r="U65" i="55"/>
  <c r="Y53" i="55"/>
  <c r="M13" i="55"/>
  <c r="M14" i="55"/>
  <c r="U61" i="55"/>
  <c r="U60" i="55"/>
  <c r="U43" i="55"/>
  <c r="Q42" i="55"/>
  <c r="Q28" i="55"/>
  <c r="AD11" i="29"/>
  <c r="AD12" i="29"/>
  <c r="AD18" i="29"/>
  <c r="Z6" i="29"/>
  <c r="U64" i="55"/>
  <c r="AD19" i="29"/>
  <c r="U63" i="55"/>
  <c r="Z5" i="31"/>
  <c r="V7" i="27"/>
  <c r="U58" i="55"/>
  <c r="AD11" i="26"/>
  <c r="AD10" i="26"/>
  <c r="AA5" i="26"/>
  <c r="U56" i="55"/>
  <c r="Z7" i="26"/>
  <c r="U54" i="55"/>
  <c r="Z8" i="25"/>
  <c r="U50" i="55"/>
  <c r="Z9" i="22"/>
  <c r="Q41" i="55"/>
  <c r="W5" i="22"/>
  <c r="V8" i="22"/>
  <c r="W6" i="22"/>
  <c r="W4" i="22"/>
  <c r="AD10" i="22"/>
  <c r="Q29" i="55"/>
  <c r="Q31" i="55"/>
  <c r="V5" i="12"/>
  <c r="U6" i="2"/>
  <c r="S3" i="10"/>
  <c r="AA4" i="28"/>
  <c r="AA3" i="30"/>
  <c r="AA3" i="25"/>
  <c r="W3" i="22"/>
  <c r="AA4" i="27"/>
  <c r="AA3" i="28"/>
  <c r="AC9" i="9"/>
  <c r="Z9" i="9"/>
  <c r="W5" i="18"/>
  <c r="AA4" i="29"/>
  <c r="W3" i="16"/>
  <c r="W4" i="8"/>
  <c r="Q10" i="55"/>
  <c r="Q26" i="55"/>
  <c r="Z14" i="10"/>
  <c r="Z13" i="10"/>
  <c r="AE5" i="27"/>
  <c r="Y59" i="55"/>
  <c r="S4" i="10"/>
  <c r="AC8" i="10"/>
  <c r="Z8" i="10"/>
  <c r="AA3" i="26"/>
  <c r="Y6" i="16"/>
  <c r="AC6" i="29"/>
  <c r="W3" i="17"/>
  <c r="P15" i="1"/>
  <c r="P3" i="45" s="1"/>
  <c r="Y7" i="21"/>
  <c r="AC8" i="23"/>
  <c r="AD9" i="23"/>
  <c r="AC13" i="18"/>
  <c r="Z13" i="18"/>
  <c r="Y13" i="7"/>
  <c r="V13" i="7"/>
  <c r="AC5" i="30"/>
  <c r="AC13" i="22"/>
  <c r="Z13" i="22"/>
  <c r="Y11" i="7"/>
  <c r="V11" i="7"/>
  <c r="AC11" i="17"/>
  <c r="Z11" i="17"/>
  <c r="Y14" i="7"/>
  <c r="V14" i="7"/>
  <c r="AC15" i="18"/>
  <c r="Z15" i="18"/>
  <c r="AC14" i="22"/>
  <c r="Z14" i="22"/>
  <c r="Y10" i="7"/>
  <c r="V10" i="7"/>
  <c r="AC8" i="25"/>
  <c r="AD9" i="25"/>
  <c r="Y12" i="7"/>
  <c r="V12" i="7"/>
  <c r="Y16" i="7"/>
  <c r="V16" i="7"/>
  <c r="AC9" i="17"/>
  <c r="Z9" i="17"/>
  <c r="AD7" i="19"/>
  <c r="AC12" i="18"/>
  <c r="Z12" i="18"/>
  <c r="U8" i="7"/>
  <c r="AC14" i="18"/>
  <c r="Z14" i="18"/>
  <c r="Y15" i="7"/>
  <c r="V15" i="7"/>
  <c r="AC7" i="26"/>
  <c r="AC9" i="19"/>
  <c r="Z9" i="19"/>
  <c r="AC11" i="22"/>
  <c r="Z11" i="22"/>
  <c r="AC12" i="22"/>
  <c r="Z12" i="22"/>
  <c r="AC11" i="16"/>
  <c r="Z11" i="16"/>
  <c r="Y7" i="10"/>
  <c r="V7" i="10"/>
  <c r="AC12" i="16"/>
  <c r="Z12" i="16"/>
  <c r="AC7" i="28"/>
  <c r="Y10" i="9"/>
  <c r="V10" i="9"/>
  <c r="Q19" i="55"/>
  <c r="AC5" i="31"/>
  <c r="AC15" i="27"/>
  <c r="Z15" i="27"/>
  <c r="Y7" i="27"/>
  <c r="AA3" i="29"/>
  <c r="AA3" i="31"/>
  <c r="AD7" i="16"/>
  <c r="Q25" i="55"/>
  <c r="AC7" i="12"/>
  <c r="Z7" i="12"/>
  <c r="AC12" i="12"/>
  <c r="Z12" i="12"/>
  <c r="AC14" i="12"/>
  <c r="Z14" i="12"/>
  <c r="AC9" i="10"/>
  <c r="Z9" i="10"/>
  <c r="AC15" i="10"/>
  <c r="Z12" i="10"/>
  <c r="Z15" i="10"/>
  <c r="AC10" i="10"/>
  <c r="Z10" i="10"/>
  <c r="AC20" i="7"/>
  <c r="Z20" i="7"/>
  <c r="P37" i="2"/>
  <c r="P4" i="45" s="1"/>
  <c r="R4" i="2"/>
  <c r="AC7" i="24"/>
  <c r="AA3" i="23"/>
  <c r="Q39" i="55"/>
  <c r="M4" i="55"/>
  <c r="S3" i="7"/>
  <c r="AA4" i="23"/>
  <c r="U44" i="55"/>
  <c r="Q32" i="55"/>
  <c r="W3" i="19"/>
  <c r="Y12" i="11"/>
  <c r="V12" i="11"/>
  <c r="Y7" i="11"/>
  <c r="V7" i="11"/>
  <c r="Y9" i="11"/>
  <c r="V9" i="11"/>
  <c r="Y8" i="11"/>
  <c r="V8" i="11"/>
  <c r="Y10" i="11"/>
  <c r="V10" i="11"/>
  <c r="AD8" i="21"/>
  <c r="AC14" i="21"/>
  <c r="Z14" i="21"/>
  <c r="AC12" i="21"/>
  <c r="Z12" i="21"/>
  <c r="AC11" i="21"/>
  <c r="Z11" i="21"/>
  <c r="AC9" i="21"/>
  <c r="Z9" i="21"/>
  <c r="W3" i="18"/>
  <c r="U24" i="55"/>
  <c r="AE4" i="24"/>
  <c r="Y48" i="55"/>
  <c r="AA4" i="21"/>
  <c r="U37" i="55"/>
  <c r="AA4" i="20"/>
  <c r="U35" i="55"/>
  <c r="AA4" i="19"/>
  <c r="U33" i="55"/>
  <c r="AA4" i="18"/>
  <c r="U30" i="55"/>
  <c r="U20" i="55"/>
  <c r="S3" i="8"/>
  <c r="AA6" i="7"/>
  <c r="U7" i="55"/>
  <c r="AA5" i="7"/>
  <c r="U6" i="55"/>
  <c r="AA4" i="7"/>
  <c r="U5" i="55"/>
  <c r="S3" i="11"/>
  <c r="Q16" i="55"/>
  <c r="Y8" i="22"/>
  <c r="AC9" i="22"/>
  <c r="Y6" i="20"/>
  <c r="AC7" i="20"/>
  <c r="Y7" i="18"/>
  <c r="AC8" i="18"/>
  <c r="Y5" i="17"/>
  <c r="AC6" i="17"/>
  <c r="Y5" i="12"/>
  <c r="AC6" i="12"/>
  <c r="U6" i="11"/>
  <c r="U6" i="10"/>
  <c r="AC9" i="7"/>
  <c r="Y8" i="9"/>
  <c r="U7" i="9"/>
  <c r="AC7" i="8"/>
  <c r="Y6" i="8"/>
  <c r="V3" i="1"/>
  <c r="Y45" i="55" l="1"/>
  <c r="AC53" i="55"/>
  <c r="AA5" i="21"/>
  <c r="AC67" i="55"/>
  <c r="U57" i="55"/>
  <c r="S37" i="2"/>
  <c r="Q4" i="45" s="1"/>
  <c r="U38" i="55"/>
  <c r="AE6" i="23"/>
  <c r="AC46" i="55" s="1"/>
  <c r="Y55" i="55"/>
  <c r="AE4" i="26"/>
  <c r="AE3" i="24"/>
  <c r="Y47" i="55"/>
  <c r="AE5" i="24"/>
  <c r="Y49" i="55"/>
  <c r="W3" i="20"/>
  <c r="AA3" i="20" s="1"/>
  <c r="U27" i="55"/>
  <c r="Q17" i="55"/>
  <c r="S3" i="9"/>
  <c r="V7" i="9"/>
  <c r="AD14" i="21"/>
  <c r="AA4" i="16"/>
  <c r="S15" i="1"/>
  <c r="Q3" i="45" s="1"/>
  <c r="AD11" i="16"/>
  <c r="AD11" i="17"/>
  <c r="AD7" i="28"/>
  <c r="AD13" i="18"/>
  <c r="AD9" i="21"/>
  <c r="AD7" i="24"/>
  <c r="AD9" i="17"/>
  <c r="AD11" i="21"/>
  <c r="W4" i="11"/>
  <c r="AD14" i="18"/>
  <c r="V6" i="11"/>
  <c r="Z6" i="20"/>
  <c r="AD12" i="16"/>
  <c r="AD13" i="16"/>
  <c r="AD8" i="23"/>
  <c r="Z6" i="16"/>
  <c r="Z8" i="9"/>
  <c r="Z7" i="11"/>
  <c r="Z6" i="8"/>
  <c r="AD15" i="18"/>
  <c r="AD9" i="9"/>
  <c r="Z6" i="19"/>
  <c r="AD9" i="19"/>
  <c r="AD12" i="18"/>
  <c r="Z7" i="18"/>
  <c r="AE4" i="25"/>
  <c r="AE5" i="28"/>
  <c r="AC62" i="55" s="1"/>
  <c r="Y62" i="55"/>
  <c r="Y52" i="55"/>
  <c r="AE5" i="25"/>
  <c r="Y51" i="55"/>
  <c r="P8" i="45"/>
  <c r="P9" i="45" s="1"/>
  <c r="P11" i="45" s="1"/>
  <c r="AA3" i="27"/>
  <c r="AD10" i="10"/>
  <c r="AD8" i="10"/>
  <c r="V6" i="10"/>
  <c r="AD9" i="10"/>
  <c r="Z7" i="10"/>
  <c r="Q9" i="55"/>
  <c r="W3" i="12"/>
  <c r="Z7" i="21"/>
  <c r="AD12" i="21"/>
  <c r="Z5" i="17"/>
  <c r="AD7" i="12"/>
  <c r="AD12" i="12"/>
  <c r="Q18" i="55"/>
  <c r="V8" i="7"/>
  <c r="AA5" i="64"/>
  <c r="AD5" i="30"/>
  <c r="AE3" i="30"/>
  <c r="U26" i="55"/>
  <c r="W4" i="10"/>
  <c r="Q13" i="55"/>
  <c r="Y61" i="55"/>
  <c r="Y60" i="55"/>
  <c r="AC48" i="55"/>
  <c r="AC45" i="55"/>
  <c r="Y43" i="55"/>
  <c r="U40" i="55"/>
  <c r="U41" i="55"/>
  <c r="U42" i="55"/>
  <c r="U28" i="55"/>
  <c r="AE3" i="29"/>
  <c r="AD6" i="29"/>
  <c r="AE4" i="29"/>
  <c r="AD5" i="31"/>
  <c r="Z7" i="27"/>
  <c r="AE4" i="27"/>
  <c r="AC59" i="55"/>
  <c r="Y54" i="55"/>
  <c r="AD7" i="26"/>
  <c r="AE5" i="26"/>
  <c r="Y56" i="55"/>
  <c r="AD8" i="25"/>
  <c r="Y50" i="55"/>
  <c r="Z8" i="22"/>
  <c r="AA4" i="22"/>
  <c r="AA5" i="22"/>
  <c r="AD12" i="22"/>
  <c r="AA6" i="22"/>
  <c r="Y42" i="55" s="1"/>
  <c r="AD14" i="22"/>
  <c r="AD11" i="22"/>
  <c r="AD13" i="22"/>
  <c r="U39" i="55"/>
  <c r="U29" i="55"/>
  <c r="U31" i="55"/>
  <c r="AD14" i="12"/>
  <c r="Z5" i="12"/>
  <c r="W3" i="10"/>
  <c r="AE4" i="28"/>
  <c r="AA3" i="22"/>
  <c r="Y65" i="55"/>
  <c r="AE3" i="25"/>
  <c r="AE3" i="31"/>
  <c r="Y58" i="55"/>
  <c r="AE3" i="28"/>
  <c r="AA5" i="18"/>
  <c r="AC25" i="55"/>
  <c r="Y64" i="55"/>
  <c r="AC7" i="10"/>
  <c r="AC6" i="10" s="1"/>
  <c r="AA3" i="16"/>
  <c r="AE3" i="26"/>
  <c r="AA4" i="8"/>
  <c r="U10" i="55"/>
  <c r="AD14" i="10"/>
  <c r="AD13" i="10"/>
  <c r="Q14" i="55"/>
  <c r="N10" i="45"/>
  <c r="AA3" i="17"/>
  <c r="Y6" i="10"/>
  <c r="AC6" i="19"/>
  <c r="AC13" i="7"/>
  <c r="Z13" i="7"/>
  <c r="AC10" i="9"/>
  <c r="Z10" i="9"/>
  <c r="AC16" i="7"/>
  <c r="Z16" i="7"/>
  <c r="AC11" i="7"/>
  <c r="Z11" i="7"/>
  <c r="AC5" i="17"/>
  <c r="AD6" i="17"/>
  <c r="AC6" i="16"/>
  <c r="AC12" i="7"/>
  <c r="Z12" i="7"/>
  <c r="AC10" i="7"/>
  <c r="Z10" i="7"/>
  <c r="AC7" i="18"/>
  <c r="AD8" i="18"/>
  <c r="AC6" i="20"/>
  <c r="AD7" i="20"/>
  <c r="AD9" i="7"/>
  <c r="AC15" i="7"/>
  <c r="Z15" i="7"/>
  <c r="Y8" i="7"/>
  <c r="AC8" i="22"/>
  <c r="AD9" i="22"/>
  <c r="AC14" i="7"/>
  <c r="Z14" i="7"/>
  <c r="AC6" i="8"/>
  <c r="AD7" i="8"/>
  <c r="U19" i="55"/>
  <c r="AD15" i="27"/>
  <c r="AC7" i="27"/>
  <c r="Y63" i="55"/>
  <c r="AE3" i="23"/>
  <c r="AD12" i="10"/>
  <c r="AD15" i="10"/>
  <c r="AD20" i="7"/>
  <c r="Y6" i="11"/>
  <c r="AC7" i="11"/>
  <c r="AC5" i="12"/>
  <c r="AD6" i="12"/>
  <c r="W3" i="7"/>
  <c r="Q4" i="55"/>
  <c r="AE4" i="23"/>
  <c r="Y44" i="55"/>
  <c r="U32" i="55"/>
  <c r="AA3" i="19"/>
  <c r="Y24" i="55"/>
  <c r="AC10" i="11"/>
  <c r="Z10" i="11"/>
  <c r="AC9" i="11"/>
  <c r="Z9" i="11"/>
  <c r="AC8" i="11"/>
  <c r="Z8" i="11"/>
  <c r="AC12" i="11"/>
  <c r="Z12" i="11"/>
  <c r="AC7" i="21"/>
  <c r="AA3" i="18"/>
  <c r="Y25" i="55"/>
  <c r="AE4" i="21"/>
  <c r="Y37" i="55"/>
  <c r="AE4" i="20"/>
  <c r="Y35" i="55"/>
  <c r="AE4" i="19"/>
  <c r="Y33" i="55"/>
  <c r="AE4" i="18"/>
  <c r="Y30" i="55"/>
  <c r="AC20" i="55"/>
  <c r="Y20" i="55"/>
  <c r="W3" i="8"/>
  <c r="AE4" i="7"/>
  <c r="Y5" i="55"/>
  <c r="AE5" i="7"/>
  <c r="Y6" i="55"/>
  <c r="AE6" i="7"/>
  <c r="Y7" i="55"/>
  <c r="M22" i="55"/>
  <c r="U16" i="55"/>
  <c r="W3" i="11"/>
  <c r="Q15" i="55"/>
  <c r="M21" i="55"/>
  <c r="M23" i="55"/>
  <c r="Y7" i="9"/>
  <c r="AC8" i="9"/>
  <c r="AB3" i="1"/>
  <c r="Y3" i="1"/>
  <c r="AC52" i="55" l="1"/>
  <c r="AC51" i="55"/>
  <c r="AE5" i="21"/>
  <c r="Y38" i="55"/>
  <c r="AC47" i="55"/>
  <c r="AC49" i="55"/>
  <c r="Q8" i="45"/>
  <c r="Q9" i="45" s="1"/>
  <c r="Q10" i="45" s="1"/>
  <c r="AC55" i="55"/>
  <c r="U34" i="55"/>
  <c r="W3" i="9"/>
  <c r="Q11" i="55"/>
  <c r="U17" i="55"/>
  <c r="Y27" i="55"/>
  <c r="AE4" i="16"/>
  <c r="AC27" i="55" s="1"/>
  <c r="AA4" i="11"/>
  <c r="Z6" i="11"/>
  <c r="AD8" i="11"/>
  <c r="AD9" i="11"/>
  <c r="AD6" i="8"/>
  <c r="AD6" i="16"/>
  <c r="AD10" i="9"/>
  <c r="AD10" i="11"/>
  <c r="AD6" i="20"/>
  <c r="Z7" i="9"/>
  <c r="AD12" i="11"/>
  <c r="AD7" i="11"/>
  <c r="AD6" i="19"/>
  <c r="AD7" i="18"/>
  <c r="Y57" i="55"/>
  <c r="Y41" i="55"/>
  <c r="AE3" i="27"/>
  <c r="AC33" i="55"/>
  <c r="Z6" i="10"/>
  <c r="AD6" i="10"/>
  <c r="AD7" i="10"/>
  <c r="U9" i="55"/>
  <c r="U18" i="55"/>
  <c r="AA3" i="12"/>
  <c r="AD7" i="21"/>
  <c r="AD5" i="17"/>
  <c r="AC35" i="55"/>
  <c r="Y34" i="55"/>
  <c r="AD14" i="7"/>
  <c r="AD13" i="7"/>
  <c r="Z8" i="7"/>
  <c r="AD10" i="7"/>
  <c r="AD11" i="7"/>
  <c r="AD15" i="7"/>
  <c r="AD12" i="7"/>
  <c r="AD16" i="7"/>
  <c r="AE5" i="64"/>
  <c r="AC65" i="55"/>
  <c r="Y26" i="55"/>
  <c r="U14" i="55"/>
  <c r="AA4" i="10"/>
  <c r="U13" i="55"/>
  <c r="AC61" i="55"/>
  <c r="AC60" i="55"/>
  <c r="AC44" i="55"/>
  <c r="AC43" i="55"/>
  <c r="AE6" i="22"/>
  <c r="AC42" i="55" s="1"/>
  <c r="Y40" i="55"/>
  <c r="AE5" i="22"/>
  <c r="AE4" i="22"/>
  <c r="AC40" i="55" s="1"/>
  <c r="AC37" i="55"/>
  <c r="Y28" i="55"/>
  <c r="AC7" i="55"/>
  <c r="AC6" i="55"/>
  <c r="AC5" i="55"/>
  <c r="AC64" i="55"/>
  <c r="AC63" i="55"/>
  <c r="AC58" i="55"/>
  <c r="AD7" i="27"/>
  <c r="AC56" i="55"/>
  <c r="AC54" i="55"/>
  <c r="AC50" i="55"/>
  <c r="AD8" i="22"/>
  <c r="Y39" i="55"/>
  <c r="AE5" i="18"/>
  <c r="Y29" i="55"/>
  <c r="AC30" i="55"/>
  <c r="AD5" i="12"/>
  <c r="P10" i="45"/>
  <c r="AA3" i="10"/>
  <c r="AE3" i="22"/>
  <c r="Y31" i="55"/>
  <c r="AE3" i="16"/>
  <c r="AE3" i="20"/>
  <c r="AE4" i="8"/>
  <c r="Y10" i="55"/>
  <c r="AE3" i="17"/>
  <c r="N11" i="45"/>
  <c r="AC8" i="7"/>
  <c r="AC7" i="9"/>
  <c r="AD8" i="9"/>
  <c r="Y19" i="55"/>
  <c r="U4" i="55"/>
  <c r="AA3" i="7"/>
  <c r="Y32" i="55"/>
  <c r="AE3" i="19"/>
  <c r="AC24" i="55"/>
  <c r="AC6" i="11"/>
  <c r="AE3" i="18"/>
  <c r="AA3" i="8"/>
  <c r="AA3" i="11"/>
  <c r="U15" i="55"/>
  <c r="Y16" i="55"/>
  <c r="Q22" i="55"/>
  <c r="Q23" i="55"/>
  <c r="Q21" i="55"/>
  <c r="U11" i="55" l="1"/>
  <c r="AC38" i="55"/>
  <c r="AC57" i="55"/>
  <c r="AA3" i="9"/>
  <c r="Q11" i="45"/>
  <c r="Y17" i="55"/>
  <c r="AE4" i="11"/>
  <c r="AD6" i="11"/>
  <c r="AD7" i="9"/>
  <c r="AC32" i="55"/>
  <c r="AE3" i="8"/>
  <c r="AC10" i="55"/>
  <c r="AE3" i="12"/>
  <c r="Y18" i="55"/>
  <c r="AC34" i="55"/>
  <c r="AD8" i="7"/>
  <c r="AC16" i="55"/>
  <c r="AC26" i="55"/>
  <c r="Y14" i="55"/>
  <c r="AE4" i="10"/>
  <c r="AC14" i="55" s="1"/>
  <c r="AE3" i="10"/>
  <c r="AC41" i="55"/>
  <c r="AC28" i="55"/>
  <c r="AC39" i="55"/>
  <c r="AC29" i="55"/>
  <c r="AC31" i="55"/>
  <c r="Y13" i="55"/>
  <c r="AC19" i="55"/>
  <c r="Y9" i="55"/>
  <c r="AE3" i="7"/>
  <c r="Y4" i="55"/>
  <c r="U21" i="55"/>
  <c r="U23" i="55"/>
  <c r="U22" i="55"/>
  <c r="Y15" i="55"/>
  <c r="AE3" i="11"/>
  <c r="Y11" i="55" l="1"/>
  <c r="AE3" i="9"/>
  <c r="AC18" i="55"/>
  <c r="AC17" i="55"/>
  <c r="AC9" i="55"/>
  <c r="AC15" i="55"/>
  <c r="AC13" i="55"/>
  <c r="AC4" i="55"/>
  <c r="AC23" i="55"/>
  <c r="Y23" i="55"/>
  <c r="AC21" i="55"/>
  <c r="Y21" i="55"/>
  <c r="AC22" i="55"/>
  <c r="Y22" i="55"/>
  <c r="H36" i="55"/>
  <c r="H85" i="55" s="1"/>
  <c r="AC11" i="55" l="1"/>
  <c r="J2" i="21"/>
  <c r="N23" i="2" l="1"/>
  <c r="N37" i="2" s="1"/>
  <c r="O4" i="45" s="1"/>
  <c r="O8" i="45" s="1"/>
  <c r="O23" i="2" l="1"/>
  <c r="S3" i="21"/>
  <c r="M36" i="55"/>
  <c r="M85" i="55" l="1"/>
  <c r="Q36" i="55"/>
  <c r="W3" i="21"/>
  <c r="U36" i="55" l="1"/>
  <c r="AA3" i="21"/>
  <c r="AE3" i="21" l="1"/>
  <c r="Y36" i="55"/>
  <c r="AC36" i="55" l="1"/>
</calcChain>
</file>

<file path=xl/sharedStrings.xml><?xml version="1.0" encoding="utf-8"?>
<sst xmlns="http://schemas.openxmlformats.org/spreadsheetml/2006/main" count="11149" uniqueCount="3204">
  <si>
    <t>General Reserves EMR</t>
  </si>
  <si>
    <t>EMR</t>
  </si>
  <si>
    <t>Start Figure</t>
  </si>
  <si>
    <t>2022-23 Budget</t>
  </si>
  <si>
    <t>2022-23 Spend to Date</t>
  </si>
  <si>
    <t>2022-23 YE</t>
  </si>
  <si>
    <t>2023-24 Budget</t>
  </si>
  <si>
    <t>2023-24 Spend to Date</t>
  </si>
  <si>
    <t>2023-24 YE</t>
  </si>
  <si>
    <t>2023-24 Notes</t>
  </si>
  <si>
    <t>Total to Precept</t>
  </si>
  <si>
    <t>General Reserves</t>
  </si>
  <si>
    <t>Budgetted for next year</t>
  </si>
  <si>
    <t>General Reserves Budget</t>
  </si>
  <si>
    <t>North Denes Rent</t>
  </si>
  <si>
    <t>Repairs and Maintenance EMR</t>
  </si>
  <si>
    <t>£55K offset against Goods budget, £45,155 offset against main R&amp;M budget</t>
  </si>
  <si>
    <t>Repairs and Maintenance Budget</t>
  </si>
  <si>
    <t>Goods</t>
  </si>
  <si>
    <t>Gutter Clearing</t>
  </si>
  <si>
    <t>Fencing and Walls</t>
  </si>
  <si>
    <t>Tarmacing</t>
  </si>
  <si>
    <t>Capital EMR</t>
  </si>
  <si>
    <t>Moved to 24-25</t>
  </si>
  <si>
    <t>Self-insurance &amp; Emergencies EMR</t>
  </si>
  <si>
    <t>Capital Budget</t>
  </si>
  <si>
    <t>Compliance EMR</t>
  </si>
  <si>
    <t>Compliance</t>
  </si>
  <si>
    <t>Water Risk Assessments</t>
  </si>
  <si>
    <t>Fire Risk Assessments</t>
  </si>
  <si>
    <t>Condition Surveys</t>
  </si>
  <si>
    <t>Compliance Budget</t>
  </si>
  <si>
    <t>Asbestos Checks</t>
  </si>
  <si>
    <t>Legionella Checks</t>
  </si>
  <si>
    <t>Boilers</t>
  </si>
  <si>
    <t>Fire Extinguishers</t>
  </si>
  <si>
    <t>Hardwire Testing</t>
  </si>
  <si>
    <t>PAT Testing</t>
  </si>
  <si>
    <t>Gas Inspections</t>
  </si>
  <si>
    <t>Tree Inspections</t>
  </si>
  <si>
    <t>Surveys</t>
  </si>
  <si>
    <t>Alarms and Keyholding</t>
  </si>
  <si>
    <t>Play Inspections</t>
  </si>
  <si>
    <t>15000 play inspections, 4000 app</t>
  </si>
  <si>
    <t>Consultancy &amp; H&amp;S EMR</t>
  </si>
  <si>
    <t>£20K offset against H&amp;S budget; £1K offset against Neighbourhood Plan budget; £400 offset against Ethical Advice/Support budget</t>
  </si>
  <si>
    <t>Consultancy &amp; H&amp;S Budget</t>
  </si>
  <si>
    <t>Neighbourhood Plan</t>
  </si>
  <si>
    <t>VAT and Finance Advisor</t>
  </si>
  <si>
    <t>HR &amp; Payroll</t>
  </si>
  <si>
    <t>H&amp;S</t>
  </si>
  <si>
    <t>Ethical Advice/Support</t>
  </si>
  <si>
    <t>Community Safety EMR</t>
  </si>
  <si>
    <t>Defibrillator EMR</t>
  </si>
  <si>
    <t>Community Safety Budget</t>
  </si>
  <si>
    <t>Defibrillator</t>
  </si>
  <si>
    <t>CCTV</t>
  </si>
  <si>
    <t>Climate &amp; Ecological Emergency EMR</t>
  </si>
  <si>
    <t>Travel &amp; Vehicles EMR</t>
  </si>
  <si>
    <t>Climate Budget</t>
  </si>
  <si>
    <t>Climate &amp; Ecological Emergency Budget</t>
  </si>
  <si>
    <t>Electric Vehicles</t>
  </si>
  <si>
    <t>Travel Costs</t>
  </si>
  <si>
    <t>Bulky Waste</t>
  </si>
  <si>
    <t>Water Improvements</t>
  </si>
  <si>
    <t>Climate EMR</t>
  </si>
  <si>
    <t xml:space="preserve">Waste Disposal: Bin Emptying </t>
  </si>
  <si>
    <t>Waste Disposal: Site Disposal and specialist waste removal</t>
  </si>
  <si>
    <t>Waste Disposal: Waste Carrier Licence</t>
  </si>
  <si>
    <t>Marina Cleaning and Avishock</t>
  </si>
  <si>
    <t>Parks and Open Spaces EMR</t>
  </si>
  <si>
    <t xml:space="preserve">£25K offset against R&amp;M budget; £37,975 offset against Capital budget </t>
  </si>
  <si>
    <t>Refurbishment EMR</t>
  </si>
  <si>
    <t>Parks and Open Spaces Budget</t>
  </si>
  <si>
    <t>Parks and Open Spaces Capital Development</t>
  </si>
  <si>
    <t>Refurbishment</t>
  </si>
  <si>
    <t>Repairs and Maintenance</t>
  </si>
  <si>
    <t>25k from reserves</t>
  </si>
  <si>
    <t>Litter Collection</t>
  </si>
  <si>
    <t>Water Fountains</t>
  </si>
  <si>
    <t>Ground Maintenance</t>
  </si>
  <si>
    <t>Outdoor Fitness Equipment</t>
  </si>
  <si>
    <t>Outdoor Fitness Equipment EMR</t>
  </si>
  <si>
    <t>Memorial Benches and Plants</t>
  </si>
  <si>
    <t>Horticulture EMR</t>
  </si>
  <si>
    <t>£10K EMR offset against Tree Planting, £12K EMR offset against Tree works: Audit, £6K EMR offset against Tree Works: Routine inspections, £5,525 EMR offset against Tree Works: Routine works.</t>
  </si>
  <si>
    <t>Horticulture Budget</t>
  </si>
  <si>
    <t>Tree Planting</t>
  </si>
  <si>
    <t>Tree works: Audit</t>
  </si>
  <si>
    <t>Audit to identify and document tree portfolio</t>
  </si>
  <si>
    <t>Tree works: Routine Inspections</t>
  </si>
  <si>
    <t>Tree works: Routine Works</t>
  </si>
  <si>
    <t>Tree works: Reactive Works</t>
  </si>
  <si>
    <t>Bulbs</t>
  </si>
  <si>
    <t>Mulching</t>
  </si>
  <si>
    <t>Watering Costs</t>
  </si>
  <si>
    <t>£12.5K watering budget + £3.5K for professional bowser and pump</t>
  </si>
  <si>
    <t>Waterways and Ponds EMR</t>
  </si>
  <si>
    <t>£7,473 offset against Fen Park budget; £11,451.83 offset against R&amp;M budget</t>
  </si>
  <si>
    <t>Fen Park Pond EMR</t>
  </si>
  <si>
    <t>£17,527 offset against Fen Park budget</t>
  </si>
  <si>
    <t>Waterways and Ponds Budget</t>
  </si>
  <si>
    <t>Equipment</t>
  </si>
  <si>
    <t>Repairs &amp; Maintenance</t>
  </si>
  <si>
    <t>Fen Park</t>
  </si>
  <si>
    <t>Gainsborough Drive</t>
  </si>
  <si>
    <t>Uplands</t>
  </si>
  <si>
    <t>GELP</t>
  </si>
  <si>
    <t>Kensington Gardens</t>
  </si>
  <si>
    <t>Sparrows Nest</t>
  </si>
  <si>
    <t>Play Areas EMR</t>
  </si>
  <si>
    <t>£48.8K offset against R&amp;M budget, £75K offset against Refurb budget</t>
  </si>
  <si>
    <t>Whitton Green EMR</t>
  </si>
  <si>
    <t>Play Areas Budget</t>
  </si>
  <si>
    <t>Clarkes Lane: £5K to remove end-of-life, defunct equipment</t>
  </si>
  <si>
    <t>Stock</t>
  </si>
  <si>
    <t>Refurbishment Budget</t>
  </si>
  <si>
    <t>Five Year Plans</t>
  </si>
  <si>
    <t>Annual Inspections</t>
  </si>
  <si>
    <t>Public Conveniences EMR</t>
  </si>
  <si>
    <t>Public Conveniences Budget</t>
  </si>
  <si>
    <t>Refurbishments</t>
  </si>
  <si>
    <t>Ground Maintenace</t>
  </si>
  <si>
    <t>Cleaning</t>
  </si>
  <si>
    <t>Utilities</t>
  </si>
  <si>
    <t>Triangle Market EMR</t>
  </si>
  <si>
    <t>Triangle Market Capital EMR</t>
  </si>
  <si>
    <t>EMR offset against TM Capital budget</t>
  </si>
  <si>
    <t>Triangle Market Budget</t>
  </si>
  <si>
    <t>Triangle Market Capital</t>
  </si>
  <si>
    <t>Income</t>
  </si>
  <si>
    <t>Markets</t>
  </si>
  <si>
    <t>Alltoments EMR</t>
  </si>
  <si>
    <t>£1,665 EMR offset against Management Fee budget; £1K EMR offset against Administration budget; £17,576.69 EMR offset against R&amp;M budget</t>
  </si>
  <si>
    <t>Alltoments Budget</t>
  </si>
  <si>
    <t>Allotments EMR</t>
  </si>
  <si>
    <t>Management Fee</t>
  </si>
  <si>
    <t>Maintenance</t>
  </si>
  <si>
    <t>Administration</t>
  </si>
  <si>
    <t>Normanston Park EMR</t>
  </si>
  <si>
    <t>Normanston Park Capital EMR</t>
  </si>
  <si>
    <t>Normanston Park Budget</t>
  </si>
  <si>
    <t>Capital Expenditure</t>
  </si>
  <si>
    <t>Tennis Courts</t>
  </si>
  <si>
    <t>Skate Park</t>
  </si>
  <si>
    <t>GELP EMR</t>
  </si>
  <si>
    <t>GELP Budget</t>
  </si>
  <si>
    <t>Rent</t>
  </si>
  <si>
    <t>Links Road Car Park EMR</t>
  </si>
  <si>
    <t>Resurfacing EMR</t>
  </si>
  <si>
    <t>Links Road Car Park Budget</t>
  </si>
  <si>
    <t>Business Rates</t>
  </si>
  <si>
    <t>Denes Oval EMR</t>
  </si>
  <si>
    <t>Tennis Court EMR</t>
  </si>
  <si>
    <t>Denes Oval Budget</t>
  </si>
  <si>
    <t>Denes Oval Capital EMR</t>
  </si>
  <si>
    <t>Sport Equipment</t>
  </si>
  <si>
    <t>Belle Vue Park EMR</t>
  </si>
  <si>
    <t>Thatching EMR</t>
  </si>
  <si>
    <t>Belle Vue Park Capital EMR</t>
  </si>
  <si>
    <t>Belle Vue Park Budget</t>
  </si>
  <si>
    <t>Thatching</t>
  </si>
  <si>
    <t>Sparrows Nest EMR</t>
  </si>
  <si>
    <t>Sparrows Nest PC EMR</t>
  </si>
  <si>
    <t>Sparrows Nest Capital EMR</t>
  </si>
  <si>
    <t>Sparrows Nest Budget</t>
  </si>
  <si>
    <t>Ness Park EMR</t>
  </si>
  <si>
    <t>Ness Park Legal</t>
  </si>
  <si>
    <t>Play Refurbishment EMR</t>
  </si>
  <si>
    <t>Ness Park Budget</t>
  </si>
  <si>
    <t>Sea Wall</t>
  </si>
  <si>
    <t>Sea Wall EMR</t>
  </si>
  <si>
    <t>Bins</t>
  </si>
  <si>
    <t>Sea Wall Budget</t>
  </si>
  <si>
    <t>Kensington Gardens EMR</t>
  </si>
  <si>
    <t>Kensington Gardens Capital EMR</t>
  </si>
  <si>
    <t>Kensington Gardens Budget</t>
  </si>
  <si>
    <t>Fen Park EMR</t>
  </si>
  <si>
    <t>Fen Park Capital EMR</t>
  </si>
  <si>
    <t>Fen Park Budget</t>
  </si>
  <si>
    <t>Matting budget £10K; Refurbs £10K; Tower with slide replace £17K</t>
  </si>
  <si>
    <t>Community Halls EMR</t>
  </si>
  <si>
    <t>£10.38K EMR offset against Cleaning and Supplies; £576 EMR offset against Sanitary Bin Contracts; £252 EMR offset against Music Licence</t>
  </si>
  <si>
    <t>Community Halls Capital EMR</t>
  </si>
  <si>
    <t>Uplands Septic Tank EMR</t>
  </si>
  <si>
    <t>Community Halls Budget</t>
  </si>
  <si>
    <t>Community Halls Budget R&amp;M</t>
  </si>
  <si>
    <t>Uplands Septic Tank</t>
  </si>
  <si>
    <t>Cleaning and Supplies</t>
  </si>
  <si>
    <t>Sanitary Bin Contracts</t>
  </si>
  <si>
    <t>Music Licence</t>
  </si>
  <si>
    <t>Marina Theatre EMR</t>
  </si>
  <si>
    <t>Marina Theatre Capital EMR</t>
  </si>
  <si>
    <t>Marina Theatre Budget</t>
  </si>
  <si>
    <t>Marina Theatre R&amp;M</t>
  </si>
  <si>
    <t>Public Works Loan Repayment</t>
  </si>
  <si>
    <t>MTT Management Fee</t>
  </si>
  <si>
    <t>Avishock System</t>
  </si>
  <si>
    <t>Town Hall EMR</t>
  </si>
  <si>
    <t>£50K EMR offset against R&amp;M, £7.75K EMR offset against Utilities, £1,103 EMR offset against Business Rates and BID Levy</t>
  </si>
  <si>
    <t>Town Hall Project Fund EMR</t>
  </si>
  <si>
    <t>Town Hall Budget</t>
  </si>
  <si>
    <t>R&amp;M</t>
  </si>
  <si>
    <t>Business Rates and BID Levy</t>
  </si>
  <si>
    <t>Project Costs</t>
  </si>
  <si>
    <t>Project Costs Reimbursement</t>
  </si>
  <si>
    <t>Town Hall Clock</t>
  </si>
  <si>
    <t>Staff EMR</t>
  </si>
  <si>
    <t xml:space="preserve">£35K EMR offset against Staffing Contingency; £67K EMR offset against Salaries Gross </t>
  </si>
  <si>
    <t>Staff Budget</t>
  </si>
  <si>
    <t>Staffing Contingency Budget</t>
  </si>
  <si>
    <t>Salaries Gross</t>
  </si>
  <si>
    <t>National Insurance</t>
  </si>
  <si>
    <t>Pension</t>
  </si>
  <si>
    <t>Job Adverts</t>
  </si>
  <si>
    <t>Staff and Training EMR</t>
  </si>
  <si>
    <t>Training EMR</t>
  </si>
  <si>
    <t>Staff and Training Budget</t>
  </si>
  <si>
    <t>Staff Training (General)</t>
  </si>
  <si>
    <t>Staff Training (Play Inspections)</t>
  </si>
  <si>
    <t>Councillor Training</t>
  </si>
  <si>
    <t>Offices EMR</t>
  </si>
  <si>
    <t>£11.48K EMR offset against 2023/24 Equipment budget; £150K EMR offset against 2023/24 Grounds Maintenance budget; £12,924 EMR offset against IT Service Costs</t>
  </si>
  <si>
    <t>Amplification EMR</t>
  </si>
  <si>
    <t>£5.6K EMR offset against 2023/24 Amplification budget</t>
  </si>
  <si>
    <t>IT EMR</t>
  </si>
  <si>
    <t>£20K EMR offset against 2023/24 IT budget</t>
  </si>
  <si>
    <t>Offices Budget</t>
  </si>
  <si>
    <t>IT Service Costs</t>
  </si>
  <si>
    <t>Parking</t>
  </si>
  <si>
    <t>Miscellaneous and Meetings</t>
  </si>
  <si>
    <t>Van</t>
  </si>
  <si>
    <t>Furniture</t>
  </si>
  <si>
    <t>Hamilton House Costs</t>
  </si>
  <si>
    <t>14700 Rent 
13429.6 Capital 
33250 Service Charge</t>
  </si>
  <si>
    <t>Workshop premises/storage: Fit-out</t>
  </si>
  <si>
    <t>Workshop premises/storage: Lease/rent</t>
  </si>
  <si>
    <t>Grounds Maintenance Costs</t>
  </si>
  <si>
    <t>Grounds Maintenance: Sports Facilities</t>
  </si>
  <si>
    <t>Office Supplies and Stationery</t>
  </si>
  <si>
    <t>Amplification</t>
  </si>
  <si>
    <t>IT</t>
  </si>
  <si>
    <t>Professional Services EMR</t>
  </si>
  <si>
    <t>EMR offset against Insurance budget</t>
  </si>
  <si>
    <t>Legal EMR</t>
  </si>
  <si>
    <t>Elections EMR</t>
  </si>
  <si>
    <t>Professional Services Budget</t>
  </si>
  <si>
    <t>Nabma</t>
  </si>
  <si>
    <t>SLCC</t>
  </si>
  <si>
    <t>SALC/NALC</t>
  </si>
  <si>
    <t>ICO</t>
  </si>
  <si>
    <t>Elections</t>
  </si>
  <si>
    <t>Legal Fees</t>
  </si>
  <si>
    <t>Insurance</t>
  </si>
  <si>
    <t>Bank Charges</t>
  </si>
  <si>
    <t>Bank Interest</t>
  </si>
  <si>
    <t>Audit Fees</t>
  </si>
  <si>
    <t>Events EMR</t>
  </si>
  <si>
    <t>Events Budget</t>
  </si>
  <si>
    <t>Major Event - HODS</t>
  </si>
  <si>
    <t>Major Event - Climate Event</t>
  </si>
  <si>
    <t>Major Event - Armed Forces Day</t>
  </si>
  <si>
    <t>Major Event - First Light</t>
  </si>
  <si>
    <t>Major Event - Remembrance &amp; HMD</t>
  </si>
  <si>
    <t>Major Event - Scores Race</t>
  </si>
  <si>
    <t>Major Event - Mental Health Event</t>
  </si>
  <si>
    <t>Major Event - Vessels Festival</t>
  </si>
  <si>
    <t>Major Event - Christmas</t>
  </si>
  <si>
    <t>Major Event - King Coronation</t>
  </si>
  <si>
    <t>Major Event - Pride Event</t>
  </si>
  <si>
    <t>Grants EMR</t>
  </si>
  <si>
    <t>Grants Budget</t>
  </si>
  <si>
    <t>Social and Food Relief</t>
  </si>
  <si>
    <t>Community Engagement EMR</t>
  </si>
  <si>
    <t>Community Engagement Budget</t>
  </si>
  <si>
    <t>Website and Software Costs</t>
  </si>
  <si>
    <t>Council Tax Leaflet</t>
  </si>
  <si>
    <t>Sponsorship</t>
  </si>
  <si>
    <t>2000 Denes Oval, 2600 south pier</t>
  </si>
  <si>
    <t>Wherry Lines</t>
  </si>
  <si>
    <t>Move to Community Engagement</t>
  </si>
  <si>
    <t>East Suffolk Lines</t>
  </si>
  <si>
    <t>Lowestoft &amp; Plaisir Twinning</t>
  </si>
  <si>
    <t>Stakeholder and Friend Group Support</t>
  </si>
  <si>
    <t>Adverts</t>
  </si>
  <si>
    <t>Festive Lights EMR</t>
  </si>
  <si>
    <t>Festive Lights Budget</t>
  </si>
  <si>
    <t>New Lights</t>
  </si>
  <si>
    <t>Festive Lights Contract</t>
  </si>
  <si>
    <t>Street Licences</t>
  </si>
  <si>
    <t>Civic and Ceremonial EMR</t>
  </si>
  <si>
    <t>Mayoral Robes EMR</t>
  </si>
  <si>
    <t>Civic and Ceremonial Budget</t>
  </si>
  <si>
    <t>Mayoral Travel</t>
  </si>
  <si>
    <t>Arts and Heritage EMR</t>
  </si>
  <si>
    <t>£15K EMR offset against Valuations and Advice budget; £1,598 EMR offset against Heritage Plaques budget.</t>
  </si>
  <si>
    <t>Lowestoft Collection</t>
  </si>
  <si>
    <t>Lowestoft Museum</t>
  </si>
  <si>
    <t>Arts and Heritage Budget</t>
  </si>
  <si>
    <t>Civic Storage</t>
  </si>
  <si>
    <t>Valuations and Advice</t>
  </si>
  <si>
    <t>Heritage Plaques</t>
  </si>
  <si>
    <t>CIL and External Funding EMRs</t>
  </si>
  <si>
    <t>CIL EMR</t>
  </si>
  <si>
    <t>ESC Capital EMR</t>
  </si>
  <si>
    <t>CIL Expenditure</t>
  </si>
  <si>
    <t>ESC Capital Expenditure</t>
  </si>
  <si>
    <t>Net Expenditure</t>
  </si>
  <si>
    <t>17/18 budget</t>
  </si>
  <si>
    <t>17/18 actual</t>
  </si>
  <si>
    <t>18/19 budget</t>
  </si>
  <si>
    <t>18/19 actual</t>
  </si>
  <si>
    <t>19/20 budget</t>
  </si>
  <si>
    <t>19/20 actual</t>
  </si>
  <si>
    <t>20/21 budget</t>
  </si>
  <si>
    <t>20/21 actual</t>
  </si>
  <si>
    <t>21/22 budget</t>
  </si>
  <si>
    <t>22/23 budget</t>
  </si>
  <si>
    <t>23/24 budget</t>
  </si>
  <si>
    <t>24/25 budget</t>
  </si>
  <si>
    <t>General</t>
  </si>
  <si>
    <t>Parks, Open Spaces, Play Areas and Public Conveniences</t>
  </si>
  <si>
    <t>Offices, Buildings, Staff and Ops</t>
  </si>
  <si>
    <t>Civic, Events, Community Engagement and Heritage</t>
  </si>
  <si>
    <t>Precept</t>
  </si>
  <si>
    <t>Council Tax Band D</t>
  </si>
  <si>
    <t>Council Tax Band B</t>
  </si>
  <si>
    <t>Council Tax Increase %</t>
  </si>
  <si>
    <t>-</t>
  </si>
  <si>
    <t>Council Tax Base</t>
  </si>
  <si>
    <t>Electric Vehicles EMR</t>
  </si>
  <si>
    <t>Play Inspection EMR</t>
  </si>
  <si>
    <t>Staff Training</t>
  </si>
  <si>
    <t>Yearly Maintenance</t>
  </si>
  <si>
    <t>Sport Sponsorship</t>
  </si>
  <si>
    <t>Ethics Advisor</t>
  </si>
  <si>
    <t>Litter Picks</t>
  </si>
  <si>
    <t>Major Event - Remembrance</t>
  </si>
  <si>
    <t>Valuations</t>
  </si>
  <si>
    <t>Music License</t>
  </si>
  <si>
    <t>Major Event - MIND</t>
  </si>
  <si>
    <t>Newcombe Road Costs</t>
  </si>
  <si>
    <t>PAT Testing CONT</t>
  </si>
  <si>
    <t>Furniture CONT</t>
  </si>
  <si>
    <t>Insurance CONT</t>
  </si>
  <si>
    <t>GENERAL</t>
  </si>
  <si>
    <t>Note 1</t>
  </si>
  <si>
    <t>Note 2</t>
  </si>
  <si>
    <t>2020/21</t>
  </si>
  <si>
    <t>2021/22</t>
  </si>
  <si>
    <t>2022/23</t>
  </si>
  <si>
    <t>2023/24</t>
  </si>
  <si>
    <t>2024/25</t>
  </si>
  <si>
    <t>2025/26</t>
  </si>
  <si>
    <t>2026/27</t>
  </si>
  <si>
    <t>2027/28</t>
  </si>
  <si>
    <t>2028/29</t>
  </si>
  <si>
    <t>Direct credit to</t>
  </si>
  <si>
    <t>Annual budget. Underspend to</t>
  </si>
  <si>
    <t>Budget</t>
  </si>
  <si>
    <t>Actual</t>
  </si>
  <si>
    <t>Year-End Underspend/Overspend</t>
  </si>
  <si>
    <t>Year to Date</t>
  </si>
  <si>
    <t>Anticipated Year-End Underspend/Overspend</t>
  </si>
  <si>
    <t>Budget Contingency and General Reserves EMR Change</t>
  </si>
  <si>
    <t>2-General Reserves</t>
  </si>
  <si>
    <t>Budget Contingency and General Reserves Budget</t>
  </si>
  <si>
    <t>2-Repairs and Maintenance</t>
  </si>
  <si>
    <t>Repairs and Maintenance EMR Change</t>
  </si>
  <si>
    <t>Asset Compliance Costs Budget</t>
  </si>
  <si>
    <t>2-Compliance</t>
  </si>
  <si>
    <t>Asset Compliance EMR Change</t>
  </si>
  <si>
    <t>Capital Works Budget</t>
  </si>
  <si>
    <t>2-Capital</t>
  </si>
  <si>
    <t>Capital Works EMR Change</t>
  </si>
  <si>
    <t>2-Community Safety</t>
  </si>
  <si>
    <t>Community Safety EMR Change</t>
  </si>
  <si>
    <t>Climate Emergency Budget</t>
  </si>
  <si>
    <t>2-Climate</t>
  </si>
  <si>
    <t>Climate Emergency EMR Change</t>
  </si>
  <si>
    <t>Total</t>
  </si>
  <si>
    <t>Parks, Open Spaces, Play Areas &amp; PCs</t>
  </si>
  <si>
    <t>Year to Date/ Anticipated Spend</t>
  </si>
  <si>
    <t>Parks and Open Spaces EMR Change</t>
  </si>
  <si>
    <t>2-Parks</t>
  </si>
  <si>
    <t>Horticulture EMR Change</t>
  </si>
  <si>
    <t>2-Horticulture</t>
  </si>
  <si>
    <t>Waterways and Ponds EMR Change</t>
  </si>
  <si>
    <t>2-Waterways</t>
  </si>
  <si>
    <t>Play Areas EMR Change</t>
  </si>
  <si>
    <t>2-Play Areas</t>
  </si>
  <si>
    <t>Public Conveniences EMR Change</t>
  </si>
  <si>
    <t>2-Public Conveniences</t>
  </si>
  <si>
    <t>Triangle Market EMR Change</t>
  </si>
  <si>
    <t>2-Triangle Market</t>
  </si>
  <si>
    <t>Allotments, Community Gardens and Orchards EMR Change</t>
  </si>
  <si>
    <t>2-Allotments</t>
  </si>
  <si>
    <t>Allotments, Community Gardens and Orchards Budget</t>
  </si>
  <si>
    <t>Normanston Park EMR Change</t>
  </si>
  <si>
    <t>2-Normanston</t>
  </si>
  <si>
    <t>GELP EMR Change</t>
  </si>
  <si>
    <t>2-GELP</t>
  </si>
  <si>
    <t>Links Road EMR Change</t>
  </si>
  <si>
    <t>2-Links Road</t>
  </si>
  <si>
    <t>Links Road Budget</t>
  </si>
  <si>
    <t>Denes Oval EMR Change</t>
  </si>
  <si>
    <t>2-Denes Oval</t>
  </si>
  <si>
    <t>Belle Vue Park EMR Change</t>
  </si>
  <si>
    <t>2-BVP</t>
  </si>
  <si>
    <t>Sparrows Nest EMR Change</t>
  </si>
  <si>
    <t>2-Sparrows Nest</t>
  </si>
  <si>
    <t>Ness Park EMR Change</t>
  </si>
  <si>
    <t>2-The Ness</t>
  </si>
  <si>
    <t>Sea Wall EMR Change</t>
  </si>
  <si>
    <t>2-Kensington Gardens</t>
  </si>
  <si>
    <t>Kensington Gardens EMR Change</t>
  </si>
  <si>
    <t>Fen Park EMR Change</t>
  </si>
  <si>
    <t>2-Fen Park</t>
  </si>
  <si>
    <t>Community Halls EMR Change</t>
  </si>
  <si>
    <t>2-Community Halls</t>
  </si>
  <si>
    <t>Marina Theatre EMR Change</t>
  </si>
  <si>
    <t>2-Marina Theatre</t>
  </si>
  <si>
    <t>Town Hall EMR Change</t>
  </si>
  <si>
    <t>2-Town Hall</t>
  </si>
  <si>
    <t>2-Hamilton House</t>
  </si>
  <si>
    <t>Staffing and Training EMR Change</t>
  </si>
  <si>
    <t>2-Staff</t>
  </si>
  <si>
    <t>Staffing and Training Budget</t>
  </si>
  <si>
    <t>2-Training</t>
  </si>
  <si>
    <t>Training Budget</t>
  </si>
  <si>
    <t>Professional Services EMR Change</t>
  </si>
  <si>
    <t>2-Professional Services</t>
  </si>
  <si>
    <t>Consultancy EMR Change</t>
  </si>
  <si>
    <t>2-Consultancy</t>
  </si>
  <si>
    <t>Consultancy Budget</t>
  </si>
  <si>
    <t>CIVIC</t>
  </si>
  <si>
    <t>Civic and Ceremonial EMR Change</t>
  </si>
  <si>
    <t>2-Civic</t>
  </si>
  <si>
    <t>Events EMR Change</t>
  </si>
  <si>
    <t>2-Events</t>
  </si>
  <si>
    <t>Festive Lights EMR Change</t>
  </si>
  <si>
    <t>2-Festive Lights</t>
  </si>
  <si>
    <t>Grants EMR Change</t>
  </si>
  <si>
    <t>2-Grants</t>
  </si>
  <si>
    <t>Community Engagements Budget</t>
  </si>
  <si>
    <t>2-Community Engagement</t>
  </si>
  <si>
    <t>Community Engagements EMR Change</t>
  </si>
  <si>
    <t>Arts, Heritage and Museums EMR Change</t>
  </si>
  <si>
    <t>2-Arts</t>
  </si>
  <si>
    <t>Arts, Heritage and Museums Budget</t>
  </si>
  <si>
    <t>2022-23 Notes</t>
  </si>
  <si>
    <t>2024-25 Budget</t>
  </si>
  <si>
    <t>2024-25 Spend to Date</t>
  </si>
  <si>
    <t>2024-25 YE</t>
  </si>
  <si>
    <t>2024-25 Notes</t>
  </si>
  <si>
    <t>2025-26 Budget</t>
  </si>
  <si>
    <t>2025-26 Spend to Date</t>
  </si>
  <si>
    <t>2025-26 YE</t>
  </si>
  <si>
    <t>2025-26 Notes</t>
  </si>
  <si>
    <t>2026-27 Budget</t>
  </si>
  <si>
    <t>2026-27 Spend to Date</t>
  </si>
  <si>
    <t>2026-27 YE</t>
  </si>
  <si>
    <t>2026-27 Notes</t>
  </si>
  <si>
    <t>2027-28 Budget</t>
  </si>
  <si>
    <t>2027-28 Spend to Date</t>
  </si>
  <si>
    <t>2027-28 YE</t>
  </si>
  <si>
    <t>2027-28 Notes</t>
  </si>
  <si>
    <t>2028-29 Budget</t>
  </si>
  <si>
    <t>2028-29 Spend to Date</t>
  </si>
  <si>
    <t>2028-29 YE</t>
  </si>
  <si>
    <t>2028-29 Notes</t>
  </si>
  <si>
    <t>Current Target</t>
  </si>
  <si>
    <t>New Target</t>
  </si>
  <si>
    <t>Covered above</t>
  </si>
  <si>
    <t>Delegated to Allotments Sub-Committee</t>
  </si>
  <si>
    <t>Amount</t>
  </si>
  <si>
    <t>Delete</t>
  </si>
  <si>
    <t>Merge into Sport EMR</t>
  </si>
  <si>
    <t>Town Hall Investment Fund EMR</t>
  </si>
  <si>
    <t/>
  </si>
  <si>
    <t>Merge into Arts and Heritage</t>
  </si>
  <si>
    <t>N/A</t>
  </si>
  <si>
    <t>New EMRs</t>
  </si>
  <si>
    <t>Sports EMR</t>
  </si>
  <si>
    <t>Code</t>
  </si>
  <si>
    <t>Target</t>
  </si>
  <si>
    <t>Allow £61,240 for replacement of cricket nets, £21,551.15 towards cost of thatching Belle Vue Park cottage, and £70K for capital purchase of vehicles for grounds maintenance.</t>
  </si>
  <si>
    <t>Spend to Date</t>
  </si>
  <si>
    <t>Date</t>
  </si>
  <si>
    <t>Description</t>
  </si>
  <si>
    <t>Rent 2022</t>
  </si>
  <si>
    <t>Pending</t>
  </si>
  <si>
    <t>Pending FC consideration</t>
  </si>
  <si>
    <t>Cricket nets</t>
  </si>
  <si>
    <t>Accrued</t>
  </si>
  <si>
    <t>Rent 2023</t>
  </si>
  <si>
    <t>Expected Income</t>
  </si>
  <si>
    <t>To Belle Vue Park towards thatching of cottage</t>
  </si>
  <si>
    <t>Delegated to AID and Parks</t>
  </si>
  <si>
    <t>Replacement of 2023/24 expenditure, including the £30K viremented to Condition Surveys in 2023/24</t>
  </si>
  <si>
    <t>22/04/2022</t>
  </si>
  <si>
    <t>Gunton Hall Door Repairs</t>
  </si>
  <si>
    <t>Sparrows Nest Container Works</t>
  </si>
  <si>
    <t>29/04/2022</t>
  </si>
  <si>
    <t>5x Anti Climb Signs</t>
  </si>
  <si>
    <t>North Denes Water Main Repair</t>
  </si>
  <si>
    <t>02/05/2022</t>
  </si>
  <si>
    <t>KG Roof Repairs</t>
  </si>
  <si>
    <t>BVP Rodent Treatment</t>
  </si>
  <si>
    <t>SN Boundary Wall Repair</t>
  </si>
  <si>
    <t>Sparrows Nest Pathway</t>
  </si>
  <si>
    <t>Gunton Hall Hand Driers</t>
  </si>
  <si>
    <t>Gunton Park and Britten Road Park Fence Repairs</t>
  </si>
  <si>
    <t>SN Move Players Sign</t>
  </si>
  <si>
    <t>Stoven Close Fencing</t>
  </si>
  <si>
    <t>Stoven Close Drain Repair</t>
  </si>
  <si>
    <t>Normanston Skate Park Repairs</t>
  </si>
  <si>
    <t>Whitton Hall 2x Fire Guards</t>
  </si>
  <si>
    <t>Service Cabinet Keys</t>
  </si>
  <si>
    <t>03/05/2022</t>
  </si>
  <si>
    <t>KG Tarmac Repairs</t>
  </si>
  <si>
    <t>Painting Supplies</t>
  </si>
  <si>
    <t>04/05/2022</t>
  </si>
  <si>
    <t>Town Hall Fire Panel Batteries</t>
  </si>
  <si>
    <t>Rawlbolts and Washers</t>
  </si>
  <si>
    <t>Community Warden Equipment</t>
  </si>
  <si>
    <t>Aerosol Lubricant</t>
  </si>
  <si>
    <t>05/05/2022</t>
  </si>
  <si>
    <t>Denes Oval Planning Applic</t>
  </si>
  <si>
    <t>BVP Steps Repairs</t>
  </si>
  <si>
    <t>06/05/2022</t>
  </si>
  <si>
    <t>Supplies Reimbursement</t>
  </si>
  <si>
    <t>Sparrows Nest Paving repair</t>
  </si>
  <si>
    <t>16/05/2022</t>
  </si>
  <si>
    <t>SN Pond Survey</t>
  </si>
  <si>
    <t>Key Cutting</t>
  </si>
  <si>
    <t>Gottleak Pond Paint 4x 25Litre</t>
  </si>
  <si>
    <t>Key Cutting Reimbursement</t>
  </si>
  <si>
    <t>20/05/2022</t>
  </si>
  <si>
    <t>Paint Reimbursement</t>
  </si>
  <si>
    <t>H&amp;S Signage</t>
  </si>
  <si>
    <t>21/05/2022</t>
  </si>
  <si>
    <t>Europa Room Sign</t>
  </si>
  <si>
    <t>Normanston Rodent Treatment</t>
  </si>
  <si>
    <t>23/05/2022</t>
  </si>
  <si>
    <t>Marina Tap Supply &amp; Fit</t>
  </si>
  <si>
    <t>Kensington Gardens Boat Lake Repairs</t>
  </si>
  <si>
    <t>24/05/2022</t>
  </si>
  <si>
    <t>Peto Way Encampment Clean Up</t>
  </si>
  <si>
    <t>13/06/2022</t>
  </si>
  <si>
    <t>Sparrows Nest Drain Works</t>
  </si>
  <si>
    <t>27/06/2022</t>
  </si>
  <si>
    <t>GELP Fencing</t>
  </si>
  <si>
    <t>Roller &amp; Tray sets KG Boating Lake</t>
  </si>
  <si>
    <t>Belle Vue Park Repairs</t>
  </si>
  <si>
    <t>KG Boating Painting Supplies</t>
  </si>
  <si>
    <t>28/06/2022</t>
  </si>
  <si>
    <t>Roof and Gutter Clearing</t>
  </si>
  <si>
    <t>Gunton Hall Drains</t>
  </si>
  <si>
    <t>30/06/2022</t>
  </si>
  <si>
    <t>Whitton Hall Roof Repairs</t>
  </si>
  <si>
    <t>AJ Builders R&amp;M Normanston, SN, Pakefield St, BVP</t>
  </si>
  <si>
    <t>Key Cutting x52</t>
  </si>
  <si>
    <t>Town Sign Refurbishment</t>
  </si>
  <si>
    <t>04/07/2022</t>
  </si>
  <si>
    <t>Normanston Park Soakaway</t>
  </si>
  <si>
    <t>BVP Wall and Concrete Repair</t>
  </si>
  <si>
    <t>KG Retaining Wall Works</t>
  </si>
  <si>
    <t>BVP Lodge Repairs</t>
  </si>
  <si>
    <t>Britten/Nightingale Repair</t>
  </si>
  <si>
    <t>Postcrete Reimbursement</t>
  </si>
  <si>
    <t>11/07/2022</t>
  </si>
  <si>
    <t>Materials Reimbursement</t>
  </si>
  <si>
    <t>Wildflower Seed</t>
  </si>
  <si>
    <t>12/07/2022</t>
  </si>
  <si>
    <t>100x Disposable Gloves</t>
  </si>
  <si>
    <t>Tarmac</t>
  </si>
  <si>
    <t>Graffiti Wipes</t>
  </si>
  <si>
    <t>KG Pond Paint</t>
  </si>
  <si>
    <t>28/07/2022</t>
  </si>
  <si>
    <t>29/07/2022</t>
  </si>
  <si>
    <t>Whitton Inspection</t>
  </si>
  <si>
    <t>30/07/2022</t>
  </si>
  <si>
    <t>20x Safety Signs</t>
  </si>
  <si>
    <t>Ness Park Painting and Decorating</t>
  </si>
  <si>
    <t>31/07/2022</t>
  </si>
  <si>
    <t>Correction of R&amp;M Spend 4126</t>
  </si>
  <si>
    <t>Loctite</t>
  </si>
  <si>
    <t>Legionella Correction 4295</t>
  </si>
  <si>
    <t>Gloves</t>
  </si>
  <si>
    <t>Legionella Checks to R&amp;M</t>
  </si>
  <si>
    <t>Chain</t>
  </si>
  <si>
    <t>6x Exit Signs</t>
  </si>
  <si>
    <t>08/07/2022</t>
  </si>
  <si>
    <t>Cashbook Graffiti Wipes Correction</t>
  </si>
  <si>
    <t>R&amp;M Reimbursement</t>
  </si>
  <si>
    <t>08/08/2022</t>
  </si>
  <si>
    <t>Whitton Hall Thermostats</t>
  </si>
  <si>
    <t>20x Padlocks</t>
  </si>
  <si>
    <t>10x Deep Water Signs</t>
  </si>
  <si>
    <t>Postcrete</t>
  </si>
  <si>
    <t>Fen Park Sign Replacement</t>
  </si>
  <si>
    <t xml:space="preserve">Virement </t>
  </si>
  <si>
    <t>Virement to Condition Surveys</t>
  </si>
  <si>
    <t>20/08/2022</t>
  </si>
  <si>
    <t>4x Anti-Slip Signage</t>
  </si>
  <si>
    <t>R&amp;M Supplies Reimbursement</t>
  </si>
  <si>
    <t>23/08/2022</t>
  </si>
  <si>
    <t>SN War Museum Pathway Works</t>
  </si>
  <si>
    <t>25/08/2022</t>
  </si>
  <si>
    <t>Uplands Sewage Repairs</t>
  </si>
  <si>
    <t>SN Water Pump</t>
  </si>
  <si>
    <t>Uplands Sewage Tank Repairs</t>
  </si>
  <si>
    <t>5-Lever Deadlock</t>
  </si>
  <si>
    <t>Legionella Monitoring Aug 22</t>
  </si>
  <si>
    <t>R&amp;M Supplies</t>
  </si>
  <si>
    <t>25/07/2022</t>
  </si>
  <si>
    <t>Pakefield St PC Cleaning</t>
  </si>
  <si>
    <t>Padlock</t>
  </si>
  <si>
    <t>15/08/2022</t>
  </si>
  <si>
    <t>Graffiti Remover</t>
  </si>
  <si>
    <t>Signage</t>
  </si>
  <si>
    <t>Screws</t>
  </si>
  <si>
    <t>Sparrows Nest Pond Pump</t>
  </si>
  <si>
    <t>17/08/2022</t>
  </si>
  <si>
    <t>Self Drilling 4.8x16mm</t>
  </si>
  <si>
    <t>Screwfix</t>
  </si>
  <si>
    <t>18/08/2022</t>
  </si>
  <si>
    <t>Cable Ties &amp; Woodscrews</t>
  </si>
  <si>
    <t>22/08/2022</t>
  </si>
  <si>
    <t>Rubble Sack and Cable Ties</t>
  </si>
  <si>
    <t>Heras Fencing Lock</t>
  </si>
  <si>
    <t>Glass Paper</t>
  </si>
  <si>
    <t>Town Hall Sign</t>
  </si>
  <si>
    <t>01/09/2022</t>
  </si>
  <si>
    <t>Oak Post Rosedale Park</t>
  </si>
  <si>
    <t>KG Café Repairs</t>
  </si>
  <si>
    <t>04/09/2022</t>
  </si>
  <si>
    <t>RNPSA Museum Remedial Works</t>
  </si>
  <si>
    <t>Grass Seed and Fertilizer</t>
  </si>
  <si>
    <t>05/09/2022</t>
  </si>
  <si>
    <t>Fen P Postcrete Reimbursement</t>
  </si>
  <si>
    <t>GELP Tree Work</t>
  </si>
  <si>
    <t>07/09/2022</t>
  </si>
  <si>
    <t>TH, Gunton Park, Rosedale R&amp;M</t>
  </si>
  <si>
    <t>SN Mastic to Windows</t>
  </si>
  <si>
    <t>Normanston Park Fencing</t>
  </si>
  <si>
    <t>Ravine Edging</t>
  </si>
  <si>
    <t>SDS+ Drill 14 x 260mm x2</t>
  </si>
  <si>
    <t>Normanston Tarmac</t>
  </si>
  <si>
    <t>W. Hall Toilet Roll Holder</t>
  </si>
  <si>
    <t>GELP Tarmac</t>
  </si>
  <si>
    <t>08/09/2022</t>
  </si>
  <si>
    <t>Access Cover Reimbursement</t>
  </si>
  <si>
    <t>Adhesive, Grease, Lubricant</t>
  </si>
  <si>
    <t>09/09/2022</t>
  </si>
  <si>
    <t>GELP H&amp;S Signage</t>
  </si>
  <si>
    <t>Toilet Repair Supplies</t>
  </si>
  <si>
    <t>12/09/2022</t>
  </si>
  <si>
    <t>Cable Ties</t>
  </si>
  <si>
    <t>Denes Oval Electric Repair</t>
  </si>
  <si>
    <t>15/09/2022</t>
  </si>
  <si>
    <t>Instant Lay Macadam</t>
  </si>
  <si>
    <t>Mixed Repairs</t>
  </si>
  <si>
    <t>16/09/2022</t>
  </si>
  <si>
    <t>20x Matta Tiles &amp; Glue</t>
  </si>
  <si>
    <t>Last Year</t>
  </si>
  <si>
    <t>GELP Works</t>
  </si>
  <si>
    <t>20/09/2022</t>
  </si>
  <si>
    <t>Repair Normanston Park Fence</t>
  </si>
  <si>
    <t>SN Bandstand Paint Medium Grit</t>
  </si>
  <si>
    <t>25/09/2022</t>
  </si>
  <si>
    <t>Repair Coping Stone SN</t>
  </si>
  <si>
    <t>Windscreen Repair</t>
  </si>
  <si>
    <t>Repair Pathway Step SN</t>
  </si>
  <si>
    <t>KG Outer Wall Repair</t>
  </si>
  <si>
    <t>Maximum Budget</t>
  </si>
  <si>
    <t>Normanston Standpipe</t>
  </si>
  <si>
    <t>Repair to SN Pathway</t>
  </si>
  <si>
    <t>Bench Slats</t>
  </si>
  <si>
    <t>27/09/2022</t>
  </si>
  <si>
    <t>Wall Plugs &amp; Screw Caps</t>
  </si>
  <si>
    <t>Iseki Lamp Repair</t>
  </si>
  <si>
    <t>28/09/2022</t>
  </si>
  <si>
    <t>Legionella Monitoring</t>
  </si>
  <si>
    <t>Lowestoft Cemetery Door Repair</t>
  </si>
  <si>
    <t>29/09/2022</t>
  </si>
  <si>
    <t>Graffiti Wipe Pack</t>
  </si>
  <si>
    <t>Normanston Wall Repair</t>
  </si>
  <si>
    <t>30/09/2022</t>
  </si>
  <si>
    <t>4x Utility Keys</t>
  </si>
  <si>
    <t>03/10/2022</t>
  </si>
  <si>
    <t>Van Repair Reimbursement</t>
  </si>
  <si>
    <t>Instant Lay Tarmac</t>
  </si>
  <si>
    <t>12/10/2022</t>
  </si>
  <si>
    <t>GELP Steps Repairs</t>
  </si>
  <si>
    <t>Top Soil</t>
  </si>
  <si>
    <t>Britten Green Park Repairs</t>
  </si>
  <si>
    <t>Padlock Keys</t>
  </si>
  <si>
    <t>EMR Transfer</t>
  </si>
  <si>
    <t>EMR Transfer from Parks</t>
  </si>
  <si>
    <t>Dead Lock</t>
  </si>
  <si>
    <t>Whitton Hall Deep Clean</t>
  </si>
  <si>
    <t>Moved to 23/24 budget line</t>
  </si>
  <si>
    <t>Sparrows Nest Wall Repairs</t>
  </si>
  <si>
    <t>First Light Repair</t>
  </si>
  <si>
    <t>Rosedale Goalposts</t>
  </si>
  <si>
    <t>JH Reimbursement Fittings for Signs</t>
  </si>
  <si>
    <t>2x Signs</t>
  </si>
  <si>
    <t>TM Socket Repair</t>
  </si>
  <si>
    <t>Gutter Cleaning Jesters and Whitton</t>
  </si>
  <si>
    <t>TM Light Removal</t>
  </si>
  <si>
    <t>Sparrows Nest Maritime Museum Repairs</t>
  </si>
  <si>
    <t>Moving Compost from KG to Fen Park</t>
  </si>
  <si>
    <t>The Ness Wooden Posts and Rabbit Holes</t>
  </si>
  <si>
    <t>Keys</t>
  </si>
  <si>
    <t>Fen Park Drainage</t>
  </si>
  <si>
    <t>Water Pump</t>
  </si>
  <si>
    <t>Legionella Monitoring Nov</t>
  </si>
  <si>
    <t>Maximum budget</t>
  </si>
  <si>
    <t>Palisade fencing at Pakefield St toilets</t>
  </si>
  <si>
    <t>Sparrows Nest Light Pole Repair</t>
  </si>
  <si>
    <t>RNPSA Museum Sign</t>
  </si>
  <si>
    <t>Flag Repair and Batteries for Door Holds</t>
  </si>
  <si>
    <t>Triangle Market Light Repair</t>
  </si>
  <si>
    <t>Cement</t>
  </si>
  <si>
    <t>SN Water Tank</t>
  </si>
  <si>
    <t>Paint</t>
  </si>
  <si>
    <t>Thirlmere Walk Gate</t>
  </si>
  <si>
    <t>Fen Park Lock</t>
  </si>
  <si>
    <t>Grass Seed</t>
  </si>
  <si>
    <t>Gritting Salt and Bucket</t>
  </si>
  <si>
    <t>Gritting Salt Pallet</t>
  </si>
  <si>
    <t>Waste Carrier Licence</t>
  </si>
  <si>
    <t>Normanston Cricket Barriers</t>
  </si>
  <si>
    <t>Van Equipment</t>
  </si>
  <si>
    <t>SN Electric Repair</t>
  </si>
  <si>
    <t>SN Bandstand Pipe</t>
  </si>
  <si>
    <t>SN Fence</t>
  </si>
  <si>
    <t>6x Paper Rolls</t>
  </si>
  <si>
    <t>Repair Reimbursement</t>
  </si>
  <si>
    <t>2x Keys</t>
  </si>
  <si>
    <t>Ness Bin Pad, KG Slabs</t>
  </si>
  <si>
    <t>10x Steel Shackles</t>
  </si>
  <si>
    <t>KG Paving</t>
  </si>
  <si>
    <t>Gunton Phone Box</t>
  </si>
  <si>
    <t>Completed 23/24</t>
  </si>
  <si>
    <t>Drainage work, repair and underpinning of the Sparrows Nest wall at the Yarmouth Road entrance (per AID 05/12/22 and F&amp;G 12/12/22)</t>
  </si>
  <si>
    <t>Kensington Gardens, Belle Vue Park and Pakefield St PC Repairs</t>
  </si>
  <si>
    <t>Elbow Grease</t>
  </si>
  <si>
    <t>Saw Blades</t>
  </si>
  <si>
    <t>Rosedale Tarmac</t>
  </si>
  <si>
    <t>Strimmer Wire and Petrol Can</t>
  </si>
  <si>
    <t>KG Toilet Block and Boating Pavilion Repair</t>
  </si>
  <si>
    <t>Whitton Light Repair</t>
  </si>
  <si>
    <t>Gunton Hall Windows</t>
  </si>
  <si>
    <t>Whitton Gutter Repairs</t>
  </si>
  <si>
    <t>Normanston Park replacement springer</t>
  </si>
  <si>
    <t>Rope Climb Bolt Fixing</t>
  </si>
  <si>
    <t>Rosedale, Gunton and Normanston Repairs</t>
  </si>
  <si>
    <t>Triangle market Socket Repair</t>
  </si>
  <si>
    <t>Denes Oval Repairs</t>
  </si>
  <si>
    <t>GELP Stabilisation Work 50%</t>
  </si>
  <si>
    <t>Non-Skid Paint</t>
  </si>
  <si>
    <t>Fixings Reimbursement</t>
  </si>
  <si>
    <t>Whitton Paint Sample</t>
  </si>
  <si>
    <t>Sparrows Nest Container</t>
  </si>
  <si>
    <t>Legionella Remedial Works</t>
  </si>
  <si>
    <t>Whitton Hall Light Repair</t>
  </si>
  <si>
    <t>Sparrows Nest Slope</t>
  </si>
  <si>
    <t>Combination safe and screws</t>
  </si>
  <si>
    <t>Rawbolts and Dril Bits</t>
  </si>
  <si>
    <t>Saw Blades and Rope</t>
  </si>
  <si>
    <t>Keys Reimbursement</t>
  </si>
  <si>
    <t>Sparrows Nest Path Works</t>
  </si>
  <si>
    <t>Accrual</t>
  </si>
  <si>
    <t>BVP Lodge Electric Repairs</t>
  </si>
  <si>
    <t>Legionella Monitoring March</t>
  </si>
  <si>
    <t>Rock Salt</t>
  </si>
  <si>
    <t xml:space="preserve">Precept £35K to Capital EMR in 2024/25. Allow £20K to go out for purchase of ride on mower (existing ride on mower inherited from Norse is approaching end of life). </t>
  </si>
  <si>
    <t>Fen Park Bridge</t>
  </si>
  <si>
    <t>Capital purchase of ride on mower</t>
  </si>
  <si>
    <t>From Ness Park (Legal) EMR</t>
  </si>
  <si>
    <t>Fen Park Bridge Gen Reserve Cor</t>
  </si>
  <si>
    <t>EMR transfer</t>
  </si>
  <si>
    <t>To Play Areas EMR</t>
  </si>
  <si>
    <t>To Fen Park EMR</t>
  </si>
  <si>
    <t>To Offices EMR</t>
  </si>
  <si>
    <t>EMR Target</t>
  </si>
  <si>
    <t>WH Boiler Service</t>
  </si>
  <si>
    <t>Ongoing</t>
  </si>
  <si>
    <t>TH Keyholder</t>
  </si>
  <si>
    <t>SN Navy Museum Electrical Testing</t>
  </si>
  <si>
    <t>Alarms</t>
  </si>
  <si>
    <t>SN Beacon Testing</t>
  </si>
  <si>
    <t>Whitton Hall Boiler Inspection</t>
  </si>
  <si>
    <t>TH Fire Extinguisher Checks</t>
  </si>
  <si>
    <t>EPCs Gunton Hall, Whitton Hall, Maritime Museum</t>
  </si>
  <si>
    <t>TH Fire Extinguisher Disposal</t>
  </si>
  <si>
    <t>EPCs BVP Cottage, Marina Theatre, SN Bowls, Giardinos, Martellos</t>
  </si>
  <si>
    <t>EPCs Uplands, Denes Oval, War Museum, RNPS</t>
  </si>
  <si>
    <t>Britten Road Utilities Search</t>
  </si>
  <si>
    <t>Annual Inspection</t>
  </si>
  <si>
    <t>Denes Oval Hot Water Service</t>
  </si>
  <si>
    <t>Gunton Boiler</t>
  </si>
  <si>
    <t>SN &amp; GELP Subsidence Survey</t>
  </si>
  <si>
    <t>Laptop PAT Testing</t>
  </si>
  <si>
    <t>Alarm Monitioring</t>
  </si>
  <si>
    <t>Town Hall Asbestos Survey</t>
  </si>
  <si>
    <t>Play Inspection</t>
  </si>
  <si>
    <t>HH PAT Testing</t>
  </si>
  <si>
    <t>TH Alarm Callouts</t>
  </si>
  <si>
    <t>KG &amp; Normanston PAT Testing</t>
  </si>
  <si>
    <t>Asbestos Surveys</t>
  </si>
  <si>
    <t>Virement</t>
  </si>
  <si>
    <t>Virement from Tarmacking</t>
  </si>
  <si>
    <t>TH Alarm Callout</t>
  </si>
  <si>
    <t>Town Hall Alarm Callout</t>
  </si>
  <si>
    <t>Play App Jan - Mar</t>
  </si>
  <si>
    <t>Remaining Budget</t>
  </si>
  <si>
    <t>BVP Cottage Electrical Inspection</t>
  </si>
  <si>
    <t>DO Water Tank</t>
  </si>
  <si>
    <t>Denes Oval Electric Testing</t>
  </si>
  <si>
    <t>Unit 2 Survey</t>
  </si>
  <si>
    <t>Play Inspections Q2</t>
  </si>
  <si>
    <t>H&amp;S Support</t>
  </si>
  <si>
    <t>HR Support</t>
  </si>
  <si>
    <t>Neighbourhood Plan Grant Return</t>
  </si>
  <si>
    <t>VAT Advice</t>
  </si>
  <si>
    <t>VAT Advisor</t>
  </si>
  <si>
    <t>Payslips Q1</t>
  </si>
  <si>
    <t>Payslips Q2</t>
  </si>
  <si>
    <t>VAT Advice TH and Marina</t>
  </si>
  <si>
    <t>First Aid Kits</t>
  </si>
  <si>
    <t>TUPE Advice</t>
  </si>
  <si>
    <t>Year End Closedown</t>
  </si>
  <si>
    <t>Neighbourhood Plan Support July - Oct</t>
  </si>
  <si>
    <t>Fire Signs</t>
  </si>
  <si>
    <t>Fire Extinguisher Tags</t>
  </si>
  <si>
    <t>Heras Fencing</t>
  </si>
  <si>
    <t>Plasters</t>
  </si>
  <si>
    <t>Door Guards</t>
  </si>
  <si>
    <t>Sharps Container</t>
  </si>
  <si>
    <t>Payslips Q3</t>
  </si>
  <si>
    <t>Tick Removers x6</t>
  </si>
  <si>
    <t>Kensington Gardens Rodent Treatment</t>
  </si>
  <si>
    <t>Sun Cream</t>
  </si>
  <si>
    <t>2x First Aid Kits</t>
  </si>
  <si>
    <t>Tick Safety Cards</t>
  </si>
  <si>
    <t>Eye Wash</t>
  </si>
  <si>
    <t>Weils Safety Cards</t>
  </si>
  <si>
    <t>Lowestoft Library Room Hire</t>
  </si>
  <si>
    <t>Wet Floor Signs x10</t>
  </si>
  <si>
    <t>Payslip Q4</t>
  </si>
  <si>
    <t>Neighbourhood Plan Support</t>
  </si>
  <si>
    <t>HR March 23</t>
  </si>
  <si>
    <t>MISSED</t>
  </si>
  <si>
    <t>RBS YE</t>
  </si>
  <si>
    <t>£10K TUPE advice in column to left has no budget code next to it</t>
  </si>
  <si>
    <t>We took TUPE advice, so how has this been reflected in budget document?</t>
  </si>
  <si>
    <t>Play Areas R&amp;M EMR - only for works where alternative is removal or closure on safety grounds</t>
  </si>
  <si>
    <t>Defibrillator Pads</t>
  </si>
  <si>
    <t>2x Speed Indicator Devices (cost update per Full Council 20/12/22)</t>
  </si>
  <si>
    <t>Britten Road Survey (incl utility searches) (cost update per Full Council 20/12/22)</t>
  </si>
  <si>
    <t>Transfer to code 6 - ring-fence £45K for Play Area (R&amp;M), but only for R&amp;M where the alternative is removal or closure on safety grounds</t>
  </si>
  <si>
    <t>Defibs</t>
  </si>
  <si>
    <t>Transfer from code 1 - ring-fence £45K for Play Area (R&amp;M), but only for R&amp;M where the alternative is removal or closure on safety grounds</t>
  </si>
  <si>
    <t>Moved to 23/24</t>
  </si>
  <si>
    <t>Sparrows Nest Bowls Security 27/6</t>
  </si>
  <si>
    <t>Reinstate GELP Chicane Gates</t>
  </si>
  <si>
    <t>Sparrows Nest Bowls Security 18/7</t>
  </si>
  <si>
    <t>Community Safety grant to DANES for defibrillator pads (per Community Safety 23/11/22)</t>
  </si>
  <si>
    <t>Sparrows Nest Bowls Security 15/7</t>
  </si>
  <si>
    <t>Marina Theatre Electric</t>
  </si>
  <si>
    <t>Sparrows Nest Bowls Security 1/8</t>
  </si>
  <si>
    <t>Ring-fence £45K for Play Area (R&amp;M), but only for R&amp;M where the alternative is closure on safety grounds</t>
  </si>
  <si>
    <t>Sparrows Nest Bowls Security 8/8</t>
  </si>
  <si>
    <t>Defib Batteries</t>
  </si>
  <si>
    <t>Sparrows Nest Bowls Security 15/8</t>
  </si>
  <si>
    <t>Turnberry Close Tarmac Clearing for Hedges</t>
  </si>
  <si>
    <t>GELP stabilisation work 50%</t>
  </si>
  <si>
    <t>Thirlmere Rd - replacement matting and swings</t>
  </si>
  <si>
    <t>Defib Locality Funding</t>
  </si>
  <si>
    <t>Proposal to Full Council &amp; Community Safety</t>
  </si>
  <si>
    <t>Defib Pads</t>
  </si>
  <si>
    <t>Fuel and Travel Costs</t>
  </si>
  <si>
    <t>Delegated to Climate and Ecological Committee</t>
  </si>
  <si>
    <t>Waste Disposal: Waste Collection</t>
  </si>
  <si>
    <t>2024/25 annual cost per staff document presented at Budget &amp; Loan 191023</t>
  </si>
  <si>
    <t>Water Refill Stations (maintenance)</t>
  </si>
  <si>
    <t>Water Refill Stations (NWL fees)</t>
  </si>
  <si>
    <t>Apr-Jan</t>
  </si>
  <si>
    <t>Essential User Allowance</t>
  </si>
  <si>
    <t>Van Mileage</t>
  </si>
  <si>
    <t>Nigel Travel</t>
  </si>
  <si>
    <t>Mayoral Mileage</t>
  </si>
  <si>
    <t>Van Fuel</t>
  </si>
  <si>
    <t>Electric Bike Insurance</t>
  </si>
  <si>
    <t>TH Meter Removal</t>
  </si>
  <si>
    <t>Lauren Travel</t>
  </si>
  <si>
    <t>Travel for Climate Event</t>
  </si>
  <si>
    <t>Marina Cleaning</t>
  </si>
  <si>
    <t>Bird, Bat, Hedgehog and Bug Boxes</t>
  </si>
  <si>
    <t>Marina Theatre Avishock Aug - Oct</t>
  </si>
  <si>
    <t>Sarah Travel</t>
  </si>
  <si>
    <t>Climate Worker</t>
  </si>
  <si>
    <t>Skip Hire</t>
  </si>
  <si>
    <t>Marina Cleaning Aug</t>
  </si>
  <si>
    <t>Bin Liners</t>
  </si>
  <si>
    <t>Marina Deep Clean</t>
  </si>
  <si>
    <t>Avishock Infrastructure</t>
  </si>
  <si>
    <t>Paul Travel</t>
  </si>
  <si>
    <t>Avishock Device</t>
  </si>
  <si>
    <t>Avishock Maintenance Nov-Mar</t>
  </si>
  <si>
    <t>20x Wheelie Bins</t>
  </si>
  <si>
    <t>Kittiwake Officer</t>
  </si>
  <si>
    <t>ESO Hard Hats</t>
  </si>
  <si>
    <t>Norse Bin Emptying Apr - Jun</t>
  </si>
  <si>
    <t>ESO Equipment</t>
  </si>
  <si>
    <t>ESO Insurance</t>
  </si>
  <si>
    <t>High Court Travel</t>
  </si>
  <si>
    <t>Kittiwake Ledges</t>
  </si>
  <si>
    <t>Bin Emptying</t>
  </si>
  <si>
    <t>Sarah Travel Jan</t>
  </si>
  <si>
    <t>John Reimbursement</t>
  </si>
  <si>
    <t>Car Insurance Steve Ward</t>
  </si>
  <si>
    <t>Lauren Travel Feb</t>
  </si>
  <si>
    <t>Litter Picking Equipment</t>
  </si>
  <si>
    <t>Sarah Travel Feb</t>
  </si>
  <si>
    <t>Bin Bags</t>
  </si>
  <si>
    <t>Jonny Travel Jan-Feb</t>
  </si>
  <si>
    <t>Sarah Travel March</t>
  </si>
  <si>
    <t>PW Waters Waste Collection</t>
  </si>
  <si>
    <t>Lauren Travel March</t>
  </si>
  <si>
    <t>Paul Travel Jan - Feb</t>
  </si>
  <si>
    <t>Paul Travel March</t>
  </si>
  <si>
    <t>Michael Travel</t>
  </si>
  <si>
    <t>Shona Travel March</t>
  </si>
  <si>
    <t>Jonny Travel March</t>
  </si>
  <si>
    <t>Avishock Q3</t>
  </si>
  <si>
    <t>Mobile Sack Holder Truck and Sacks</t>
  </si>
  <si>
    <t>Avishock Q2</t>
  </si>
  <si>
    <t>Avishock Q1</t>
  </si>
  <si>
    <t>Apr - Jun</t>
  </si>
  <si>
    <t>Norse Refuse Collections Apr - June</t>
  </si>
  <si>
    <t>Shona Travel</t>
  </si>
  <si>
    <t>Denes Oval Soakaway</t>
  </si>
  <si>
    <t>July</t>
  </si>
  <si>
    <t>Travel July</t>
  </si>
  <si>
    <t>August</t>
  </si>
  <si>
    <t>Travel August</t>
  </si>
  <si>
    <t>September</t>
  </si>
  <si>
    <t>Travel September</t>
  </si>
  <si>
    <t>Climate &amp; Ecological 72.4c &amp; Taylor E-mail 17/10/23:</t>
  </si>
  <si>
    <t>Approval of £5,949.40 purchase cost for 2 waterfill stations in Normanston Park and Fen Park</t>
  </si>
  <si>
    <t>Allocate against main CE&amp;E budget (Code 3)</t>
  </si>
  <si>
    <t>F&amp;G 72.2c, confirmed by Climate &amp; Ecological 84.2a:</t>
  </si>
  <si>
    <t>£3250 from Water Improvements budget (code 7) for Denes Oval soakaway</t>
  </si>
  <si>
    <t>Climate &amp; Ecological 84.3d:</t>
  </si>
  <si>
    <t>Maintenance costs £449pa per station (Gold package) and NWL fees £72pm per station</t>
  </si>
  <si>
    <t>for 2 water refill stations in Normanston Park and Fen Park (code 3)</t>
  </si>
  <si>
    <t>Total annual amount (£449 * 2) + (144 * 12) = £2,626</t>
  </si>
  <si>
    <t>Assume fees will be payable annually so do not pro-rata for 5 months Nov 23-Mar 24</t>
  </si>
  <si>
    <t>Climate &amp; Ecological 84.3e:</t>
  </si>
  <si>
    <t>£800 max budget approved for water butts in Kensington Gardens and Sparrows Nest</t>
  </si>
  <si>
    <t>Climate &amp; Ecological 82 &amp; Full Council 115.2b:</t>
  </si>
  <si>
    <t>Approval of £1,665 grant to Suffolk Wildlife Trust on behalf of Lowestoft Kittiwake Partnership</t>
  </si>
  <si>
    <t>Full Year</t>
  </si>
  <si>
    <t>Norse Contract</t>
  </si>
  <si>
    <t>Memorial Benches</t>
  </si>
  <si>
    <t>SN Sensory Garden</t>
  </si>
  <si>
    <t>Jubilee Event Portaloos</t>
  </si>
  <si>
    <t>Sparrows Nest Sensory Garden Design</t>
  </si>
  <si>
    <t>Park Welcome signage, pending approval and budget allocation decision from Full Council (per AID 09/01/23)</t>
  </si>
  <si>
    <t>KG Peter Pan Feature</t>
  </si>
  <si>
    <t>Normanston Park Tennis</t>
  </si>
  <si>
    <t>Memorial Lecturn</t>
  </si>
  <si>
    <t>19x Picnic Tables</t>
  </si>
  <si>
    <t>Stoven Close Pathway and Bench</t>
  </si>
  <si>
    <t>Britten Road Planting &amp; Fencing</t>
  </si>
  <si>
    <t>Apr-Sep Bin Collections</t>
  </si>
  <si>
    <t>Gunton Park Picnic Bench</t>
  </si>
  <si>
    <t>13x Hyde Park Bench</t>
  </si>
  <si>
    <t>Install Benches and Picnic Tables</t>
  </si>
  <si>
    <t>6x Wheelchair Picnic Tables</t>
  </si>
  <si>
    <t>Bicycle Racks</t>
  </si>
  <si>
    <t>Britten Road Palisade Fencing</t>
  </si>
  <si>
    <t>Sparrows Nest Sensory Garden</t>
  </si>
  <si>
    <t>KG and FP Mulching Area</t>
  </si>
  <si>
    <t>10x Bins</t>
  </si>
  <si>
    <t>Sparrows Nest Beacon</t>
  </si>
  <si>
    <t>Metal Bin Liner x5</t>
  </si>
  <si>
    <t>Gunton Community Park Fencing</t>
  </si>
  <si>
    <t>Bentley Drive Nature Sign</t>
  </si>
  <si>
    <t>Concrete Bin Base</t>
  </si>
  <si>
    <t>Fen Park Gates and Matting</t>
  </si>
  <si>
    <t>Jubilee Event Beacon Lighting</t>
  </si>
  <si>
    <t>Install composting area (comprising 3 sections) in Belle Vue Park (per AID 05/12/22 and F&amp;G 12/12/22)</t>
  </si>
  <si>
    <t>Jubilee Event Sound System</t>
  </si>
  <si>
    <t>Memorial Tree KG Receipt</t>
  </si>
  <si>
    <t>Jubilee Banners</t>
  </si>
  <si>
    <t>Jubilee Flags</t>
  </si>
  <si>
    <t>Information board for Belle Vue Park 150th anniversary commemoration</t>
  </si>
  <si>
    <t>Jubilee Security</t>
  </si>
  <si>
    <t>Jubilee Performance</t>
  </si>
  <si>
    <t>Jubilee Equipment</t>
  </si>
  <si>
    <t>Transfer from Links Road Car Park EMR</t>
  </si>
  <si>
    <t>Jubilee First Aid</t>
  </si>
  <si>
    <t>Jubilee Buffet</t>
  </si>
  <si>
    <t>Van Hire</t>
  </si>
  <si>
    <t>Van Signage</t>
  </si>
  <si>
    <t>GELP Broadwalk Removal</t>
  </si>
  <si>
    <t>Bluebell and Dove Bench</t>
  </si>
  <si>
    <t>Pakefield Green Bin</t>
  </si>
  <si>
    <t>Memorial Bench Normanston</t>
  </si>
  <si>
    <t>Memorial Bench Kensington</t>
  </si>
  <si>
    <t>Memorial Bush Sparrows Nest</t>
  </si>
  <si>
    <t>Purchase of 8 new bins, incl allowance for concrete pads - no max budget set in meeting, so this is just an indicative figure to ring-fence funds within the budget (per AID 05/12/22)</t>
  </si>
  <si>
    <t>To Kensington Gardens EMR</t>
  </si>
  <si>
    <t>From Belle Vue Park (Thatching) EMR</t>
  </si>
  <si>
    <t>4x Noticeboards</t>
  </si>
  <si>
    <t>Noticeboard Installation</t>
  </si>
  <si>
    <t>Memorial Bench Installation Sparrows Nest</t>
  </si>
  <si>
    <t>Noticeboard Locality Funding</t>
  </si>
  <si>
    <t>£23,643 for FP</t>
  </si>
  <si>
    <t>Low Cemetery PCs</t>
  </si>
  <si>
    <t>Cleaning (excl Community Halls)</t>
  </si>
  <si>
    <t>Cleaning - Consumables</t>
  </si>
  <si>
    <t>PC Refurb</t>
  </si>
  <si>
    <t>Pakefield St Utilities</t>
  </si>
  <si>
    <t>Lowestoft Cemetery Utilities</t>
  </si>
  <si>
    <t>Cleaning Supplies and Toilet Roll</t>
  </si>
  <si>
    <t>EMR Transfer from TM</t>
  </si>
  <si>
    <t>Pakefield St PC Electric Apr</t>
  </si>
  <si>
    <t>EMR Transfer to TM</t>
  </si>
  <si>
    <t>Low Cem Electric Apr</t>
  </si>
  <si>
    <t>Pakefield St Water Jan - Nov</t>
  </si>
  <si>
    <t>Pakefield St Water Feb-May</t>
  </si>
  <si>
    <t>Pakefield St Electric Jan</t>
  </si>
  <si>
    <t>Toilet Cleaning Mary Moppins</t>
  </si>
  <si>
    <t>Lowestoft Cemetery Utilities Jan</t>
  </si>
  <si>
    <t>Toilet Roll Dispensers x30</t>
  </si>
  <si>
    <t>Pakefield St Water Nov-Feb</t>
  </si>
  <si>
    <t>Pakefield St Electric May</t>
  </si>
  <si>
    <t>Cemetery Electric Feb</t>
  </si>
  <si>
    <t>Low Cem Electric May</t>
  </si>
  <si>
    <t>Pakefield St Electric Feb</t>
  </si>
  <si>
    <t>60x Toilet Rolls</t>
  </si>
  <si>
    <t>Cemetery Electric March</t>
  </si>
  <si>
    <t>Apr-May</t>
  </si>
  <si>
    <t>Norse Cleaning</t>
  </si>
  <si>
    <t>Pakefield St Electric March</t>
  </si>
  <si>
    <t>Toilet Supplies</t>
  </si>
  <si>
    <t>Paul Reimbursement Soap</t>
  </si>
  <si>
    <t>Blue 2 Ply Roll</t>
  </si>
  <si>
    <t>Cleaning Supplies</t>
  </si>
  <si>
    <t>9x Buckets</t>
  </si>
  <si>
    <t>Soap Dispensers</t>
  </si>
  <si>
    <t>Low Cemetery Electric June</t>
  </si>
  <si>
    <t>Pakefield St PC Electric June</t>
  </si>
  <si>
    <t>Soap and Cloths</t>
  </si>
  <si>
    <t>Toilet Roll</t>
  </si>
  <si>
    <t>Pakefield St Electric July</t>
  </si>
  <si>
    <t>Low Cemetery Electric July</t>
  </si>
  <si>
    <t>KG Additional Clean</t>
  </si>
  <si>
    <t>Blue 2 Ply Roll and Gloves</t>
  </si>
  <si>
    <t>Low Cemetery Electric Aug</t>
  </si>
  <si>
    <t>Pakefield St Electric Aug</t>
  </si>
  <si>
    <t>Toilet Roll Dispensers</t>
  </si>
  <si>
    <t>Jun - Sep</t>
  </si>
  <si>
    <t>Pakefield St Water Q1</t>
  </si>
  <si>
    <t>Electric September Pakefield St</t>
  </si>
  <si>
    <t>Electric September Low Cem</t>
  </si>
  <si>
    <t>From original £200K toilets budget for 2023/24:</t>
  </si>
  <si>
    <t>Triangle Market toilet refurb £103.2K (quote approved at August AID)</t>
  </si>
  <si>
    <t>Fen Park toilet refurb £63,575 (pitched roof quote approved at September AID)</t>
  </si>
  <si>
    <t>Pakefield Street repairs £17.8K (quote approved at August AID)</t>
  </si>
  <si>
    <t>Pakefield Street toilets external works £6.9K (quote approved at September AID)</t>
  </si>
  <si>
    <t>TOTAL £191,475 (Leaves around £8.5K underspend from the original £200K budget,</t>
  </si>
  <si>
    <t>potentially more if the £11.2K ESC money for Triangle Market doors</t>
  </si>
  <si>
    <t>can be used to offset the cost of the Triangle Market PCs)</t>
  </si>
  <si>
    <t>F&amp;G 72.2d</t>
  </si>
  <si>
    <t>£4K anti vandalism measures at Triangle Market and Pakefield St toilets</t>
  </si>
  <si>
    <t>Fund from c£8.5K undersoend against original £200K PC refurb budget</t>
  </si>
  <si>
    <t>F&amp;G 72.4</t>
  </si>
  <si>
    <t>£2,550 Resan toilets and sinks at disabled PCs at Fen Park and Triangle Market</t>
  </si>
  <si>
    <t>Toilet Market Working Group 25/10/23:</t>
  </si>
  <si>
    <t>CM said JC had confirmed that the ESC capital funds of £11,271.73 were not exclusively for TM PC doors,</t>
  </si>
  <si>
    <t>and could be offset against the overall TM refurbishment costs</t>
  </si>
  <si>
    <t>2023-24 YE if all budgets are spent</t>
  </si>
  <si>
    <t>Delegated to Parks and Open Spaces Sub-Committee</t>
  </si>
  <si>
    <t>Audit to identify and document tree portfolio, Delegated to Parks and Open Spaces Sub-Committee</t>
  </si>
  <si>
    <t>Horticulture Accrual</t>
  </si>
  <si>
    <t>Water lilies for KG boating lake (per AID 09/01/23, subject to specialist scientific advice)</t>
  </si>
  <si>
    <t>Tree Guard</t>
  </si>
  <si>
    <t>Rosedale Watering Costs</t>
  </si>
  <si>
    <t>Timber Post</t>
  </si>
  <si>
    <t>Tree Mapping and Survey</t>
  </si>
  <si>
    <t>Britten and Nightingale Watering</t>
  </si>
  <si>
    <t>Britten and Nightingale Mulch</t>
  </si>
  <si>
    <t>Mulch Reimbursement Kensington Gardens</t>
  </si>
  <si>
    <t>Holocaust Planting</t>
  </si>
  <si>
    <t>Trees</t>
  </si>
  <si>
    <t>Watering Bags</t>
  </si>
  <si>
    <t>1/4/23 - 31/6/23</t>
  </si>
  <si>
    <t>Norse Tree Maintenance</t>
  </si>
  <si>
    <t>Lawn Seed</t>
  </si>
  <si>
    <t>Plants</t>
  </si>
  <si>
    <t>Flower Pots</t>
  </si>
  <si>
    <t>Pakefield Green Tree Road Closure</t>
  </si>
  <si>
    <t>SN Sycamore</t>
  </si>
  <si>
    <t>Iris Bulbs</t>
  </si>
  <si>
    <t>Tulips x50</t>
  </si>
  <si>
    <t>Compost</t>
  </si>
  <si>
    <t>Pakefield Green Tree Works</t>
  </si>
  <si>
    <t>Uplands tree works</t>
  </si>
  <si>
    <t>Y1 instalment of 3-year plan to build up £100K reserve for when pond reaches end of life. Per Budget &amp; Loan 191023</t>
  </si>
  <si>
    <t>Gainsborough Drive Pond Dredging</t>
  </si>
  <si>
    <t>Lifebuoy</t>
  </si>
  <si>
    <t>Fen Park Water Improvements</t>
  </si>
  <si>
    <t>Aeration Device</t>
  </si>
  <si>
    <t>KG Salt</t>
  </si>
  <si>
    <t>Lifebuoy x6</t>
  </si>
  <si>
    <t>Britten Rd &amp; Wellington Rd</t>
  </si>
  <si>
    <t>Thirlmere Walk &amp; Clarkes Lane</t>
  </si>
  <si>
    <t>Sustainability plan commitment under LTA funding agreement for LTC-owned tennis courts. Contractual commitment was £1.2K pa per court across 18 courts (total £21.6K pa), Full Council approved total funding of £25K pa (Jul 23, minute ref 66.2)</t>
  </si>
  <si>
    <t>Play Signage</t>
  </si>
  <si>
    <t>Whitton Green Outdoor Gym</t>
  </si>
  <si>
    <t>Games tables for 5 locations, incl concrete pads (per AID 09/01/23)</t>
  </si>
  <si>
    <t>Whitton Green Sign</t>
  </si>
  <si>
    <t>Gunton Easygate</t>
  </si>
  <si>
    <t>Britten Road Works</t>
  </si>
  <si>
    <t>Gunton Maintenance Gate</t>
  </si>
  <si>
    <t>St Margarets Plain</t>
  </si>
  <si>
    <t>Rosedale Repairs</t>
  </si>
  <si>
    <t>St Margarets Plain Bin</t>
  </si>
  <si>
    <t>Sparrows Nest Gate</t>
  </si>
  <si>
    <t>Pakefield Green Fencing</t>
  </si>
  <si>
    <t>Sparrows Nest Refurbishment</t>
  </si>
  <si>
    <t>EMR to Grants</t>
  </si>
  <si>
    <t>Britten and Pakefield Green</t>
  </si>
  <si>
    <t>Play Equipment R&amp;M Parts</t>
  </si>
  <si>
    <t>Normanston Park Gym Equipment</t>
  </si>
  <si>
    <t>Fen Park Gym Equipment</t>
  </si>
  <si>
    <t>Expected Normanston and Cotman</t>
  </si>
  <si>
    <t>Fen Park Norse</t>
  </si>
  <si>
    <t>TM Overcharge Correction</t>
  </si>
  <si>
    <t>Wetpour</t>
  </si>
  <si>
    <t>Cotman Close Play Equipment Removal</t>
  </si>
  <si>
    <t>Gunton Community Park Repairs</t>
  </si>
  <si>
    <t>from Ness</t>
  </si>
  <si>
    <t>Matta</t>
  </si>
  <si>
    <t>From Parks and Open Spaces EMR</t>
  </si>
  <si>
    <t>Swing Links</t>
  </si>
  <si>
    <t>From Capital EMR</t>
  </si>
  <si>
    <t>8 EasyGates at Stoven Close and Normanston Park</t>
  </si>
  <si>
    <t>Installation of 3x EasyGates at Sparrows Nest and Gunton Community Park play areas, pending approval from Full Council and budget allocation decision from Feb F&amp;G (per AID 09/01/23)</t>
  </si>
  <si>
    <t>Transfer from Community Safety Play Areas R&amp;M EMR</t>
  </si>
  <si>
    <t>Adjustment</t>
  </si>
  <si>
    <t>F&amp;G 58.2b &amp; 58.2c:</t>
  </si>
  <si>
    <t>£9656 to stay in Outdoor Fitness Equipment EMR - NOT to be used for Cotman Close and Normanston Park EMR</t>
  </si>
  <si>
    <t>Actual committed cost of £98K-£99K comprised as follows:</t>
  </si>
  <si>
    <t>£12,474.26</t>
  </si>
  <si>
    <t>Play Areas EMR (code 1)</t>
  </si>
  <si>
    <t>£6019.76</t>
  </si>
  <si>
    <t>Whitton Green EMR (code 2)</t>
  </si>
  <si>
    <t>£44842.31</t>
  </si>
  <si>
    <t>Play Areas Refurbishment EMR (code 4)</t>
  </si>
  <si>
    <t>£15000</t>
  </si>
  <si>
    <t>CIL (formerly allocated to Toilet refurbs - see CIL tab)</t>
  </si>
  <si>
    <t>£10053.56</t>
  </si>
  <si>
    <t>CIL (anticipated 2023/24 YE balance following receipt of CIL payment this year - see CIL tab)</t>
  </si>
  <si>
    <t>£11000</t>
  </si>
  <si>
    <t>Play Areas R&amp;M (code 6)</t>
  </si>
  <si>
    <t>£99389.89</t>
  </si>
  <si>
    <t>TOTAL</t>
  </si>
  <si>
    <t xml:space="preserve">What is the £3070 Cotman </t>
  </si>
  <si>
    <t>Close play area removal (code 5) and why has this been discounted against the £12,474.26?</t>
  </si>
  <si>
    <t>F&amp;G 72.3</t>
  </si>
  <si>
    <t>£15K for 8 EasyGates at Stoven Close and Normanston Park (Play Area R&amp;M)</t>
  </si>
  <si>
    <t>Full Council 66.2</t>
  </si>
  <si>
    <t>Sustainability plan commitment under LTA funding agreement for capital upgrade to LTC-owned tennis courts</t>
  </si>
  <si>
    <t>Contractual commitment was £1.2K per annum for 18 courts (total £21.6K), but Full Council approved total funding of £25K pa</t>
  </si>
  <si>
    <t>Set up new budget stream with linked tennis court EMR to act as the contractually required "sinking fund"</t>
  </si>
  <si>
    <t>Triangle Market Repairs &amp; Maintenance</t>
  </si>
  <si>
    <t>Sails Removal</t>
  </si>
  <si>
    <t>Apr-Oct</t>
  </si>
  <si>
    <t>Market Income</t>
  </si>
  <si>
    <t>Electricity April</t>
  </si>
  <si>
    <t>Electricity may</t>
  </si>
  <si>
    <t>EMR Transfer to PCs</t>
  </si>
  <si>
    <t>Electricity June</t>
  </si>
  <si>
    <t>EMR Transfer from Norse Correction</t>
  </si>
  <si>
    <t>Electricity July</t>
  </si>
  <si>
    <t>Planning application for removal of sails</t>
  </si>
  <si>
    <t>Electricity August</t>
  </si>
  <si>
    <t>Current Budget</t>
  </si>
  <si>
    <t>Sails removal</t>
  </si>
  <si>
    <t>Anchorblocs for Kiosks</t>
  </si>
  <si>
    <t xml:space="preserve">EMR Transfer </t>
  </si>
  <si>
    <t>To Triangle Market Capital EMR</t>
  </si>
  <si>
    <t>Apr - Sep</t>
  </si>
  <si>
    <t>From Triangle Market EMR</t>
  </si>
  <si>
    <t>Electric September</t>
  </si>
  <si>
    <t>Kiosk Paint</t>
  </si>
  <si>
    <t>TM Repair &amp; Maintenance allocation - recommendation from TMWG 25/10/23, provisional only pending confirmation from AID</t>
  </si>
  <si>
    <t>TM Capital allocation - refurb of static stalls etc - recommendation from TMWG 25/10/23, provisional only pending confirmation from AID/Full Council</t>
  </si>
  <si>
    <t>Triangle Market Kiosks</t>
  </si>
  <si>
    <t>Electric Feb</t>
  </si>
  <si>
    <t>Electric March</t>
  </si>
  <si>
    <t>rpi from 214 to 356.2</t>
  </si>
  <si>
    <t>Does this now include RPI to last month of lease?
Delegated to Allotments Sub-Committee</t>
  </si>
  <si>
    <t>Does I4 now include RPI to last month of lease? Uplift by real inflation</t>
  </si>
  <si>
    <t>Uplift by real inflation</t>
  </si>
  <si>
    <t>Groundwork Allotment Grant</t>
  </si>
  <si>
    <t>Sussex Road Surface Works</t>
  </si>
  <si>
    <t>Chain Link Fence Normanston Allotments</t>
  </si>
  <si>
    <t>Allotment Management Fee</t>
  </si>
  <si>
    <t>Normanston Litter Clearing</t>
  </si>
  <si>
    <t>Chain-link  fence for Normanston Allotments (per Allotments Sub-Committee 12/01/23, pending approval by Feb 23 F&amp;G)</t>
  </si>
  <si>
    <t>Fence Sussex Road Allotments</t>
  </si>
  <si>
    <t>(Preceding item does not include complementary prickly planting, which would have to be</t>
  </si>
  <si>
    <t>budgeted separately)</t>
  </si>
  <si>
    <t>Waterlane Allotments Drainage Pipes</t>
  </si>
  <si>
    <t>Removal and disposal of 173 tyres from multiple allotment sites: £750 budget for removal and transport to recipient + £600 budget for handling/disposal by recipient (per Allotments Sub-Committee 12/01/23)</t>
  </si>
  <si>
    <t>Levelling work and fence repairs on Sussex Road allotments (per Allotments Sub-Committee 12/01/23, decision on budget allocation to Feb 23 F&amp;G)</t>
  </si>
  <si>
    <t>To PC Refurb</t>
  </si>
  <si>
    <t>Expected Spend</t>
  </si>
  <si>
    <t>Rental Income from Tenant</t>
  </si>
  <si>
    <t>Electric Apr</t>
  </si>
  <si>
    <t>Football and Tennis Coaching Hire</t>
  </si>
  <si>
    <t>Electric May</t>
  </si>
  <si>
    <t>Electric June</t>
  </si>
  <si>
    <t>Conservatory</t>
  </si>
  <si>
    <t>Electric July</t>
  </si>
  <si>
    <t>NP Tennis Courts</t>
  </si>
  <si>
    <t>Electricity Aug</t>
  </si>
  <si>
    <t>Correction of TM Partnership Charge</t>
  </si>
  <si>
    <t>Electricity Sept</t>
  </si>
  <si>
    <t>Sewage Apr - Oct</t>
  </si>
  <si>
    <t>Electric Oct</t>
  </si>
  <si>
    <t>Bin screening (per AID 09/01/23, pending approval and budget allocation from FC/F&amp;G)</t>
  </si>
  <si>
    <t>£3,000.00</t>
  </si>
  <si>
    <t>Water Q4</t>
  </si>
  <si>
    <t>Conservatory Recharge</t>
  </si>
  <si>
    <t>Budget for bank stabilisation works?</t>
  </si>
  <si>
    <t>Norse Maintenance</t>
  </si>
  <si>
    <t>GELP Bridge Rent</t>
  </si>
  <si>
    <t>No trader income during 2023/24?</t>
  </si>
  <si>
    <t>Car Park Rent</t>
  </si>
  <si>
    <t>Transfer to Parks &amp; Open Spaces EMR</t>
  </si>
  <si>
    <t>Disabled Parking Signs</t>
  </si>
  <si>
    <t>Links Road Planting</t>
  </si>
  <si>
    <t>Initial allocation for refurb of clubhouse/PCs building. Urgently need prioritised and costed preventative repairs report. Also have indicative figure of £200K for Denes Oval wall and turrets: explore non-precept options to fund this, including PWLB loan.</t>
  </si>
  <si>
    <t>Tennis Court Light Deposit</t>
  </si>
  <si>
    <t>25/5/23 from General as covered last year</t>
  </si>
  <si>
    <t>Tennis Court Light 2nd Installment</t>
  </si>
  <si>
    <t>Electronic Gate</t>
  </si>
  <si>
    <t>North Denes Utilities</t>
  </si>
  <si>
    <t>Electricity Apr</t>
  </si>
  <si>
    <t>Denes Oval Driveway Works</t>
  </si>
  <si>
    <t>Electricity May</t>
  </si>
  <si>
    <t>Planning Application Advice</t>
  </si>
  <si>
    <t>Water Q1</t>
  </si>
  <si>
    <t>Flood Light Installation 30%</t>
  </si>
  <si>
    <t>Electric June 2023</t>
  </si>
  <si>
    <t>Lighting Amendments</t>
  </si>
  <si>
    <t>Flood Light Installation remaining</t>
  </si>
  <si>
    <t>Tennis Courts Supply, Clean and Paint</t>
  </si>
  <si>
    <t>Electric August</t>
  </si>
  <si>
    <t>Orange Paint</t>
  </si>
  <si>
    <t>To Tennis Club EMR</t>
  </si>
  <si>
    <t>Tarmac to 8 pickle ball courts</t>
  </si>
  <si>
    <t>From Denes Oval EMR</t>
  </si>
  <si>
    <t>Sockets x2</t>
  </si>
  <si>
    <t>Electric Jan</t>
  </si>
  <si>
    <t>Court Cleaning and Painting x2</t>
  </si>
  <si>
    <t>Fence Removal, Tarmacing and Gate</t>
  </si>
  <si>
    <t>Sewage Q4</t>
  </si>
  <si>
    <t>Electric March 23</t>
  </si>
  <si>
    <t>Rental Income</t>
  </si>
  <si>
    <t>To Parks and Open Spaces EMR</t>
  </si>
  <si>
    <t>To Horticulture EMR</t>
  </si>
  <si>
    <t>Includes War Memorial Museum</t>
  </si>
  <si>
    <t>Urgent capital provision required for 2024/25. Indicative quotes suggest that PC refurb will be c£100K, and staff have requested a budget,of c£60K for windows. Preventing water ingress at rear of Martellos/museum building remains a concern: when I was there recently, outer wall was damp/wet and ground between outer wall and rear of building was puddling, even after recent works. Urgently need updated prioritised and costed version of previous 5-year preventative repair report.</t>
  </si>
  <si>
    <t>Sparrows Nest Water</t>
  </si>
  <si>
    <t>Bandstand Hire</t>
  </si>
  <si>
    <t>War Museum Retaining Wall</t>
  </si>
  <si>
    <t>Utilities Nov-May</t>
  </si>
  <si>
    <t>Sparrows Nest Utilities</t>
  </si>
  <si>
    <t>Balustrade Railing</t>
  </si>
  <si>
    <t>Sparrows Nest Bandstand</t>
  </si>
  <si>
    <t>Utilities June</t>
  </si>
  <si>
    <t>Drainage</t>
  </si>
  <si>
    <t>Utilities CN 2019-2020</t>
  </si>
  <si>
    <t>Capital</t>
  </si>
  <si>
    <t>Utilities Nov 2020 - June 2023</t>
  </si>
  <si>
    <t>Move balance £148 from Sparrows Nest PC EMR to Sparrows Nest Capital EMR</t>
  </si>
  <si>
    <t>Martello Windows Planning Application</t>
  </si>
  <si>
    <t>RNPSA Museum Electric Jan</t>
  </si>
  <si>
    <t>Electricity</t>
  </si>
  <si>
    <t>Windows Planning Application</t>
  </si>
  <si>
    <t>Electricity September</t>
  </si>
  <si>
    <t>Windows Deposit</t>
  </si>
  <si>
    <t>Water</t>
  </si>
  <si>
    <t>Expected</t>
  </si>
  <si>
    <t>to Play areas</t>
  </si>
  <si>
    <t>to Capital (Self-insurance &amp; Emergencies) EMR</t>
  </si>
  <si>
    <t>to Offices EMR</t>
  </si>
  <si>
    <t>Ness Bin</t>
  </si>
  <si>
    <t>Water London Rd S PCs Mar - Jun</t>
  </si>
  <si>
    <t>Water Oct-Jan</t>
  </si>
  <si>
    <t>Water Standpipe Q1</t>
  </si>
  <si>
    <t>Electicity August</t>
  </si>
  <si>
    <t>Soakaway</t>
  </si>
  <si>
    <t>Bin Store</t>
  </si>
  <si>
    <t>Bowls Club Windows</t>
  </si>
  <si>
    <t>Water Q2</t>
  </si>
  <si>
    <t>Bowls Donation</t>
  </si>
  <si>
    <t>KG Water Q2</t>
  </si>
  <si>
    <t>VJ Day - plaque to go with commemorative cherry trees</t>
  </si>
  <si>
    <t>Matting and Roundabout Works</t>
  </si>
  <si>
    <t>WH Hire, Uplands Rent and FiT</t>
  </si>
  <si>
    <t>Cleaning (excl consumables)</t>
  </si>
  <si>
    <t>Combination Safe</t>
  </si>
  <si>
    <t>Whitton Hall Cleaning</t>
  </si>
  <si>
    <t>Whitton Hall Hire</t>
  </si>
  <si>
    <t>Gunton Fire Extinguishers and lights</t>
  </si>
  <si>
    <t>WH Music License</t>
  </si>
  <si>
    <t>WH Sanitary Bins</t>
  </si>
  <si>
    <t>Uplands Tank Works</t>
  </si>
  <si>
    <t>Uplands Tank Service</t>
  </si>
  <si>
    <t>Whitton Hall Gas Q1</t>
  </si>
  <si>
    <t>Whitton Hall Utilities</t>
  </si>
  <si>
    <t>Whitton Hall Electric Jan-Apr</t>
  </si>
  <si>
    <t>Whitton Hall Electric Apr-Jul</t>
  </si>
  <si>
    <t>Uplands Rent</t>
  </si>
  <si>
    <t>Apr-Sep</t>
  </si>
  <si>
    <t>Whitton and Gunton Clean MM weekly May - Sep</t>
  </si>
  <si>
    <t>Move £10,380 from Community Halls Capital EMR to Community Halls EMR</t>
  </si>
  <si>
    <t>Whitton Electric Oct - Jan</t>
  </si>
  <si>
    <t>Whitton Gas Dec - Feb</t>
  </si>
  <si>
    <t>Village Hall Model Documents</t>
  </si>
  <si>
    <t>Flying rig</t>
  </si>
  <si>
    <t>Lighting Desk</t>
  </si>
  <si>
    <t>Flying rig from TH</t>
  </si>
  <si>
    <t>Transfer from TH</t>
  </si>
  <si>
    <t>Expected PWLB Repayment</t>
  </si>
  <si>
    <t>LED Lighting</t>
  </si>
  <si>
    <t>Cinema Projector</t>
  </si>
  <si>
    <t>Flying Rig 40%</t>
  </si>
  <si>
    <t>Moth Treatment</t>
  </si>
  <si>
    <t>Boiler Service and Moth Treatment</t>
  </si>
  <si>
    <t>Handrails</t>
  </si>
  <si>
    <t>Marina Door Service</t>
  </si>
  <si>
    <t>Settle quote/invoice received for £2,164.56 in respect of urgent electrical works (per F&amp;G 09/01/23)</t>
  </si>
  <si>
    <t>Thermostat</t>
  </si>
  <si>
    <t>Water Cylinder</t>
  </si>
  <si>
    <t>Cinema Screen</t>
  </si>
  <si>
    <t>Survey Recharge</t>
  </si>
  <si>
    <t>Asbestos Removal</t>
  </si>
  <si>
    <t>Building Survey</t>
  </si>
  <si>
    <t>Stopcock</t>
  </si>
  <si>
    <t>Sink Water Heater</t>
  </si>
  <si>
    <t>Automatic Doors</t>
  </si>
  <si>
    <t>Emergency Lights</t>
  </si>
  <si>
    <t>Sound System</t>
  </si>
  <si>
    <t>HVAC Pane Door Controls</t>
  </si>
  <si>
    <t>PWLB Repayment</t>
  </si>
  <si>
    <t>See footnote re code 4</t>
  </si>
  <si>
    <t>See footnote re code 2</t>
  </si>
  <si>
    <t>BID Levy</t>
  </si>
  <si>
    <t>Transfer to Flying Rig</t>
  </si>
  <si>
    <t>Gas Pipe Purge</t>
  </si>
  <si>
    <t>Utilities Apr-Jan</t>
  </si>
  <si>
    <t>Town Hall Water</t>
  </si>
  <si>
    <t>Town Hall Electric</t>
  </si>
  <si>
    <t>Town Hall Project (Mostly to be reinbursed)</t>
  </si>
  <si>
    <t>Town Hall Gas Standing Charge June 2022</t>
  </si>
  <si>
    <t>Expected Utilities</t>
  </si>
  <si>
    <t>Expected less LTC Contribution</t>
  </si>
  <si>
    <t>Water Mar - June</t>
  </si>
  <si>
    <t>TH Gate</t>
  </si>
  <si>
    <t>Towns Fund</t>
  </si>
  <si>
    <t>Architectural Fund</t>
  </si>
  <si>
    <t>Dry Rot Survey</t>
  </si>
  <si>
    <t>Town Hall Funding</t>
  </si>
  <si>
    <t xml:space="preserve">Town Hall Project </t>
  </si>
  <si>
    <t>Accrual Correction</t>
  </si>
  <si>
    <t>Water Jul - Sep</t>
  </si>
  <si>
    <t>£150,000 Target</t>
  </si>
  <si>
    <t>Out of Hours</t>
  </si>
  <si>
    <t>Job Adverts and Recruitment</t>
  </si>
  <si>
    <t>Salaries</t>
  </si>
  <si>
    <t>NI</t>
  </si>
  <si>
    <t>Grounds Maintenance Adverts</t>
  </si>
  <si>
    <t>Committee Clerk Adverts</t>
  </si>
  <si>
    <t>AMO Advert</t>
  </si>
  <si>
    <t>Environmental Support Advert</t>
  </si>
  <si>
    <t>AMO Adverts</t>
  </si>
  <si>
    <t>Public Play Areas</t>
  </si>
  <si>
    <t>Manual Handling Training</t>
  </si>
  <si>
    <t>SALC Module 6</t>
  </si>
  <si>
    <t>Manual Handling x8</t>
  </si>
  <si>
    <t>Allotment Management H&amp;S</t>
  </si>
  <si>
    <t>Asbestos and Manual Handling Training x5</t>
  </si>
  <si>
    <t>Allotment Management Self Management</t>
  </si>
  <si>
    <t>Van Trailer Training</t>
  </si>
  <si>
    <t>Allotment Management Tenancy</t>
  </si>
  <si>
    <t>Planning Training</t>
  </si>
  <si>
    <t>Website Accessibility</t>
  </si>
  <si>
    <t>SF Community Governance Degree</t>
  </si>
  <si>
    <t>Document Accessibility</t>
  </si>
  <si>
    <t>Heritage Issues and Planning</t>
  </si>
  <si>
    <t>Trailer Training</t>
  </si>
  <si>
    <t>IOSH Training x2</t>
  </si>
  <si>
    <t>Catalyst Training</t>
  </si>
  <si>
    <t>Climate Engagement</t>
  </si>
  <si>
    <t>Events Training</t>
  </si>
  <si>
    <t>Elections Training</t>
  </si>
  <si>
    <t>Legionella Training</t>
  </si>
  <si>
    <t>Groundstaff Training Lunch</t>
  </si>
  <si>
    <t>H&amp;S Training</t>
  </si>
  <si>
    <t>Asbestos and Legionella Training</t>
  </si>
  <si>
    <t>Fire Safety Training</t>
  </si>
  <si>
    <t>Management Training</t>
  </si>
  <si>
    <t>Safeguarding Training</t>
  </si>
  <si>
    <t>First Aid Training x8</t>
  </si>
  <si>
    <t>Manual Handling</t>
  </si>
  <si>
    <t>Deputy Town Clerk Community Governance</t>
  </si>
  <si>
    <t>Legionella, Asbestos, Manual Handling</t>
  </si>
  <si>
    <t>GDPR Training</t>
  </si>
  <si>
    <t>Performance Management</t>
  </si>
  <si>
    <t>ESO Manual Handling</t>
  </si>
  <si>
    <t>Project management training</t>
  </si>
  <si>
    <t>Community Governance Degree</t>
  </si>
  <si>
    <t>First Aid Training</t>
  </si>
  <si>
    <t>Asbestos Awareness</t>
  </si>
  <si>
    <t>Mental Health and Wellbeing</t>
  </si>
  <si>
    <t>Sustainable Landscape Training</t>
  </si>
  <si>
    <t>Training Reimbursement</t>
  </si>
  <si>
    <t>Quote received for approximately £30,000</t>
  </si>
  <si>
    <t>Service Charge and Software</t>
  </si>
  <si>
    <t>Equipment (including PPE)</t>
  </si>
  <si>
    <t>Grounds Maintenance: Grass Cutting</t>
  </si>
  <si>
    <t>Grounds Maintenance: maintenance of plant &amp; equipment / accidental damage</t>
  </si>
  <si>
    <t>Grounds Maintenance: contingency</t>
  </si>
  <si>
    <t>Golf Balls</t>
  </si>
  <si>
    <t>Making Tax Digital</t>
  </si>
  <si>
    <t>Office Supplies</t>
  </si>
  <si>
    <t>Finance Software</t>
  </si>
  <si>
    <t>Keyboard, Mouse &amp; Community Warden Equipment</t>
  </si>
  <si>
    <t>Mobile Phones</t>
  </si>
  <si>
    <t>Misc &amp; Meetings</t>
  </si>
  <si>
    <t>HH Rent</t>
  </si>
  <si>
    <t>HH Capital</t>
  </si>
  <si>
    <t>HH Service</t>
  </si>
  <si>
    <t>HH Business Rates</t>
  </si>
  <si>
    <t>HH BID Levy</t>
  </si>
  <si>
    <t>Amplification April</t>
  </si>
  <si>
    <t>Nigel Parking</t>
  </si>
  <si>
    <t>Air Conditioning</t>
  </si>
  <si>
    <t>Mobile Phones Apr</t>
  </si>
  <si>
    <t>Projector</t>
  </si>
  <si>
    <t>Fire Keys</t>
  </si>
  <si>
    <t>Lauren Parking</t>
  </si>
  <si>
    <t>Cork Noticeboard</t>
  </si>
  <si>
    <t>Fleeces x2</t>
  </si>
  <si>
    <t>Headphones</t>
  </si>
  <si>
    <t>Amplification May</t>
  </si>
  <si>
    <t>IT Service Charge</t>
  </si>
  <si>
    <t>Printing Costs</t>
  </si>
  <si>
    <t>HH Loan Repayment</t>
  </si>
  <si>
    <t>Grounds Maintenance Uniform</t>
  </si>
  <si>
    <t>Denes Oval Mesuring Wheel</t>
  </si>
  <si>
    <t>HH Service Charge</t>
  </si>
  <si>
    <t>Grounds Maintenance PPE</t>
  </si>
  <si>
    <t>Fire Door Guard</t>
  </si>
  <si>
    <t>Grounds Maintenance Gloves</t>
  </si>
  <si>
    <t>Hamilton House Dry Out</t>
  </si>
  <si>
    <t>Grounds Maintenance Tools and PPE</t>
  </si>
  <si>
    <t>IT Service Charge Refund September</t>
  </si>
  <si>
    <t>Key Safe</t>
  </si>
  <si>
    <t>HH Service Charge Refund Oct21 - Sep22</t>
  </si>
  <si>
    <t>Wheelbarrow</t>
  </si>
  <si>
    <t>Committed</t>
  </si>
  <si>
    <t>Container</t>
  </si>
  <si>
    <t>Cloudy IT Setup</t>
  </si>
  <si>
    <t>IT Migration</t>
  </si>
  <si>
    <t>Chris Reimbursement</t>
  </si>
  <si>
    <t>From Ness Park EMR</t>
  </si>
  <si>
    <t>From Town Hall EMR</t>
  </si>
  <si>
    <t>Sarah Parking</t>
  </si>
  <si>
    <t>Amplification 23rd May</t>
  </si>
  <si>
    <t>Cllr Laptops x10</t>
  </si>
  <si>
    <t>Town Hall Container</t>
  </si>
  <si>
    <t>Hire of Owl</t>
  </si>
  <si>
    <t>Mobile Phones May</t>
  </si>
  <si>
    <t>Strimmers</t>
  </si>
  <si>
    <t>Purchase of Owl</t>
  </si>
  <si>
    <t>Ariens Apex 48R</t>
  </si>
  <si>
    <t>10x Phones Jan</t>
  </si>
  <si>
    <t>Stihl RMA 765V Mower</t>
  </si>
  <si>
    <t>Van Hire April</t>
  </si>
  <si>
    <t>Van Hire May</t>
  </si>
  <si>
    <t>Lowestoft Journal</t>
  </si>
  <si>
    <t>Van Hire June</t>
  </si>
  <si>
    <t>Kitchen Supplies</t>
  </si>
  <si>
    <t>Van Hire July</t>
  </si>
  <si>
    <t>Phone Cases x10</t>
  </si>
  <si>
    <t>Taylor Parking</t>
  </si>
  <si>
    <t>Office Planner</t>
  </si>
  <si>
    <t>Zoom Subscription</t>
  </si>
  <si>
    <t>Van Poles Reimbursement</t>
  </si>
  <si>
    <t>Hole Punch</t>
  </si>
  <si>
    <t>Michael Reimbursement</t>
  </si>
  <si>
    <t>Paper</t>
  </si>
  <si>
    <t>Drawing Pins</t>
  </si>
  <si>
    <t>Sledgehammer, Grease Gun, Safety Specs</t>
  </si>
  <si>
    <t>Milk and Newspaper</t>
  </si>
  <si>
    <t>Steel Fork</t>
  </si>
  <si>
    <t>Roller hire</t>
  </si>
  <si>
    <t>Thermal Gloves</t>
  </si>
  <si>
    <t>Izeki tractor</t>
  </si>
  <si>
    <t>4x4 additional cost</t>
  </si>
  <si>
    <t>Petrol Strimmers</t>
  </si>
  <si>
    <t>Waste</t>
  </si>
  <si>
    <t>Lauren Parking Jan</t>
  </si>
  <si>
    <t>Luton</t>
  </si>
  <si>
    <t>Norse equipment</t>
  </si>
  <si>
    <t>Meeting and Journal Reimbursement</t>
  </si>
  <si>
    <t>Norse Grounds Maintenance</t>
  </si>
  <si>
    <t>sports</t>
  </si>
  <si>
    <t>Scissors and Batteries</t>
  </si>
  <si>
    <t>Norse Sports Maintenance</t>
  </si>
  <si>
    <t>Lauren Parking Feb</t>
  </si>
  <si>
    <t>Flail Mower Attachement</t>
  </si>
  <si>
    <t>10x Phones Feb</t>
  </si>
  <si>
    <t>Scarifier</t>
  </si>
  <si>
    <t>Sarah Parking Feb</t>
  </si>
  <si>
    <t>Norse Servicing</t>
  </si>
  <si>
    <t>Pens</t>
  </si>
  <si>
    <t>Hedge Cutter</t>
  </si>
  <si>
    <t>Asset Manager Desk</t>
  </si>
  <si>
    <t>Wheelbarrow, 2x Shovel, Safety Shoes</t>
  </si>
  <si>
    <t>Charger Reimbursement</t>
  </si>
  <si>
    <t>2x Brooms</t>
  </si>
  <si>
    <t>Taylor Parking Feb</t>
  </si>
  <si>
    <t>Extension Pole and Bulldozer Broom</t>
  </si>
  <si>
    <t>Office Chair</t>
  </si>
  <si>
    <t>Container Shelving Unit</t>
  </si>
  <si>
    <t>PC Locks</t>
  </si>
  <si>
    <t>Kitchen Supplies &amp; Lowestoft Journal</t>
  </si>
  <si>
    <t>Stamps</t>
  </si>
  <si>
    <t>Normanston Keys</t>
  </si>
  <si>
    <t>Business Fibre March</t>
  </si>
  <si>
    <t>Sarah Parking March</t>
  </si>
  <si>
    <t>IT Service Charge Apr</t>
  </si>
  <si>
    <t>Meeting Reimbursement</t>
  </si>
  <si>
    <t>IT Service Charge May</t>
  </si>
  <si>
    <t>Lauren Parking March</t>
  </si>
  <si>
    <t>IT Service Charge June</t>
  </si>
  <si>
    <t>Paul Parking Jan-Feb</t>
  </si>
  <si>
    <t>Data Cabling</t>
  </si>
  <si>
    <t>EPBS IT Service Charge Apr</t>
  </si>
  <si>
    <t>Gloves, Bit Holder, Tarpaulin</t>
  </si>
  <si>
    <t>Paul Parking March</t>
  </si>
  <si>
    <t>Meeting Expense Reimbursement</t>
  </si>
  <si>
    <t>Taylor Parking March</t>
  </si>
  <si>
    <t>Stamps Reimbursement</t>
  </si>
  <si>
    <t>Chris Reimbursement Meeting and Low Jo</t>
  </si>
  <si>
    <t>Mops Reimbursement</t>
  </si>
  <si>
    <t>Toilet Plunger Reimbursement</t>
  </si>
  <si>
    <t>Shona Parking March</t>
  </si>
  <si>
    <t>Jonny Parking March</t>
  </si>
  <si>
    <t>Sports Grass Cutting</t>
  </si>
  <si>
    <t>Milk</t>
  </si>
  <si>
    <t>Grass Cutting</t>
  </si>
  <si>
    <t>Meeting Supplies</t>
  </si>
  <si>
    <t>Meeting Expenses</t>
  </si>
  <si>
    <t>Postage</t>
  </si>
  <si>
    <t>Gardening Tools</t>
  </si>
  <si>
    <t>Foot Pump</t>
  </si>
  <si>
    <t>Donation</t>
  </si>
  <si>
    <t>Mobile Phones March</t>
  </si>
  <si>
    <t>10x Phone Chargers</t>
  </si>
  <si>
    <t>Printing Costs Q4</t>
  </si>
  <si>
    <t>Laminating Pouches</t>
  </si>
  <si>
    <t>Cllr Refreshments</t>
  </si>
  <si>
    <t>Extension Lead</t>
  </si>
  <si>
    <t>Batteries &amp; Notebook</t>
  </si>
  <si>
    <t>6 Piece Punch Set</t>
  </si>
  <si>
    <t>Room Divider</t>
  </si>
  <si>
    <t>Stapler</t>
  </si>
  <si>
    <t>Cellotape</t>
  </si>
  <si>
    <t>Punched Pockets</t>
  </si>
  <si>
    <t>4x Phone Cases</t>
  </si>
  <si>
    <t>Missing</t>
  </si>
  <si>
    <t>16 - white tack</t>
  </si>
  <si>
    <t>7 - Parking</t>
  </si>
  <si>
    <t>Mobile Phones June</t>
  </si>
  <si>
    <t>PPE TUPE Staff</t>
  </si>
  <si>
    <t>Ear Protector x11</t>
  </si>
  <si>
    <t>HH Fire Door Retainer</t>
  </si>
  <si>
    <t>Paul Parking</t>
  </si>
  <si>
    <t>Van Numberplate Reimbursement</t>
  </si>
  <si>
    <t>Marking Spray</t>
  </si>
  <si>
    <t>PPE</t>
  </si>
  <si>
    <t>Dennis Mower Parts</t>
  </si>
  <si>
    <t>PPE and Tools Screwfix June</t>
  </si>
  <si>
    <t>Amplification June</t>
  </si>
  <si>
    <t>Toro Mower</t>
  </si>
  <si>
    <t>Cricket - purchase of a scrape for Denes Oval</t>
  </si>
  <si>
    <t>Original estimate £15K, uplifted to £17K max budget for Denes Oval scrape per Oct 23 Full Council agenda/minute ref 115.2a</t>
  </si>
  <si>
    <t>Trailer</t>
  </si>
  <si>
    <t>Brush</t>
  </si>
  <si>
    <t>Amplification July</t>
  </si>
  <si>
    <t>Mobile Phones July</t>
  </si>
  <si>
    <t>Reimbursement Number Plate</t>
  </si>
  <si>
    <t>Reimbursement Petrol</t>
  </si>
  <si>
    <t>Hand Sanitiser</t>
  </si>
  <si>
    <t>Watering Lance</t>
  </si>
  <si>
    <t>Mouse</t>
  </si>
  <si>
    <t>Sprinkler Kit</t>
  </si>
  <si>
    <t>Line Marker Paint</t>
  </si>
  <si>
    <t xml:space="preserve"> </t>
  </si>
  <si>
    <t>Ratchet Straps</t>
  </si>
  <si>
    <t>Stamps and Newspaper</t>
  </si>
  <si>
    <t>Kettles</t>
  </si>
  <si>
    <t>Wessex LR150 Roller</t>
  </si>
  <si>
    <t>PPE Trousers</t>
  </si>
  <si>
    <t>IT Service Charge August</t>
  </si>
  <si>
    <t>IT Service Charge July</t>
  </si>
  <si>
    <t>Van Hire August</t>
  </si>
  <si>
    <t>Parking Reimbursement</t>
  </si>
  <si>
    <t>Screwfix Tools</t>
  </si>
  <si>
    <t>Fuel Cans</t>
  </si>
  <si>
    <t>PPE Safety Specs &amp; Gloves</t>
  </si>
  <si>
    <t>KG Key Cabinet</t>
  </si>
  <si>
    <t>Push Garden Spreader, Buckets, Tool Box</t>
  </si>
  <si>
    <t>Buckets, Grease Gun</t>
  </si>
  <si>
    <t>Fuel Store</t>
  </si>
  <si>
    <t>Amplification August 2023</t>
  </si>
  <si>
    <t>Van Stickers</t>
  </si>
  <si>
    <t>Kettle</t>
  </si>
  <si>
    <t>Lever Files x10</t>
  </si>
  <si>
    <t>Wheel Clamp</t>
  </si>
  <si>
    <t>Rubber Mallet</t>
  </si>
  <si>
    <t>Trolley Wheels</t>
  </si>
  <si>
    <t>Binder Clips</t>
  </si>
  <si>
    <t>Brush Knife</t>
  </si>
  <si>
    <t>Climb It Folding Platform x2</t>
  </si>
  <si>
    <t>Rent September</t>
  </si>
  <si>
    <t>John Deere Repair</t>
  </si>
  <si>
    <t>Van Hire September</t>
  </si>
  <si>
    <t>Stihl Blower</t>
  </si>
  <si>
    <t>Container Movement</t>
  </si>
  <si>
    <t>Arien Service</t>
  </si>
  <si>
    <t>PPE x4</t>
  </si>
  <si>
    <t>Amplification September</t>
  </si>
  <si>
    <t>Shona Parking</t>
  </si>
  <si>
    <t>Shona Meeting</t>
  </si>
  <si>
    <t>Shona Stationery</t>
  </si>
  <si>
    <t>Asbestos Coating</t>
  </si>
  <si>
    <t>Palisade Fencing</t>
  </si>
  <si>
    <t>HH Dead leg removal</t>
  </si>
  <si>
    <t>Puncture Repair</t>
  </si>
  <si>
    <t>Van Trailer Net and Hooks</t>
  </si>
  <si>
    <t>Hose Tail x20</t>
  </si>
  <si>
    <t>Ring Binder x5</t>
  </si>
  <si>
    <t>Fire Extinguisher x6</t>
  </si>
  <si>
    <t>Fuel Caution Signs</t>
  </si>
  <si>
    <t>H&amp;S Poster Frams</t>
  </si>
  <si>
    <t>Litter Pickers</t>
  </si>
  <si>
    <t>Batteries</t>
  </si>
  <si>
    <t>H&amp;S Poster</t>
  </si>
  <si>
    <t>Yard Palisade Fencing</t>
  </si>
  <si>
    <t>IT Service Charge September</t>
  </si>
  <si>
    <t>Mobile Phones August</t>
  </si>
  <si>
    <t>Pole Pruner</t>
  </si>
  <si>
    <t>Van Hire October</t>
  </si>
  <si>
    <t>IT Service Charge October</t>
  </si>
  <si>
    <t>Amplification System</t>
  </si>
  <si>
    <t>Dennis Mower Service</t>
  </si>
  <si>
    <t>Kombimotors x2</t>
  </si>
  <si>
    <t>Hand Pallet Truck</t>
  </si>
  <si>
    <t>Postage, Batteries</t>
  </si>
  <si>
    <t>Van Clean Reimbursement</t>
  </si>
  <si>
    <t>Vehicle</t>
  </si>
  <si>
    <t>4x4 from August at £900</t>
  </si>
  <si>
    <t>Head and Ear Defenders</t>
  </si>
  <si>
    <t>Screwfix PPE and Equipment June</t>
  </si>
  <si>
    <t>Denes Oval and Normanston Paint</t>
  </si>
  <si>
    <t>PPE and Tools Screwfix July</t>
  </si>
  <si>
    <t>Estimate</t>
  </si>
  <si>
    <t>Denes and Normanston Cricket</t>
  </si>
  <si>
    <t>Insurance (including vehicle insurance)</t>
  </si>
  <si>
    <t>Interest Received</t>
  </si>
  <si>
    <t>SALC Membership</t>
  </si>
  <si>
    <t>NABMA</t>
  </si>
  <si>
    <t>21-22 Audit Overspend for Accrual</t>
  </si>
  <si>
    <t>Land Registry Search</t>
  </si>
  <si>
    <t>SLCC Project and Committee Clerk</t>
  </si>
  <si>
    <t>Legal Fees Hamilton House</t>
  </si>
  <si>
    <t>Play Area Insurance</t>
  </si>
  <si>
    <t>Harbour &amp; Normo By-Election</t>
  </si>
  <si>
    <t>ICO Subscription</t>
  </si>
  <si>
    <t>Expected Audit Fees</t>
  </si>
  <si>
    <t>ESC Contribution for Legal Advice</t>
  </si>
  <si>
    <t>Luton Insurance</t>
  </si>
  <si>
    <t>Credit Card Charge Apr</t>
  </si>
  <si>
    <t>SLCC Membership</t>
  </si>
  <si>
    <t>Iseki Insurance</t>
  </si>
  <si>
    <t>Internal Audit</t>
  </si>
  <si>
    <t>SLCC Committee Clerk</t>
  </si>
  <si>
    <t>IEMA</t>
  </si>
  <si>
    <t>Legal Fees Tingdene, TUPE, War Memorial</t>
  </si>
  <si>
    <t>NSALG</t>
  </si>
  <si>
    <t>Bank Charges Q1</t>
  </si>
  <si>
    <t>North Denes Legal Advice</t>
  </si>
  <si>
    <t>Uncontested Elections</t>
  </si>
  <si>
    <t>Vehicle Insurance</t>
  </si>
  <si>
    <t>SLCC Recharge</t>
  </si>
  <si>
    <t>Credit Account Interest</t>
  </si>
  <si>
    <t>Bank Charge</t>
  </si>
  <si>
    <t>Subsidy Control Advice</t>
  </si>
  <si>
    <t>Bank Charges Q2</t>
  </si>
  <si>
    <t>VAT Reclaim Interest</t>
  </si>
  <si>
    <t>SLCC Membership Town Clerk</t>
  </si>
  <si>
    <t>Accrual Underspend</t>
  </si>
  <si>
    <t>Legal Advice</t>
  </si>
  <si>
    <t>Amend formula at L3</t>
  </si>
  <si>
    <t>Transfer £2K from code 1 to code 9, and £2,373.71 from code 1 to code 13, to cover individual event shortfalls</t>
  </si>
  <si>
    <t>Major Event - National Armed Forces Day</t>
  </si>
  <si>
    <t>Major Event - King Coronation/OLB</t>
  </si>
  <si>
    <t>Major Event - Music Event</t>
  </si>
  <si>
    <t>£7,427.00</t>
  </si>
  <si>
    <t>£11,670.00</t>
  </si>
  <si>
    <t>£7,650.00</t>
  </si>
  <si>
    <t>£12,021.00</t>
  </si>
  <si>
    <t>£7,880.00</t>
  </si>
  <si>
    <t>£12,382.00</t>
  </si>
  <si>
    <t>Major Event - D-Day</t>
  </si>
  <si>
    <t>OLB</t>
  </si>
  <si>
    <t>D-Day commemoration: 2023/24 £3K, 2024/25 £12K</t>
  </si>
  <si>
    <t>David Parr Memorial</t>
  </si>
  <si>
    <t>Easter Market</t>
  </si>
  <si>
    <t>HODS</t>
  </si>
  <si>
    <t>First Light Festival</t>
  </si>
  <si>
    <t>Armed Forces Day</t>
  </si>
  <si>
    <t>Big Green Weekender</t>
  </si>
  <si>
    <t>MIND Event</t>
  </si>
  <si>
    <t>EMR Transfer to Grants</t>
  </si>
  <si>
    <t>4x Sparrows Nest Tally Counters</t>
  </si>
  <si>
    <t>Purple Guide Subscription</t>
  </si>
  <si>
    <t>Remembrance &amp; HMD</t>
  </si>
  <si>
    <t>Scores Race</t>
  </si>
  <si>
    <t>Easter Market Performance</t>
  </si>
  <si>
    <t>Vessels Festival</t>
  </si>
  <si>
    <t>Ben Davies Performance</t>
  </si>
  <si>
    <t>BHM Book Tokens</t>
  </si>
  <si>
    <t>Super Swing Big Band</t>
  </si>
  <si>
    <t>Remembrance Event Application</t>
  </si>
  <si>
    <t>Easter market</t>
  </si>
  <si>
    <t>Reclaim Reimbursement</t>
  </si>
  <si>
    <t>Reclaim Plaque</t>
  </si>
  <si>
    <t>Sam &amp; the SwingTones Performance</t>
  </si>
  <si>
    <t>Remembrance Sound</t>
  </si>
  <si>
    <t>Cable Ties Reimbursement</t>
  </si>
  <si>
    <t>Remembrance Wreaths</t>
  </si>
  <si>
    <t>Waveney Concert Band</t>
  </si>
  <si>
    <t>Remembrance Meeting Refreshments</t>
  </si>
  <si>
    <t>Sarah Travel Reimbursement</t>
  </si>
  <si>
    <t>Christmas Market</t>
  </si>
  <si>
    <t>Plaisir Grift Reimbursement</t>
  </si>
  <si>
    <t>Reclaim Plaque Installation</t>
  </si>
  <si>
    <t>Supply of 1100L Bin</t>
  </si>
  <si>
    <t>Reclaim Plaque Amplification</t>
  </si>
  <si>
    <t>First Aid Cover</t>
  </si>
  <si>
    <t>Proclamation Amplification</t>
  </si>
  <si>
    <t>Public Notice Advert</t>
  </si>
  <si>
    <t>Travel and accommodation for Comms Officer to attend Love Park Awards in Liverpool on 09/02/23, as Town Council rep (per AID 09/01/23) and Frame</t>
  </si>
  <si>
    <t>Craft Supplies</t>
  </si>
  <si>
    <t>70th anniversary commemorative plaque on South Pier re loss of "Guava" on night of '53 floods (per F&amp;G 12/12/22)</t>
  </si>
  <si>
    <t>Market TEN</t>
  </si>
  <si>
    <t>HMD Wreaths</t>
  </si>
  <si>
    <t>24th June Market</t>
  </si>
  <si>
    <t>HMD Bench</t>
  </si>
  <si>
    <t>Coronation Event Refreshments</t>
  </si>
  <si>
    <t>Remembrance Refreshments</t>
  </si>
  <si>
    <t>Pride Donation</t>
  </si>
  <si>
    <t>SN Flood line Sign x3</t>
  </si>
  <si>
    <t>Love Parks</t>
  </si>
  <si>
    <t>South Pier Memorial Plaque</t>
  </si>
  <si>
    <t>Event Licence</t>
  </si>
  <si>
    <t>Temporary Event Notice and Travel</t>
  </si>
  <si>
    <t>Poster Reimursement</t>
  </si>
  <si>
    <t>HMD Reimbursement</t>
  </si>
  <si>
    <t>Toilets</t>
  </si>
  <si>
    <t>TM Banner</t>
  </si>
  <si>
    <t>First Aid</t>
  </si>
  <si>
    <t>Holocaust Memorial Day Sound System</t>
  </si>
  <si>
    <t>Pride Bins</t>
  </si>
  <si>
    <t>South Pier Memorial Plaque Sound System</t>
  </si>
  <si>
    <t>Performances</t>
  </si>
  <si>
    <t>Picture Frames</t>
  </si>
  <si>
    <t>Staging</t>
  </si>
  <si>
    <t>Sparrows Nest Licence</t>
  </si>
  <si>
    <t>Events Licence</t>
  </si>
  <si>
    <t>Flags</t>
  </si>
  <si>
    <t>Event Wristbands</t>
  </si>
  <si>
    <t>Banners</t>
  </si>
  <si>
    <t>Pride Bunting</t>
  </si>
  <si>
    <t>Staple Gun</t>
  </si>
  <si>
    <t>TH Engagement Event</t>
  </si>
  <si>
    <t>Memorial to Amy Denny and Rose Cullender</t>
  </si>
  <si>
    <t>Wreath</t>
  </si>
  <si>
    <t>Barnards Meadow Match Funding</t>
  </si>
  <si>
    <t>EMR from Events from Mind</t>
  </si>
  <si>
    <t>The Grit</t>
  </si>
  <si>
    <t>EMR from Play</t>
  </si>
  <si>
    <t>Kirkley Pocket Parks</t>
  </si>
  <si>
    <t>3 Million Steps Grant</t>
  </si>
  <si>
    <t>Ventura Cottage</t>
  </si>
  <si>
    <t>Gunton Community News</t>
  </si>
  <si>
    <t>Lowestoft &amp; Oulton Broad Motor Boat Club</t>
  </si>
  <si>
    <t>Another Angle Studio</t>
  </si>
  <si>
    <t>Lowestoft Time Bank</t>
  </si>
  <si>
    <t>Community Fridge</t>
  </si>
  <si>
    <t>Lowestoft Town Football Club</t>
  </si>
  <si>
    <t>Ground Works Allotment</t>
  </si>
  <si>
    <t>Lowestoft Film Festival</t>
  </si>
  <si>
    <t>Keepers Daughter</t>
  </si>
  <si>
    <t>Gunton Meeting Hall</t>
  </si>
  <si>
    <t>Zoom Package Grant</t>
  </si>
  <si>
    <t>DANES</t>
  </si>
  <si>
    <t>Buffalo Bill</t>
  </si>
  <si>
    <t>Triple A Boxing</t>
  </si>
  <si>
    <t>St Peters and St Johns Chicken Coop</t>
  </si>
  <si>
    <t>Eastern Angles Streets Alive</t>
  </si>
  <si>
    <t>Marina Theatre</t>
  </si>
  <si>
    <t>Inclusive Response Grant</t>
  </si>
  <si>
    <t>Beresford Road Evangelical Church Pantry Grant</t>
  </si>
  <si>
    <t>Kirkley Road Pantry</t>
  </si>
  <si>
    <t>Gunton Primary Academy</t>
  </si>
  <si>
    <t>East Suffolk One</t>
  </si>
  <si>
    <t>Robert Mayers Food Pantry</t>
  </si>
  <si>
    <t>Co-op Wholesale Society Grant</t>
  </si>
  <si>
    <t>Waveney Swimming Club</t>
  </si>
  <si>
    <t>Sunrise Studios</t>
  </si>
  <si>
    <t>Barnards Meadow</t>
  </si>
  <si>
    <t>Norfolk and Waveney MIND</t>
  </si>
  <si>
    <t>Lowestoft FISH</t>
  </si>
  <si>
    <t>Lowestoft and Northern Parishes Community Partnership</t>
  </si>
  <si>
    <t>Not going ahead</t>
  </si>
  <si>
    <t>Lowestoft Community Hub</t>
  </si>
  <si>
    <t>Woodwork Art Café Heritage Grant</t>
  </si>
  <si>
    <t>Leading Lines</t>
  </si>
  <si>
    <t>Hope for Tomorrow</t>
  </si>
  <si>
    <t>Beresford Road Evangelical Church Pantry Grant Coffee Drop In</t>
  </si>
  <si>
    <t>South Pier Lowestoft</t>
  </si>
  <si>
    <t>Greener Growth</t>
  </si>
  <si>
    <t>Lord Kitcheners Memorial Holiday Centre</t>
  </si>
  <si>
    <t>Dentaid</t>
  </si>
  <si>
    <t>Lowestoft Guides</t>
  </si>
  <si>
    <t>Game on Warm Places</t>
  </si>
  <si>
    <t>St Andrews Church Warm Homes</t>
  </si>
  <si>
    <t>East Suffolk Travel Association</t>
  </si>
  <si>
    <t>????</t>
  </si>
  <si>
    <t>To Community Engagement EMR</t>
  </si>
  <si>
    <t>Lowestoft Plaisir Twinning Association moved from Grants EMR to Community Engagement EMR</t>
  </si>
  <si>
    <t>No specific budget for 2022/23, although £1K payment agreed</t>
  </si>
  <si>
    <t>Move £1K from Grants EMR to Community Engagement EMR to maintain EMR offset</t>
  </si>
  <si>
    <t>Will be specifically budgeted for from 2023/24</t>
  </si>
  <si>
    <t>£2K Denes Oval, £2.6K  South Pier - South Pier subsequently confiirmed as £3.5K pa over 3 years, hence £900 overspend for 2023/24</t>
  </si>
  <si>
    <t>£2K cricket club + £3.5K South Pier + provisionally £15K for Excelsior Trust (not confirmed - awaiting proposal and subject to consideration/approval by Full Council)</t>
  </si>
  <si>
    <t>Defunct - do not budget for further payments from 2024/25 onwards</t>
  </si>
  <si>
    <t>Website Hosting</t>
  </si>
  <si>
    <t>Prepayment</t>
  </si>
  <si>
    <t>Lowestoft Cricket</t>
  </si>
  <si>
    <t>Lowestoft Cricket Club Sponsorship</t>
  </si>
  <si>
    <t>Survey Monkey</t>
  </si>
  <si>
    <t>22-23 Wherry Lines</t>
  </si>
  <si>
    <t>Lowestoft Journal Adverts</t>
  </si>
  <si>
    <t>South Pier</t>
  </si>
  <si>
    <t>QR codes</t>
  </si>
  <si>
    <t>From Grants EMR</t>
  </si>
  <si>
    <t>SeekBeak Subscription</t>
  </si>
  <si>
    <t>Festive Lights</t>
  </si>
  <si>
    <t>Street Licence</t>
  </si>
  <si>
    <t>Installation and Switch On</t>
  </si>
  <si>
    <t>To Arts and Heritage EMR</t>
  </si>
  <si>
    <t>Mayoral Travel 2022-23</t>
  </si>
  <si>
    <t>Felixstowe Civic Service</t>
  </si>
  <si>
    <t>Suffolk Day</t>
  </si>
  <si>
    <t>Civic Service</t>
  </si>
  <si>
    <t>Ipswich Mayor at Home</t>
  </si>
  <si>
    <t>Ringfenced</t>
  </si>
  <si>
    <t>Kindertransport</t>
  </si>
  <si>
    <t>Lowestoft Porcelain Ram</t>
  </si>
  <si>
    <t>2x Jabot</t>
  </si>
  <si>
    <t>From Civic EMR</t>
  </si>
  <si>
    <t>Civic Artefact Storage</t>
  </si>
  <si>
    <t>Kindertransport Statue Design 1st Install</t>
  </si>
  <si>
    <t>John Reay Painting</t>
  </si>
  <si>
    <t>Kindertransport Statue Design 2nd Install</t>
  </si>
  <si>
    <t>Mayor and Deputy Mayor Consort Badge</t>
  </si>
  <si>
    <t>Transferring Lowestoft Borough coat of arms to LTC (and associated work)</t>
  </si>
  <si>
    <t>CIL Received</t>
  </si>
  <si>
    <t>Cotman Close and Normanston Park Play Areas</t>
  </si>
  <si>
    <t>SN Capital Works</t>
  </si>
  <si>
    <t>Rosedale</t>
  </si>
  <si>
    <t>Agreed Budget</t>
  </si>
  <si>
    <t>Rosedale Park</t>
  </si>
  <si>
    <t>Cotman Hopscotch</t>
  </si>
  <si>
    <t>Bentley Drive</t>
  </si>
  <si>
    <t>Committed Expenditure</t>
  </si>
  <si>
    <t>TM Paving and trees</t>
  </si>
  <si>
    <t>TM Removal of Steel Structure</t>
  </si>
  <si>
    <t>Triangle Market Kiosk</t>
  </si>
  <si>
    <t>Offset against TM toilet refurbishment</t>
  </si>
  <si>
    <t>SN Bowls Pavilion</t>
  </si>
  <si>
    <t>SN PC Works</t>
  </si>
  <si>
    <t>TM Repair PC Doors</t>
  </si>
  <si>
    <t>Handdriers and Piller Works</t>
  </si>
  <si>
    <t>CIL 1st Installment</t>
  </si>
  <si>
    <t>Bentley Drive Fencing</t>
  </si>
  <si>
    <t>Rosedale Park Fencing</t>
  </si>
  <si>
    <t>Double count of £177 that should also be £117?</t>
  </si>
  <si>
    <t>Remaining</t>
  </si>
  <si>
    <t>Public Conveniences</t>
  </si>
  <si>
    <t>Triangle Market</t>
  </si>
  <si>
    <t>Normanston Park</t>
  </si>
  <si>
    <t>Links Road Car Park</t>
  </si>
  <si>
    <t>Denes Oval</t>
  </si>
  <si>
    <t>Belle Vue Park</t>
  </si>
  <si>
    <t>The Ness</t>
  </si>
  <si>
    <t>Town Hall</t>
  </si>
  <si>
    <t>Budget agreed but not allocated</t>
  </si>
  <si>
    <t>Hamilton Road Site</t>
  </si>
  <si>
    <t>Van???</t>
  </si>
  <si>
    <t>Class</t>
  </si>
  <si>
    <t>Date of Acquisition</t>
  </si>
  <si>
    <t>Cost of Acquisition</t>
  </si>
  <si>
    <t>Life Expectancy</t>
  </si>
  <si>
    <t>Location</t>
  </si>
  <si>
    <t>Land</t>
  </si>
  <si>
    <t>Bentley Drive Play Area</t>
  </si>
  <si>
    <t>Stoven Close Play Area</t>
  </si>
  <si>
    <t>Stoven Close</t>
  </si>
  <si>
    <t>Thirlmere Walk Play Area</t>
  </si>
  <si>
    <t>Thirlmere Walk</t>
  </si>
  <si>
    <t>Gunton Community Park Play Area</t>
  </si>
  <si>
    <t>Montgomery Avenue</t>
  </si>
  <si>
    <t>Building</t>
  </si>
  <si>
    <t>Gunton Estate Residents Meeting Hall</t>
  </si>
  <si>
    <t>Hollingsworth Road</t>
  </si>
  <si>
    <t>Cotman Close Play Area</t>
  </si>
  <si>
    <t>Cotman Close</t>
  </si>
  <si>
    <t>Gainsborough Drive Pond</t>
  </si>
  <si>
    <t>Links Road</t>
  </si>
  <si>
    <t>The Ravine</t>
  </si>
  <si>
    <t>Denes Oval Tennis Courts</t>
  </si>
  <si>
    <t>Denes Oval Public Conveniences</t>
  </si>
  <si>
    <t>Tingdene Caraven Park</t>
  </si>
  <si>
    <t>Whapload Road</t>
  </si>
  <si>
    <t>Sea Wall at Ness Point</t>
  </si>
  <si>
    <t>Gas Works Road</t>
  </si>
  <si>
    <t>Yarmouth Road</t>
  </si>
  <si>
    <t>Belle Vue Park Lodge</t>
  </si>
  <si>
    <t>Belle Vue Park Naval War Memorial</t>
  </si>
  <si>
    <t>Sparrows Nest Park</t>
  </si>
  <si>
    <t>Sparrows Nest Moviemakers Studio</t>
  </si>
  <si>
    <t>Sparrows Nest Giardino Bar</t>
  </si>
  <si>
    <t>Sparrows Nest Martello Coffee House</t>
  </si>
  <si>
    <t>Sparrows Nest Public Conveniences</t>
  </si>
  <si>
    <t>Sparrows Nest RNPSA Museum</t>
  </si>
  <si>
    <t>Sparrows Nest Europa Room</t>
  </si>
  <si>
    <t>Sparrows Nest War Memorial Museum</t>
  </si>
  <si>
    <t>Sparrows Nest War Maritime Museum</t>
  </si>
  <si>
    <t>Sparrows Nest Bowls Pavilion</t>
  </si>
  <si>
    <t>Arnolds Bequest</t>
  </si>
  <si>
    <t>Town Green</t>
  </si>
  <si>
    <t>High Street</t>
  </si>
  <si>
    <t>Compass Street</t>
  </si>
  <si>
    <t>St Peters Street</t>
  </si>
  <si>
    <t>Triangle Market Public Conveniences</t>
  </si>
  <si>
    <t>Triangle Market Telecommunications Cabinets</t>
  </si>
  <si>
    <t>The Marina Theatre</t>
  </si>
  <si>
    <t>The Marina</t>
  </si>
  <si>
    <t>The Marina Theatre Box Office</t>
  </si>
  <si>
    <t>St Margarets Plain Play Area</t>
  </si>
  <si>
    <t>Great Eastern Linear Park</t>
  </si>
  <si>
    <t>Sussex Road Allotments</t>
  </si>
  <si>
    <t>St Margarets Road Allotments</t>
  </si>
  <si>
    <t>St Margarets Road</t>
  </si>
  <si>
    <t>Water Lane Allotments</t>
  </si>
  <si>
    <t>Water Lane</t>
  </si>
  <si>
    <t>Church Lane Allotments</t>
  </si>
  <si>
    <t>Church Lane</t>
  </si>
  <si>
    <t>Normanston Drive Allotments</t>
  </si>
  <si>
    <t>Normanston Drive</t>
  </si>
  <si>
    <t>Lowestoft Cemetery Public Conveniences</t>
  </si>
  <si>
    <t>Rotterdam Road</t>
  </si>
  <si>
    <t>Peto Way</t>
  </si>
  <si>
    <t>Normanston Park Jesters Café</t>
  </si>
  <si>
    <t>Normanston Park Changing Rooms</t>
  </si>
  <si>
    <t>Normanston Park Changing Rooms 2</t>
  </si>
  <si>
    <t>Normanston Park Tennis Courts</t>
  </si>
  <si>
    <t>Land at Notley Road</t>
  </si>
  <si>
    <t>Notley Road</t>
  </si>
  <si>
    <t>Southwell Road</t>
  </si>
  <si>
    <t>Fen Park Allotments</t>
  </si>
  <si>
    <t>Kirkley Cliff Road</t>
  </si>
  <si>
    <t>Kensington Gardens Model Yacht Club</t>
  </si>
  <si>
    <t>Kensington Gardens Boating Lake Kiosk</t>
  </si>
  <si>
    <t>Kensington Gardens Tearoom</t>
  </si>
  <si>
    <t>Kensington Gardens Public Conveniences</t>
  </si>
  <si>
    <t>Kirkley Cliff Road Public Conveniences</t>
  </si>
  <si>
    <t>Wilmington Allotments</t>
  </si>
  <si>
    <t>Kirkley Park Eoad</t>
  </si>
  <si>
    <t>Kirkley Gardens Allotments</t>
  </si>
  <si>
    <t>London Road South</t>
  </si>
  <si>
    <t>Blackheath Road Allotments</t>
  </si>
  <si>
    <t>Blackheath Road</t>
  </si>
  <si>
    <t>Kirkley Community Sports and Social Club</t>
  </si>
  <si>
    <t>Walmer Road</t>
  </si>
  <si>
    <t>Recreation Ground Walmer Road</t>
  </si>
  <si>
    <t>Little Stars Pre-School</t>
  </si>
  <si>
    <t>Pakefield Street Public Conveniences</t>
  </si>
  <si>
    <t>Pakefield Street</t>
  </si>
  <si>
    <t>Pakefield Green Play Area</t>
  </si>
  <si>
    <t>Wellington Road</t>
  </si>
  <si>
    <t>Saxon Road Allotment</t>
  </si>
  <si>
    <t>Saxon Road</t>
  </si>
  <si>
    <t>Prospect Place Allotment</t>
  </si>
  <si>
    <t>Prospect Place</t>
  </si>
  <si>
    <t>Nightingale Road Play Area</t>
  </si>
  <si>
    <t>Nightingale Road</t>
  </si>
  <si>
    <t>Stradbroke Road Allotment</t>
  </si>
  <si>
    <t>Stradbroke Road</t>
  </si>
  <si>
    <t>Turnberry Close</t>
  </si>
  <si>
    <t>Whitton Meeting Hall</t>
  </si>
  <si>
    <t>Hawthorn Avenue</t>
  </si>
  <si>
    <t>Britten Road Play Area</t>
  </si>
  <si>
    <t>Britten Road</t>
  </si>
  <si>
    <t>Amenity Land Delius Close</t>
  </si>
  <si>
    <t>Delius Close</t>
  </si>
  <si>
    <t>Whitton Green Play Area</t>
  </si>
  <si>
    <t>Whitton Green</t>
  </si>
  <si>
    <t>Elm Tree Road</t>
  </si>
  <si>
    <t>Land at Uplands Road North</t>
  </si>
  <si>
    <t>Upland Road North</t>
  </si>
  <si>
    <t>Pond at Uplands Road North</t>
  </si>
  <si>
    <t>Land off the Parklands</t>
  </si>
  <si>
    <t>The Parklands</t>
  </si>
  <si>
    <t>Uplands Childrens Centre</t>
  </si>
  <si>
    <t>Ashburnham Way</t>
  </si>
  <si>
    <t>Sure Start at Uplands Community Centre</t>
  </si>
  <si>
    <t>Uplands Community Centre</t>
  </si>
  <si>
    <t>Clarkes Lane Play Area</t>
  </si>
  <si>
    <t>Clarkes Lane</t>
  </si>
  <si>
    <t>Land at Daffodil Walk</t>
  </si>
  <si>
    <t>Hollow Grove Lane</t>
  </si>
  <si>
    <t>Phone Box at Gunton Drive</t>
  </si>
  <si>
    <t>Gunton Drive</t>
  </si>
  <si>
    <t>Held</t>
  </si>
  <si>
    <t>Matta Tiles</t>
  </si>
  <si>
    <t>Flat Swing Seats</t>
  </si>
  <si>
    <t>Cradle Swing Seats</t>
  </si>
  <si>
    <t>Swing Chains</t>
  </si>
  <si>
    <t>Swing Connectors</t>
  </si>
  <si>
    <t>Swing Bushes</t>
  </si>
  <si>
    <t>Bolt Sleaves</t>
  </si>
  <si>
    <t>Gate Repair Kit</t>
  </si>
  <si>
    <t>Bolt Covers</t>
  </si>
  <si>
    <t>Topsoil</t>
  </si>
  <si>
    <t>Concrete</t>
  </si>
  <si>
    <t>Estimate date of purchase</t>
  </si>
  <si>
    <t>Estimate Cost</t>
  </si>
  <si>
    <t>Description/Use</t>
  </si>
  <si>
    <t>Hamilton Road Refurb</t>
  </si>
  <si>
    <t>Dropside Van</t>
  </si>
  <si>
    <t>Included above?</t>
  </si>
  <si>
    <t>Ride on Mowers</t>
  </si>
  <si>
    <t>Included above or with Norse?</t>
  </si>
  <si>
    <t>Denes Oval Compost Area</t>
  </si>
  <si>
    <t>Unknown</t>
  </si>
  <si>
    <t>Suggestion from CWs</t>
  </si>
  <si>
    <t>Site</t>
  </si>
  <si>
    <t>Species</t>
  </si>
  <si>
    <t>Age</t>
  </si>
  <si>
    <t>Size</t>
  </si>
  <si>
    <t>X</t>
  </si>
  <si>
    <t>Y</t>
  </si>
  <si>
    <t>Normanston Park PC Lights</t>
  </si>
  <si>
    <t>Gutter Clearing £3,282, twice a year. Roof Clearing £4,246 but yearly or less depending on site</t>
  </si>
  <si>
    <t>This currently gives £220,352 to spend on all R&amp;M between October 2023 and April 2025 and would leave nothing in reserves. Current YE estimate for 2023-2024 is £106,600</t>
  </si>
  <si>
    <t>This is a balancing figure in RBS against cell H14</t>
  </si>
  <si>
    <t>A reserve needs to be built up for reinspection in 5 years</t>
  </si>
  <si>
    <t>Play Inspections Q3</t>
  </si>
  <si>
    <t>Play Inspections Q4</t>
  </si>
  <si>
    <t>The ride on mower is coming from the office tab in 2023/2024 as part of grounds maintenance</t>
  </si>
  <si>
    <t>Gunton Community Park Swing</t>
  </si>
  <si>
    <t>Transfer to Play Areas EMR</t>
  </si>
  <si>
    <t>Both sites need it although Normanston is less urgent and can be moved to 2025-26</t>
  </si>
  <si>
    <t>Waiting for final usage to send invoice</t>
  </si>
  <si>
    <t>Tennis Court EMR contribution</t>
  </si>
  <si>
    <t xml:space="preserve">NP toilets and changing rooms
</t>
  </si>
  <si>
    <t>CIL 2nd Installment</t>
  </si>
  <si>
    <t>KG Tennis Gate</t>
  </si>
  <si>
    <t>Workshop premises/storage: Business Rates</t>
  </si>
  <si>
    <t>HH Business Rates and BID Levy</t>
  </si>
  <si>
    <t>Project Costs Capital</t>
  </si>
  <si>
    <t>Project Costs Activity</t>
  </si>
  <si>
    <t>Other Costs</t>
  </si>
  <si>
    <t>Grants and Loan</t>
  </si>
  <si>
    <t>Loan Repayment</t>
  </si>
  <si>
    <t>Tree works: Emergency Works</t>
  </si>
  <si>
    <t>KG Pond and Bridge</t>
  </si>
  <si>
    <t>FP</t>
  </si>
  <si>
    <t>Gainsborough</t>
  </si>
  <si>
    <t>Movie Makers Asbestos</t>
  </si>
  <si>
    <t>Euroscope</t>
  </si>
  <si>
    <t>Music Day: 2023/24 £3K, 2024/25 £7K</t>
  </si>
  <si>
    <t>Apr - Nov</t>
  </si>
  <si>
    <t>Project Expenditure</t>
  </si>
  <si>
    <t>Walmer Road Fencing</t>
  </si>
  <si>
    <t>Van Repair</t>
  </si>
  <si>
    <t>Plaque Repair</t>
  </si>
  <si>
    <t>Topdressing &amp; Fertilizer</t>
  </si>
  <si>
    <t>Stihl Pole Saw Parts</t>
  </si>
  <si>
    <t>Pin Fasteners</t>
  </si>
  <si>
    <t>Heavy Brenton Bolt</t>
  </si>
  <si>
    <t>Paint and Grease Gun</t>
  </si>
  <si>
    <t>Public Convenience LED Bulbs</t>
  </si>
  <si>
    <t>Grease Gun Set</t>
  </si>
  <si>
    <t>Handsaws</t>
  </si>
  <si>
    <t>Normanston Tools</t>
  </si>
  <si>
    <t>LED Bulds</t>
  </si>
  <si>
    <t>Various Repairs Sep - Nov</t>
  </si>
  <si>
    <t>Kensington Gardens Asbestos</t>
  </si>
  <si>
    <t>Sparrows Nest Asbestos</t>
  </si>
  <si>
    <t>Marina Theatre Boiler</t>
  </si>
  <si>
    <t>Giardino Condition Survey</t>
  </si>
  <si>
    <t>Marina Theatre Emergency Lights</t>
  </si>
  <si>
    <t>Venue Hire</t>
  </si>
  <si>
    <t>Ness Design</t>
  </si>
  <si>
    <t>Pump Track</t>
  </si>
  <si>
    <t>Room Hire</t>
  </si>
  <si>
    <t>Marina Clean</t>
  </si>
  <si>
    <t>Water Refill Compliance</t>
  </si>
  <si>
    <t>Water Refill Station x2</t>
  </si>
  <si>
    <t>Water Butts SN and KG</t>
  </si>
  <si>
    <t>Kittiwake Partnership</t>
  </si>
  <si>
    <t>Gloves and Towels</t>
  </si>
  <si>
    <t>Pakefield St</t>
  </si>
  <si>
    <t>Anti Vandalsim</t>
  </si>
  <si>
    <t>Resan</t>
  </si>
  <si>
    <t>Soap</t>
  </si>
  <si>
    <t>Electric October Pakefield St</t>
  </si>
  <si>
    <t>Electric October Low Cem</t>
  </si>
  <si>
    <t>Moved Below</t>
  </si>
  <si>
    <t>Paving Works</t>
  </si>
  <si>
    <t>Electric October</t>
  </si>
  <si>
    <t>St Margarets Allotments debris removal (£2,231) plus extra skips (£1,446) and extra labour (£1,024)</t>
  </si>
  <si>
    <t>Water Oct 22-Apr 23</t>
  </si>
  <si>
    <t>Water Apr - Oct 23</t>
  </si>
  <si>
    <t>Electricity October</t>
  </si>
  <si>
    <t>Normanston Water</t>
  </si>
  <si>
    <t>Sewage Q2</t>
  </si>
  <si>
    <t>Maritime Museum Soakaway</t>
  </si>
  <si>
    <t>Martello Felt Roof</t>
  </si>
  <si>
    <t>KG Water June 22 - Sep 23</t>
  </si>
  <si>
    <t>Whitton Sanitary Bins Full Year</t>
  </si>
  <si>
    <t>Whitton Electric Credit Note</t>
  </si>
  <si>
    <t>Whitton Gas Q2</t>
  </si>
  <si>
    <t>Marina Water Cylinder</t>
  </si>
  <si>
    <t>Marina Roof Repairs</t>
  </si>
  <si>
    <t>Marina Repairs</t>
  </si>
  <si>
    <t>Degregation, Dry Rot and Asbestos</t>
  </si>
  <si>
    <t>Virement from Marina R&amp;M</t>
  </si>
  <si>
    <t>Chairperson Training</t>
  </si>
  <si>
    <t>TW CiLCA</t>
  </si>
  <si>
    <t>Winter PPE</t>
  </si>
  <si>
    <t>Break Out Area</t>
  </si>
  <si>
    <t>COSHH Cupboard</t>
  </si>
  <si>
    <t>Whiteboard Pens</t>
  </si>
  <si>
    <t>Fire Extinguisher</t>
  </si>
  <si>
    <t>PPE Trainers</t>
  </si>
  <si>
    <t>Mobile Phones October</t>
  </si>
  <si>
    <t>Keys Reimbursement Unit 2</t>
  </si>
  <si>
    <t>X950R Diesel Mowing Tractor</t>
  </si>
  <si>
    <t>KG Bowls Equipment</t>
  </si>
  <si>
    <t>Rent October</t>
  </si>
  <si>
    <t>Rent November</t>
  </si>
  <si>
    <t>Line Marking Machine</t>
  </si>
  <si>
    <t>Jacobsen Repair</t>
  </si>
  <si>
    <t>3x Helmets</t>
  </si>
  <si>
    <t>Van Hire November</t>
  </si>
  <si>
    <t>IT Service Charge November</t>
  </si>
  <si>
    <t>Edge Trimmer</t>
  </si>
  <si>
    <t>Strimmer Wire</t>
  </si>
  <si>
    <t>Hedge Trimmer</t>
  </si>
  <si>
    <t>Sprayer</t>
  </si>
  <si>
    <t>Iseki Weights</t>
  </si>
  <si>
    <t>Unit 2 Shelving</t>
  </si>
  <si>
    <t>Unit 2 Vacuum &amp; Cassette Reel</t>
  </si>
  <si>
    <t>Unit 2 Paint</t>
  </si>
  <si>
    <t>Workshop Heater</t>
  </si>
  <si>
    <t>Mobile Phones November</t>
  </si>
  <si>
    <t>Loading Ramp</t>
  </si>
  <si>
    <t>Denes Oval Tennis Legal</t>
  </si>
  <si>
    <t>Allotments Legal Advice</t>
  </si>
  <si>
    <t>Property Legal Advice</t>
  </si>
  <si>
    <t>Town Hall and Allotments Legal Advice</t>
  </si>
  <si>
    <t>Town Hall Legal Advice</t>
  </si>
  <si>
    <t>Unit 2 Legal Advice</t>
  </si>
  <si>
    <t>General Legal Advice</t>
  </si>
  <si>
    <t>Norse Legal Advice</t>
  </si>
  <si>
    <t>Committee Legal Advice</t>
  </si>
  <si>
    <t>Contested Election May</t>
  </si>
  <si>
    <t>Buggy Insurance</t>
  </si>
  <si>
    <t>Unit 2 Insurance</t>
  </si>
  <si>
    <t>TH Engagement Event Space Hire</t>
  </si>
  <si>
    <t>TH Engagement Events</t>
  </si>
  <si>
    <t>Halloween Market Pumpkins &amp; Travel Reimbursement</t>
  </si>
  <si>
    <t>BHM Event Entertainment</t>
  </si>
  <si>
    <t>BHM Event Prizes</t>
  </si>
  <si>
    <t>Xmas Market Licence</t>
  </si>
  <si>
    <t>Remembrance Wreath</t>
  </si>
  <si>
    <t>Remembrance Music</t>
  </si>
  <si>
    <t>Remembrance Reimbursement</t>
  </si>
  <si>
    <t>Xmas Market Performance</t>
  </si>
  <si>
    <t>Suffolk County FA Barnards Meadow Pavilion</t>
  </si>
  <si>
    <t>Bact Community Transport</t>
  </si>
  <si>
    <t>Lord Kitcheners</t>
  </si>
  <si>
    <t>Footprints Pantry</t>
  </si>
  <si>
    <t>St Andrews Church Pantry</t>
  </si>
  <si>
    <t>St Luke's Whitton Pantry</t>
  </si>
  <si>
    <t>Barnards Meadow match funding</t>
  </si>
  <si>
    <t>Website Design</t>
  </si>
  <si>
    <t>Sarah Meeting Expenses</t>
  </si>
  <si>
    <t>Weeder</t>
  </si>
  <si>
    <t>IT Service Charge December</t>
  </si>
  <si>
    <t>Access Community Trust</t>
  </si>
  <si>
    <t>Kirkley Peoples Forum</t>
  </si>
  <si>
    <t>Remove provisional ring fencing for 2023/24 but add into 2024/25 ring-fenced expenditure. Will need to be considered and approved by Full Council in due course</t>
  </si>
  <si>
    <t>Pakefield St Refurb 1st Installment</t>
  </si>
  <si>
    <t>RNPSA Roof Repair</t>
  </si>
  <si>
    <t>HH Dishwasher</t>
  </si>
  <si>
    <t>Xmas Market Motifs</t>
  </si>
  <si>
    <t>HH Service Charge 2022-23</t>
  </si>
  <si>
    <t>Marina Fire Safety</t>
  </si>
  <si>
    <t>Dennis Mower Repair</t>
  </si>
  <si>
    <t>Jonny Fuel</t>
  </si>
  <si>
    <t>Jonny Parking</t>
  </si>
  <si>
    <t>Jonny Meeting Expenses</t>
  </si>
  <si>
    <t>Jonny R&amp;M Reimbursement</t>
  </si>
  <si>
    <t>Electric Nov Pakefield St</t>
  </si>
  <si>
    <t>Water Q3</t>
  </si>
  <si>
    <t>Water Apr - Sep</t>
  </si>
  <si>
    <t>Electric November</t>
  </si>
  <si>
    <t>Gravel</t>
  </si>
  <si>
    <t>Sand</t>
  </si>
  <si>
    <t>Roof Asbestos Report</t>
  </si>
  <si>
    <t>Whapload Road Trees</t>
  </si>
  <si>
    <t>Electricity November</t>
  </si>
  <si>
    <t>Low Cemetery Electric Nov</t>
  </si>
  <si>
    <t>Unit 2 Adhesive</t>
  </si>
  <si>
    <t>Unit 2 Hose</t>
  </si>
  <si>
    <t>Van Hire December</t>
  </si>
  <si>
    <t>PC Cleaning Supplies</t>
  </si>
  <si>
    <t>Xmas Market Sound</t>
  </si>
  <si>
    <t>BVP Photos</t>
  </si>
  <si>
    <t>IT Service Charge Rialtas &amp; Fibre</t>
  </si>
  <si>
    <t>Administration Fee</t>
  </si>
  <si>
    <t>Ness Point Security</t>
  </si>
  <si>
    <t>Water Q1 CN</t>
  </si>
  <si>
    <t>Water 1/7/22 - 11/9/23</t>
  </si>
  <si>
    <t>Water 1/7/22-31/3/23</t>
  </si>
  <si>
    <t>Water Sep - Dec</t>
  </si>
  <si>
    <t>Water Apr - Oct</t>
  </si>
  <si>
    <t>Water Jul - Oct</t>
  </si>
  <si>
    <t>KG Pier Repair</t>
  </si>
  <si>
    <t>Xmas Market Performance Longshore Men</t>
  </si>
  <si>
    <t>Unit 2 Key Reimbursement</t>
  </si>
  <si>
    <t>Michael Parking Reimbursement</t>
  </si>
  <si>
    <t>Printing Reimbursement</t>
  </si>
  <si>
    <t>Pressure Washer</t>
  </si>
  <si>
    <t>Vehicle Fuel</t>
  </si>
  <si>
    <t>Chris Travel</t>
  </si>
  <si>
    <t>Paint Sprayer</t>
  </si>
  <si>
    <t>Mobile Phones December</t>
  </si>
  <si>
    <t>Drag Mat and Key Set</t>
  </si>
  <si>
    <t>Bathroom Indicator Bolt</t>
  </si>
  <si>
    <t>Security Nuts</t>
  </si>
  <si>
    <t>2x Silver Birch for SN</t>
  </si>
  <si>
    <t>BVP Image</t>
  </si>
  <si>
    <t>Pakefield Green Road Closure</t>
  </si>
  <si>
    <t>Hawthorn Reimbursement</t>
  </si>
  <si>
    <t>Actual Cost</t>
  </si>
  <si>
    <t>Cotman Close Surfacing</t>
  </si>
  <si>
    <t>Normanston Play Equipment</t>
  </si>
  <si>
    <t>Normanston and Cotman Inspection</t>
  </si>
  <si>
    <t>Replacement Chains</t>
  </si>
  <si>
    <t>Gunton Park Cableway</t>
  </si>
  <si>
    <t>Bump Cap x10</t>
  </si>
  <si>
    <t>Tree Pruner</t>
  </si>
  <si>
    <t>Valved Masks</t>
  </si>
  <si>
    <t>Drain Rod Set</t>
  </si>
  <si>
    <t>Luton Chequerplate</t>
  </si>
  <si>
    <t>Mobile Phones September</t>
  </si>
  <si>
    <t>IT Service Costs &amp; Phones</t>
  </si>
  <si>
    <t>Workshop premises/storage: Utilities &amp; Insurance</t>
  </si>
  <si>
    <t>25/26 budget</t>
  </si>
  <si>
    <t>Neoprene Rubber Strip</t>
  </si>
  <si>
    <t>Concrete Mixer</t>
  </si>
  <si>
    <t>Plant Pots</t>
  </si>
  <si>
    <t>10x Headlamps</t>
  </si>
  <si>
    <t>Wood Treatment</t>
  </si>
  <si>
    <t>Pillar Drill</t>
  </si>
  <si>
    <t>Grinding Wheel Dresser</t>
  </si>
  <si>
    <t>Grinding Wheel</t>
  </si>
  <si>
    <t>Bench Grinder</t>
  </si>
  <si>
    <t>Generator</t>
  </si>
  <si>
    <t>Noticeboard Magnets</t>
  </si>
  <si>
    <t>Notebooks</t>
  </si>
  <si>
    <t>Unit 2 Heater</t>
  </si>
  <si>
    <t>Box Files</t>
  </si>
  <si>
    <t>Gas CN Reverse</t>
  </si>
  <si>
    <t>IT Service Charge January</t>
  </si>
  <si>
    <t>Red Cross Donation</t>
  </si>
  <si>
    <t>Rent January</t>
  </si>
  <si>
    <t>Unit 2 Lockers</t>
  </si>
  <si>
    <t>Grass Cutting Oct-Nov</t>
  </si>
  <si>
    <t>Gainsborough Drive Works</t>
  </si>
  <si>
    <t>NSALG Membership</t>
  </si>
  <si>
    <t>Unit 2 Business Rates</t>
  </si>
  <si>
    <t>Britten as a Boy Donation</t>
  </si>
  <si>
    <t>Fencing</t>
  </si>
  <si>
    <t>LED Bulbs</t>
  </si>
  <si>
    <t>R&amp;M Tools</t>
  </si>
  <si>
    <t>Adblue 10Ltr</t>
  </si>
  <si>
    <t>PTFE Tape</t>
  </si>
  <si>
    <t>Unit 2 Tools</t>
  </si>
  <si>
    <t>Unit 2 Goods</t>
  </si>
  <si>
    <t>Iseki Repair</t>
  </si>
  <si>
    <t>Ness Design Consultation</t>
  </si>
  <si>
    <t>Triangle Market Chalkboard</t>
  </si>
  <si>
    <t>Electric December</t>
  </si>
  <si>
    <t>Pakefield St Water CN 8/8/23-7/11/23</t>
  </si>
  <si>
    <t>Low Cemetery Electric Dec</t>
  </si>
  <si>
    <t>Electric Dec</t>
  </si>
  <si>
    <t>Pakefield St Electric Dec</t>
  </si>
  <si>
    <t>Electricity December</t>
  </si>
  <si>
    <t>MEND Project</t>
  </si>
  <si>
    <t>Sep-  Dec</t>
  </si>
  <si>
    <t>Bank Interest Q2</t>
  </si>
  <si>
    <t>Bank Interest Q3</t>
  </si>
  <si>
    <t>Oct - Dec</t>
  </si>
  <si>
    <t>JROL Plaque</t>
  </si>
  <si>
    <t>Turf Training</t>
  </si>
  <si>
    <t>Oct CC</t>
  </si>
  <si>
    <t>October Credit Card</t>
  </si>
  <si>
    <t>Unit 2 Sign</t>
  </si>
  <si>
    <t>Marina Legal Advice</t>
  </si>
  <si>
    <t>Travel Reimbursement</t>
  </si>
  <si>
    <t>PC Cleaning Coveral</t>
  </si>
  <si>
    <t>Whitton and Gunton Cleaning</t>
  </si>
  <si>
    <t>Water May - Oct</t>
  </si>
  <si>
    <t>Water 2019-20</t>
  </si>
  <si>
    <t>Water CN Oct 22 - Apr 23</t>
  </si>
  <si>
    <t>Van Hire January</t>
  </si>
  <si>
    <t>Xmas Market Performances</t>
  </si>
  <si>
    <t>Rent December</t>
  </si>
  <si>
    <t>October CC R&amp;M</t>
  </si>
  <si>
    <t>Swing Shackles</t>
  </si>
  <si>
    <t>Nov - Dec</t>
  </si>
  <si>
    <t>Whapload Road Trees Road Closure</t>
  </si>
  <si>
    <t>Tree Ties</t>
  </si>
  <si>
    <t>Defibrillator Match Funding</t>
  </si>
  <si>
    <t>Grass Cutting July</t>
  </si>
  <si>
    <t>Screen Wash</t>
  </si>
  <si>
    <t>Grass Cutting Aug - Sep</t>
  </si>
  <si>
    <t>EMR Correction</t>
  </si>
  <si>
    <t>Balance Below</t>
  </si>
  <si>
    <t>Normanston and Cotman EMR</t>
  </si>
  <si>
    <t>Transfer to TH</t>
  </si>
  <si>
    <t>Bank Interest Q4</t>
  </si>
  <si>
    <t>Cotman Close Play Equipment</t>
  </si>
  <si>
    <t>Use of CIL</t>
  </si>
  <si>
    <t>Agreed Budget, Pending</t>
  </si>
  <si>
    <t>Triangle Market from ESC Funding</t>
  </si>
  <si>
    <t>Use of ESC Funding</t>
  </si>
  <si>
    <t>EMR Transfer of ESC Funding</t>
  </si>
  <si>
    <t xml:space="preserve">Use of ESC Funding </t>
  </si>
  <si>
    <t>Blockpaving</t>
  </si>
  <si>
    <t>Norfolk and Suffolk Woodcarvers</t>
  </si>
  <si>
    <t>National Literacy Trust</t>
  </si>
  <si>
    <t>Oulton Broad Water Sport</t>
  </si>
  <si>
    <t>Community Engagement Training</t>
  </si>
  <si>
    <t>Normanston Park Decay Detection</t>
  </si>
  <si>
    <t>SN Gritting Nov</t>
  </si>
  <si>
    <t>The Ness Gritting Nov</t>
  </si>
  <si>
    <t>6' x 6' Rustic Lap Panels</t>
  </si>
  <si>
    <t>PC Supplies</t>
  </si>
  <si>
    <t>2x Wreaths</t>
  </si>
  <si>
    <t>Inflatable Boat</t>
  </si>
  <si>
    <t>Horticulture Transfer</t>
  </si>
  <si>
    <t>AB Tree Survey</t>
  </si>
  <si>
    <t>Utilities to Parks</t>
  </si>
  <si>
    <t>Washing Up Liquid</t>
  </si>
  <si>
    <t>Plastic Wallets</t>
  </si>
  <si>
    <t>Screwdrivers</t>
  </si>
  <si>
    <t>2x Torches</t>
  </si>
  <si>
    <t>Unit 2 Blinds</t>
  </si>
  <si>
    <t>Sparrows Nest Trees</t>
  </si>
  <si>
    <t xml:space="preserve">EMR recovery of  transferring Lowestoft Borough Coat of Arms to LTC (and associated works) - both taken 2023/24. </t>
  </si>
  <si>
    <t>Shutter Door Repair</t>
  </si>
  <si>
    <t>Unit 2 Signs</t>
  </si>
  <si>
    <t>Alarm Repair</t>
  </si>
  <si>
    <t>Copper Daffodils</t>
  </si>
  <si>
    <t>Eye Test Reimbursement</t>
  </si>
  <si>
    <t>Whitton Electric Sep - Nov</t>
  </si>
  <si>
    <t>Whitton Electric Nov-Dec</t>
  </si>
  <si>
    <t>Whitton Smart Meter Incentive</t>
  </si>
  <si>
    <t>Whitton Hall Gas Mar-Dec</t>
  </si>
  <si>
    <t>21/22 Actual</t>
  </si>
  <si>
    <t>22/23 Actual</t>
  </si>
  <si>
    <t>23/24 YTD</t>
  </si>
  <si>
    <t>Expected Other Costs</t>
  </si>
  <si>
    <t>Expected Grants and Loan</t>
  </si>
  <si>
    <t>Expected Capital</t>
  </si>
  <si>
    <t>Expected Activity Costs</t>
  </si>
  <si>
    <t>LTC Budget Stream</t>
  </si>
  <si>
    <t>Outsourcing costs 2022-23 (Norse provisional year-start figures)</t>
  </si>
  <si>
    <t>Extrapolated outsourcing costs 2023-24 
Ness Park merged into main itemised asset schedule increased by 5.6% (Average Norse Increase)</t>
  </si>
  <si>
    <t>Comparative 2023-24 in-house costs - working figures
PLEASE SEE SEPARATE NOTES ON RATIONALE TAB</t>
  </si>
  <si>
    <t>INDICATIVE ANNUAL SAVING FROM BRINGING PREVIOUSLY OUTSOURCED GROUNDS MAINTENANCE OPERATIONS IN HOUSE</t>
  </si>
  <si>
    <t>MAIN NORSE MAINTENANCE SCHEDULE</t>
  </si>
  <si>
    <t>AGGREGATED MAIN AND SUPPLEMENTARY NORSE MAINTENANCE SCHEDULES</t>
  </si>
  <si>
    <t>Pre-project Town Hall Repair &amp; Maintenance Budget</t>
  </si>
  <si>
    <t>Post-project Town Hall Repair &amp; Maintenance Budget</t>
  </si>
  <si>
    <t>Parks, Open Spaces, and Play Areas - itemised assets</t>
  </si>
  <si>
    <t>Outdoor workshop and storage premises</t>
  </si>
  <si>
    <t xml:space="preserve">INDICATIVE POST-PROJECT ANNUAL SAVING IN TOWN HALL REPAIR &amp; MAINTENANCE COSTS </t>
  </si>
  <si>
    <t>Annual lease</t>
  </si>
  <si>
    <t>Open Space Adjoining 4 High Street</t>
  </si>
  <si>
    <t>Additional utility costs</t>
  </si>
  <si>
    <t>INDICATIVE COST SAVINGS TO BE REALISED FROM VACATING HAMILTON HOUSE</t>
  </si>
  <si>
    <t>Rent, service charges, and capital loan repayment only. 
Have discounted amplification costs as we have recently terminated the hire-out arrangement we had been using in favour of a new cheaper system which does not come with an ongoing monthly running cost, and which will be portable/transferrable to the TH if required</t>
  </si>
  <si>
    <t>Land North Side of Hollow Grove Lane / Daffodil Walk</t>
  </si>
  <si>
    <t>Land Adjacent To 119 Notley Road</t>
  </si>
  <si>
    <t>Maintenance of plant and equipment, accidental damage provision</t>
  </si>
  <si>
    <t>CONTRACTUAL RENTAL INCOME FROM COMMERCIAL TENANTS AT NORMANSTON PARK, SPARROWS NEST, AND KENSINGTON GARDENS</t>
  </si>
  <si>
    <t>Play ground off The Parklands</t>
  </si>
  <si>
    <t>Sub-total</t>
  </si>
  <si>
    <t>Open Space Adjoining Raphael Walk, Gainsborough Drive</t>
  </si>
  <si>
    <t>IF NECESSARY, REDIRECT SOME OF THE ANNUAL TINGDENE INCOME (£90K+) TO SERVICE THE PWLB LOAN, ALTHOUGH THIS IS CURRENTLY ALLOCATED TO BUILD UP OUR GENERAL RESERVES TO MEET TARGET LEVELS</t>
  </si>
  <si>
    <t>Britten Road Play Area, lying to the west of Kirkley Run</t>
  </si>
  <si>
    <t>Land at Clarkes Lane (inc play area) / Play Area Rear Of Marshams Piece and Land / Play Area South Of Pollard Piece</t>
  </si>
  <si>
    <t>Vehicles and Fuel</t>
  </si>
  <si>
    <t>CUMULATIVE SAVINGS AND INCOME THAT CAN BE REDIRECTED WITHIN EXISTING BUDGET (WITHOUT PRECEPTING) TO SERVICE PWLB LOAN</t>
  </si>
  <si>
    <t>Cotman Close Play Area, west side of Gunton Church Lane</t>
  </si>
  <si>
    <t>Increase in vehicle hire costs</t>
  </si>
  <si>
    <t>Gunton Community Park Play Area, Land at Montgomery Avenue</t>
  </si>
  <si>
    <t>Increase in Fuel and Travel Costs</t>
  </si>
  <si>
    <t>London Road Play Equipment &amp; Pakefield Green Play Area (Wellington Road)</t>
  </si>
  <si>
    <t>Parkhill Play Area Land to the North East of Bentley Drive</t>
  </si>
  <si>
    <t>Rosedale Park inc play area, land NE of Elm Tree Road</t>
  </si>
  <si>
    <t>St Margarets Play Area - Land north of Dove Street</t>
  </si>
  <si>
    <t>Cleaning (contractual)</t>
  </si>
  <si>
    <t>Does not include community halls which which were never cleaned under the previous outsourcing contract</t>
  </si>
  <si>
    <t>Land At Stoven Close</t>
  </si>
  <si>
    <t>Consumables</t>
  </si>
  <si>
    <t>Includes community halls which which were never cleaned under the previous outsourcing contract, but no ready means of separating out the respective costs</t>
  </si>
  <si>
    <t>Thirlmere Walk Play Area, Land west of Lulworth Park</t>
  </si>
  <si>
    <t>Turnberry Close Playground</t>
  </si>
  <si>
    <t>Whitton Green Play Area, land on est side of Hawthorn Ave</t>
  </si>
  <si>
    <t>Waste Collection</t>
  </si>
  <si>
    <t>Triangle Market - South Part of Market
(excluding Public Conveniences)</t>
  </si>
  <si>
    <t>Waste collection (contractual)</t>
  </si>
  <si>
    <t>Normanston Park, Peto Way
(excluding Public Conveniences)</t>
  </si>
  <si>
    <t>Waste carrier licence</t>
  </si>
  <si>
    <t>Licence cost £364.80 renewable every 3 years</t>
  </si>
  <si>
    <t>Great Eastern Linear Park, Yarmouth Road</t>
  </si>
  <si>
    <t>Car Park, Links Road</t>
  </si>
  <si>
    <t>Denes Oval, The Ravine (Includes wider Denes area north of the Oval)
(including Public Conveniences - PC costs not separately itemised in Norse schedule)</t>
  </si>
  <si>
    <t>Maintenance of parks, open spaces, and play areas</t>
  </si>
  <si>
    <t>Belle Vue Park, Yarmouth Road (including RNPSA interment area)</t>
  </si>
  <si>
    <t>Sports facilities</t>
  </si>
  <si>
    <t>Sparrows Nest Park, Whapload Road
(excluding Public Conveniences)</t>
  </si>
  <si>
    <t>Grass cutting</t>
  </si>
  <si>
    <t>Kensington Gardens, Kirkley Cliff Road
(excluding Public Conveniences)</t>
  </si>
  <si>
    <t>Apart from the annual external inspections, what costs are we incurring here if inspections are being carried out in house? Also, inspections were taken in house in late 2022 before the decision was taken to bring grounds maintenance operations in house, and were funded directly from the Compliance budget, so Norse costs at year-end would have been zero</t>
  </si>
  <si>
    <t>Kirkley Fen Park and Play Area, Southwell Road</t>
  </si>
  <si>
    <t>Gunton Estate Residents Meeting Hall, Hollingsworth Road</t>
  </si>
  <si>
    <t>Staffing Costs</t>
  </si>
  <si>
    <t>Meeting Hall, Hawthorn Avenue</t>
  </si>
  <si>
    <t>Salary plus ER pension/NI costs</t>
  </si>
  <si>
    <t>NB: Does not include Ness Park which was covered in a supplementary schedule - please see below</t>
  </si>
  <si>
    <t>Ness Park</t>
  </si>
  <si>
    <t>Sub-Total</t>
  </si>
  <si>
    <t>Lowestoft Cemetery, Rotterdam Road</t>
  </si>
  <si>
    <t>Tree works</t>
  </si>
  <si>
    <t>No meaningful comparison can be made - use same figure as per Norse to ensure comparison is cost-neutral</t>
  </si>
  <si>
    <t>Triangle Market, High Street</t>
  </si>
  <si>
    <t>AB costs discounted from Norse costs, discount also from in house costs - relevant costs need to be cross-charged to AB, so they do not come off LTC bottom line</t>
  </si>
  <si>
    <t>Normanston Park, Peto Way</t>
  </si>
  <si>
    <t>Legionella inspections</t>
  </si>
  <si>
    <t>Discounted from Norse costs, discount also from in house costs. Legionella inspections were taken in house almost a year before the decision was taken to bring other ground maintenance operations in house, and since that time have been funded directly from the Compliance budget (not part of the outsourced grounds maintenance contract)</t>
  </si>
  <si>
    <t>Kensington Gardens Near Lake, Kirkley Cliff Road</t>
  </si>
  <si>
    <t>Kensington Gardens, Kirkley Cliff Road</t>
  </si>
  <si>
    <t>Other Charges - No Asset Apportionment</t>
  </si>
  <si>
    <t>Norse FM Managed Budget</t>
  </si>
  <si>
    <t>Norse Tree Managed Budget</t>
  </si>
  <si>
    <t>Other Charges - Discounted at this stage</t>
  </si>
  <si>
    <t>Discounted at this stage: Norse items marked "(Likely to be removed from schedule)"</t>
  </si>
  <si>
    <t>Discounted: 
Arnolds Bequest (including lease of part of land to Lighthouse Café)
Not an LTC asset and should never really have been included in main LTC grounds maintenance schedule
At very least, should have been cross-charged to Arnolds Bequest Trust account, so cost-neutral to LTC</t>
  </si>
  <si>
    <t>Discounted: 
Arnolds Bequest (including lease of part of land to Lighthouse Café)
Not an LTC asset and should never really have been included in main LTC grounds maintenance schedule
At very least, should have been cross-charged to Arnolds Bequest Trust account</t>
  </si>
  <si>
    <t>CROSS-CHECK</t>
  </si>
  <si>
    <t>CHECKS</t>
  </si>
  <si>
    <t>2022/23:</t>
  </si>
  <si>
    <t>Costs 2022/23 (post-Norse adjustment) £463,812 -  matches figure in Norse LTC 2022/23 schedule (cellref C164)</t>
  </si>
  <si>
    <t xml:space="preserve">After discounting Norse FM Managed Budget (no asset apportionment provided), Norse Tree Managed Budget (no asset apportionment provided), </t>
  </si>
  <si>
    <t>Norse items marked "(Likely to be removed from schedule) &amp; Arnolds Bequest (including lease of part of land to Lighthouse Café,</t>
  </si>
  <si>
    <t>costs total £421,447 - matches figures in Norse LTC 2022/23 schedule and in LTC Budget document</t>
  </si>
  <si>
    <t>SUPPLEMENTARY NORSE MAINTENANCE SCHEDULE - NESS PARK 
NOT PART OF MAIN NORSE MAINTENANCE SCHEDULE</t>
  </si>
  <si>
    <t>Costs 2022/23 (post-Norse adjustment) £11,080 -  matches figure in Norse LTC Ness Park schedule (cellref C12) and in LTC Budget document</t>
  </si>
  <si>
    <t>KG Story Trail</t>
  </si>
  <si>
    <t>Valentine Market TEN</t>
  </si>
  <si>
    <t>Wherry Lines 23/24</t>
  </si>
  <si>
    <t>John Deere X940 Tractor</t>
  </si>
  <si>
    <t>Nouveau Seat Repair</t>
  </si>
  <si>
    <t>Kindertransport History Panel</t>
  </si>
  <si>
    <t>2x Water Container</t>
  </si>
  <si>
    <t>Printing Costs Q3</t>
  </si>
  <si>
    <t>Chipper Hire</t>
  </si>
  <si>
    <t>Chainsaws</t>
  </si>
  <si>
    <t>Combi Can</t>
  </si>
  <si>
    <t>Water Apr - Dec</t>
  </si>
  <si>
    <t>IT Service Charge Feb</t>
  </si>
  <si>
    <t>Chainsaw Training</t>
  </si>
  <si>
    <t>Chainsaw PPE</t>
  </si>
  <si>
    <t>Kombi Engine</t>
  </si>
  <si>
    <t>BVP Plaques</t>
  </si>
  <si>
    <t>Carlton Marshes Eco Fair</t>
  </si>
  <si>
    <t>Tennis Signs</t>
  </si>
  <si>
    <t>Town Hall Alarm</t>
  </si>
  <si>
    <t>TM PC Refurbishment 1st instalment</t>
  </si>
  <si>
    <t>Pressure Sprayer</t>
  </si>
  <si>
    <t>KG Trees</t>
  </si>
  <si>
    <t>BVP Road Trees</t>
  </si>
  <si>
    <t>Moved to 24/25</t>
  </si>
  <si>
    <t>GELP YMCA Overhanging Trees</t>
  </si>
  <si>
    <t>Bench Woodstain</t>
  </si>
  <si>
    <t>Pitchmarker</t>
  </si>
  <si>
    <t>Unit 2 Electric Jan</t>
  </si>
  <si>
    <t>SN Gritting Dec</t>
  </si>
  <si>
    <t>The Ness Gritting Dec</t>
  </si>
  <si>
    <t>Line Install</t>
  </si>
  <si>
    <t>Play Area Signage Steel</t>
  </si>
  <si>
    <t>Play Area Signage Fixings</t>
  </si>
  <si>
    <t>Play Area Signage Poles</t>
  </si>
  <si>
    <t>Mastic</t>
  </si>
  <si>
    <t>Hardwood Offcuts</t>
  </si>
  <si>
    <t>Bench R&amp;M Supplies</t>
  </si>
  <si>
    <t>Marina Ledges</t>
  </si>
  <si>
    <t>SLCC Deputy Clerk</t>
  </si>
  <si>
    <t>Lowestoft Cemetery PC Electric Jan</t>
  </si>
  <si>
    <t>Pakefield St PC Electric Jan</t>
  </si>
  <si>
    <t>Rosedale Wire Netting</t>
  </si>
  <si>
    <t>Crowbar</t>
  </si>
  <si>
    <t>Wood Filler, Seacatuers, Trowel</t>
  </si>
  <si>
    <t>Anti Climb Rollers</t>
  </si>
  <si>
    <t>Project Delivery Support</t>
  </si>
  <si>
    <t>KG Ammo Bunker Condition Survey</t>
  </si>
  <si>
    <t>Strimmer Repair</t>
  </si>
  <si>
    <t>The Hygiene Bank Grant</t>
  </si>
  <si>
    <t>KG Café Repairs Recharge</t>
  </si>
  <si>
    <t>Toilet Cleaning Supplies</t>
  </si>
  <si>
    <t>KG A12 PC Repair</t>
  </si>
  <si>
    <t>Unit 2 Electric Sep-Oct</t>
  </si>
  <si>
    <t>Play Inspection App</t>
  </si>
  <si>
    <t>Swing Seat</t>
  </si>
  <si>
    <t>Links Road Signage</t>
  </si>
  <si>
    <t>AB</t>
  </si>
  <si>
    <t>Key Reimbursement</t>
  </si>
  <si>
    <t>Postage Reimbursement</t>
  </si>
  <si>
    <t>Knightingales Deposit</t>
  </si>
  <si>
    <t>Taylor Travel</t>
  </si>
  <si>
    <t>Weedkiller Reimbursement</t>
  </si>
  <si>
    <t>PC Plans</t>
  </si>
  <si>
    <t>Pest Control</t>
  </si>
  <si>
    <t>Valentine Market Travel</t>
  </si>
  <si>
    <t>Pancake Race</t>
  </si>
  <si>
    <t>3x G-Clamps</t>
  </si>
  <si>
    <t>Jigsaw Blades</t>
  </si>
  <si>
    <t>Unit 2 Hose Fittings</t>
  </si>
  <si>
    <t>Jet Washer</t>
  </si>
  <si>
    <t>Safety Specs</t>
  </si>
  <si>
    <t>Drill Bit</t>
  </si>
  <si>
    <t>Chainsaw Chain Oil</t>
  </si>
  <si>
    <t>Masonry Cleaner</t>
  </si>
  <si>
    <t>Mobile Phones Feb</t>
  </si>
  <si>
    <t>PC Wall Light</t>
  </si>
  <si>
    <t>Vice and Bulbs</t>
  </si>
  <si>
    <t>R&amp;M Tools CN</t>
  </si>
  <si>
    <t>SN Bench Repair</t>
  </si>
  <si>
    <t>Replacement Lights</t>
  </si>
  <si>
    <t>Barrier Tape</t>
  </si>
  <si>
    <t>Meeting Supplies and Journal</t>
  </si>
  <si>
    <t>Bulbs and Slate</t>
  </si>
  <si>
    <t>Vehicle Supplies</t>
  </si>
  <si>
    <t>HDMI Cable</t>
  </si>
  <si>
    <t>Accident Books</t>
  </si>
  <si>
    <t>Card</t>
  </si>
  <si>
    <t>Lightbulbs</t>
  </si>
  <si>
    <t>Receipt Book</t>
  </si>
  <si>
    <t>Tractor Seat Cover</t>
  </si>
  <si>
    <t>PPE Wetsuits</t>
  </si>
  <si>
    <t>PPE Gloves</t>
  </si>
  <si>
    <t>Marking Tape</t>
  </si>
  <si>
    <t>Safety Tape</t>
  </si>
  <si>
    <t>Grappling Hook</t>
  </si>
  <si>
    <t>Website Design 40%</t>
  </si>
  <si>
    <t>Website Design Remaining 23-24</t>
  </si>
  <si>
    <t>Training Mileage Reimbursement</t>
  </si>
  <si>
    <t>Trailer Repair</t>
  </si>
  <si>
    <t>War Memorial Museum Legal Advice</t>
  </si>
  <si>
    <t>Defibrillators x3</t>
  </si>
  <si>
    <t>Bitumen</t>
  </si>
  <si>
    <t>Fen Park Testing Postage</t>
  </si>
  <si>
    <t>Fen Park Testing</t>
  </si>
  <si>
    <t>2x Trailers</t>
  </si>
  <si>
    <t>Defibrillators Cases x3</t>
  </si>
  <si>
    <t>Annual Subscription</t>
  </si>
  <si>
    <t>Unit 2 Rent March</t>
  </si>
  <si>
    <t>Vice and Lifting Tongs</t>
  </si>
  <si>
    <t>Plaisir Sponsorship</t>
  </si>
  <si>
    <t>Virement to Marina R&amp;M</t>
  </si>
  <si>
    <t>Electric Credit Note 1/8/21 - 31/12/23</t>
  </si>
  <si>
    <t>Number Plate</t>
  </si>
  <si>
    <t>Wilco Motor Parts</t>
  </si>
  <si>
    <t xml:space="preserve">4x Radiator </t>
  </si>
  <si>
    <t>Fire Safety Signs</t>
  </si>
  <si>
    <t>Vehicle Amber Beacon</t>
  </si>
  <si>
    <t>Fire Door Signs</t>
  </si>
  <si>
    <t>Toilet Door Signs</t>
  </si>
  <si>
    <t>No Access Signage</t>
  </si>
  <si>
    <t>Paint and Graffiti Wipes</t>
  </si>
  <si>
    <t>Fire Action Notice Signs</t>
  </si>
  <si>
    <t>Electric Kettle</t>
  </si>
  <si>
    <t>Wheelbarrow Parts</t>
  </si>
  <si>
    <t>Magnetic Tape</t>
  </si>
  <si>
    <t>Asbestos Warning Stickers</t>
  </si>
  <si>
    <t>PU Grip Gloves</t>
  </si>
  <si>
    <t>Vehicle Tube Repair</t>
  </si>
  <si>
    <t>Water Dec-Mar</t>
  </si>
  <si>
    <t>BVP Photos Repoduction Fee</t>
  </si>
  <si>
    <t>Waste Disposal</t>
  </si>
  <si>
    <t>The Ness Gritting January</t>
  </si>
  <si>
    <t>Sparrows Nest Gritting January</t>
  </si>
  <si>
    <t>Key Reimburse Correction</t>
  </si>
  <si>
    <t>PC Plans Planning Application</t>
  </si>
  <si>
    <t>BVP Drone Photo</t>
  </si>
  <si>
    <t>Feb</t>
  </si>
  <si>
    <t>Monthly Market Income</t>
  </si>
  <si>
    <t>March</t>
  </si>
  <si>
    <t>Advanced Receipt</t>
  </si>
  <si>
    <t>Climate Donation</t>
  </si>
  <si>
    <t>Alltoment Rent</t>
  </si>
  <si>
    <t>Sport Coaching Hire</t>
  </si>
  <si>
    <t>St Margarets debris recharge</t>
  </si>
  <si>
    <t>Unit 2 CCTV Install</t>
  </si>
  <si>
    <t>Unit 2 Intruder Alarm Install</t>
  </si>
  <si>
    <t>Insurance Credit Note</t>
  </si>
  <si>
    <t>IEMA Practitioner Renewal Fee</t>
  </si>
  <si>
    <t>SN and Uplands Legal Advice</t>
  </si>
  <si>
    <t>Land Registry Search BVP</t>
  </si>
  <si>
    <t>Land Purchase Valuation</t>
  </si>
  <si>
    <t>Ken Gardens Hardwire Test</t>
  </si>
  <si>
    <t>Whitton Hall Hardwire Test</t>
  </si>
  <si>
    <t>Kirkley Road PC Hardwire Test</t>
  </si>
  <si>
    <t>RNPS Museum Condition Survey</t>
  </si>
  <si>
    <t>Sparrows Nest Pavilion Condition Survey</t>
  </si>
  <si>
    <t>Sparrows Nest Maritime Museum Condition Survey</t>
  </si>
  <si>
    <t>Sparrows Nest Hardwire Test</t>
  </si>
  <si>
    <t>Oct - March</t>
  </si>
  <si>
    <t>Nitrile Gloves</t>
  </si>
  <si>
    <t>Mops</t>
  </si>
  <si>
    <t>Jan - Mar</t>
  </si>
  <si>
    <t>Low Cem PC Electric Feb</t>
  </si>
  <si>
    <t>Pakefield St PC Electric Feb</t>
  </si>
  <si>
    <t>Van Hire Feb</t>
  </si>
  <si>
    <t>Van Hire March</t>
  </si>
  <si>
    <t>Hope for Tomorrow Accrual never invoiced</t>
  </si>
  <si>
    <t>Marina Activity Valentine Market</t>
  </si>
  <si>
    <t>Valentine Market Performance</t>
  </si>
  <si>
    <t>Valentine Market Toilets</t>
  </si>
  <si>
    <t>Marina Activity Easter Market</t>
  </si>
  <si>
    <t>IWD Event Hall Hire</t>
  </si>
  <si>
    <t>Removal and Storage</t>
  </si>
  <si>
    <t>Credit Note Town Hall</t>
  </si>
  <si>
    <t>Unit 2 Electric Nov - Dec</t>
  </si>
  <si>
    <t>Unit 2 Rent Feb</t>
  </si>
  <si>
    <t>Denes Oval Signage</t>
  </si>
  <si>
    <t>Wooden Posts</t>
  </si>
  <si>
    <t>4x Signs</t>
  </si>
  <si>
    <t>Washers</t>
  </si>
  <si>
    <t>GELP Signage</t>
  </si>
  <si>
    <t>TH Light Removal</t>
  </si>
  <si>
    <t>Triangle Market Events</t>
  </si>
  <si>
    <t>Cricket Pitch Fertilizer</t>
  </si>
  <si>
    <t>Cricket Loam</t>
  </si>
  <si>
    <t>Uplands Tree Signage</t>
  </si>
  <si>
    <t>Kensington Gardens Tarmac</t>
  </si>
  <si>
    <t>BVP Tarmac</t>
  </si>
  <si>
    <t>Fen Park PC Fence</t>
  </si>
  <si>
    <t>VC Cooke Jun - Feb</t>
  </si>
  <si>
    <t>Waste Collection 1/9/23 -31/3/24</t>
  </si>
  <si>
    <t>Mind</t>
  </si>
  <si>
    <t>Remembrance</t>
  </si>
  <si>
    <t>Fishing Rembrance Day</t>
  </si>
  <si>
    <t>Excelsior</t>
  </si>
  <si>
    <t>Fair Trade event</t>
  </si>
  <si>
    <t>Cement Edging Trowel</t>
  </si>
  <si>
    <t>Seed Drilling Machine</t>
  </si>
  <si>
    <t>2 in 1 Easyfile</t>
  </si>
  <si>
    <t>Rent 2024</t>
  </si>
  <si>
    <t>IWD Amplification</t>
  </si>
  <si>
    <t>Disposable Gloves</t>
  </si>
  <si>
    <t>IT Service Charge March</t>
  </si>
  <si>
    <t>Edge Trimmer Blade</t>
  </si>
  <si>
    <t>Brackets and Paint</t>
  </si>
  <si>
    <t>Unit 2 Fire Alarm Install</t>
  </si>
  <si>
    <t>Unit 2 Emergency Light Works</t>
  </si>
  <si>
    <t>Re-Utilise Grant</t>
  </si>
  <si>
    <t>Lowestoft Foodbank LCC Grant</t>
  </si>
  <si>
    <t>FISH Grant</t>
  </si>
  <si>
    <t>Titan Breaker</t>
  </si>
  <si>
    <t>Door Handles</t>
  </si>
  <si>
    <t>Expanding Foam Filler</t>
  </si>
  <si>
    <t>Jester's Diner Condition Survey</t>
  </si>
  <si>
    <t>Denes Oval Wall Condition Survey</t>
  </si>
  <si>
    <t>War Musuem Condition Survey</t>
  </si>
  <si>
    <t>Pakefield St PC Condition Survey</t>
  </si>
  <si>
    <t>Movie Makers Condition Survey</t>
  </si>
  <si>
    <t>SN Lease Legal Advice</t>
  </si>
  <si>
    <t>DO Centre Fence Pickle Ball</t>
  </si>
  <si>
    <t>Unit 2 Safety Specs</t>
  </si>
  <si>
    <t>6' x 1' Trellis</t>
  </si>
  <si>
    <t>Whitton Hall NNDR March</t>
  </si>
  <si>
    <t>Mobile Phones Jan</t>
  </si>
  <si>
    <t>Compactor</t>
  </si>
  <si>
    <t>Fen Park Friends Grant</t>
  </si>
  <si>
    <t>Unit 2 Reimbursement</t>
  </si>
  <si>
    <t>Stationery Reimbursement</t>
  </si>
  <si>
    <t>Easter Market TEN</t>
  </si>
  <si>
    <t>Journal Reimbursement</t>
  </si>
  <si>
    <t>Bank Charges Q4</t>
  </si>
  <si>
    <t>Electric Jan  - Feb</t>
  </si>
  <si>
    <t>Electric Feb - Mar</t>
  </si>
  <si>
    <t>Gas Q4</t>
  </si>
  <si>
    <t>DO Water Q4 CN</t>
  </si>
  <si>
    <t>North Denes Water Q4 CN</t>
  </si>
  <si>
    <t>First Aid at Work Training</t>
  </si>
  <si>
    <t>Waste Disposal March</t>
  </si>
  <si>
    <t>Gunton Cleaning March</t>
  </si>
  <si>
    <t>Normanston Tennis Courts</t>
  </si>
  <si>
    <t>KG Tennis Court</t>
  </si>
  <si>
    <t>R-KEM 2 Cartridge 300ml</t>
  </si>
  <si>
    <t>R-KEM 2 Cartridge 175ml</t>
  </si>
  <si>
    <t>Staple gun and Staples</t>
  </si>
  <si>
    <t>TM Stall Refurb of static stalls</t>
  </si>
  <si>
    <t>Low Cemetery Electric March</t>
  </si>
  <si>
    <t>Whitton Electric March</t>
  </si>
  <si>
    <t>Payslips Q4</t>
  </si>
  <si>
    <t>Printing Cost Q4</t>
  </si>
  <si>
    <t>ESTA Grant</t>
  </si>
  <si>
    <t>Denes Oval Condition Survey</t>
  </si>
  <si>
    <t>Whitton Fire Check Works</t>
  </si>
  <si>
    <t>Vehicle Fuel March</t>
  </si>
  <si>
    <t>Normanston LTA Funding</t>
  </si>
  <si>
    <t>KG LTA Funding</t>
  </si>
  <si>
    <t>Backpay</t>
  </si>
  <si>
    <t>RBS Year End Closedown</t>
  </si>
  <si>
    <t>External Audit</t>
  </si>
  <si>
    <t>Easter Market Toilet</t>
  </si>
  <si>
    <t>Grass Cuts March</t>
  </si>
  <si>
    <t>Stationery March</t>
  </si>
  <si>
    <t>HH Shelving</t>
  </si>
  <si>
    <t>Zoom Subscription, Meetings, Card</t>
  </si>
  <si>
    <t>Fire Alarm Log Book</t>
  </si>
  <si>
    <t>TH Project Delivery March</t>
  </si>
  <si>
    <t>Feb &amp; March Income</t>
  </si>
  <si>
    <t>Sport Coaching Hire March</t>
  </si>
  <si>
    <t>Normanston Tennis Footpath</t>
  </si>
  <si>
    <t>Monthly Markets</t>
  </si>
  <si>
    <t>Monthly Markets (£3000 from Events, £3000 from reserves)</t>
  </si>
  <si>
    <t>Fen Park CCTV</t>
  </si>
  <si>
    <t>Prepayment 23-24</t>
  </si>
  <si>
    <t>Removed</t>
  </si>
  <si>
    <t>Normanston Tennis Courts from Parks</t>
  </si>
  <si>
    <t>Normanston Park Tennis from Community Engagement</t>
  </si>
  <si>
    <t>No longer happening</t>
  </si>
  <si>
    <t>Maximum Budget (23-24)</t>
  </si>
  <si>
    <t>Moved to Climate</t>
  </si>
  <si>
    <t>BVP Cottage Survey</t>
  </si>
  <si>
    <t>Unit 2 Electric Jan and Feb</t>
  </si>
  <si>
    <t>Unit 2 Electric March</t>
  </si>
  <si>
    <t>Lowestoft Cemetery PC Survey</t>
  </si>
  <si>
    <t>Unit 2 Rent</t>
  </si>
  <si>
    <t>Unit 2 EMR</t>
  </si>
  <si>
    <t>Rialtas Software 2024-25</t>
  </si>
  <si>
    <t>Staff Laptop</t>
  </si>
  <si>
    <t>MTD 2024-2025</t>
  </si>
  <si>
    <t>SALC Membership 24-25</t>
  </si>
  <si>
    <t>2x Spotlights</t>
  </si>
  <si>
    <t>Wood Preserver</t>
  </si>
  <si>
    <t>Stihl BG86-CE Blower x2</t>
  </si>
  <si>
    <t>SN Tree Works</t>
  </si>
  <si>
    <t>Fen Park Tree Works</t>
  </si>
  <si>
    <t>Fen Park Willow Tree</t>
  </si>
  <si>
    <t>Fen Park Container</t>
  </si>
  <si>
    <t>Scarifier Repair</t>
  </si>
  <si>
    <t>Whitton Boiler Service</t>
  </si>
  <si>
    <t>Ford Transit Signage</t>
  </si>
  <si>
    <t>Marking Spray and Gloves</t>
  </si>
  <si>
    <t>Unit 2 Fobs</t>
  </si>
  <si>
    <t>GELP Tree Works</t>
  </si>
  <si>
    <t>HH BID Levy 24/25</t>
  </si>
  <si>
    <t>Ford Transit Lease</t>
  </si>
  <si>
    <t>Ford Transit Tipper Lease</t>
  </si>
  <si>
    <t>Unit 2 Alarms</t>
  </si>
  <si>
    <t>Buckets</t>
  </si>
  <si>
    <t>Stihl Brushcutter</t>
  </si>
  <si>
    <t>IT Service Charge April</t>
  </si>
  <si>
    <t>Luton Tail Lift Service</t>
  </si>
  <si>
    <t>BVP Entrance</t>
  </si>
  <si>
    <t>Disinfectant</t>
  </si>
  <si>
    <t>Planting Equipment</t>
  </si>
  <si>
    <t>Bulky Waste April</t>
  </si>
  <si>
    <t>Plywood</t>
  </si>
  <si>
    <t>Mobile Phones April</t>
  </si>
  <si>
    <t>Whitton Hall Cleaning April</t>
  </si>
  <si>
    <t>Gunton Hall Cleaning</t>
  </si>
  <si>
    <t>Ratchet Tie Downs</t>
  </si>
  <si>
    <t>Chairs</t>
  </si>
  <si>
    <t>PC Stickers</t>
  </si>
  <si>
    <t>Legionella April</t>
  </si>
  <si>
    <t>Lawn Sand</t>
  </si>
  <si>
    <t>Normanston Condition Survey</t>
  </si>
  <si>
    <t>Kensington Gardens Tree Works</t>
  </si>
  <si>
    <t>Poweroll Hire</t>
  </si>
  <si>
    <t>Seagull Theatre</t>
  </si>
  <si>
    <t>Pakefield Bowls Club</t>
  </si>
  <si>
    <t>Suffolk Sober Spaces</t>
  </si>
  <si>
    <t>Wilmington Fence</t>
  </si>
  <si>
    <t>Thank You Badges</t>
  </si>
  <si>
    <t>Grounds Maintenance EMR</t>
  </si>
  <si>
    <t>Brushcutter</t>
  </si>
  <si>
    <t>Screwdriver Set</t>
  </si>
  <si>
    <t>TM Kiosk Wood</t>
  </si>
  <si>
    <t>Whitton Alarm</t>
  </si>
  <si>
    <t>Town Hall Intruder Alarm</t>
  </si>
  <si>
    <t>Marina Intruder Alarm</t>
  </si>
  <si>
    <t>Unit 2 CCTV</t>
  </si>
  <si>
    <t>Whitton Hall NNDR</t>
  </si>
  <si>
    <t>Excelsior Event</t>
  </si>
  <si>
    <t>Knightingales Performance</t>
  </si>
  <si>
    <t>Stage</t>
  </si>
  <si>
    <t>Beacon Lighting</t>
  </si>
  <si>
    <t>Suffolk Glenmoriston Pipe Band</t>
  </si>
  <si>
    <t>Peter Piping</t>
  </si>
  <si>
    <t>Food</t>
  </si>
  <si>
    <t>Lowestoft Signing Choir</t>
  </si>
  <si>
    <t>Super Swing Jazz Band</t>
  </si>
  <si>
    <t>TEN</t>
  </si>
  <si>
    <t>Marina Theatre Annual Service</t>
  </si>
  <si>
    <t>Kiosk Materials</t>
  </si>
  <si>
    <t>Denes Oval Planting</t>
  </si>
  <si>
    <t>Electric Q4</t>
  </si>
  <si>
    <t>Bulky Waste underspend 23-24</t>
  </si>
  <si>
    <t>EMR Spend</t>
  </si>
  <si>
    <t>Bulky Waste Remaining</t>
  </si>
  <si>
    <t>Rent Reviews</t>
  </si>
  <si>
    <t>Water 23-24 Q4</t>
  </si>
  <si>
    <t>Padlocks</t>
  </si>
  <si>
    <t>Keysafe</t>
  </si>
  <si>
    <t>Kiosk Fire Extinguisher</t>
  </si>
  <si>
    <t>Working at Heights</t>
  </si>
  <si>
    <t>Kiosk Leveling</t>
  </si>
  <si>
    <t>Kiosk Electrics</t>
  </si>
  <si>
    <t>Screwdriver Bit Set</t>
  </si>
  <si>
    <t>FP and Marina Repairs</t>
  </si>
  <si>
    <t>Legionella July - Mar</t>
  </si>
  <si>
    <t>Unit 2 Shelves</t>
  </si>
  <si>
    <t>Bulky Waste May</t>
  </si>
  <si>
    <t>Waste Collection Q1</t>
  </si>
  <si>
    <t>Waste Collection May</t>
  </si>
  <si>
    <t>Martello Windows</t>
  </si>
  <si>
    <t>Electric April</t>
  </si>
  <si>
    <t>Laptop Deployment</t>
  </si>
  <si>
    <t>PC Cleaning April</t>
  </si>
  <si>
    <t>Freedom of the Town Event</t>
  </si>
  <si>
    <t>LE Membership</t>
  </si>
  <si>
    <t>Kiosk Gas Safety Inspection</t>
  </si>
  <si>
    <t>Garden Rake</t>
  </si>
  <si>
    <t>Community Governance Training</t>
  </si>
  <si>
    <t>Kiosk R&amp;M Supplies</t>
  </si>
  <si>
    <t>Vauxhall Movano</t>
  </si>
  <si>
    <t>Low Cemetery Electric April</t>
  </si>
  <si>
    <t>Smart Gate</t>
  </si>
  <si>
    <t>Hinges</t>
  </si>
  <si>
    <t>PC Cleaning May</t>
  </si>
  <si>
    <t>Whitton Hall Cleaning May</t>
  </si>
  <si>
    <t>Normanston Smart Gate Subscription</t>
  </si>
  <si>
    <t>Bolts</t>
  </si>
  <si>
    <t>Legionella May</t>
  </si>
  <si>
    <t>Youth Engagement Training</t>
  </si>
  <si>
    <t>Dustbin</t>
  </si>
  <si>
    <t>Fen Park Cleaning May</t>
  </si>
  <si>
    <t>Grounds Maintenance Training</t>
  </si>
  <si>
    <t>Spark Plugs</t>
  </si>
  <si>
    <t>RNLI Donation</t>
  </si>
  <si>
    <t>Earth Protector Leaflet</t>
  </si>
  <si>
    <t>PC Repair</t>
  </si>
  <si>
    <t>Luton AdBlue 10L</t>
  </si>
  <si>
    <t>Hyundai Replacement Parts</t>
  </si>
  <si>
    <t>Vehicle Parts</t>
  </si>
  <si>
    <t>Vehicle Tax</t>
  </si>
  <si>
    <t>Daily Planners</t>
  </si>
  <si>
    <t>Computer Mouse</t>
  </si>
  <si>
    <t>6x Utility Keys</t>
  </si>
  <si>
    <t>Card Protectors</t>
  </si>
  <si>
    <t>USB C Chargers</t>
  </si>
  <si>
    <t>Phone Cases</t>
  </si>
  <si>
    <t>Cloth Reimbursement</t>
  </si>
  <si>
    <t>TM Planning Application</t>
  </si>
  <si>
    <t>Fishing Rembrance Day Reimbursement</t>
  </si>
  <si>
    <t>ICO Membership</t>
  </si>
  <si>
    <t>St Lukes Whitton Green Food Pantry</t>
  </si>
  <si>
    <t>VAT Interest Q4</t>
  </si>
  <si>
    <t>Sunrise Film Festival</t>
  </si>
  <si>
    <t>SN Bowls Security</t>
  </si>
  <si>
    <t>Britten Road R&amp;M</t>
  </si>
  <si>
    <t>Worknest Assessment</t>
  </si>
  <si>
    <t>Whitton Hall Survey</t>
  </si>
  <si>
    <t>Kensington Gardens Condition Survey</t>
  </si>
  <si>
    <t>Gunton Hall Condition Survey</t>
  </si>
  <si>
    <t>Waste Bin</t>
  </si>
  <si>
    <t>Microseal</t>
  </si>
  <si>
    <t>Water Heater Repair</t>
  </si>
  <si>
    <t>Unit 2 Shetter Repair</t>
  </si>
  <si>
    <t>Kneeling Pad</t>
  </si>
  <si>
    <t>Fertiliser</t>
  </si>
  <si>
    <t>Paint Brushes</t>
  </si>
  <si>
    <t>TH Fire Extinguishers</t>
  </si>
  <si>
    <t>Weed Brush</t>
  </si>
  <si>
    <t>Grass Cutting May</t>
  </si>
  <si>
    <t>Tail Lift Repair</t>
  </si>
  <si>
    <t>TH Water Q1</t>
  </si>
  <si>
    <t>KG Water Q1</t>
  </si>
  <si>
    <t>Water April - May</t>
  </si>
  <si>
    <t>Pakefield St PC Electric May</t>
  </si>
  <si>
    <t>Low Cemetery Electric May</t>
  </si>
  <si>
    <t>Aartwork Performance</t>
  </si>
  <si>
    <t>Cam T Performance</t>
  </si>
  <si>
    <t>Drain Cleaner</t>
  </si>
  <si>
    <t>John Deere Service</t>
  </si>
  <si>
    <t>TH Alarm Callout 10/6/24</t>
  </si>
  <si>
    <t>TH Alarm Callout 9/6/24</t>
  </si>
  <si>
    <t>Bulky Waste June</t>
  </si>
  <si>
    <t>Normanston Hygiene</t>
  </si>
  <si>
    <t>Uplands Sewage Disposal</t>
  </si>
  <si>
    <t>Legionella June</t>
  </si>
  <si>
    <t>Whitton Cleaning June</t>
  </si>
  <si>
    <t>Gunton Cleaning June</t>
  </si>
  <si>
    <t>PC Cleaning June</t>
  </si>
  <si>
    <t>BVP Event Reimbursement</t>
  </si>
  <si>
    <t>Climate Event Reimbursement</t>
  </si>
  <si>
    <t>Plaisir Gift</t>
  </si>
  <si>
    <t>Credit Card Fee</t>
  </si>
  <si>
    <t>Promoting Pakefield</t>
  </si>
  <si>
    <t>Robert Mayes Charity</t>
  </si>
  <si>
    <t>Lowestoft Foodbank</t>
  </si>
  <si>
    <t>East Suffolk One Radio</t>
  </si>
  <si>
    <t>MECG</t>
  </si>
  <si>
    <t>Cycling in Lowestoft</t>
  </si>
  <si>
    <t>Music Prescription CIC</t>
  </si>
  <si>
    <t>DANES Return</t>
  </si>
  <si>
    <t>Licences</t>
  </si>
  <si>
    <t>Antibac Hand Wash</t>
  </si>
  <si>
    <t>D-Day Flag</t>
  </si>
  <si>
    <t>A4 Frames</t>
  </si>
  <si>
    <t>BVP A3 Frames</t>
  </si>
  <si>
    <t>Trampoline Springs</t>
  </si>
  <si>
    <t>Suncream</t>
  </si>
  <si>
    <t>Keyboard</t>
  </si>
  <si>
    <t>Planning App Refund</t>
  </si>
  <si>
    <t>Firechief Document Holder</t>
  </si>
  <si>
    <t>Laptop Stand</t>
  </si>
  <si>
    <t>D-Day Banners</t>
  </si>
  <si>
    <t>Binding Machine</t>
  </si>
  <si>
    <t>Binding Sheets</t>
  </si>
  <si>
    <t>Cleaning Wipes</t>
  </si>
  <si>
    <t>Twine</t>
  </si>
  <si>
    <t>Delegated to Allotments Sub-Committee, £1,665 EMR offset against Management Fee budget; £1K EMR offset against Administration budget; £17,576.69 EMR offset against R&amp;M budget</t>
  </si>
  <si>
    <t>£8,595.45</t>
  </si>
  <si>
    <t>PWLB</t>
  </si>
  <si>
    <t>Management</t>
  </si>
  <si>
    <t>Grounds Maintenance EMR Change</t>
  </si>
  <si>
    <t>Grounds Maintenance Budget</t>
  </si>
  <si>
    <t>Hamilton House EMR Change</t>
  </si>
  <si>
    <t>Hamilton House Budget</t>
  </si>
  <si>
    <t>Unit Two EMR Change</t>
  </si>
  <si>
    <t>Unit Two Budget</t>
  </si>
  <si>
    <t>Hamilton House EMR</t>
  </si>
  <si>
    <t>Unit 2 Budget</t>
  </si>
  <si>
    <t>Service Charge July</t>
  </si>
  <si>
    <t>Waste Collection June</t>
  </si>
  <si>
    <t>Control Panel Repair</t>
  </si>
  <si>
    <t>Marina Boiler Repair</t>
  </si>
  <si>
    <t>Basin Wrench &amp; Connectors</t>
  </si>
  <si>
    <t>KG Tennis Project</t>
  </si>
  <si>
    <t>MT Legal Advice</t>
  </si>
  <si>
    <t>Tennis Licence Legal Advice</t>
  </si>
  <si>
    <t>South Pier Sponsorship</t>
  </si>
  <si>
    <t>FISH</t>
  </si>
  <si>
    <t>Lowestoft Tennis and Pickleball</t>
  </si>
  <si>
    <t>The Parochial Church Council of St Peter &amp; St John (Kirkley Pantry)</t>
  </si>
  <si>
    <t>FG 240716 24.1a</t>
  </si>
  <si>
    <t>FG 240716 24.1b</t>
  </si>
  <si>
    <t>FG 240716 24.1c</t>
  </si>
  <si>
    <t>Pakefield Community Group</t>
  </si>
  <si>
    <t>FG 240716 24.1d</t>
  </si>
  <si>
    <t>FG 240716 24.1e</t>
  </si>
  <si>
    <t>Friends of Fen Park</t>
  </si>
  <si>
    <t>FG 240716 24.1f</t>
  </si>
  <si>
    <t>Contract Legal Advice</t>
  </si>
  <si>
    <t>TH &amp; Allotment Legal Advice</t>
  </si>
  <si>
    <t>Allotment Legal Advice</t>
  </si>
  <si>
    <t>TH Contract Legal Advice</t>
  </si>
  <si>
    <t>My Rock Choir</t>
  </si>
  <si>
    <t>Landscaping Rake</t>
  </si>
  <si>
    <t>Jigsaw Blade Set</t>
  </si>
  <si>
    <t>Mitrebox &amp; Saw</t>
  </si>
  <si>
    <t>Cistern Lever</t>
  </si>
  <si>
    <t>Multipurpose Grease</t>
  </si>
  <si>
    <t>Cistern Repair</t>
  </si>
  <si>
    <t>PC Padlocks</t>
  </si>
  <si>
    <t>Tool Organiser</t>
  </si>
  <si>
    <t>Wrench and Cable Ties</t>
  </si>
  <si>
    <t>Storage Tower &amp; Tool Chest</t>
  </si>
  <si>
    <t>Cistern Repair CN</t>
  </si>
  <si>
    <t>Drill Set and Riveter</t>
  </si>
  <si>
    <t>File Set</t>
  </si>
  <si>
    <t>Paint and Brushes</t>
  </si>
  <si>
    <t>Multipurpose Oil</t>
  </si>
  <si>
    <t>Japanese Knotweed Survey</t>
  </si>
  <si>
    <t>Chikara &amp; Nozzle Set</t>
  </si>
  <si>
    <t>Knapsack Sprayers</t>
  </si>
  <si>
    <t>Grass Cutting April</t>
  </si>
  <si>
    <t>Grass Cutting June</t>
  </si>
  <si>
    <t>Britten Road Surfacing</t>
  </si>
  <si>
    <t>Office Furniture</t>
  </si>
  <si>
    <t>D-Day Performance</t>
  </si>
  <si>
    <t>D-Day Food</t>
  </si>
  <si>
    <t>Virement FG 16/7/24</t>
  </si>
  <si>
    <t>International Boatbuilding Training College Sponsorship</t>
  </si>
  <si>
    <t>Van Reimbursement</t>
  </si>
  <si>
    <t>2x John Deere Mower</t>
  </si>
  <si>
    <t>Jacobson Trade In</t>
  </si>
  <si>
    <t>6x Van Fire Extinguisher</t>
  </si>
  <si>
    <t>Groove Cylinder</t>
  </si>
  <si>
    <t>Mower Blades</t>
  </si>
  <si>
    <t>Engraving Pen</t>
  </si>
  <si>
    <t>Ring Binders</t>
  </si>
  <si>
    <t>Grants Food Relief</t>
  </si>
  <si>
    <t>Boat Scholarship</t>
  </si>
  <si>
    <t>TH Loan?</t>
  </si>
  <si>
    <t>Ace Waste</t>
  </si>
  <si>
    <t>25-26 Commitments</t>
  </si>
  <si>
    <t>SN Garden</t>
  </si>
  <si>
    <t>Budgets Overspent</t>
  </si>
  <si>
    <t>Staff</t>
  </si>
  <si>
    <t>IT Service Charge &amp; Phones</t>
  </si>
  <si>
    <t>Consultancy</t>
  </si>
  <si>
    <t>Legionella</t>
  </si>
  <si>
    <t>YE Balancing</t>
  </si>
  <si>
    <t>Not Invoiced</t>
  </si>
  <si>
    <t>Gritting</t>
  </si>
  <si>
    <t>Roller Hire</t>
  </si>
  <si>
    <t>EMR Transfer to NP</t>
  </si>
  <si>
    <t>EMR Transfer to Parks</t>
  </si>
  <si>
    <t>EMR Transfer from Ness</t>
  </si>
  <si>
    <t>EMR Transfer from Ness and Horticulture</t>
  </si>
  <si>
    <t>EMR Transfer from Sea Wall and Horticulture</t>
  </si>
  <si>
    <t>EMR Transfer to DO</t>
  </si>
  <si>
    <t>EMR Transfer from Capital</t>
  </si>
  <si>
    <t>EMR Transfer to KG</t>
  </si>
  <si>
    <t>EMR Offset Reduction</t>
  </si>
  <si>
    <t>Water CN Oct 23 - Apr 24</t>
  </si>
  <si>
    <t>Whitton Electric April</t>
  </si>
  <si>
    <t>Whitton Electric May</t>
  </si>
  <si>
    <t>Whitton Electric June</t>
  </si>
  <si>
    <t>Whitton Electric July</t>
  </si>
  <si>
    <t>Q1</t>
  </si>
  <si>
    <t>Q1 Income</t>
  </si>
  <si>
    <t>Smart Gate Funding</t>
  </si>
  <si>
    <t>Tennis Funding</t>
  </si>
  <si>
    <t>Land Hire Q1</t>
  </si>
  <si>
    <t>Whitton Income Q1</t>
  </si>
  <si>
    <t>Binding Covers</t>
  </si>
  <si>
    <t>Internal Audit 2023-24 Balancing Figure</t>
  </si>
  <si>
    <t>TW Membership</t>
  </si>
  <si>
    <t>Dishwasher Salt</t>
  </si>
  <si>
    <t>Sparrows Nest Legal Advice</t>
  </si>
  <si>
    <t>Insurance Reimbursement</t>
  </si>
  <si>
    <t>RBS YE Balancing Figure</t>
  </si>
  <si>
    <t>HH NNDR</t>
  </si>
  <si>
    <t>Unit 2 NNDR</t>
  </si>
  <si>
    <t>Ongoin</t>
  </si>
  <si>
    <t>Bowls Club NNDR</t>
  </si>
  <si>
    <t>Gunton Cleaning May</t>
  </si>
  <si>
    <t>Electric Q1</t>
  </si>
  <si>
    <t>Lowestoft Shop Mobility</t>
  </si>
  <si>
    <t>Waveney Domestic Forum</t>
  </si>
  <si>
    <t>4x Puncture Gloves</t>
  </si>
  <si>
    <t>Combi Drill</t>
  </si>
  <si>
    <t>Kiosk Worktops</t>
  </si>
  <si>
    <t>Kiosk Padlocks</t>
  </si>
  <si>
    <t>Kiosk Caraboners</t>
  </si>
  <si>
    <t>Whitton Lights</t>
  </si>
  <si>
    <t>Climate Event Bags</t>
  </si>
  <si>
    <t>PPE Return</t>
  </si>
  <si>
    <t>Denes Oval Wall</t>
  </si>
  <si>
    <t>Low Cemetery PC Electic June</t>
  </si>
  <si>
    <t>Denes Oval Surfacing</t>
  </si>
  <si>
    <t>Laptops x3</t>
  </si>
  <si>
    <t>Waste Collection Q2</t>
  </si>
  <si>
    <t>Tennis Court Signs</t>
  </si>
  <si>
    <t>Quarterly Play Inspection</t>
  </si>
  <si>
    <t>Welded Mesh TH</t>
  </si>
  <si>
    <t>Paintbrush</t>
  </si>
  <si>
    <t>Brushcutter Repair</t>
  </si>
  <si>
    <t>Toolkits x4</t>
  </si>
  <si>
    <t>Nails</t>
  </si>
  <si>
    <t>Electrical Work</t>
  </si>
  <si>
    <t>Bulky Waste July</t>
  </si>
  <si>
    <t>File Holder</t>
  </si>
  <si>
    <t>Pickleball Court Painting</t>
  </si>
  <si>
    <t>Fence Stain</t>
  </si>
  <si>
    <t>Pliers</t>
  </si>
  <si>
    <t>Denes Oval Fire Risk Works</t>
  </si>
  <si>
    <t>Marking Spray &amp; Hard Hat</t>
  </si>
  <si>
    <t>Martello Gas Inspection</t>
  </si>
  <si>
    <t>Giardino Gas Inspection</t>
  </si>
  <si>
    <t>Denes Oval Smart Gate x2</t>
  </si>
  <si>
    <t>Smart Gate Contract</t>
  </si>
  <si>
    <t>Roller Door Survey</t>
  </si>
  <si>
    <t>Tennis Event Travel</t>
  </si>
  <si>
    <t>Pride Reimbursement</t>
  </si>
  <si>
    <t>Tennis Event</t>
  </si>
  <si>
    <t>Flowers Reimbursement</t>
  </si>
  <si>
    <t>Van Service</t>
  </si>
  <si>
    <t>Spark Plug and Light</t>
  </si>
  <si>
    <t>Key Rings</t>
  </si>
  <si>
    <t>Pride Event Supplies</t>
  </si>
  <si>
    <t>Paper Reimbursement</t>
  </si>
  <si>
    <t>Michael Fuel</t>
  </si>
  <si>
    <t>Unit 2 Defibrillator</t>
  </si>
  <si>
    <t>Smart Gates</t>
  </si>
  <si>
    <t>Tennis Retention</t>
  </si>
  <si>
    <t>KG Door Repair</t>
  </si>
  <si>
    <t>Land Purchase Grant</t>
  </si>
  <si>
    <t>HH Service Charge Q1</t>
  </si>
  <si>
    <t>Service Charge Oct-Jun</t>
  </si>
  <si>
    <t>Whitton Gas Q1</t>
  </si>
  <si>
    <t>Kensington Garden Smartgate Subscription</t>
  </si>
  <si>
    <t>PC Cleaning July</t>
  </si>
  <si>
    <t>Whitton Hall Cleaning July</t>
  </si>
  <si>
    <t>Hedgetrimmer and Shredder</t>
  </si>
  <si>
    <t>Gunton Hall Cleaning July</t>
  </si>
  <si>
    <t>Legionella Risk Assessments 2024</t>
  </si>
  <si>
    <t>Legionella July</t>
  </si>
  <si>
    <t>SN Gutter Repair</t>
  </si>
  <si>
    <t>Gunton Park Fence Repair</t>
  </si>
  <si>
    <t>SN PC Condition Survey</t>
  </si>
  <si>
    <t>Woodwork Brush</t>
  </si>
  <si>
    <t>Fen Park Poles</t>
  </si>
  <si>
    <t>Denes Oval Fire Extinguishers</t>
  </si>
  <si>
    <t>Britten Road and Pakefield Green Inspection</t>
  </si>
  <si>
    <t>KG Drain Survey</t>
  </si>
  <si>
    <t>SN Drain Survey</t>
  </si>
  <si>
    <t>Pride Performance</t>
  </si>
  <si>
    <t>Sparrows Nest Reimbursement</t>
  </si>
  <si>
    <t>Fertilizer</t>
  </si>
  <si>
    <t>Denes Oval Hardwire Testing</t>
  </si>
  <si>
    <t>Normanston Park Electric Works</t>
  </si>
  <si>
    <t>Public Convenience Signage</t>
  </si>
  <si>
    <t>Pride Music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</si>
</sst>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quot;£&quot;#,##0.00"/>
    <numFmt numFmtId="8" formatCode="&quot;£&quot;#,##0.00;[Red]\-&quot;£&quot;#,##0.00"/>
    <numFmt numFmtId="43" formatCode="_-* #,##0.00_-;\-* #,##0.00_-;_-* &quot;-&quot;??_-;_-@_-"/>
    <numFmt numFmtId="164" formatCode="&quot;£&quot;#,##0.00"/>
  </numFmts>
  <fonts count="21"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theme="1"/>
      <name val="Calibri"/>
      <family val="2"/>
      <scheme val="minor"/>
    </font>
    <font>
      <u/>
      <sz val="11"/>
      <color theme="10"/>
      <name val="Calibri"/>
      <family val="2"/>
      <scheme val="minor"/>
    </font>
    <font>
      <b/>
      <sz val="11"/>
      <color rgb="FFFF0000"/>
      <name val="Calibri"/>
      <family val="2"/>
      <scheme val="minor"/>
    </font>
    <font>
      <sz val="11"/>
      <name val="Calibri"/>
      <family val="2"/>
      <scheme val="minor"/>
    </font>
    <font>
      <b/>
      <sz val="1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4"/>
      <name val="Calibri"/>
      <family val="2"/>
      <scheme val="minor"/>
    </font>
    <font>
      <sz val="14"/>
      <color theme="1"/>
      <name val="Calibri"/>
      <family val="2"/>
      <scheme val="minor"/>
    </font>
    <font>
      <sz val="12"/>
      <color rgb="FF000000"/>
      <name val="Calibri"/>
      <family val="2"/>
      <scheme val="minor"/>
    </font>
    <font>
      <b/>
      <sz val="11"/>
      <color indexed="8"/>
      <name val="Calibri"/>
      <family val="2"/>
      <scheme val="minor"/>
    </font>
    <font>
      <sz val="11"/>
      <color indexed="8"/>
      <name val="Calibri"/>
      <family val="2"/>
      <scheme val="minor"/>
    </font>
    <font>
      <sz val="11"/>
      <color indexed="8"/>
      <name val="Calibri"/>
      <family val="2"/>
    </font>
    <font>
      <strike/>
      <sz val="11"/>
      <color indexed="8"/>
      <name val="Calibri"/>
      <family val="2"/>
      <scheme val="minor"/>
    </font>
    <font>
      <b/>
      <sz val="11"/>
      <color indexed="8"/>
      <name val="Calibri"/>
      <family val="2"/>
    </font>
    <font>
      <b/>
      <strike/>
      <sz val="11"/>
      <color indexed="8"/>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rgb="FFE1FF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A9D08E"/>
        <bgColor indexed="64"/>
      </patternFill>
    </fill>
    <fill>
      <patternFill patternType="solid">
        <fgColor theme="9" tint="0.39997558519241921"/>
        <bgColor indexed="64"/>
      </patternFill>
    </fill>
    <fill>
      <patternFill patternType="solid">
        <fgColor rgb="FFAC75D5"/>
        <bgColor indexed="64"/>
      </patternFill>
    </fill>
    <fill>
      <patternFill patternType="solid">
        <fgColor rgb="FF99FF9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62">
    <xf numFmtId="0" fontId="0" fillId="0" borderId="0" xfId="0"/>
    <xf numFmtId="164" fontId="0" fillId="0" borderId="0" xfId="0" applyNumberFormat="1"/>
    <xf numFmtId="164" fontId="2" fillId="0" borderId="0" xfId="0" applyNumberFormat="1" applyFont="1" applyAlignment="1">
      <alignment vertical="top"/>
    </xf>
    <xf numFmtId="164" fontId="2" fillId="0" borderId="0" xfId="0" applyNumberFormat="1" applyFont="1" applyAlignment="1">
      <alignment vertical="top" wrapText="1"/>
    </xf>
    <xf numFmtId="164" fontId="3" fillId="0" borderId="0" xfId="0" applyNumberFormat="1" applyFont="1" applyAlignment="1">
      <alignment vertical="top"/>
    </xf>
    <xf numFmtId="164" fontId="0" fillId="0" borderId="0" xfId="0" applyNumberFormat="1" applyAlignment="1">
      <alignment wrapText="1"/>
    </xf>
    <xf numFmtId="8" fontId="0" fillId="0" borderId="0" xfId="0" applyNumberFormat="1"/>
    <xf numFmtId="14" fontId="0" fillId="0" borderId="0" xfId="0" applyNumberFormat="1"/>
    <xf numFmtId="49" fontId="0" fillId="0" borderId="0" xfId="0" applyNumberFormat="1"/>
    <xf numFmtId="164" fontId="1" fillId="0" borderId="0" xfId="0" applyNumberFormat="1" applyFont="1"/>
    <xf numFmtId="0" fontId="1" fillId="0" borderId="1" xfId="0" applyFont="1" applyBorder="1"/>
    <xf numFmtId="3" fontId="1" fillId="0" borderId="1" xfId="0" applyNumberFormat="1" applyFont="1" applyBorder="1"/>
    <xf numFmtId="0" fontId="0" fillId="0" borderId="1" xfId="0" applyBorder="1"/>
    <xf numFmtId="164" fontId="0" fillId="0" borderId="1" xfId="0" applyNumberFormat="1" applyBorder="1"/>
    <xf numFmtId="2" fontId="1" fillId="0" borderId="1" xfId="0" applyNumberFormat="1" applyFont="1" applyBorder="1"/>
    <xf numFmtId="10" fontId="1" fillId="0" borderId="1" xfId="0" applyNumberFormat="1" applyFont="1" applyBorder="1" applyAlignment="1">
      <alignment horizontal="center"/>
    </xf>
    <xf numFmtId="10" fontId="1" fillId="0" borderId="1" xfId="0" applyNumberFormat="1" applyFont="1" applyBorder="1"/>
    <xf numFmtId="10" fontId="0" fillId="0" borderId="1" xfId="0" applyNumberFormat="1" applyBorder="1"/>
    <xf numFmtId="43" fontId="1" fillId="0" borderId="1" xfId="1" applyFont="1" applyBorder="1"/>
    <xf numFmtId="4" fontId="1" fillId="0" borderId="1" xfId="0" applyNumberFormat="1" applyFont="1" applyBorder="1"/>
    <xf numFmtId="4" fontId="0" fillId="0" borderId="0" xfId="0" applyNumberFormat="1"/>
    <xf numFmtId="0" fontId="0" fillId="0" borderId="0" xfId="0" applyAlignment="1">
      <alignment wrapText="1"/>
    </xf>
    <xf numFmtId="164" fontId="1" fillId="0" borderId="1" xfId="0" applyNumberFormat="1" applyFont="1" applyBorder="1"/>
    <xf numFmtId="164" fontId="1" fillId="0" borderId="0" xfId="0" applyNumberFormat="1" applyFont="1" applyAlignment="1">
      <alignment wrapText="1"/>
    </xf>
    <xf numFmtId="164" fontId="5" fillId="0" borderId="0" xfId="2" applyNumberFormat="1" applyFill="1"/>
    <xf numFmtId="0" fontId="1" fillId="0" borderId="0" xfId="0" applyFont="1"/>
    <xf numFmtId="164" fontId="6" fillId="0" borderId="0" xfId="0" applyNumberFormat="1" applyFont="1"/>
    <xf numFmtId="0" fontId="6" fillId="0" borderId="0" xfId="0" applyFont="1"/>
    <xf numFmtId="14" fontId="6" fillId="0" borderId="0" xfId="0" applyNumberFormat="1" applyFont="1"/>
    <xf numFmtId="164" fontId="6" fillId="0" borderId="0" xfId="0" applyNumberFormat="1" applyFont="1" applyAlignment="1">
      <alignment wrapText="1"/>
    </xf>
    <xf numFmtId="8" fontId="6" fillId="0" borderId="0" xfId="0" applyNumberFormat="1" applyFont="1"/>
    <xf numFmtId="164" fontId="0" fillId="2" borderId="0" xfId="0" applyNumberFormat="1" applyFill="1" applyAlignment="1">
      <alignment wrapText="1"/>
    </xf>
    <xf numFmtId="0" fontId="0" fillId="2" borderId="0" xfId="0" applyFill="1"/>
    <xf numFmtId="164" fontId="0" fillId="2" borderId="0" xfId="0" applyNumberFormat="1" applyFill="1"/>
    <xf numFmtId="8" fontId="0" fillId="2" borderId="0" xfId="0" applyNumberFormat="1" applyFill="1"/>
    <xf numFmtId="7" fontId="0" fillId="0" borderId="0" xfId="0" applyNumberFormat="1"/>
    <xf numFmtId="14" fontId="7" fillId="0" borderId="0" xfId="0" applyNumberFormat="1" applyFont="1"/>
    <xf numFmtId="164" fontId="7" fillId="0" borderId="0" xfId="0" applyNumberFormat="1" applyFont="1"/>
    <xf numFmtId="8" fontId="7" fillId="0" borderId="0" xfId="0" applyNumberFormat="1" applyFont="1"/>
    <xf numFmtId="0" fontId="7" fillId="0" borderId="0" xfId="0" applyFont="1"/>
    <xf numFmtId="164" fontId="0" fillId="0" borderId="2" xfId="0" applyNumberFormat="1" applyBorder="1"/>
    <xf numFmtId="164" fontId="0" fillId="2" borderId="2" xfId="0" applyNumberFormat="1" applyFill="1" applyBorder="1"/>
    <xf numFmtId="0" fontId="0" fillId="0" borderId="2" xfId="0" applyBorder="1"/>
    <xf numFmtId="164" fontId="6" fillId="0" borderId="2" xfId="0" applyNumberFormat="1" applyFont="1" applyBorder="1"/>
    <xf numFmtId="0" fontId="6" fillId="0" borderId="0" xfId="0" applyFont="1" applyAlignment="1">
      <alignment wrapText="1"/>
    </xf>
    <xf numFmtId="0" fontId="6" fillId="0" borderId="2" xfId="0" applyFont="1" applyBorder="1"/>
    <xf numFmtId="164" fontId="0" fillId="4" borderId="0" xfId="0" applyNumberFormat="1" applyFill="1"/>
    <xf numFmtId="164" fontId="0" fillId="6" borderId="0" xfId="0" applyNumberFormat="1" applyFill="1"/>
    <xf numFmtId="164" fontId="0" fillId="7" borderId="0" xfId="0" applyNumberFormat="1" applyFill="1"/>
    <xf numFmtId="164" fontId="0" fillId="9" borderId="0" xfId="0" applyNumberFormat="1" applyFill="1"/>
    <xf numFmtId="164" fontId="0" fillId="8" borderId="0" xfId="0" applyNumberFormat="1" applyFill="1"/>
    <xf numFmtId="164" fontId="7" fillId="9" borderId="0" xfId="0" applyNumberFormat="1" applyFont="1" applyFill="1"/>
    <xf numFmtId="164" fontId="7" fillId="8" borderId="0" xfId="0" applyNumberFormat="1" applyFont="1" applyFill="1"/>
    <xf numFmtId="164" fontId="0" fillId="5" borderId="0" xfId="0" applyNumberFormat="1" applyFill="1"/>
    <xf numFmtId="0" fontId="8" fillId="0" borderId="1" xfId="0" applyFont="1" applyBorder="1"/>
    <xf numFmtId="0" fontId="9" fillId="0" borderId="0" xfId="0" applyFont="1" applyAlignment="1">
      <alignment vertical="top"/>
    </xf>
    <xf numFmtId="164" fontId="9" fillId="0" borderId="0" xfId="0" applyNumberFormat="1" applyFont="1" applyAlignment="1">
      <alignment vertical="top" wrapText="1"/>
    </xf>
    <xf numFmtId="164" fontId="9" fillId="0" borderId="0" xfId="0" applyNumberFormat="1" applyFont="1" applyAlignment="1">
      <alignment vertical="top"/>
    </xf>
    <xf numFmtId="164" fontId="10" fillId="10" borderId="0" xfId="0" applyNumberFormat="1" applyFont="1" applyFill="1" applyAlignment="1">
      <alignment vertical="top"/>
    </xf>
    <xf numFmtId="0" fontId="11" fillId="0" borderId="0" xfId="0" applyFont="1" applyAlignment="1">
      <alignment vertical="top"/>
    </xf>
    <xf numFmtId="0" fontId="12" fillId="0" borderId="0" xfId="0" applyFont="1" applyAlignment="1">
      <alignment vertical="top" wrapText="1"/>
    </xf>
    <xf numFmtId="0" fontId="11" fillId="0" borderId="0" xfId="0" applyFont="1" applyAlignment="1">
      <alignment vertical="top" wrapText="1"/>
    </xf>
    <xf numFmtId="164" fontId="13" fillId="0" borderId="0" xfId="0" applyNumberFormat="1" applyFont="1" applyAlignment="1">
      <alignment vertical="top"/>
    </xf>
    <xf numFmtId="0" fontId="3" fillId="0" borderId="0" xfId="0" applyFont="1" applyAlignment="1">
      <alignment vertical="top" wrapText="1"/>
    </xf>
    <xf numFmtId="0" fontId="9" fillId="0" borderId="0" xfId="0" applyFont="1" applyAlignment="1">
      <alignment vertical="top" wrapText="1"/>
    </xf>
    <xf numFmtId="164" fontId="11" fillId="0" borderId="0" xfId="0" applyNumberFormat="1" applyFont="1" applyAlignment="1">
      <alignment vertical="top"/>
    </xf>
    <xf numFmtId="0" fontId="2" fillId="0" borderId="0" xfId="0" applyFont="1" applyAlignment="1">
      <alignment vertical="top" wrapText="1"/>
    </xf>
    <xf numFmtId="164" fontId="10" fillId="11" borderId="0" xfId="0" applyNumberFormat="1" applyFont="1" applyFill="1" applyAlignment="1">
      <alignment vertical="top"/>
    </xf>
    <xf numFmtId="164" fontId="10" fillId="0" borderId="0" xfId="0" applyNumberFormat="1" applyFont="1" applyAlignment="1">
      <alignment vertical="top"/>
    </xf>
    <xf numFmtId="0" fontId="14" fillId="0" borderId="0" xfId="0" applyFont="1" applyAlignment="1">
      <alignment vertical="top" wrapText="1"/>
    </xf>
    <xf numFmtId="0" fontId="14" fillId="0" borderId="0" xfId="0" applyFont="1" applyAlignment="1">
      <alignment vertical="top"/>
    </xf>
    <xf numFmtId="0" fontId="13" fillId="0" borderId="0" xfId="0" applyFont="1" applyAlignment="1">
      <alignment vertical="top"/>
    </xf>
    <xf numFmtId="164" fontId="10" fillId="12" borderId="0" xfId="0" applyNumberFormat="1" applyFont="1" applyFill="1" applyAlignment="1">
      <alignment vertical="top"/>
    </xf>
    <xf numFmtId="164" fontId="10" fillId="8" borderId="0" xfId="0" applyNumberFormat="1" applyFont="1" applyFill="1" applyAlignment="1">
      <alignment vertical="top"/>
    </xf>
    <xf numFmtId="164" fontId="10" fillId="13" borderId="0" xfId="0" applyNumberFormat="1" applyFont="1" applyFill="1" applyAlignment="1">
      <alignment vertical="top"/>
    </xf>
    <xf numFmtId="0" fontId="11" fillId="12" borderId="0" xfId="0" applyFont="1" applyFill="1" applyAlignment="1">
      <alignment vertical="top"/>
    </xf>
    <xf numFmtId="164" fontId="11" fillId="12" borderId="0" xfId="0" applyNumberFormat="1" applyFont="1" applyFill="1" applyAlignment="1">
      <alignment vertical="top"/>
    </xf>
    <xf numFmtId="0" fontId="11" fillId="8" borderId="0" xfId="0" applyFont="1" applyFill="1" applyAlignment="1">
      <alignment vertical="top"/>
    </xf>
    <xf numFmtId="164" fontId="11" fillId="8" borderId="0" xfId="0" applyNumberFormat="1" applyFont="1" applyFill="1" applyAlignment="1">
      <alignment vertical="top"/>
    </xf>
    <xf numFmtId="164" fontId="0" fillId="3" borderId="0" xfId="0" applyNumberFormat="1" applyFill="1"/>
    <xf numFmtId="0" fontId="0" fillId="3" borderId="0" xfId="0" applyFill="1"/>
    <xf numFmtId="164" fontId="0" fillId="3" borderId="0" xfId="0" applyNumberFormat="1" applyFill="1" applyAlignment="1">
      <alignment wrapText="1"/>
    </xf>
    <xf numFmtId="8" fontId="0" fillId="3" borderId="0" xfId="0" applyNumberFormat="1" applyFill="1"/>
    <xf numFmtId="164" fontId="0" fillId="14" borderId="0" xfId="0" applyNumberFormat="1" applyFill="1"/>
    <xf numFmtId="164" fontId="15" fillId="0" borderId="0" xfId="0" applyNumberFormat="1" applyFont="1" applyAlignment="1">
      <alignment wrapText="1"/>
    </xf>
    <xf numFmtId="0" fontId="16" fillId="0" borderId="0" xfId="0" applyFont="1"/>
    <xf numFmtId="164" fontId="16" fillId="0" borderId="0" xfId="0" applyNumberFormat="1" applyFont="1" applyAlignment="1">
      <alignment wrapText="1"/>
    </xf>
    <xf numFmtId="164" fontId="16" fillId="0" borderId="0" xfId="0" applyNumberFormat="1" applyFont="1"/>
    <xf numFmtId="8" fontId="16" fillId="0" borderId="0" xfId="0" applyNumberFormat="1" applyFont="1"/>
    <xf numFmtId="164" fontId="16" fillId="0" borderId="2" xfId="0" applyNumberFormat="1" applyFont="1" applyBorder="1"/>
    <xf numFmtId="164" fontId="15" fillId="0" borderId="0" xfId="0" applyNumberFormat="1" applyFont="1"/>
    <xf numFmtId="164" fontId="15" fillId="0" borderId="2" xfId="0" applyNumberFormat="1" applyFont="1" applyBorder="1"/>
    <xf numFmtId="0" fontId="15" fillId="0" borderId="0" xfId="0" applyFont="1"/>
    <xf numFmtId="14" fontId="16" fillId="0" borderId="0" xfId="0" applyNumberFormat="1" applyFont="1"/>
    <xf numFmtId="0" fontId="16" fillId="0" borderId="2" xfId="0" applyFont="1" applyBorder="1"/>
    <xf numFmtId="0" fontId="17" fillId="0" borderId="2" xfId="0" applyFont="1" applyBorder="1"/>
    <xf numFmtId="0" fontId="17" fillId="0" borderId="0" xfId="0" applyFont="1"/>
    <xf numFmtId="14" fontId="15" fillId="0" borderId="0" xfId="0" applyNumberFormat="1" applyFont="1"/>
    <xf numFmtId="0" fontId="15" fillId="0" borderId="0" xfId="0" applyFont="1" applyAlignment="1">
      <alignment wrapText="1"/>
    </xf>
    <xf numFmtId="8" fontId="15" fillId="0" borderId="0" xfId="0" applyNumberFormat="1" applyFont="1"/>
    <xf numFmtId="164" fontId="18" fillId="0" borderId="0" xfId="0" applyNumberFormat="1" applyFont="1" applyAlignment="1">
      <alignment wrapText="1"/>
    </xf>
    <xf numFmtId="0" fontId="18" fillId="0" borderId="0" xfId="0" applyFont="1"/>
    <xf numFmtId="164" fontId="18" fillId="0" borderId="0" xfId="0" applyNumberFormat="1" applyFont="1"/>
    <xf numFmtId="8" fontId="18" fillId="0" borderId="0" xfId="0" applyNumberFormat="1" applyFont="1"/>
    <xf numFmtId="164" fontId="18" fillId="0" borderId="2" xfId="0" applyNumberFormat="1" applyFont="1" applyBorder="1"/>
    <xf numFmtId="0" fontId="17" fillId="0" borderId="0" xfId="0" applyFont="1" applyAlignment="1">
      <alignment wrapText="1"/>
    </xf>
    <xf numFmtId="14" fontId="17" fillId="0" borderId="0" xfId="0" applyNumberFormat="1" applyFont="1"/>
    <xf numFmtId="16" fontId="17" fillId="0" borderId="0" xfId="0" applyNumberFormat="1" applyFont="1"/>
    <xf numFmtId="0" fontId="19" fillId="0" borderId="0" xfId="0" applyFont="1"/>
    <xf numFmtId="164" fontId="16" fillId="0" borderId="0" xfId="0" applyNumberFormat="1" applyFont="1" applyAlignment="1">
      <alignment horizontal="left" wrapText="1"/>
    </xf>
    <xf numFmtId="164" fontId="15" fillId="0" borderId="0" xfId="0" applyNumberFormat="1" applyFont="1" applyAlignment="1">
      <alignment horizontal="left" wrapText="1"/>
    </xf>
    <xf numFmtId="14" fontId="17" fillId="0" borderId="2" xfId="0" applyNumberFormat="1" applyFont="1" applyBorder="1"/>
    <xf numFmtId="164" fontId="16" fillId="0" borderId="2" xfId="0" quotePrefix="1" applyNumberFormat="1" applyFont="1" applyBorder="1"/>
    <xf numFmtId="0" fontId="19" fillId="0" borderId="0" xfId="0" applyFont="1" applyAlignment="1">
      <alignment wrapText="1"/>
    </xf>
    <xf numFmtId="8" fontId="17" fillId="0" borderId="2" xfId="0" applyNumberFormat="1" applyFont="1" applyBorder="1"/>
    <xf numFmtId="8" fontId="17" fillId="0" borderId="0" xfId="0" applyNumberFormat="1" applyFont="1"/>
    <xf numFmtId="0" fontId="16" fillId="0" borderId="2" xfId="0" applyFont="1" applyBorder="1" applyAlignment="1">
      <alignment wrapText="1"/>
    </xf>
    <xf numFmtId="0" fontId="15" fillId="0" borderId="2" xfId="0" applyFont="1" applyBorder="1"/>
    <xf numFmtId="164" fontId="20" fillId="0" borderId="0" xfId="0" applyNumberFormat="1" applyFont="1" applyAlignment="1">
      <alignment wrapText="1"/>
    </xf>
    <xf numFmtId="0" fontId="16" fillId="0" borderId="0" xfId="0" applyFont="1" applyAlignment="1">
      <alignment wrapText="1"/>
    </xf>
    <xf numFmtId="49" fontId="16" fillId="0" borderId="2" xfId="0" applyNumberFormat="1" applyFont="1" applyBorder="1"/>
    <xf numFmtId="14" fontId="16" fillId="0" borderId="0" xfId="0" applyNumberFormat="1" applyFont="1" applyAlignment="1">
      <alignment wrapText="1"/>
    </xf>
    <xf numFmtId="164" fontId="17" fillId="0" borderId="0" xfId="0" applyNumberFormat="1" applyFont="1"/>
    <xf numFmtId="4" fontId="16" fillId="0" borderId="0" xfId="0" applyNumberFormat="1" applyFont="1"/>
    <xf numFmtId="0" fontId="20" fillId="0" borderId="0" xfId="0" applyFont="1"/>
    <xf numFmtId="14" fontId="16" fillId="0" borderId="2" xfId="0" applyNumberFormat="1" applyFont="1" applyBorder="1"/>
    <xf numFmtId="164" fontId="16" fillId="0" borderId="0" xfId="0" applyNumberFormat="1" applyFont="1" applyAlignment="1">
      <alignment vertical="top"/>
    </xf>
    <xf numFmtId="164" fontId="16" fillId="0" borderId="0" xfId="0" applyNumberFormat="1" applyFont="1" applyAlignment="1">
      <alignment vertical="top" wrapText="1"/>
    </xf>
    <xf numFmtId="0" fontId="16" fillId="0" borderId="0" xfId="0" applyFont="1" applyAlignment="1">
      <alignment vertical="top"/>
    </xf>
    <xf numFmtId="164" fontId="15" fillId="0" borderId="0" xfId="0" applyNumberFormat="1" applyFont="1" applyAlignment="1">
      <alignment vertical="top" wrapText="1"/>
    </xf>
    <xf numFmtId="8" fontId="16" fillId="0" borderId="0" xfId="0" applyNumberFormat="1" applyFont="1" applyAlignment="1">
      <alignment vertical="top"/>
    </xf>
    <xf numFmtId="164" fontId="16" fillId="0" borderId="2" xfId="0" applyNumberFormat="1" applyFont="1" applyBorder="1" applyAlignment="1">
      <alignment vertical="top"/>
    </xf>
    <xf numFmtId="0" fontId="17" fillId="0" borderId="0" xfId="0" applyFont="1" applyAlignment="1">
      <alignment vertical="top"/>
    </xf>
    <xf numFmtId="8" fontId="17" fillId="0" borderId="2" xfId="0" applyNumberFormat="1" applyFont="1" applyBorder="1" applyAlignment="1">
      <alignment vertical="top"/>
    </xf>
    <xf numFmtId="8" fontId="17" fillId="0" borderId="0" xfId="0" applyNumberFormat="1" applyFont="1" applyAlignment="1">
      <alignment vertical="top"/>
    </xf>
    <xf numFmtId="0" fontId="17" fillId="0" borderId="2" xfId="0" applyFont="1" applyBorder="1" applyAlignment="1">
      <alignment vertical="top"/>
    </xf>
    <xf numFmtId="164" fontId="16" fillId="0" borderId="0" xfId="0" quotePrefix="1" applyNumberFormat="1" applyFont="1"/>
    <xf numFmtId="0" fontId="16" fillId="0" borderId="2" xfId="0" applyFont="1" applyBorder="1" applyAlignment="1">
      <alignment vertical="top"/>
    </xf>
    <xf numFmtId="14" fontId="16" fillId="0" borderId="0" xfId="0" applyNumberFormat="1" applyFont="1" applyAlignment="1">
      <alignment vertical="top"/>
    </xf>
    <xf numFmtId="0" fontId="17" fillId="0" borderId="0" xfId="0" applyFont="1" applyAlignment="1">
      <alignment vertical="top" wrapText="1"/>
    </xf>
    <xf numFmtId="14" fontId="16" fillId="0" borderId="0" xfId="0" applyNumberFormat="1" applyFont="1" applyAlignment="1">
      <alignment vertical="top" wrapText="1"/>
    </xf>
    <xf numFmtId="0" fontId="17" fillId="0" borderId="0" xfId="0" applyFont="1" applyAlignment="1">
      <alignment vertical="center"/>
    </xf>
    <xf numFmtId="164" fontId="16" fillId="0" borderId="0" xfId="0" applyNumberFormat="1" applyFont="1" applyAlignment="1">
      <alignment horizontal="center"/>
    </xf>
    <xf numFmtId="164" fontId="15" fillId="0" borderId="0" xfId="0" applyNumberFormat="1" applyFont="1" applyAlignment="1">
      <alignment vertical="top"/>
    </xf>
    <xf numFmtId="0" fontId="15" fillId="0" borderId="0" xfId="0" applyFont="1" applyAlignment="1">
      <alignment vertical="top"/>
    </xf>
    <xf numFmtId="8" fontId="15" fillId="0" borderId="0" xfId="0" applyNumberFormat="1" applyFont="1" applyAlignment="1">
      <alignment vertical="top"/>
    </xf>
    <xf numFmtId="164" fontId="15" fillId="0" borderId="2" xfId="0" applyNumberFormat="1" applyFont="1" applyBorder="1" applyAlignment="1">
      <alignment vertical="top"/>
    </xf>
    <xf numFmtId="0" fontId="17" fillId="0" borderId="2" xfId="0" applyFont="1" applyBorder="1" applyAlignment="1">
      <alignment wrapText="1"/>
    </xf>
    <xf numFmtId="164" fontId="16" fillId="9" borderId="0" xfId="0" applyNumberFormat="1" applyFont="1" applyFill="1"/>
    <xf numFmtId="0" fontId="16" fillId="9" borderId="0" xfId="0" applyFont="1" applyFill="1"/>
    <xf numFmtId="164" fontId="16" fillId="7" borderId="0" xfId="0" applyNumberFormat="1" applyFont="1" applyFill="1"/>
    <xf numFmtId="164" fontId="16" fillId="15" borderId="0" xfId="0" applyNumberFormat="1" applyFont="1" applyFill="1"/>
    <xf numFmtId="164" fontId="16" fillId="9" borderId="0" xfId="0" applyNumberFormat="1" applyFont="1" applyFill="1" applyAlignment="1">
      <alignment vertical="top"/>
    </xf>
    <xf numFmtId="164" fontId="17" fillId="9" borderId="0" xfId="0" applyNumberFormat="1" applyFont="1" applyFill="1"/>
    <xf numFmtId="164" fontId="16" fillId="2" borderId="0" xfId="0" applyNumberFormat="1" applyFont="1" applyFill="1" applyAlignment="1">
      <alignment wrapText="1"/>
    </xf>
    <xf numFmtId="0" fontId="16" fillId="2" borderId="0" xfId="0" applyFont="1" applyFill="1"/>
    <xf numFmtId="164" fontId="16" fillId="2" borderId="0" xfId="0" applyNumberFormat="1" applyFont="1" applyFill="1"/>
    <xf numFmtId="8" fontId="16" fillId="2" borderId="0" xfId="0" applyNumberFormat="1" applyFont="1" applyFill="1"/>
    <xf numFmtId="164" fontId="16" fillId="2" borderId="2" xfId="0" applyNumberFormat="1" applyFont="1" applyFill="1" applyBorder="1"/>
    <xf numFmtId="164" fontId="3" fillId="0" borderId="0" xfId="0" applyNumberFormat="1" applyFont="1" applyAlignment="1">
      <alignment horizontal="center" vertical="top"/>
    </xf>
    <xf numFmtId="0" fontId="19" fillId="0" borderId="0" xfId="0" applyFont="1"/>
    <xf numFmtId="0" fontId="17" fillId="0" borderId="0" xfId="0" applyFont="1" applyAlignment="1">
      <alignment vertical="top"/>
    </xf>
  </cellXfs>
  <cellStyles count="3">
    <cellStyle name="Comma" xfId="1" builtinId="3"/>
    <cellStyle name="Hyperlink" xfId="2" builtinId="8"/>
    <cellStyle name="Normal" xfId="0" builtinId="0"/>
  </cellStyles>
  <dxfs count="102">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0" tint="-0.14996795556505021"/>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7" tint="0.59996337778862885"/>
        </patternFill>
      </fill>
    </dxf>
    <dxf>
      <fill>
        <patternFill>
          <bgColor theme="2" tint="-9.9948118533890809E-2"/>
        </patternFill>
      </fill>
    </dxf>
  </dxfs>
  <tableStyles count="0" defaultTableStyle="TableStyleMedium2" defaultPivotStyle="PivotStyleLight16"/>
  <colors>
    <mruColors>
      <color rgb="FF99FF99"/>
      <color rgb="FFAC7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pageSetUpPr fitToPage="1"/>
  </sheetPr>
  <dimension ref="A1:J507"/>
  <sheetViews>
    <sheetView workbookViewId="0">
      <selection activeCell="G2" sqref="G2"/>
    </sheetView>
  </sheetViews>
  <sheetFormatPr defaultRowHeight="14.5" x14ac:dyDescent="0.35"/>
  <cols>
    <col min="1" max="1" width="32.81640625" style="21" customWidth="1"/>
    <col min="3" max="3" width="11" bestFit="1" customWidth="1"/>
    <col min="4" max="4" width="13.81640625" bestFit="1" customWidth="1"/>
    <col min="5" max="5" width="19.81640625" bestFit="1" customWidth="1"/>
    <col min="6" max="6" width="11" bestFit="1" customWidth="1"/>
    <col min="7" max="7" width="13.81640625" bestFit="1" customWidth="1"/>
    <col min="8" max="8" width="19.81640625" bestFit="1" customWidth="1"/>
    <col min="9" max="9" width="11" bestFit="1" customWidth="1"/>
    <col min="10" max="10" width="30.54296875" style="21" customWidth="1"/>
  </cols>
  <sheetData>
    <row r="1" spans="1:10" x14ac:dyDescent="0.35">
      <c r="A1" s="21" t="s">
        <v>0</v>
      </c>
      <c r="B1" t="s">
        <v>1</v>
      </c>
      <c r="C1" t="s">
        <v>2</v>
      </c>
      <c r="D1" t="s">
        <v>3</v>
      </c>
      <c r="E1" t="s">
        <v>4</v>
      </c>
      <c r="F1" t="s">
        <v>5</v>
      </c>
      <c r="G1" t="s">
        <v>6</v>
      </c>
      <c r="H1" t="s">
        <v>7</v>
      </c>
      <c r="I1" t="s">
        <v>8</v>
      </c>
      <c r="J1" s="21" t="s">
        <v>9</v>
      </c>
    </row>
    <row r="2" spans="1:10" x14ac:dyDescent="0.35">
      <c r="A2" s="21" t="s">
        <v>10</v>
      </c>
      <c r="D2" s="35">
        <v>157292</v>
      </c>
      <c r="E2" s="35">
        <v>0</v>
      </c>
      <c r="G2" s="35">
        <v>109902</v>
      </c>
      <c r="H2" s="35">
        <v>0</v>
      </c>
    </row>
    <row r="3" spans="1:10" x14ac:dyDescent="0.35">
      <c r="A3" s="21" t="s">
        <v>11</v>
      </c>
      <c r="C3" s="35">
        <v>96977.29</v>
      </c>
      <c r="D3" s="35">
        <v>157292</v>
      </c>
      <c r="E3" s="35">
        <v>0</v>
      </c>
      <c r="F3" s="35">
        <v>254269.29</v>
      </c>
      <c r="G3" s="35">
        <v>109902</v>
      </c>
      <c r="H3" s="35">
        <v>0</v>
      </c>
      <c r="I3" s="35">
        <v>364171.29</v>
      </c>
      <c r="J3" s="21" t="s">
        <v>12</v>
      </c>
    </row>
    <row r="5" spans="1:10" x14ac:dyDescent="0.35">
      <c r="A5" s="21" t="s">
        <v>13</v>
      </c>
      <c r="D5" s="35">
        <v>-101292</v>
      </c>
      <c r="E5" s="35">
        <v>-101292</v>
      </c>
      <c r="G5" s="35">
        <v>-109902</v>
      </c>
      <c r="H5" s="35">
        <v>-109902</v>
      </c>
    </row>
    <row r="6" spans="1:10" x14ac:dyDescent="0.35">
      <c r="A6" s="21" t="s">
        <v>13</v>
      </c>
      <c r="B6" t="s">
        <v>11</v>
      </c>
      <c r="D6" s="35">
        <v>0</v>
      </c>
      <c r="E6" s="35">
        <v>0</v>
      </c>
      <c r="G6" s="35">
        <v>0</v>
      </c>
      <c r="H6" s="35">
        <v>0</v>
      </c>
    </row>
    <row r="7" spans="1:10" x14ac:dyDescent="0.35">
      <c r="A7" s="21" t="s">
        <v>14</v>
      </c>
      <c r="B7" t="s">
        <v>11</v>
      </c>
      <c r="D7" s="35">
        <v>-101292</v>
      </c>
      <c r="E7" s="35">
        <v>-101292</v>
      </c>
      <c r="G7" s="35">
        <v>-109902</v>
      </c>
      <c r="H7" s="35">
        <v>-109902</v>
      </c>
    </row>
    <row r="9" spans="1:10" x14ac:dyDescent="0.35">
      <c r="A9" s="21" t="s">
        <v>15</v>
      </c>
      <c r="B9" t="s">
        <v>1</v>
      </c>
      <c r="C9" t="s">
        <v>2</v>
      </c>
      <c r="D9" t="s">
        <v>3</v>
      </c>
      <c r="E9" t="s">
        <v>4</v>
      </c>
      <c r="F9" t="s">
        <v>5</v>
      </c>
      <c r="G9" t="s">
        <v>6</v>
      </c>
      <c r="H9" t="s">
        <v>7</v>
      </c>
      <c r="I9" t="s">
        <v>8</v>
      </c>
      <c r="J9" s="21" t="s">
        <v>9</v>
      </c>
    </row>
    <row r="10" spans="1:10" x14ac:dyDescent="0.35">
      <c r="A10" s="21" t="s">
        <v>10</v>
      </c>
      <c r="D10" s="35">
        <v>-44166</v>
      </c>
      <c r="E10" s="35">
        <v>-129742.45</v>
      </c>
      <c r="G10" s="35">
        <v>-100155</v>
      </c>
      <c r="H10" s="35">
        <v>0</v>
      </c>
    </row>
    <row r="11" spans="1:10" ht="43.5" x14ac:dyDescent="0.35">
      <c r="A11" s="21" t="s">
        <v>15</v>
      </c>
      <c r="C11" s="35">
        <v>78133.02</v>
      </c>
      <c r="D11" s="35">
        <v>-44166</v>
      </c>
      <c r="E11" s="35">
        <v>-129742.45</v>
      </c>
      <c r="F11" s="35">
        <v>146478.03</v>
      </c>
      <c r="G11" s="35">
        <v>-100155</v>
      </c>
      <c r="H11" s="35">
        <v>0</v>
      </c>
      <c r="I11" s="35">
        <v>46323.03</v>
      </c>
      <c r="J11" s="21" t="s">
        <v>16</v>
      </c>
    </row>
    <row r="13" spans="1:10" x14ac:dyDescent="0.35">
      <c r="A13" s="21" t="s">
        <v>17</v>
      </c>
      <c r="D13" s="35">
        <v>74948.98</v>
      </c>
      <c r="E13" s="35">
        <v>92180.42</v>
      </c>
      <c r="G13" s="35">
        <v>227405</v>
      </c>
      <c r="H13" s="35">
        <v>227405</v>
      </c>
    </row>
    <row r="14" spans="1:10" x14ac:dyDescent="0.35">
      <c r="A14" s="21" t="s">
        <v>17</v>
      </c>
      <c r="B14" t="s">
        <v>15</v>
      </c>
      <c r="D14" s="35">
        <v>74948.98</v>
      </c>
      <c r="E14" s="35">
        <v>92180.42</v>
      </c>
      <c r="G14" s="35">
        <v>82405</v>
      </c>
      <c r="H14" s="35">
        <v>82405</v>
      </c>
    </row>
    <row r="15" spans="1:10" x14ac:dyDescent="0.35">
      <c r="A15" s="21" t="s">
        <v>18</v>
      </c>
      <c r="B15" t="s">
        <v>15</v>
      </c>
      <c r="D15" s="35">
        <v>0</v>
      </c>
      <c r="E15" s="35">
        <v>0</v>
      </c>
      <c r="G15" s="35">
        <v>55000</v>
      </c>
      <c r="H15" s="35">
        <v>55000</v>
      </c>
    </row>
    <row r="16" spans="1:10" x14ac:dyDescent="0.35">
      <c r="A16" s="21" t="s">
        <v>19</v>
      </c>
      <c r="B16" t="s">
        <v>15</v>
      </c>
      <c r="D16" s="35">
        <v>0</v>
      </c>
      <c r="E16" s="35">
        <v>0</v>
      </c>
      <c r="G16" s="35">
        <v>5000</v>
      </c>
      <c r="H16" s="35">
        <v>5000</v>
      </c>
    </row>
    <row r="17" spans="1:10" x14ac:dyDescent="0.35">
      <c r="A17" s="21" t="s">
        <v>20</v>
      </c>
      <c r="B17" t="s">
        <v>15</v>
      </c>
      <c r="D17" s="35">
        <v>0</v>
      </c>
      <c r="E17" s="35">
        <v>0</v>
      </c>
      <c r="G17" s="35">
        <v>25000</v>
      </c>
      <c r="H17" s="35">
        <v>25000</v>
      </c>
    </row>
    <row r="18" spans="1:10" x14ac:dyDescent="0.35">
      <c r="A18" s="21" t="s">
        <v>21</v>
      </c>
      <c r="B18" t="s">
        <v>15</v>
      </c>
      <c r="D18" s="35">
        <v>0</v>
      </c>
      <c r="E18" s="35">
        <v>0</v>
      </c>
      <c r="G18" s="35">
        <v>60000</v>
      </c>
      <c r="H18" s="35">
        <v>60000</v>
      </c>
    </row>
    <row r="20" spans="1:10" x14ac:dyDescent="0.35">
      <c r="A20" s="21" t="s">
        <v>22</v>
      </c>
      <c r="B20" t="s">
        <v>1</v>
      </c>
      <c r="C20" t="s">
        <v>2</v>
      </c>
      <c r="D20" t="s">
        <v>3</v>
      </c>
      <c r="E20" t="s">
        <v>4</v>
      </c>
      <c r="F20" t="s">
        <v>5</v>
      </c>
      <c r="G20" t="s">
        <v>6</v>
      </c>
      <c r="H20" t="s">
        <v>7</v>
      </c>
      <c r="I20" t="s">
        <v>8</v>
      </c>
      <c r="J20" s="21" t="s">
        <v>9</v>
      </c>
    </row>
    <row r="21" spans="1:10" x14ac:dyDescent="0.35">
      <c r="A21" s="21" t="s">
        <v>10</v>
      </c>
      <c r="D21" s="35">
        <v>33542.67</v>
      </c>
      <c r="E21" s="35">
        <v>74853</v>
      </c>
      <c r="G21" s="35">
        <v>0</v>
      </c>
      <c r="H21" s="35">
        <v>0</v>
      </c>
    </row>
    <row r="22" spans="1:10" x14ac:dyDescent="0.35">
      <c r="A22" s="21" t="s">
        <v>22</v>
      </c>
      <c r="C22" s="35">
        <v>75324</v>
      </c>
      <c r="D22" s="35">
        <v>33542.67</v>
      </c>
      <c r="E22" s="35">
        <v>74853</v>
      </c>
      <c r="F22" s="35">
        <v>34013.67</v>
      </c>
      <c r="G22" s="35">
        <v>0</v>
      </c>
      <c r="H22" s="35">
        <v>0</v>
      </c>
      <c r="I22" s="35">
        <v>34013.67</v>
      </c>
      <c r="J22" s="21" t="s">
        <v>23</v>
      </c>
    </row>
    <row r="23" spans="1:10" x14ac:dyDescent="0.35">
      <c r="A23" s="21" t="s">
        <v>24</v>
      </c>
      <c r="C23" s="35">
        <v>0</v>
      </c>
      <c r="D23" s="35">
        <v>0</v>
      </c>
      <c r="E23" s="35">
        <v>-50000</v>
      </c>
      <c r="F23" s="35">
        <v>50000</v>
      </c>
      <c r="G23" s="35">
        <v>0</v>
      </c>
      <c r="H23" s="35">
        <v>0</v>
      </c>
      <c r="I23" s="35">
        <v>50000</v>
      </c>
    </row>
    <row r="25" spans="1:10" x14ac:dyDescent="0.35">
      <c r="A25" s="21" t="s">
        <v>25</v>
      </c>
      <c r="D25" s="35">
        <v>0</v>
      </c>
      <c r="E25" s="35">
        <v>0</v>
      </c>
      <c r="G25" s="35">
        <v>0</v>
      </c>
      <c r="H25" s="35">
        <v>0</v>
      </c>
    </row>
    <row r="26" spans="1:10" x14ac:dyDescent="0.35">
      <c r="A26" s="21" t="s">
        <v>25</v>
      </c>
      <c r="B26" t="s">
        <v>22</v>
      </c>
      <c r="D26" s="35">
        <v>0</v>
      </c>
      <c r="E26" s="35">
        <v>0</v>
      </c>
      <c r="G26" s="35">
        <v>0</v>
      </c>
      <c r="H26" s="35">
        <v>0</v>
      </c>
    </row>
    <row r="28" spans="1:10" x14ac:dyDescent="0.35">
      <c r="A28" s="21" t="s">
        <v>26</v>
      </c>
      <c r="B28" t="s">
        <v>1</v>
      </c>
      <c r="C28" t="s">
        <v>2</v>
      </c>
      <c r="D28" t="s">
        <v>3</v>
      </c>
      <c r="E28" t="s">
        <v>4</v>
      </c>
      <c r="F28" t="s">
        <v>5</v>
      </c>
      <c r="G28" t="s">
        <v>6</v>
      </c>
      <c r="H28" t="s">
        <v>7</v>
      </c>
      <c r="I28" t="s">
        <v>8</v>
      </c>
      <c r="J28" s="21" t="s">
        <v>9</v>
      </c>
    </row>
    <row r="29" spans="1:10" x14ac:dyDescent="0.35">
      <c r="A29" s="21" t="s">
        <v>10</v>
      </c>
      <c r="D29" s="35">
        <v>0</v>
      </c>
      <c r="E29" s="35">
        <v>0</v>
      </c>
      <c r="G29" s="35">
        <v>0</v>
      </c>
      <c r="H29" s="35">
        <v>0</v>
      </c>
    </row>
    <row r="30" spans="1:10" x14ac:dyDescent="0.35">
      <c r="A30" s="21" t="s">
        <v>27</v>
      </c>
      <c r="C30" s="35">
        <v>0</v>
      </c>
      <c r="D30" s="35">
        <v>0</v>
      </c>
      <c r="E30" s="35">
        <v>0</v>
      </c>
      <c r="F30" s="35">
        <v>1554.76</v>
      </c>
      <c r="H30" s="35">
        <v>0</v>
      </c>
      <c r="I30" s="35">
        <v>1554.76</v>
      </c>
    </row>
    <row r="31" spans="1:10" x14ac:dyDescent="0.35">
      <c r="A31" s="21" t="s">
        <v>28</v>
      </c>
      <c r="C31" s="35">
        <v>0</v>
      </c>
      <c r="D31" s="35">
        <v>0</v>
      </c>
      <c r="E31" s="35">
        <v>0</v>
      </c>
      <c r="F31" s="35">
        <v>0</v>
      </c>
      <c r="H31" s="35">
        <v>0</v>
      </c>
      <c r="I31" s="35">
        <v>0</v>
      </c>
    </row>
    <row r="32" spans="1:10" x14ac:dyDescent="0.35">
      <c r="A32" s="21" t="s">
        <v>29</v>
      </c>
      <c r="C32" s="35">
        <v>0</v>
      </c>
      <c r="D32" s="35">
        <v>0</v>
      </c>
      <c r="E32" s="35">
        <v>0</v>
      </c>
      <c r="F32" s="35">
        <v>0</v>
      </c>
      <c r="H32" s="35">
        <v>0</v>
      </c>
      <c r="I32" s="35">
        <v>0</v>
      </c>
    </row>
    <row r="33" spans="1:10" x14ac:dyDescent="0.35">
      <c r="A33" s="21" t="s">
        <v>30</v>
      </c>
      <c r="C33" s="35">
        <v>0</v>
      </c>
      <c r="D33" s="35">
        <v>0</v>
      </c>
      <c r="E33" s="35">
        <v>0</v>
      </c>
      <c r="F33" s="35">
        <v>0</v>
      </c>
      <c r="H33" s="35">
        <v>0</v>
      </c>
      <c r="I33" s="35">
        <v>0</v>
      </c>
    </row>
    <row r="35" spans="1:10" x14ac:dyDescent="0.35">
      <c r="A35" s="21" t="s">
        <v>31</v>
      </c>
      <c r="D35" s="35">
        <v>20000</v>
      </c>
      <c r="E35" s="35">
        <v>18445.240000000002</v>
      </c>
      <c r="G35" s="35">
        <v>34145</v>
      </c>
      <c r="H35" s="35">
        <v>34145</v>
      </c>
    </row>
    <row r="36" spans="1:10" x14ac:dyDescent="0.35">
      <c r="A36" s="21" t="s">
        <v>27</v>
      </c>
      <c r="B36" t="s">
        <v>27</v>
      </c>
      <c r="D36" s="35">
        <v>20000</v>
      </c>
      <c r="E36" s="35">
        <v>1017.24</v>
      </c>
      <c r="F36" s="35">
        <v>18982.759999999998</v>
      </c>
      <c r="G36" s="35">
        <v>14572</v>
      </c>
      <c r="H36" s="35">
        <v>14572</v>
      </c>
    </row>
    <row r="37" spans="1:10" x14ac:dyDescent="0.35">
      <c r="A37" s="21" t="s">
        <v>32</v>
      </c>
      <c r="B37" t="s">
        <v>27</v>
      </c>
      <c r="D37" s="35">
        <v>0</v>
      </c>
      <c r="E37" s="35">
        <v>0</v>
      </c>
      <c r="F37" s="35">
        <v>0</v>
      </c>
      <c r="G37" s="35">
        <v>0</v>
      </c>
      <c r="H37" s="35">
        <v>0</v>
      </c>
    </row>
    <row r="38" spans="1:10" x14ac:dyDescent="0.35">
      <c r="A38" s="21" t="s">
        <v>33</v>
      </c>
      <c r="B38" t="s">
        <v>27</v>
      </c>
      <c r="D38" s="35">
        <v>0</v>
      </c>
      <c r="E38" s="35">
        <v>0</v>
      </c>
      <c r="F38" s="35">
        <v>0</v>
      </c>
      <c r="G38" s="35">
        <v>7128</v>
      </c>
      <c r="H38" s="35">
        <v>7128</v>
      </c>
    </row>
    <row r="39" spans="1:10" x14ac:dyDescent="0.35">
      <c r="A39" s="21" t="s">
        <v>34</v>
      </c>
      <c r="B39" t="s">
        <v>27</v>
      </c>
      <c r="D39" s="35">
        <v>0</v>
      </c>
      <c r="E39" s="35">
        <v>150</v>
      </c>
      <c r="F39" s="35">
        <v>-150</v>
      </c>
      <c r="G39" s="35">
        <v>0</v>
      </c>
      <c r="H39" s="35">
        <v>0</v>
      </c>
    </row>
    <row r="40" spans="1:10" x14ac:dyDescent="0.35">
      <c r="A40" s="21" t="s">
        <v>35</v>
      </c>
      <c r="B40" t="s">
        <v>27</v>
      </c>
      <c r="D40" s="35">
        <v>0</v>
      </c>
      <c r="E40" s="35">
        <v>430</v>
      </c>
      <c r="F40" s="35">
        <v>-430</v>
      </c>
      <c r="G40" s="35">
        <v>0</v>
      </c>
      <c r="H40" s="35">
        <v>0</v>
      </c>
    </row>
    <row r="41" spans="1:10" x14ac:dyDescent="0.35">
      <c r="A41" s="21" t="s">
        <v>36</v>
      </c>
      <c r="B41" t="s">
        <v>27</v>
      </c>
      <c r="D41" s="35">
        <v>0</v>
      </c>
      <c r="E41" s="35">
        <v>175</v>
      </c>
      <c r="F41" s="35">
        <v>-175</v>
      </c>
      <c r="G41" s="35">
        <v>0</v>
      </c>
      <c r="H41" s="35">
        <v>0</v>
      </c>
    </row>
    <row r="42" spans="1:10" x14ac:dyDescent="0.35">
      <c r="A42" s="21" t="s">
        <v>37</v>
      </c>
      <c r="B42" t="s">
        <v>27</v>
      </c>
      <c r="D42" s="35">
        <v>0</v>
      </c>
      <c r="E42" s="35">
        <v>0</v>
      </c>
      <c r="F42" s="35">
        <v>0</v>
      </c>
      <c r="G42" s="35">
        <v>0</v>
      </c>
      <c r="H42" s="35">
        <v>0</v>
      </c>
    </row>
    <row r="43" spans="1:10" x14ac:dyDescent="0.35">
      <c r="A43" s="21" t="s">
        <v>38</v>
      </c>
      <c r="B43" t="s">
        <v>27</v>
      </c>
      <c r="D43" s="35">
        <v>0</v>
      </c>
      <c r="E43" s="35">
        <v>0</v>
      </c>
      <c r="F43" s="35">
        <v>0</v>
      </c>
      <c r="G43" s="35">
        <v>0</v>
      </c>
      <c r="H43" s="35">
        <v>0</v>
      </c>
    </row>
    <row r="44" spans="1:10" x14ac:dyDescent="0.35">
      <c r="A44" s="21" t="s">
        <v>39</v>
      </c>
      <c r="B44" t="s">
        <v>27</v>
      </c>
      <c r="D44" s="35">
        <v>0</v>
      </c>
      <c r="E44" s="35">
        <v>0</v>
      </c>
      <c r="F44" s="35">
        <v>0</v>
      </c>
      <c r="G44" s="35">
        <v>0</v>
      </c>
      <c r="H44" s="35">
        <v>0</v>
      </c>
    </row>
    <row r="45" spans="1:10" x14ac:dyDescent="0.35">
      <c r="A45" s="21" t="s">
        <v>40</v>
      </c>
      <c r="B45" t="s">
        <v>27</v>
      </c>
      <c r="D45" s="35">
        <v>0</v>
      </c>
      <c r="E45" s="35">
        <v>630</v>
      </c>
      <c r="F45" s="35">
        <v>-630</v>
      </c>
      <c r="G45" s="35">
        <v>0</v>
      </c>
      <c r="H45" s="35">
        <v>0</v>
      </c>
    </row>
    <row r="46" spans="1:10" x14ac:dyDescent="0.35">
      <c r="A46" s="21" t="s">
        <v>41</v>
      </c>
      <c r="B46" t="s">
        <v>27</v>
      </c>
      <c r="D46" s="35">
        <v>0</v>
      </c>
      <c r="E46" s="35">
        <v>1043</v>
      </c>
      <c r="F46" s="35">
        <v>-1043</v>
      </c>
      <c r="G46" s="35">
        <v>0</v>
      </c>
      <c r="H46" s="35">
        <v>0</v>
      </c>
    </row>
    <row r="47" spans="1:10" x14ac:dyDescent="0.35">
      <c r="A47" s="21" t="s">
        <v>42</v>
      </c>
      <c r="B47" t="s">
        <v>27</v>
      </c>
      <c r="D47" s="35">
        <v>0</v>
      </c>
      <c r="E47" s="35">
        <v>15000</v>
      </c>
      <c r="F47" s="35">
        <v>-15000</v>
      </c>
      <c r="G47" s="35">
        <v>12445</v>
      </c>
      <c r="H47" s="35">
        <v>12445</v>
      </c>
      <c r="J47" s="21" t="s">
        <v>43</v>
      </c>
    </row>
    <row r="49" spans="1:10" x14ac:dyDescent="0.35">
      <c r="A49" s="21" t="s">
        <v>44</v>
      </c>
      <c r="B49" t="s">
        <v>1</v>
      </c>
      <c r="C49" t="s">
        <v>2</v>
      </c>
      <c r="D49" t="s">
        <v>3</v>
      </c>
      <c r="E49" t="s">
        <v>4</v>
      </c>
      <c r="F49" t="s">
        <v>5</v>
      </c>
      <c r="G49" t="s">
        <v>6</v>
      </c>
      <c r="H49" t="s">
        <v>7</v>
      </c>
      <c r="I49" t="s">
        <v>8</v>
      </c>
      <c r="J49" s="21" t="s">
        <v>9</v>
      </c>
    </row>
    <row r="50" spans="1:10" x14ac:dyDescent="0.35">
      <c r="A50" s="21" t="s">
        <v>10</v>
      </c>
      <c r="D50" s="35">
        <v>7171</v>
      </c>
      <c r="E50" s="35">
        <v>0</v>
      </c>
      <c r="G50" s="35">
        <v>-21400</v>
      </c>
      <c r="H50" s="35">
        <v>0</v>
      </c>
    </row>
    <row r="51" spans="1:10" ht="58" x14ac:dyDescent="0.35">
      <c r="A51" s="21" t="s">
        <v>44</v>
      </c>
      <c r="C51" s="35">
        <v>16133</v>
      </c>
      <c r="D51" s="35">
        <v>7171</v>
      </c>
      <c r="E51" s="35">
        <v>0</v>
      </c>
      <c r="F51" s="35">
        <v>24843.85</v>
      </c>
      <c r="G51" s="35">
        <v>-21400</v>
      </c>
      <c r="H51" s="35">
        <v>0</v>
      </c>
      <c r="I51" s="35">
        <v>3443.85</v>
      </c>
      <c r="J51" s="21" t="s">
        <v>45</v>
      </c>
    </row>
    <row r="53" spans="1:10" x14ac:dyDescent="0.35">
      <c r="A53" s="21" t="s">
        <v>46</v>
      </c>
      <c r="D53" s="35">
        <v>30000</v>
      </c>
      <c r="E53" s="35">
        <v>28460.15</v>
      </c>
      <c r="G53" s="35">
        <v>33411</v>
      </c>
      <c r="H53" s="35">
        <v>33411</v>
      </c>
    </row>
    <row r="54" spans="1:10" x14ac:dyDescent="0.35">
      <c r="A54" s="21" t="s">
        <v>46</v>
      </c>
      <c r="B54" t="s">
        <v>44</v>
      </c>
      <c r="D54" s="35">
        <v>30000</v>
      </c>
      <c r="E54" s="35">
        <v>10000</v>
      </c>
      <c r="G54" s="35">
        <v>5000</v>
      </c>
      <c r="H54" s="35">
        <v>5000</v>
      </c>
    </row>
    <row r="55" spans="1:10" x14ac:dyDescent="0.35">
      <c r="A55" s="21" t="s">
        <v>47</v>
      </c>
      <c r="B55" t="s">
        <v>44</v>
      </c>
      <c r="D55" s="35">
        <v>0</v>
      </c>
      <c r="E55" s="35">
        <v>1050</v>
      </c>
      <c r="G55" s="35">
        <v>1000</v>
      </c>
      <c r="H55" s="35">
        <v>1000</v>
      </c>
    </row>
    <row r="56" spans="1:10" x14ac:dyDescent="0.35">
      <c r="A56" s="21" t="s">
        <v>48</v>
      </c>
      <c r="B56" t="s">
        <v>44</v>
      </c>
      <c r="D56" s="35">
        <v>0</v>
      </c>
      <c r="E56" s="35">
        <v>8200</v>
      </c>
      <c r="G56" s="35">
        <v>0</v>
      </c>
      <c r="H56" s="35">
        <v>0</v>
      </c>
    </row>
    <row r="57" spans="1:10" x14ac:dyDescent="0.35">
      <c r="A57" s="21" t="s">
        <v>49</v>
      </c>
      <c r="B57" t="s">
        <v>44</v>
      </c>
      <c r="D57" s="35">
        <v>0</v>
      </c>
      <c r="E57" s="35">
        <v>474</v>
      </c>
      <c r="G57" s="35">
        <v>7011</v>
      </c>
      <c r="H57" s="35">
        <v>7011</v>
      </c>
    </row>
    <row r="58" spans="1:10" x14ac:dyDescent="0.35">
      <c r="A58" s="21" t="s">
        <v>50</v>
      </c>
      <c r="B58" t="s">
        <v>44</v>
      </c>
      <c r="D58" s="35">
        <v>0</v>
      </c>
      <c r="E58" s="35">
        <v>8736.15</v>
      </c>
      <c r="G58" s="35">
        <v>20000</v>
      </c>
      <c r="H58" s="35">
        <v>20000</v>
      </c>
    </row>
    <row r="59" spans="1:10" x14ac:dyDescent="0.35">
      <c r="A59" s="21" t="s">
        <v>51</v>
      </c>
      <c r="B59" t="s">
        <v>44</v>
      </c>
      <c r="D59" s="35">
        <v>0</v>
      </c>
      <c r="E59" s="35">
        <v>0</v>
      </c>
      <c r="G59" s="35">
        <v>400</v>
      </c>
      <c r="H59" s="35">
        <v>400</v>
      </c>
    </row>
    <row r="61" spans="1:10" x14ac:dyDescent="0.35">
      <c r="A61" s="21" t="s">
        <v>52</v>
      </c>
      <c r="B61" t="s">
        <v>1</v>
      </c>
      <c r="C61" t="s">
        <v>2</v>
      </c>
      <c r="D61" t="s">
        <v>3</v>
      </c>
      <c r="E61" t="s">
        <v>4</v>
      </c>
      <c r="F61" t="s">
        <v>5</v>
      </c>
      <c r="G61" t="s">
        <v>6</v>
      </c>
      <c r="H61" t="s">
        <v>7</v>
      </c>
      <c r="I61" t="s">
        <v>8</v>
      </c>
      <c r="J61" s="21" t="s">
        <v>9</v>
      </c>
    </row>
    <row r="62" spans="1:10" x14ac:dyDescent="0.35">
      <c r="A62" s="21" t="s">
        <v>10</v>
      </c>
      <c r="D62" s="35">
        <v>15000</v>
      </c>
      <c r="E62" s="35">
        <v>82000.960000000006</v>
      </c>
      <c r="G62" s="35">
        <v>9485</v>
      </c>
      <c r="H62" s="35">
        <v>0</v>
      </c>
    </row>
    <row r="63" spans="1:10" x14ac:dyDescent="0.35">
      <c r="A63" s="21" t="s">
        <v>52</v>
      </c>
      <c r="C63" s="35">
        <v>85000</v>
      </c>
      <c r="D63" s="35">
        <v>15000</v>
      </c>
      <c r="E63" s="35">
        <v>82000.960000000006</v>
      </c>
      <c r="F63" s="35">
        <v>17999.04</v>
      </c>
      <c r="H63" s="35">
        <v>0</v>
      </c>
      <c r="I63" s="35">
        <v>27484.04</v>
      </c>
    </row>
    <row r="64" spans="1:10" x14ac:dyDescent="0.35">
      <c r="A64" s="21" t="s">
        <v>53</v>
      </c>
      <c r="C64" s="35">
        <v>7873</v>
      </c>
      <c r="D64" s="35">
        <v>0</v>
      </c>
      <c r="E64" s="35">
        <v>0</v>
      </c>
      <c r="F64" s="35">
        <v>12942.67</v>
      </c>
      <c r="G64" s="35">
        <v>9485</v>
      </c>
      <c r="H64" s="35">
        <v>0</v>
      </c>
      <c r="I64" s="35">
        <v>12942.67</v>
      </c>
    </row>
    <row r="66" spans="1:10" x14ac:dyDescent="0.35">
      <c r="A66" s="21" t="s">
        <v>54</v>
      </c>
      <c r="D66" s="35">
        <v>10000</v>
      </c>
      <c r="E66" s="35">
        <v>4930.33</v>
      </c>
      <c r="G66" s="35">
        <v>10000</v>
      </c>
      <c r="H66" s="35">
        <v>10000</v>
      </c>
    </row>
    <row r="67" spans="1:10" x14ac:dyDescent="0.35">
      <c r="A67" s="21" t="s">
        <v>54</v>
      </c>
      <c r="B67" t="s">
        <v>52</v>
      </c>
      <c r="D67" s="35">
        <v>0</v>
      </c>
      <c r="E67" s="35">
        <v>0</v>
      </c>
      <c r="G67" s="35">
        <v>0</v>
      </c>
      <c r="H67" s="35">
        <v>0</v>
      </c>
    </row>
    <row r="68" spans="1:10" x14ac:dyDescent="0.35">
      <c r="A68" s="21" t="s">
        <v>55</v>
      </c>
      <c r="B68" t="s">
        <v>53</v>
      </c>
      <c r="D68" s="35">
        <v>10000</v>
      </c>
      <c r="E68" s="35">
        <v>4930.33</v>
      </c>
      <c r="G68" s="35">
        <v>10000</v>
      </c>
      <c r="H68" s="35">
        <v>10000</v>
      </c>
    </row>
    <row r="69" spans="1:10" x14ac:dyDescent="0.35">
      <c r="A69" s="21" t="s">
        <v>56</v>
      </c>
      <c r="B69" t="s">
        <v>52</v>
      </c>
      <c r="D69" s="35">
        <v>0</v>
      </c>
      <c r="E69" s="35">
        <v>0</v>
      </c>
      <c r="G69" s="35">
        <v>0</v>
      </c>
      <c r="H69" s="35">
        <v>0</v>
      </c>
    </row>
    <row r="71" spans="1:10" x14ac:dyDescent="0.35">
      <c r="A71" s="21" t="s">
        <v>57</v>
      </c>
      <c r="B71" t="s">
        <v>1</v>
      </c>
      <c r="C71" t="s">
        <v>2</v>
      </c>
      <c r="D71" t="s">
        <v>3</v>
      </c>
      <c r="E71" t="s">
        <v>4</v>
      </c>
      <c r="F71" t="s">
        <v>5</v>
      </c>
      <c r="G71" t="s">
        <v>6</v>
      </c>
      <c r="H71" t="s">
        <v>7</v>
      </c>
      <c r="I71" t="s">
        <v>8</v>
      </c>
      <c r="J71" s="21" t="s">
        <v>9</v>
      </c>
    </row>
    <row r="72" spans="1:10" x14ac:dyDescent="0.35">
      <c r="A72" s="21" t="s">
        <v>10</v>
      </c>
      <c r="D72" s="35">
        <v>0</v>
      </c>
      <c r="E72" s="35">
        <v>18423.82</v>
      </c>
      <c r="G72" s="35">
        <v>-7500</v>
      </c>
      <c r="H72" s="35">
        <v>0</v>
      </c>
    </row>
    <row r="73" spans="1:10" x14ac:dyDescent="0.35">
      <c r="A73" s="21" t="s">
        <v>57</v>
      </c>
      <c r="C73" s="35">
        <v>21500</v>
      </c>
      <c r="D73" s="35">
        <v>0</v>
      </c>
      <c r="E73" s="35">
        <v>18423.82</v>
      </c>
      <c r="F73" s="35">
        <v>3139.38</v>
      </c>
      <c r="G73" s="35">
        <v>0</v>
      </c>
      <c r="H73" s="35">
        <v>0</v>
      </c>
      <c r="I73" s="35">
        <v>3139.38</v>
      </c>
    </row>
    <row r="74" spans="1:10" x14ac:dyDescent="0.35">
      <c r="A74" s="21" t="s">
        <v>58</v>
      </c>
      <c r="C74" s="35">
        <v>7140</v>
      </c>
      <c r="D74" s="35">
        <v>0</v>
      </c>
      <c r="E74" s="35">
        <v>0</v>
      </c>
      <c r="F74" s="35">
        <v>13731.14</v>
      </c>
      <c r="G74" s="35">
        <v>-7500</v>
      </c>
      <c r="H74" s="35">
        <v>0</v>
      </c>
      <c r="I74" s="35">
        <v>6231.14</v>
      </c>
    </row>
    <row r="76" spans="1:10" x14ac:dyDescent="0.35">
      <c r="A76" s="21" t="s">
        <v>59</v>
      </c>
      <c r="D76" s="35">
        <v>20860</v>
      </c>
      <c r="E76" s="35">
        <v>14205.66</v>
      </c>
      <c r="G76" s="35">
        <v>120226</v>
      </c>
      <c r="H76" s="35">
        <v>120226</v>
      </c>
    </row>
    <row r="77" spans="1:10" ht="29" x14ac:dyDescent="0.35">
      <c r="A77" s="21" t="s">
        <v>60</v>
      </c>
      <c r="B77" t="s">
        <v>57</v>
      </c>
      <c r="D77" s="35">
        <v>12500</v>
      </c>
      <c r="E77" s="35">
        <v>12436.8</v>
      </c>
      <c r="G77" s="35">
        <v>35000</v>
      </c>
      <c r="H77" s="35">
        <v>35000</v>
      </c>
    </row>
    <row r="78" spans="1:10" x14ac:dyDescent="0.35">
      <c r="A78" s="21" t="s">
        <v>61</v>
      </c>
      <c r="B78" t="s">
        <v>58</v>
      </c>
      <c r="D78" s="35">
        <v>7860</v>
      </c>
      <c r="E78" s="35">
        <v>1268.8599999999999</v>
      </c>
      <c r="G78" s="35">
        <v>0</v>
      </c>
      <c r="H78" s="35">
        <v>0</v>
      </c>
    </row>
    <row r="79" spans="1:10" x14ac:dyDescent="0.35">
      <c r="A79" s="21" t="s">
        <v>62</v>
      </c>
      <c r="B79" t="s">
        <v>58</v>
      </c>
      <c r="D79" s="35">
        <v>500</v>
      </c>
      <c r="E79" s="35">
        <v>500</v>
      </c>
      <c r="G79" s="35">
        <v>9000</v>
      </c>
      <c r="H79" s="35">
        <v>9000</v>
      </c>
    </row>
    <row r="80" spans="1:10" x14ac:dyDescent="0.35">
      <c r="A80" s="21" t="s">
        <v>63</v>
      </c>
      <c r="B80" t="s">
        <v>57</v>
      </c>
      <c r="D80" s="35">
        <v>0</v>
      </c>
      <c r="E80" s="35">
        <v>0</v>
      </c>
      <c r="G80" s="35">
        <v>25000</v>
      </c>
      <c r="H80" s="35">
        <v>25000</v>
      </c>
    </row>
    <row r="81" spans="1:10" x14ac:dyDescent="0.35">
      <c r="A81" s="21" t="s">
        <v>64</v>
      </c>
      <c r="B81" t="s">
        <v>65</v>
      </c>
      <c r="D81" s="35">
        <v>0</v>
      </c>
      <c r="E81" s="35">
        <v>0</v>
      </c>
      <c r="G81" s="35">
        <v>22000</v>
      </c>
      <c r="H81" s="35">
        <v>22000</v>
      </c>
    </row>
    <row r="82" spans="1:10" x14ac:dyDescent="0.35">
      <c r="A82" s="21" t="s">
        <v>66</v>
      </c>
      <c r="B82" t="s">
        <v>57</v>
      </c>
      <c r="D82" s="35">
        <v>0</v>
      </c>
      <c r="E82" s="35">
        <v>0</v>
      </c>
      <c r="G82" s="35">
        <v>16432.2</v>
      </c>
      <c r="H82" s="35">
        <v>16432.2</v>
      </c>
    </row>
    <row r="83" spans="1:10" ht="29" x14ac:dyDescent="0.35">
      <c r="A83" s="21" t="s">
        <v>67</v>
      </c>
      <c r="B83" t="s">
        <v>57</v>
      </c>
      <c r="D83" s="35">
        <v>0</v>
      </c>
      <c r="E83" s="35">
        <v>0</v>
      </c>
      <c r="G83" s="35">
        <v>8000</v>
      </c>
      <c r="H83" s="35">
        <v>8000</v>
      </c>
    </row>
    <row r="84" spans="1:10" ht="29" x14ac:dyDescent="0.35">
      <c r="A84" s="21" t="s">
        <v>68</v>
      </c>
      <c r="B84" t="s">
        <v>57</v>
      </c>
      <c r="D84" s="35">
        <v>0</v>
      </c>
      <c r="E84" s="35">
        <v>0</v>
      </c>
      <c r="G84" s="35">
        <v>364.8</v>
      </c>
      <c r="H84" s="35">
        <v>364.8</v>
      </c>
    </row>
    <row r="85" spans="1:10" x14ac:dyDescent="0.35">
      <c r="A85" s="21" t="s">
        <v>69</v>
      </c>
      <c r="B85" t="s">
        <v>57</v>
      </c>
      <c r="D85" s="35">
        <v>0</v>
      </c>
      <c r="E85" s="35">
        <v>0</v>
      </c>
      <c r="G85" s="35">
        <v>4429</v>
      </c>
      <c r="H85" s="35">
        <v>4429</v>
      </c>
    </row>
    <row r="87" spans="1:10" x14ac:dyDescent="0.35">
      <c r="A87" s="21" t="s">
        <v>70</v>
      </c>
      <c r="B87" t="s">
        <v>1</v>
      </c>
      <c r="C87" t="s">
        <v>2</v>
      </c>
      <c r="D87" t="s">
        <v>3</v>
      </c>
      <c r="E87" t="s">
        <v>4</v>
      </c>
      <c r="F87" t="s">
        <v>5</v>
      </c>
      <c r="G87" t="s">
        <v>6</v>
      </c>
      <c r="H87" t="s">
        <v>7</v>
      </c>
      <c r="I87" t="s">
        <v>8</v>
      </c>
      <c r="J87" s="21" t="s">
        <v>9</v>
      </c>
    </row>
    <row r="88" spans="1:10" x14ac:dyDescent="0.35">
      <c r="A88" s="21" t="s">
        <v>10</v>
      </c>
      <c r="D88" s="35">
        <v>22646</v>
      </c>
      <c r="E88" s="35">
        <v>81561.86</v>
      </c>
      <c r="G88" s="35">
        <v>-62975</v>
      </c>
      <c r="H88" s="35">
        <v>0</v>
      </c>
    </row>
    <row r="89" spans="1:10" ht="43.5" x14ac:dyDescent="0.35">
      <c r="A89" s="21" t="s">
        <v>70</v>
      </c>
      <c r="C89" s="35">
        <v>153089.19</v>
      </c>
      <c r="D89" s="35">
        <v>22646</v>
      </c>
      <c r="E89" s="35">
        <v>81561.86</v>
      </c>
      <c r="F89" s="35">
        <v>67047.34</v>
      </c>
      <c r="G89" s="35">
        <v>-62975</v>
      </c>
      <c r="H89" s="35">
        <v>0</v>
      </c>
      <c r="I89" s="35">
        <v>4072.34</v>
      </c>
      <c r="J89" s="21" t="s">
        <v>71</v>
      </c>
    </row>
    <row r="90" spans="1:10" x14ac:dyDescent="0.35">
      <c r="A90" s="21" t="s">
        <v>72</v>
      </c>
      <c r="C90" s="35">
        <v>0</v>
      </c>
      <c r="D90" s="35">
        <v>0</v>
      </c>
      <c r="E90" s="35">
        <v>0</v>
      </c>
      <c r="F90" s="35">
        <v>0</v>
      </c>
      <c r="H90" s="35">
        <v>0</v>
      </c>
      <c r="I90" s="35">
        <v>0</v>
      </c>
    </row>
    <row r="92" spans="1:10" x14ac:dyDescent="0.35">
      <c r="A92" s="21" t="s">
        <v>73</v>
      </c>
      <c r="D92" s="35">
        <v>76005</v>
      </c>
      <c r="E92" s="35">
        <v>103130.99</v>
      </c>
      <c r="G92" s="35">
        <v>62975</v>
      </c>
      <c r="H92" s="35">
        <v>62975</v>
      </c>
    </row>
    <row r="93" spans="1:10" ht="29" x14ac:dyDescent="0.35">
      <c r="A93" s="21" t="s">
        <v>74</v>
      </c>
      <c r="B93" t="s">
        <v>70</v>
      </c>
      <c r="D93" s="35">
        <v>35000</v>
      </c>
      <c r="E93" s="35">
        <v>60760.1</v>
      </c>
      <c r="G93" s="35">
        <v>37975</v>
      </c>
      <c r="H93" s="35">
        <v>37975</v>
      </c>
    </row>
    <row r="94" spans="1:10" x14ac:dyDescent="0.35">
      <c r="A94" s="21" t="s">
        <v>75</v>
      </c>
      <c r="B94" t="s">
        <v>72</v>
      </c>
      <c r="D94" s="35">
        <v>0</v>
      </c>
      <c r="E94" s="35">
        <v>0</v>
      </c>
      <c r="G94" s="35">
        <v>0</v>
      </c>
      <c r="H94" s="35">
        <v>0</v>
      </c>
    </row>
    <row r="95" spans="1:10" x14ac:dyDescent="0.35">
      <c r="A95" s="21" t="s">
        <v>76</v>
      </c>
      <c r="B95" t="s">
        <v>70</v>
      </c>
      <c r="D95" s="35">
        <v>0</v>
      </c>
      <c r="E95" s="35">
        <v>0</v>
      </c>
      <c r="G95" s="35">
        <v>25000</v>
      </c>
      <c r="H95" s="35">
        <v>25000</v>
      </c>
      <c r="J95" s="21" t="s">
        <v>77</v>
      </c>
    </row>
    <row r="96" spans="1:10" x14ac:dyDescent="0.35">
      <c r="A96" s="21" t="s">
        <v>78</v>
      </c>
      <c r="B96" t="s">
        <v>70</v>
      </c>
      <c r="D96" s="35">
        <v>0</v>
      </c>
      <c r="E96" s="35">
        <v>0</v>
      </c>
      <c r="G96" s="35">
        <v>0</v>
      </c>
      <c r="H96" s="35">
        <v>0</v>
      </c>
    </row>
    <row r="97" spans="1:10" x14ac:dyDescent="0.35">
      <c r="A97" s="21" t="s">
        <v>79</v>
      </c>
      <c r="B97" t="s">
        <v>70</v>
      </c>
      <c r="D97" s="35">
        <v>0</v>
      </c>
      <c r="E97" s="35">
        <v>0</v>
      </c>
      <c r="G97" s="35">
        <v>0</v>
      </c>
      <c r="H97" s="35">
        <v>0</v>
      </c>
    </row>
    <row r="98" spans="1:10" x14ac:dyDescent="0.35">
      <c r="A98" s="21" t="s">
        <v>80</v>
      </c>
      <c r="B98" t="s">
        <v>70</v>
      </c>
      <c r="D98" s="35">
        <v>41005</v>
      </c>
      <c r="E98" s="35">
        <v>41005</v>
      </c>
      <c r="G98" s="35">
        <v>0</v>
      </c>
      <c r="H98" s="35">
        <v>0</v>
      </c>
    </row>
    <row r="99" spans="1:10" x14ac:dyDescent="0.35">
      <c r="A99" s="21" t="s">
        <v>81</v>
      </c>
      <c r="B99" t="s">
        <v>82</v>
      </c>
      <c r="D99" s="35">
        <v>0</v>
      </c>
      <c r="E99" s="35">
        <v>0</v>
      </c>
      <c r="G99" s="35">
        <v>0</v>
      </c>
      <c r="H99" s="35">
        <v>0</v>
      </c>
    </row>
    <row r="100" spans="1:10" x14ac:dyDescent="0.35">
      <c r="A100" s="21" t="s">
        <v>83</v>
      </c>
      <c r="B100" t="s">
        <v>70</v>
      </c>
      <c r="D100" s="35">
        <v>0</v>
      </c>
      <c r="E100" s="35">
        <v>1365.89</v>
      </c>
      <c r="G100" s="35">
        <v>0</v>
      </c>
      <c r="H100" s="35">
        <v>0</v>
      </c>
    </row>
    <row r="102" spans="1:10" x14ac:dyDescent="0.35">
      <c r="A102" s="21" t="s">
        <v>84</v>
      </c>
      <c r="B102" t="s">
        <v>1</v>
      </c>
      <c r="C102" t="s">
        <v>2</v>
      </c>
      <c r="D102" t="s">
        <v>3</v>
      </c>
      <c r="E102" t="s">
        <v>4</v>
      </c>
      <c r="F102" t="s">
        <v>5</v>
      </c>
      <c r="G102" t="s">
        <v>6</v>
      </c>
      <c r="H102" t="s">
        <v>7</v>
      </c>
      <c r="I102" t="s">
        <v>8</v>
      </c>
      <c r="J102" s="21" t="s">
        <v>9</v>
      </c>
    </row>
    <row r="103" spans="1:10" x14ac:dyDescent="0.35">
      <c r="A103" s="21" t="s">
        <v>10</v>
      </c>
      <c r="D103" s="35">
        <v>0</v>
      </c>
      <c r="E103" s="35">
        <v>-26525</v>
      </c>
      <c r="G103" s="35">
        <v>-33525</v>
      </c>
      <c r="H103" s="35">
        <v>0</v>
      </c>
    </row>
    <row r="104" spans="1:10" ht="101.5" x14ac:dyDescent="0.35">
      <c r="A104" s="21" t="s">
        <v>84</v>
      </c>
      <c r="C104" s="35">
        <v>0</v>
      </c>
      <c r="D104" s="35">
        <v>0</v>
      </c>
      <c r="E104" s="35">
        <v>-26525</v>
      </c>
      <c r="F104" s="35">
        <v>33975.769999999997</v>
      </c>
      <c r="G104" s="35">
        <v>-33525</v>
      </c>
      <c r="H104" s="35">
        <v>0</v>
      </c>
      <c r="I104" s="35">
        <v>450.77</v>
      </c>
      <c r="J104" s="21" t="s">
        <v>85</v>
      </c>
    </row>
    <row r="106" spans="1:10" x14ac:dyDescent="0.35">
      <c r="A106" s="21" t="s">
        <v>86</v>
      </c>
      <c r="D106" s="35">
        <v>14008</v>
      </c>
      <c r="E106" s="35">
        <v>6557.23</v>
      </c>
      <c r="G106" s="35">
        <v>64000</v>
      </c>
      <c r="H106" s="35">
        <v>64000</v>
      </c>
    </row>
    <row r="107" spans="1:10" x14ac:dyDescent="0.35">
      <c r="A107" s="21" t="s">
        <v>86</v>
      </c>
      <c r="B107" t="s">
        <v>84</v>
      </c>
      <c r="C107" s="35">
        <v>0</v>
      </c>
      <c r="D107" s="35">
        <v>12978</v>
      </c>
      <c r="E107" s="35">
        <v>3519.38</v>
      </c>
      <c r="G107" s="35">
        <v>0</v>
      </c>
      <c r="H107" s="35">
        <v>0</v>
      </c>
    </row>
    <row r="108" spans="1:10" x14ac:dyDescent="0.35">
      <c r="A108" s="21" t="s">
        <v>87</v>
      </c>
      <c r="B108" t="s">
        <v>84</v>
      </c>
      <c r="C108" s="35">
        <v>0</v>
      </c>
      <c r="D108" s="35">
        <v>0</v>
      </c>
      <c r="E108" s="35">
        <v>298.10000000000002</v>
      </c>
      <c r="G108" s="35">
        <v>10000</v>
      </c>
      <c r="H108" s="35">
        <v>10000</v>
      </c>
    </row>
    <row r="109" spans="1:10" ht="29" x14ac:dyDescent="0.35">
      <c r="A109" s="21" t="s">
        <v>88</v>
      </c>
      <c r="B109" t="s">
        <v>84</v>
      </c>
      <c r="C109" s="35">
        <v>0</v>
      </c>
      <c r="D109" s="35">
        <v>0</v>
      </c>
      <c r="E109" s="35">
        <v>0</v>
      </c>
      <c r="G109" s="35">
        <v>12000</v>
      </c>
      <c r="H109" s="35">
        <v>12000</v>
      </c>
      <c r="J109" s="21" t="s">
        <v>89</v>
      </c>
    </row>
    <row r="110" spans="1:10" x14ac:dyDescent="0.35">
      <c r="A110" s="21" t="s">
        <v>90</v>
      </c>
      <c r="B110" t="s">
        <v>84</v>
      </c>
      <c r="C110" s="35">
        <v>0</v>
      </c>
      <c r="D110" s="35">
        <v>0</v>
      </c>
      <c r="E110" s="35">
        <v>0</v>
      </c>
      <c r="G110" s="35">
        <v>6000</v>
      </c>
      <c r="H110" s="35">
        <v>6000</v>
      </c>
    </row>
    <row r="111" spans="1:10" x14ac:dyDescent="0.35">
      <c r="A111" s="21" t="s">
        <v>91</v>
      </c>
      <c r="B111" t="s">
        <v>84</v>
      </c>
      <c r="C111" s="35">
        <v>0</v>
      </c>
      <c r="D111" s="35">
        <v>0</v>
      </c>
      <c r="E111" s="35">
        <v>0</v>
      </c>
      <c r="G111" s="35">
        <v>6000</v>
      </c>
      <c r="H111" s="35">
        <v>6000</v>
      </c>
    </row>
    <row r="112" spans="1:10" x14ac:dyDescent="0.35">
      <c r="A112" s="21" t="s">
        <v>92</v>
      </c>
      <c r="B112" t="s">
        <v>84</v>
      </c>
      <c r="C112" s="35">
        <v>0</v>
      </c>
      <c r="D112" s="35">
        <v>0</v>
      </c>
      <c r="E112" s="35">
        <v>0</v>
      </c>
      <c r="G112" s="35">
        <v>6000</v>
      </c>
      <c r="H112" s="35">
        <v>6000</v>
      </c>
    </row>
    <row r="113" spans="1:10" x14ac:dyDescent="0.35">
      <c r="A113" s="21" t="s">
        <v>93</v>
      </c>
      <c r="B113" t="s">
        <v>84</v>
      </c>
      <c r="D113" s="35">
        <v>0</v>
      </c>
      <c r="E113" s="35">
        <v>0</v>
      </c>
      <c r="G113" s="35">
        <v>6000</v>
      </c>
      <c r="H113" s="35">
        <v>6000</v>
      </c>
    </row>
    <row r="114" spans="1:10" x14ac:dyDescent="0.35">
      <c r="A114" s="21" t="s">
        <v>94</v>
      </c>
      <c r="B114" t="s">
        <v>84</v>
      </c>
      <c r="D114" s="35">
        <v>1030</v>
      </c>
      <c r="E114" s="35">
        <v>542</v>
      </c>
      <c r="G114" s="35">
        <v>2000</v>
      </c>
      <c r="H114" s="35">
        <v>2000</v>
      </c>
    </row>
    <row r="115" spans="1:10" ht="29" x14ac:dyDescent="0.35">
      <c r="A115" s="21" t="s">
        <v>95</v>
      </c>
      <c r="B115" t="s">
        <v>84</v>
      </c>
      <c r="D115" s="35">
        <v>0</v>
      </c>
      <c r="E115" s="35">
        <v>2197.75</v>
      </c>
      <c r="G115" s="35">
        <v>16000</v>
      </c>
      <c r="H115" s="35">
        <v>16000</v>
      </c>
      <c r="J115" s="21" t="s">
        <v>96</v>
      </c>
    </row>
    <row r="117" spans="1:10" x14ac:dyDescent="0.35">
      <c r="A117" s="21" t="s">
        <v>97</v>
      </c>
      <c r="B117" t="s">
        <v>1</v>
      </c>
      <c r="C117" t="s">
        <v>2</v>
      </c>
      <c r="D117" t="s">
        <v>3</v>
      </c>
      <c r="E117" t="s">
        <v>4</v>
      </c>
      <c r="F117" t="s">
        <v>5</v>
      </c>
      <c r="G117" t="s">
        <v>6</v>
      </c>
      <c r="H117" t="s">
        <v>7</v>
      </c>
      <c r="I117" t="s">
        <v>8</v>
      </c>
      <c r="J117" s="21" t="s">
        <v>9</v>
      </c>
    </row>
    <row r="118" spans="1:10" x14ac:dyDescent="0.35">
      <c r="A118" s="21" t="s">
        <v>10</v>
      </c>
      <c r="D118" s="35">
        <v>0</v>
      </c>
      <c r="E118" s="35">
        <v>8946.17</v>
      </c>
      <c r="G118" s="35">
        <v>-36451</v>
      </c>
      <c r="H118" s="35">
        <v>0</v>
      </c>
    </row>
    <row r="119" spans="1:10" ht="43.5" x14ac:dyDescent="0.35">
      <c r="A119" s="21" t="s">
        <v>97</v>
      </c>
      <c r="C119" s="35">
        <v>27871</v>
      </c>
      <c r="D119" s="35">
        <v>0</v>
      </c>
      <c r="E119" s="35">
        <v>8946.17</v>
      </c>
      <c r="F119" s="35">
        <v>18924.830000000002</v>
      </c>
      <c r="G119" s="35">
        <v>-18924</v>
      </c>
      <c r="H119" s="35">
        <v>0</v>
      </c>
      <c r="I119" s="35">
        <v>0.83</v>
      </c>
      <c r="J119" s="21" t="s">
        <v>98</v>
      </c>
    </row>
    <row r="120" spans="1:10" ht="29" x14ac:dyDescent="0.35">
      <c r="A120" s="21" t="s">
        <v>99</v>
      </c>
      <c r="C120" s="35">
        <v>17527</v>
      </c>
      <c r="D120" s="35">
        <v>0</v>
      </c>
      <c r="E120" s="35">
        <v>0</v>
      </c>
      <c r="F120" s="35">
        <v>17527</v>
      </c>
      <c r="G120" s="35">
        <v>-17527</v>
      </c>
      <c r="H120" s="35">
        <v>0</v>
      </c>
      <c r="I120" s="35">
        <v>0</v>
      </c>
      <c r="J120" s="21" t="s">
        <v>100</v>
      </c>
    </row>
    <row r="122" spans="1:10" x14ac:dyDescent="0.35">
      <c r="A122" s="21" t="s">
        <v>101</v>
      </c>
      <c r="D122" s="35">
        <v>20000</v>
      </c>
      <c r="E122" s="35">
        <v>20000</v>
      </c>
      <c r="G122" s="35">
        <v>75000</v>
      </c>
      <c r="H122" s="35">
        <v>75000</v>
      </c>
    </row>
    <row r="123" spans="1:10" x14ac:dyDescent="0.35">
      <c r="A123" s="21" t="s">
        <v>101</v>
      </c>
      <c r="B123" t="s">
        <v>97</v>
      </c>
      <c r="D123" s="35">
        <v>20000</v>
      </c>
      <c r="E123" s="35">
        <v>20000</v>
      </c>
      <c r="G123" s="35">
        <v>0</v>
      </c>
      <c r="H123" s="35">
        <v>0</v>
      </c>
    </row>
    <row r="124" spans="1:10" x14ac:dyDescent="0.35">
      <c r="A124" s="21" t="s">
        <v>102</v>
      </c>
      <c r="B124" t="s">
        <v>97</v>
      </c>
      <c r="D124" s="35">
        <v>0</v>
      </c>
      <c r="E124" s="35">
        <v>0</v>
      </c>
      <c r="G124" s="35">
        <v>5000</v>
      </c>
      <c r="H124" s="35">
        <v>5000</v>
      </c>
    </row>
    <row r="125" spans="1:10" x14ac:dyDescent="0.35">
      <c r="A125" s="21" t="s">
        <v>103</v>
      </c>
      <c r="B125" t="s">
        <v>97</v>
      </c>
      <c r="D125" s="35">
        <v>0</v>
      </c>
      <c r="E125" s="35">
        <v>0</v>
      </c>
      <c r="G125" s="35">
        <v>45000</v>
      </c>
      <c r="H125" s="35">
        <v>45000</v>
      </c>
    </row>
    <row r="126" spans="1:10" x14ac:dyDescent="0.35">
      <c r="A126" s="21" t="s">
        <v>104</v>
      </c>
      <c r="B126" t="s">
        <v>97</v>
      </c>
      <c r="D126" s="35">
        <v>0</v>
      </c>
      <c r="E126" s="35">
        <v>0</v>
      </c>
      <c r="G126" s="35">
        <v>25000</v>
      </c>
      <c r="H126" s="35">
        <v>25000</v>
      </c>
    </row>
    <row r="127" spans="1:10" x14ac:dyDescent="0.35">
      <c r="A127" s="21" t="s">
        <v>105</v>
      </c>
      <c r="B127" t="s">
        <v>97</v>
      </c>
      <c r="D127" s="35">
        <v>0</v>
      </c>
      <c r="E127" s="35">
        <v>0</v>
      </c>
      <c r="G127" s="35">
        <v>0</v>
      </c>
      <c r="H127" s="35">
        <v>0</v>
      </c>
    </row>
    <row r="128" spans="1:10" x14ac:dyDescent="0.35">
      <c r="A128" s="21" t="s">
        <v>106</v>
      </c>
      <c r="B128" t="s">
        <v>97</v>
      </c>
      <c r="D128" s="35">
        <v>0</v>
      </c>
      <c r="E128" s="35">
        <v>0</v>
      </c>
      <c r="G128" s="35">
        <v>0</v>
      </c>
      <c r="H128" s="35">
        <v>0</v>
      </c>
    </row>
    <row r="129" spans="1:10" x14ac:dyDescent="0.35">
      <c r="A129" s="21" t="s">
        <v>107</v>
      </c>
      <c r="B129" t="s">
        <v>97</v>
      </c>
      <c r="D129" s="35">
        <v>0</v>
      </c>
      <c r="E129" s="35">
        <v>0</v>
      </c>
      <c r="G129" s="35">
        <v>0</v>
      </c>
      <c r="H129" s="35">
        <v>0</v>
      </c>
    </row>
    <row r="130" spans="1:10" x14ac:dyDescent="0.35">
      <c r="A130" s="21" t="s">
        <v>108</v>
      </c>
      <c r="B130" t="s">
        <v>97</v>
      </c>
      <c r="D130" s="35">
        <v>0</v>
      </c>
      <c r="E130" s="35">
        <v>0</v>
      </c>
      <c r="G130" s="35">
        <v>0</v>
      </c>
      <c r="H130" s="35">
        <v>0</v>
      </c>
    </row>
    <row r="131" spans="1:10" x14ac:dyDescent="0.35">
      <c r="A131" s="21" t="s">
        <v>109</v>
      </c>
      <c r="B131" t="s">
        <v>97</v>
      </c>
      <c r="D131" s="35">
        <v>0</v>
      </c>
      <c r="E131" s="35">
        <v>0</v>
      </c>
      <c r="G131" s="35">
        <v>0</v>
      </c>
      <c r="H131" s="35">
        <v>0</v>
      </c>
    </row>
    <row r="133" spans="1:10" x14ac:dyDescent="0.35">
      <c r="A133" s="21" t="s">
        <v>110</v>
      </c>
      <c r="B133" t="s">
        <v>1</v>
      </c>
      <c r="C133" t="s">
        <v>2</v>
      </c>
      <c r="D133" t="s">
        <v>3</v>
      </c>
      <c r="E133" t="s">
        <v>4</v>
      </c>
      <c r="F133" t="s">
        <v>5</v>
      </c>
      <c r="G133" t="s">
        <v>6</v>
      </c>
      <c r="H133" t="s">
        <v>7</v>
      </c>
      <c r="I133" t="s">
        <v>8</v>
      </c>
      <c r="J133" s="21" t="s">
        <v>9</v>
      </c>
    </row>
    <row r="134" spans="1:10" x14ac:dyDescent="0.35">
      <c r="A134" s="21" t="s">
        <v>10</v>
      </c>
      <c r="D134" s="35">
        <v>22770</v>
      </c>
      <c r="E134" s="35">
        <v>-2814.58</v>
      </c>
      <c r="G134" s="35">
        <v>-123800</v>
      </c>
      <c r="H134" s="35">
        <v>0</v>
      </c>
    </row>
    <row r="135" spans="1:10" ht="29" x14ac:dyDescent="0.35">
      <c r="A135" s="21" t="s">
        <v>110</v>
      </c>
      <c r="C135" s="35">
        <v>98377.42</v>
      </c>
      <c r="D135" s="35">
        <v>22770</v>
      </c>
      <c r="E135" s="35">
        <v>-2814.58</v>
      </c>
      <c r="F135" s="35">
        <v>123800</v>
      </c>
      <c r="G135" s="35">
        <v>-123800</v>
      </c>
      <c r="H135" s="35">
        <v>0</v>
      </c>
      <c r="I135" s="35">
        <v>0</v>
      </c>
      <c r="J135" s="21" t="s">
        <v>111</v>
      </c>
    </row>
    <row r="136" spans="1:10" x14ac:dyDescent="0.35">
      <c r="A136" s="21" t="s">
        <v>112</v>
      </c>
      <c r="C136" s="35">
        <v>55960</v>
      </c>
      <c r="D136" s="35">
        <v>0</v>
      </c>
      <c r="E136" s="35">
        <v>55960</v>
      </c>
      <c r="F136" s="35">
        <v>0</v>
      </c>
      <c r="H136" s="35">
        <v>0</v>
      </c>
      <c r="I136" s="35">
        <v>0</v>
      </c>
    </row>
    <row r="137" spans="1:10" x14ac:dyDescent="0.35">
      <c r="A137" s="21" t="s">
        <v>82</v>
      </c>
      <c r="C137" s="35">
        <v>52000</v>
      </c>
      <c r="D137" s="35">
        <v>0</v>
      </c>
      <c r="E137" s="35">
        <v>52000</v>
      </c>
      <c r="F137" s="35">
        <v>0</v>
      </c>
      <c r="H137" s="35">
        <v>0</v>
      </c>
      <c r="I137" s="35">
        <v>0</v>
      </c>
    </row>
    <row r="138" spans="1:10" x14ac:dyDescent="0.35">
      <c r="A138" s="21" t="s">
        <v>72</v>
      </c>
      <c r="C138" s="35">
        <v>0</v>
      </c>
      <c r="D138" s="35">
        <v>0</v>
      </c>
      <c r="E138" s="35">
        <v>44842.31</v>
      </c>
      <c r="F138" s="35">
        <v>0</v>
      </c>
      <c r="H138" s="35">
        <v>0</v>
      </c>
      <c r="I138" s="35">
        <v>0</v>
      </c>
    </row>
    <row r="140" spans="1:10" x14ac:dyDescent="0.35">
      <c r="A140" s="21" t="s">
        <v>113</v>
      </c>
      <c r="D140" s="35">
        <v>120730</v>
      </c>
      <c r="E140" s="35">
        <v>76049.69</v>
      </c>
      <c r="F140" s="35">
        <v>132803</v>
      </c>
      <c r="G140" s="35">
        <v>198800</v>
      </c>
      <c r="H140" s="35">
        <v>198800</v>
      </c>
    </row>
    <row r="141" spans="1:10" ht="29" x14ac:dyDescent="0.35">
      <c r="A141" s="21" t="s">
        <v>113</v>
      </c>
      <c r="B141" t="s">
        <v>110</v>
      </c>
      <c r="D141" s="35">
        <v>0</v>
      </c>
      <c r="E141" s="35">
        <v>0</v>
      </c>
      <c r="G141" s="35">
        <v>5000</v>
      </c>
      <c r="H141" s="35">
        <v>5000</v>
      </c>
      <c r="J141" s="21" t="s">
        <v>114</v>
      </c>
    </row>
    <row r="142" spans="1:10" x14ac:dyDescent="0.35">
      <c r="A142" s="21" t="s">
        <v>76</v>
      </c>
      <c r="B142" t="s">
        <v>110</v>
      </c>
      <c r="D142" s="35">
        <v>0</v>
      </c>
      <c r="E142" s="35">
        <v>0</v>
      </c>
      <c r="G142" s="35">
        <v>103800</v>
      </c>
      <c r="H142" s="35">
        <v>103800</v>
      </c>
    </row>
    <row r="143" spans="1:10" x14ac:dyDescent="0.35">
      <c r="A143" s="21" t="s">
        <v>115</v>
      </c>
      <c r="B143" t="s">
        <v>110</v>
      </c>
      <c r="D143" s="35">
        <v>0</v>
      </c>
      <c r="E143" s="35">
        <v>0</v>
      </c>
      <c r="G143" s="35">
        <v>0</v>
      </c>
      <c r="H143" s="35">
        <v>0</v>
      </c>
    </row>
    <row r="144" spans="1:10" x14ac:dyDescent="0.35">
      <c r="A144" s="21" t="s">
        <v>80</v>
      </c>
      <c r="B144" t="s">
        <v>110</v>
      </c>
      <c r="D144" s="35">
        <v>40730</v>
      </c>
      <c r="E144" s="35">
        <v>40892</v>
      </c>
      <c r="G144" s="35">
        <v>0</v>
      </c>
      <c r="H144" s="35">
        <v>0</v>
      </c>
    </row>
    <row r="145" spans="1:10" x14ac:dyDescent="0.35">
      <c r="A145" s="21" t="s">
        <v>116</v>
      </c>
      <c r="B145" t="s">
        <v>72</v>
      </c>
      <c r="D145" s="35">
        <v>80000</v>
      </c>
      <c r="E145" s="35">
        <v>35157.69</v>
      </c>
      <c r="G145" s="35">
        <v>90000</v>
      </c>
      <c r="H145" s="35">
        <v>90000</v>
      </c>
    </row>
    <row r="146" spans="1:10" x14ac:dyDescent="0.35">
      <c r="A146" s="21" t="s">
        <v>117</v>
      </c>
      <c r="B146" t="s">
        <v>110</v>
      </c>
      <c r="D146" s="35">
        <v>0</v>
      </c>
      <c r="E146" s="35">
        <v>0</v>
      </c>
      <c r="G146" s="35">
        <v>0</v>
      </c>
      <c r="H146" s="35">
        <v>0</v>
      </c>
    </row>
    <row r="147" spans="1:10" x14ac:dyDescent="0.35">
      <c r="A147" s="21" t="s">
        <v>118</v>
      </c>
      <c r="B147" t="s">
        <v>110</v>
      </c>
      <c r="D147" s="35">
        <v>0</v>
      </c>
      <c r="E147" s="35">
        <v>0</v>
      </c>
      <c r="G147" s="35">
        <v>0</v>
      </c>
      <c r="H147" s="35">
        <v>0</v>
      </c>
    </row>
    <row r="149" spans="1:10" x14ac:dyDescent="0.35">
      <c r="A149" s="21" t="s">
        <v>119</v>
      </c>
      <c r="B149" t="s">
        <v>1</v>
      </c>
      <c r="C149" t="s">
        <v>2</v>
      </c>
      <c r="D149" t="s">
        <v>3</v>
      </c>
      <c r="E149" t="s">
        <v>4</v>
      </c>
      <c r="F149" t="s">
        <v>5</v>
      </c>
      <c r="G149" t="s">
        <v>6</v>
      </c>
      <c r="H149" t="s">
        <v>7</v>
      </c>
      <c r="I149" t="s">
        <v>8</v>
      </c>
      <c r="J149" s="21" t="s">
        <v>9</v>
      </c>
    </row>
    <row r="150" spans="1:10" x14ac:dyDescent="0.35">
      <c r="A150" s="21" t="s">
        <v>10</v>
      </c>
      <c r="D150" s="35">
        <v>20213</v>
      </c>
      <c r="E150" s="35">
        <v>92858.89</v>
      </c>
      <c r="G150" s="35">
        <v>0</v>
      </c>
      <c r="H150" s="35">
        <v>0</v>
      </c>
    </row>
    <row r="151" spans="1:10" x14ac:dyDescent="0.35">
      <c r="A151" s="21" t="s">
        <v>119</v>
      </c>
      <c r="C151" s="35">
        <v>76163</v>
      </c>
      <c r="D151" s="35">
        <v>20213</v>
      </c>
      <c r="E151" s="35">
        <v>92858.89</v>
      </c>
      <c r="F151" s="35">
        <v>0</v>
      </c>
      <c r="H151" s="35">
        <v>0</v>
      </c>
      <c r="I151" s="35">
        <v>0</v>
      </c>
    </row>
    <row r="152" spans="1:10" x14ac:dyDescent="0.35">
      <c r="A152" s="21" t="s">
        <v>72</v>
      </c>
      <c r="C152" s="35">
        <v>0</v>
      </c>
      <c r="D152" s="35">
        <v>0</v>
      </c>
      <c r="E152" s="35">
        <v>80000</v>
      </c>
      <c r="F152" s="35">
        <v>0</v>
      </c>
      <c r="G152" s="35">
        <v>0</v>
      </c>
      <c r="H152" s="35">
        <v>0</v>
      </c>
      <c r="I152" s="35">
        <v>0</v>
      </c>
    </row>
    <row r="154" spans="1:10" x14ac:dyDescent="0.35">
      <c r="A154" s="21" t="s">
        <v>120</v>
      </c>
      <c r="D154" s="35">
        <v>102564.76</v>
      </c>
      <c r="E154" s="35">
        <v>26081.87</v>
      </c>
      <c r="G154" s="35">
        <v>91900</v>
      </c>
      <c r="H154" s="35">
        <v>91900</v>
      </c>
    </row>
    <row r="155" spans="1:10" x14ac:dyDescent="0.35">
      <c r="A155" s="21" t="s">
        <v>120</v>
      </c>
      <c r="B155" t="s">
        <v>119</v>
      </c>
      <c r="D155" s="35">
        <v>0</v>
      </c>
      <c r="E155" s="35">
        <v>450.22</v>
      </c>
      <c r="G155" s="35">
        <v>0</v>
      </c>
      <c r="H155" s="35">
        <v>0</v>
      </c>
    </row>
    <row r="156" spans="1:10" x14ac:dyDescent="0.35">
      <c r="A156" s="21" t="s">
        <v>121</v>
      </c>
      <c r="B156" t="s">
        <v>72</v>
      </c>
      <c r="D156" s="35">
        <v>80000</v>
      </c>
      <c r="E156" s="35">
        <v>0</v>
      </c>
      <c r="G156" s="35">
        <v>0</v>
      </c>
      <c r="H156" s="35">
        <v>0</v>
      </c>
    </row>
    <row r="157" spans="1:10" x14ac:dyDescent="0.35">
      <c r="A157" s="21" t="s">
        <v>122</v>
      </c>
      <c r="B157" t="s">
        <v>119</v>
      </c>
      <c r="D157" s="35">
        <v>20374</v>
      </c>
      <c r="E157" s="35">
        <v>20374</v>
      </c>
      <c r="G157" s="35">
        <v>0</v>
      </c>
      <c r="H157" s="35">
        <v>0</v>
      </c>
    </row>
    <row r="158" spans="1:10" x14ac:dyDescent="0.35">
      <c r="A158" s="21" t="s">
        <v>123</v>
      </c>
      <c r="B158" t="s">
        <v>119</v>
      </c>
      <c r="D158" s="35">
        <v>0</v>
      </c>
      <c r="E158" s="35">
        <v>0</v>
      </c>
      <c r="G158" s="35">
        <v>81900</v>
      </c>
      <c r="H158" s="35">
        <v>81900</v>
      </c>
    </row>
    <row r="159" spans="1:10" x14ac:dyDescent="0.35">
      <c r="A159" s="21" t="s">
        <v>124</v>
      </c>
      <c r="B159" t="s">
        <v>119</v>
      </c>
      <c r="D159" s="35">
        <v>2190.7600000000002</v>
      </c>
      <c r="E159" s="35">
        <v>5257.65</v>
      </c>
      <c r="G159" s="35">
        <v>10000</v>
      </c>
      <c r="H159" s="35">
        <v>10000</v>
      </c>
    </row>
    <row r="161" spans="1:10" x14ac:dyDescent="0.35">
      <c r="A161" s="21" t="s">
        <v>125</v>
      </c>
      <c r="B161" t="s">
        <v>1</v>
      </c>
      <c r="C161" t="s">
        <v>2</v>
      </c>
      <c r="D161" t="s">
        <v>3</v>
      </c>
      <c r="E161" t="s">
        <v>4</v>
      </c>
      <c r="F161" t="s">
        <v>5</v>
      </c>
      <c r="G161" t="s">
        <v>6</v>
      </c>
      <c r="H161" t="s">
        <v>7</v>
      </c>
      <c r="I161" t="s">
        <v>8</v>
      </c>
      <c r="J161" s="21" t="s">
        <v>9</v>
      </c>
    </row>
    <row r="162" spans="1:10" x14ac:dyDescent="0.35">
      <c r="A162" s="21" t="s">
        <v>10</v>
      </c>
      <c r="D162" s="35">
        <v>13321</v>
      </c>
      <c r="E162" s="35">
        <v>57840.65</v>
      </c>
      <c r="G162" s="35">
        <v>6700</v>
      </c>
      <c r="H162" s="35">
        <v>0</v>
      </c>
    </row>
    <row r="163" spans="1:10" x14ac:dyDescent="0.35">
      <c r="A163" s="21" t="s">
        <v>125</v>
      </c>
      <c r="C163" s="35">
        <v>59029.5</v>
      </c>
      <c r="D163" s="35">
        <v>13321</v>
      </c>
      <c r="E163" s="35">
        <v>57840.65</v>
      </c>
      <c r="F163" s="35">
        <v>3953.78</v>
      </c>
      <c r="G163" s="35">
        <v>21700</v>
      </c>
      <c r="H163" s="35">
        <v>0</v>
      </c>
      <c r="I163" s="35">
        <v>25653.78</v>
      </c>
    </row>
    <row r="164" spans="1:10" ht="29" x14ac:dyDescent="0.35">
      <c r="A164" s="21" t="s">
        <v>126</v>
      </c>
      <c r="C164" s="35">
        <v>0</v>
      </c>
      <c r="D164" s="35">
        <v>0</v>
      </c>
      <c r="E164" s="35">
        <v>-15000</v>
      </c>
      <c r="F164" s="35">
        <v>15000</v>
      </c>
      <c r="G164" s="35">
        <v>-15000</v>
      </c>
      <c r="H164" s="35">
        <v>0</v>
      </c>
      <c r="I164" s="35">
        <v>0</v>
      </c>
      <c r="J164" s="21" t="s">
        <v>127</v>
      </c>
    </row>
    <row r="166" spans="1:10" x14ac:dyDescent="0.35">
      <c r="A166" s="21" t="s">
        <v>128</v>
      </c>
      <c r="D166" s="35">
        <v>6679</v>
      </c>
      <c r="E166" s="35">
        <v>17235.07</v>
      </c>
      <c r="G166" s="35">
        <v>25200</v>
      </c>
      <c r="H166" s="35">
        <v>25200</v>
      </c>
    </row>
    <row r="167" spans="1:10" x14ac:dyDescent="0.35">
      <c r="A167" s="21" t="s">
        <v>129</v>
      </c>
      <c r="B167" t="s">
        <v>126</v>
      </c>
      <c r="D167" s="35">
        <v>0</v>
      </c>
      <c r="E167" s="35">
        <v>0</v>
      </c>
      <c r="G167" s="35">
        <v>20000</v>
      </c>
      <c r="H167" s="35">
        <v>20000</v>
      </c>
    </row>
    <row r="168" spans="1:10" x14ac:dyDescent="0.35">
      <c r="A168" s="21" t="s">
        <v>130</v>
      </c>
      <c r="B168" t="s">
        <v>125</v>
      </c>
      <c r="D168" s="35">
        <v>-2000</v>
      </c>
      <c r="E168" s="35">
        <v>-411</v>
      </c>
      <c r="G168" s="35">
        <v>0</v>
      </c>
      <c r="H168" s="35">
        <v>0</v>
      </c>
    </row>
    <row r="169" spans="1:10" x14ac:dyDescent="0.35">
      <c r="A169" s="21" t="s">
        <v>124</v>
      </c>
      <c r="B169" t="s">
        <v>125</v>
      </c>
      <c r="D169" s="35">
        <v>2500</v>
      </c>
      <c r="E169" s="35">
        <v>2252.71</v>
      </c>
      <c r="G169" s="35">
        <v>5200</v>
      </c>
      <c r="H169" s="35">
        <v>5200</v>
      </c>
    </row>
    <row r="170" spans="1:10" x14ac:dyDescent="0.35">
      <c r="A170" s="21" t="s">
        <v>80</v>
      </c>
      <c r="B170" t="s">
        <v>125</v>
      </c>
      <c r="D170" s="35">
        <v>6179</v>
      </c>
      <c r="E170" s="35">
        <v>15393.36</v>
      </c>
      <c r="G170" s="35">
        <v>0</v>
      </c>
      <c r="H170" s="35">
        <v>0</v>
      </c>
    </row>
    <row r="171" spans="1:10" x14ac:dyDescent="0.35">
      <c r="A171" s="21" t="s">
        <v>75</v>
      </c>
      <c r="B171" t="s">
        <v>126</v>
      </c>
      <c r="D171" s="35">
        <v>0</v>
      </c>
      <c r="E171" s="35">
        <v>0</v>
      </c>
      <c r="G171" s="35">
        <v>0</v>
      </c>
      <c r="H171" s="35">
        <v>0</v>
      </c>
    </row>
    <row r="172" spans="1:10" x14ac:dyDescent="0.35">
      <c r="A172" s="21" t="s">
        <v>131</v>
      </c>
      <c r="B172" t="s">
        <v>125</v>
      </c>
      <c r="D172" s="35">
        <v>0</v>
      </c>
      <c r="E172" s="35">
        <v>0</v>
      </c>
      <c r="G172" s="35">
        <v>0</v>
      </c>
      <c r="H172" s="35">
        <v>0</v>
      </c>
    </row>
    <row r="174" spans="1:10" x14ac:dyDescent="0.35">
      <c r="A174" s="21" t="s">
        <v>132</v>
      </c>
      <c r="B174" t="s">
        <v>1</v>
      </c>
      <c r="C174" t="s">
        <v>2</v>
      </c>
      <c r="D174" t="s">
        <v>3</v>
      </c>
      <c r="E174" t="s">
        <v>4</v>
      </c>
      <c r="F174" t="s">
        <v>5</v>
      </c>
      <c r="G174" t="s">
        <v>6</v>
      </c>
      <c r="H174" t="s">
        <v>7</v>
      </c>
      <c r="I174" t="s">
        <v>8</v>
      </c>
      <c r="J174" s="21" t="s">
        <v>9</v>
      </c>
    </row>
    <row r="175" spans="1:10" x14ac:dyDescent="0.35">
      <c r="A175" s="21" t="s">
        <v>10</v>
      </c>
      <c r="D175" s="35">
        <v>283</v>
      </c>
      <c r="E175" s="35">
        <v>974.31</v>
      </c>
      <c r="G175" s="35">
        <v>-19658</v>
      </c>
      <c r="H175" s="35">
        <v>0</v>
      </c>
    </row>
    <row r="176" spans="1:10" ht="72.5" x14ac:dyDescent="0.35">
      <c r="A176" s="21" t="s">
        <v>132</v>
      </c>
      <c r="C176" s="35">
        <v>20933</v>
      </c>
      <c r="D176" s="35">
        <v>283</v>
      </c>
      <c r="E176" s="35">
        <v>974.31</v>
      </c>
      <c r="F176" s="35">
        <v>20241.689999999999</v>
      </c>
      <c r="G176" s="35">
        <v>-19658</v>
      </c>
      <c r="H176" s="35">
        <v>0</v>
      </c>
      <c r="I176" s="35">
        <v>583.69000000000005</v>
      </c>
      <c r="J176" s="21" t="s">
        <v>133</v>
      </c>
    </row>
    <row r="178" spans="1:10" x14ac:dyDescent="0.35">
      <c r="A178" s="21" t="s">
        <v>134</v>
      </c>
      <c r="D178" s="35">
        <v>10717</v>
      </c>
      <c r="E178" s="35">
        <v>10467</v>
      </c>
      <c r="G178" s="35">
        <v>29375</v>
      </c>
      <c r="H178" s="35">
        <v>29375</v>
      </c>
    </row>
    <row r="179" spans="1:10" x14ac:dyDescent="0.35">
      <c r="A179" s="21" t="s">
        <v>134</v>
      </c>
      <c r="B179" t="s">
        <v>135</v>
      </c>
      <c r="D179" s="35">
        <v>0</v>
      </c>
      <c r="E179" s="35">
        <v>0</v>
      </c>
      <c r="G179" s="35">
        <v>0</v>
      </c>
      <c r="H179" s="35">
        <v>0</v>
      </c>
    </row>
    <row r="180" spans="1:10" x14ac:dyDescent="0.35">
      <c r="A180" s="21" t="s">
        <v>130</v>
      </c>
      <c r="B180" t="s">
        <v>135</v>
      </c>
      <c r="D180" s="35">
        <v>-583</v>
      </c>
      <c r="E180" s="35">
        <v>-583</v>
      </c>
      <c r="G180" s="35">
        <v>-583</v>
      </c>
      <c r="H180" s="35">
        <v>-583</v>
      </c>
    </row>
    <row r="181" spans="1:10" x14ac:dyDescent="0.35">
      <c r="A181" s="21" t="s">
        <v>136</v>
      </c>
      <c r="B181" t="s">
        <v>135</v>
      </c>
      <c r="D181" s="35">
        <v>1000</v>
      </c>
      <c r="E181" s="35">
        <v>1000</v>
      </c>
      <c r="G181" s="35">
        <v>1665</v>
      </c>
      <c r="H181" s="35">
        <v>1665</v>
      </c>
    </row>
    <row r="182" spans="1:10" x14ac:dyDescent="0.35">
      <c r="A182" s="21" t="s">
        <v>137</v>
      </c>
      <c r="B182" t="s">
        <v>135</v>
      </c>
      <c r="D182" s="35">
        <v>10300</v>
      </c>
      <c r="E182" s="35">
        <v>10050</v>
      </c>
      <c r="G182" s="35">
        <v>27293</v>
      </c>
      <c r="H182" s="35">
        <v>27293</v>
      </c>
    </row>
    <row r="183" spans="1:10" x14ac:dyDescent="0.35">
      <c r="A183" s="21" t="s">
        <v>138</v>
      </c>
      <c r="B183" t="s">
        <v>135</v>
      </c>
      <c r="D183" s="35">
        <v>0</v>
      </c>
      <c r="E183" s="35">
        <v>0</v>
      </c>
      <c r="G183" s="35">
        <v>1000</v>
      </c>
      <c r="H183" s="35">
        <v>1000</v>
      </c>
    </row>
    <row r="184" spans="1:10" x14ac:dyDescent="0.35">
      <c r="A184" s="21" t="s">
        <v>75</v>
      </c>
      <c r="B184" t="s">
        <v>135</v>
      </c>
      <c r="D184" s="35">
        <v>0</v>
      </c>
      <c r="E184" s="35">
        <v>0</v>
      </c>
      <c r="G184" s="35">
        <v>0</v>
      </c>
      <c r="H184" s="35">
        <v>0</v>
      </c>
    </row>
    <row r="186" spans="1:10" x14ac:dyDescent="0.35">
      <c r="A186" s="21" t="s">
        <v>139</v>
      </c>
      <c r="B186" t="s">
        <v>1</v>
      </c>
      <c r="C186" t="s">
        <v>2</v>
      </c>
      <c r="D186" t="s">
        <v>3</v>
      </c>
      <c r="E186" t="s">
        <v>4</v>
      </c>
      <c r="F186" t="s">
        <v>5</v>
      </c>
      <c r="G186" t="s">
        <v>6</v>
      </c>
      <c r="H186" t="s">
        <v>7</v>
      </c>
      <c r="I186" t="s">
        <v>8</v>
      </c>
      <c r="J186" s="21" t="s">
        <v>9</v>
      </c>
    </row>
    <row r="187" spans="1:10" x14ac:dyDescent="0.35">
      <c r="A187" s="21" t="s">
        <v>10</v>
      </c>
      <c r="D187" s="35">
        <v>6250</v>
      </c>
      <c r="E187" s="35">
        <v>11277.89</v>
      </c>
      <c r="G187" s="35">
        <v>3912</v>
      </c>
      <c r="H187" s="35">
        <v>39060</v>
      </c>
    </row>
    <row r="188" spans="1:10" x14ac:dyDescent="0.35">
      <c r="A188" s="21" t="s">
        <v>139</v>
      </c>
      <c r="C188" s="35">
        <v>36187</v>
      </c>
      <c r="D188" s="35">
        <v>6250</v>
      </c>
      <c r="E188" s="35">
        <v>11277.89</v>
      </c>
      <c r="F188" s="35">
        <v>35090.15</v>
      </c>
      <c r="G188" s="35">
        <v>-35090</v>
      </c>
      <c r="H188" s="35">
        <v>0</v>
      </c>
      <c r="I188" s="35">
        <v>0.15</v>
      </c>
    </row>
    <row r="189" spans="1:10" x14ac:dyDescent="0.35">
      <c r="A189" s="21" t="s">
        <v>72</v>
      </c>
      <c r="C189" s="35">
        <v>0</v>
      </c>
      <c r="D189" s="35">
        <v>0</v>
      </c>
      <c r="E189" s="35">
        <v>0</v>
      </c>
      <c r="F189" s="35">
        <v>0</v>
      </c>
      <c r="H189" s="35">
        <v>0</v>
      </c>
      <c r="I189" s="35">
        <v>0</v>
      </c>
    </row>
    <row r="190" spans="1:10" x14ac:dyDescent="0.35">
      <c r="A190" s="21" t="s">
        <v>140</v>
      </c>
      <c r="C190" s="35">
        <v>34372</v>
      </c>
      <c r="D190" s="35">
        <v>0</v>
      </c>
      <c r="E190" s="35">
        <v>34372</v>
      </c>
      <c r="F190" s="35">
        <v>58.33</v>
      </c>
      <c r="G190" s="35">
        <v>39002</v>
      </c>
      <c r="H190" s="35">
        <v>39060</v>
      </c>
      <c r="I190" s="35">
        <v>0.33</v>
      </c>
    </row>
    <row r="192" spans="1:10" x14ac:dyDescent="0.35">
      <c r="A192" s="21" t="s">
        <v>141</v>
      </c>
      <c r="D192" s="35">
        <v>86014.94</v>
      </c>
      <c r="E192" s="35">
        <v>82025.570000000007</v>
      </c>
      <c r="G192" s="35">
        <v>-250</v>
      </c>
      <c r="H192" s="35">
        <v>-250</v>
      </c>
    </row>
    <row r="193" spans="1:10" x14ac:dyDescent="0.35">
      <c r="A193" s="21" t="s">
        <v>141</v>
      </c>
      <c r="B193" t="s">
        <v>139</v>
      </c>
      <c r="D193" s="35">
        <v>0</v>
      </c>
      <c r="E193" s="35">
        <v>0</v>
      </c>
      <c r="G193" s="35">
        <v>0</v>
      </c>
      <c r="H193" s="35">
        <v>0</v>
      </c>
    </row>
    <row r="194" spans="1:10" x14ac:dyDescent="0.35">
      <c r="A194" s="21" t="s">
        <v>130</v>
      </c>
      <c r="B194" t="s">
        <v>140</v>
      </c>
      <c r="D194" s="35">
        <v>-6250</v>
      </c>
      <c r="E194" s="35">
        <v>-6308.33</v>
      </c>
      <c r="G194" s="35">
        <v>-6250</v>
      </c>
      <c r="H194" s="35">
        <v>-6250</v>
      </c>
    </row>
    <row r="195" spans="1:10" x14ac:dyDescent="0.35">
      <c r="A195" s="21" t="s">
        <v>124</v>
      </c>
      <c r="B195" t="s">
        <v>139</v>
      </c>
      <c r="D195" s="35">
        <v>7663.94</v>
      </c>
      <c r="E195" s="35">
        <v>3916.08</v>
      </c>
      <c r="G195" s="35">
        <v>6000</v>
      </c>
      <c r="H195" s="35">
        <v>6000</v>
      </c>
    </row>
    <row r="196" spans="1:10" x14ac:dyDescent="0.35">
      <c r="A196" s="21" t="s">
        <v>75</v>
      </c>
      <c r="B196" t="s">
        <v>72</v>
      </c>
      <c r="D196" s="35">
        <v>0</v>
      </c>
      <c r="E196" s="35">
        <v>0</v>
      </c>
      <c r="G196" s="35">
        <v>0</v>
      </c>
      <c r="H196" s="35">
        <v>0</v>
      </c>
    </row>
    <row r="197" spans="1:10" x14ac:dyDescent="0.35">
      <c r="A197" s="21" t="s">
        <v>80</v>
      </c>
      <c r="B197" t="s">
        <v>139</v>
      </c>
      <c r="D197" s="35">
        <v>84601</v>
      </c>
      <c r="E197" s="35">
        <v>84417.82</v>
      </c>
      <c r="G197" s="35">
        <v>0</v>
      </c>
      <c r="H197" s="35">
        <v>0</v>
      </c>
    </row>
    <row r="198" spans="1:10" x14ac:dyDescent="0.35">
      <c r="A198" s="21" t="s">
        <v>142</v>
      </c>
      <c r="B198" t="s">
        <v>140</v>
      </c>
      <c r="D198" s="35">
        <v>0</v>
      </c>
      <c r="E198" s="35">
        <v>0</v>
      </c>
      <c r="G198" s="35">
        <v>0</v>
      </c>
      <c r="H198" s="35">
        <v>0</v>
      </c>
    </row>
    <row r="199" spans="1:10" x14ac:dyDescent="0.35">
      <c r="A199" s="21" t="s">
        <v>143</v>
      </c>
      <c r="B199" t="s">
        <v>139</v>
      </c>
      <c r="D199" s="35">
        <v>0</v>
      </c>
      <c r="E199" s="35">
        <v>0</v>
      </c>
      <c r="G199" s="35">
        <v>0</v>
      </c>
      <c r="H199" s="35">
        <v>0</v>
      </c>
    </row>
    <row r="200" spans="1:10" x14ac:dyDescent="0.35">
      <c r="A200" s="21" t="s">
        <v>144</v>
      </c>
      <c r="B200" t="s">
        <v>139</v>
      </c>
      <c r="D200" s="35">
        <v>0</v>
      </c>
      <c r="E200" s="35">
        <v>0</v>
      </c>
      <c r="G200" s="35">
        <v>0</v>
      </c>
      <c r="H200" s="35">
        <v>0</v>
      </c>
    </row>
    <row r="202" spans="1:10" x14ac:dyDescent="0.35">
      <c r="A202" s="21" t="s">
        <v>145</v>
      </c>
      <c r="B202" t="s">
        <v>1</v>
      </c>
      <c r="C202" t="s">
        <v>2</v>
      </c>
      <c r="D202" t="s">
        <v>3</v>
      </c>
      <c r="E202" t="s">
        <v>4</v>
      </c>
      <c r="F202" t="s">
        <v>5</v>
      </c>
      <c r="G202" t="s">
        <v>6</v>
      </c>
      <c r="H202" t="s">
        <v>7</v>
      </c>
      <c r="I202" t="s">
        <v>8</v>
      </c>
      <c r="J202" s="21" t="s">
        <v>9</v>
      </c>
    </row>
    <row r="203" spans="1:10" x14ac:dyDescent="0.35">
      <c r="A203" s="21" t="s">
        <v>10</v>
      </c>
      <c r="D203" s="35">
        <v>30</v>
      </c>
      <c r="E203" s="35">
        <v>0</v>
      </c>
      <c r="G203" s="35">
        <v>-23</v>
      </c>
      <c r="H203" s="35">
        <v>0</v>
      </c>
    </row>
    <row r="204" spans="1:10" x14ac:dyDescent="0.35">
      <c r="A204" s="21" t="s">
        <v>145</v>
      </c>
      <c r="C204" s="35">
        <v>167</v>
      </c>
      <c r="D204" s="35">
        <v>30</v>
      </c>
      <c r="E204" s="35">
        <v>0</v>
      </c>
      <c r="F204" s="35">
        <v>147.97999999999999</v>
      </c>
      <c r="G204" s="35">
        <v>-23</v>
      </c>
      <c r="H204" s="35">
        <v>0</v>
      </c>
      <c r="I204" s="35">
        <v>124.98</v>
      </c>
    </row>
    <row r="205" spans="1:10" x14ac:dyDescent="0.35">
      <c r="A205" s="21" t="s">
        <v>72</v>
      </c>
      <c r="C205" s="35">
        <v>0</v>
      </c>
      <c r="D205" s="35">
        <v>0</v>
      </c>
      <c r="E205" s="35">
        <v>0</v>
      </c>
      <c r="F205" s="35">
        <v>0</v>
      </c>
      <c r="H205" s="35">
        <v>0</v>
      </c>
      <c r="I205" s="35">
        <v>0</v>
      </c>
    </row>
    <row r="207" spans="1:10" x14ac:dyDescent="0.35">
      <c r="A207" s="21" t="s">
        <v>146</v>
      </c>
      <c r="D207" s="35">
        <v>4148</v>
      </c>
      <c r="E207" s="35">
        <v>4197.0200000000004</v>
      </c>
      <c r="G207" s="35">
        <v>23</v>
      </c>
      <c r="H207" s="35">
        <v>23</v>
      </c>
    </row>
    <row r="208" spans="1:10" x14ac:dyDescent="0.35">
      <c r="A208" s="21" t="s">
        <v>146</v>
      </c>
      <c r="B208" t="s">
        <v>145</v>
      </c>
      <c r="D208" s="35">
        <v>0</v>
      </c>
      <c r="E208" s="35">
        <v>51.45</v>
      </c>
      <c r="G208" s="35">
        <v>0</v>
      </c>
      <c r="H208" s="35">
        <v>0</v>
      </c>
    </row>
    <row r="209" spans="1:10" x14ac:dyDescent="0.35">
      <c r="A209" s="21" t="s">
        <v>147</v>
      </c>
      <c r="B209" t="s">
        <v>145</v>
      </c>
      <c r="D209" s="35">
        <v>25</v>
      </c>
      <c r="E209" s="35">
        <v>22.57</v>
      </c>
      <c r="G209" s="35">
        <v>23</v>
      </c>
      <c r="H209" s="35">
        <v>23</v>
      </c>
    </row>
    <row r="210" spans="1:10" x14ac:dyDescent="0.35">
      <c r="A210" s="21" t="s">
        <v>80</v>
      </c>
      <c r="B210" t="s">
        <v>145</v>
      </c>
      <c r="D210" s="35">
        <v>4123</v>
      </c>
      <c r="E210" s="35">
        <v>4123</v>
      </c>
      <c r="G210" s="35">
        <v>0</v>
      </c>
      <c r="H210" s="35">
        <v>0</v>
      </c>
    </row>
    <row r="211" spans="1:10" x14ac:dyDescent="0.35">
      <c r="A211" s="21" t="s">
        <v>75</v>
      </c>
      <c r="B211" t="s">
        <v>72</v>
      </c>
      <c r="D211" s="35">
        <v>0</v>
      </c>
      <c r="E211" s="35">
        <v>0</v>
      </c>
      <c r="G211" s="35">
        <v>0</v>
      </c>
      <c r="H211" s="35">
        <v>0</v>
      </c>
    </row>
    <row r="213" spans="1:10" x14ac:dyDescent="0.35">
      <c r="A213" s="21" t="s">
        <v>148</v>
      </c>
      <c r="B213" t="s">
        <v>1</v>
      </c>
      <c r="C213" t="s">
        <v>2</v>
      </c>
      <c r="D213" t="s">
        <v>3</v>
      </c>
      <c r="E213" t="s">
        <v>4</v>
      </c>
      <c r="F213" t="s">
        <v>5</v>
      </c>
      <c r="G213" t="s">
        <v>6</v>
      </c>
      <c r="H213" t="s">
        <v>7</v>
      </c>
      <c r="I213" t="s">
        <v>8</v>
      </c>
      <c r="J213" s="21" t="s">
        <v>9</v>
      </c>
    </row>
    <row r="214" spans="1:10" x14ac:dyDescent="0.35">
      <c r="A214" s="21" t="s">
        <v>10</v>
      </c>
      <c r="D214" s="35">
        <v>3277.52</v>
      </c>
      <c r="E214" s="35">
        <v>64.319999999999993</v>
      </c>
      <c r="G214" s="35">
        <v>-2121</v>
      </c>
      <c r="H214" s="35">
        <v>0</v>
      </c>
    </row>
    <row r="215" spans="1:10" x14ac:dyDescent="0.35">
      <c r="A215" s="21" t="s">
        <v>148</v>
      </c>
      <c r="C215" s="35">
        <v>8353</v>
      </c>
      <c r="D215" s="35">
        <v>3277.52</v>
      </c>
      <c r="E215" s="35">
        <v>64.319999999999993</v>
      </c>
      <c r="F215" s="35">
        <v>15939.91</v>
      </c>
      <c r="G215" s="35">
        <v>-2121</v>
      </c>
      <c r="H215" s="35">
        <v>0</v>
      </c>
      <c r="I215" s="35">
        <v>13818.91</v>
      </c>
    </row>
    <row r="216" spans="1:10" x14ac:dyDescent="0.35">
      <c r="A216" s="21" t="s">
        <v>149</v>
      </c>
      <c r="C216" s="35">
        <v>0</v>
      </c>
      <c r="D216" s="35">
        <v>0</v>
      </c>
      <c r="E216" s="35">
        <v>0</v>
      </c>
      <c r="F216" s="35">
        <v>0</v>
      </c>
      <c r="H216" s="35">
        <v>0</v>
      </c>
      <c r="I216" s="35">
        <v>0</v>
      </c>
    </row>
    <row r="218" spans="1:10" x14ac:dyDescent="0.35">
      <c r="A218" s="21" t="s">
        <v>150</v>
      </c>
      <c r="D218" s="35">
        <v>-3277.52</v>
      </c>
      <c r="E218" s="35">
        <v>-7651.23</v>
      </c>
      <c r="G218" s="35">
        <v>2121</v>
      </c>
      <c r="H218" s="35">
        <v>2121</v>
      </c>
    </row>
    <row r="219" spans="1:10" x14ac:dyDescent="0.35">
      <c r="A219" s="21" t="s">
        <v>150</v>
      </c>
      <c r="B219" t="s">
        <v>148</v>
      </c>
      <c r="D219" s="35">
        <v>0</v>
      </c>
      <c r="E219" s="35">
        <v>0</v>
      </c>
      <c r="G219" s="35">
        <v>0</v>
      </c>
      <c r="H219" s="35">
        <v>0</v>
      </c>
    </row>
    <row r="220" spans="1:10" x14ac:dyDescent="0.35">
      <c r="A220" s="21" t="s">
        <v>130</v>
      </c>
      <c r="B220" t="s">
        <v>148</v>
      </c>
      <c r="D220" s="35">
        <v>-7500</v>
      </c>
      <c r="E220" s="35">
        <v>-9600</v>
      </c>
      <c r="G220" s="35">
        <v>0</v>
      </c>
      <c r="H220" s="35">
        <v>0</v>
      </c>
    </row>
    <row r="221" spans="1:10" x14ac:dyDescent="0.35">
      <c r="A221" s="21" t="s">
        <v>151</v>
      </c>
      <c r="B221" t="s">
        <v>148</v>
      </c>
      <c r="D221" s="35">
        <v>1973.48</v>
      </c>
      <c r="E221" s="35">
        <v>1871.25</v>
      </c>
      <c r="G221" s="35">
        <v>2121</v>
      </c>
      <c r="H221" s="35">
        <v>2121</v>
      </c>
    </row>
    <row r="222" spans="1:10" x14ac:dyDescent="0.35">
      <c r="A222" s="21" t="s">
        <v>80</v>
      </c>
      <c r="B222" t="s">
        <v>148</v>
      </c>
      <c r="D222" s="35">
        <v>2249</v>
      </c>
      <c r="E222" s="35">
        <v>77.52</v>
      </c>
      <c r="G222" s="35">
        <v>0</v>
      </c>
      <c r="H222" s="35">
        <v>0</v>
      </c>
    </row>
    <row r="224" spans="1:10" x14ac:dyDescent="0.35">
      <c r="A224" s="21" t="s">
        <v>152</v>
      </c>
      <c r="B224" t="s">
        <v>1</v>
      </c>
      <c r="C224" t="s">
        <v>2</v>
      </c>
      <c r="D224" t="s">
        <v>3</v>
      </c>
      <c r="E224" t="s">
        <v>4</v>
      </c>
      <c r="F224" t="s">
        <v>5</v>
      </c>
      <c r="G224" t="s">
        <v>6</v>
      </c>
      <c r="H224" t="s">
        <v>7</v>
      </c>
      <c r="I224" t="s">
        <v>8</v>
      </c>
      <c r="J224" s="21" t="s">
        <v>9</v>
      </c>
    </row>
    <row r="225" spans="1:10" x14ac:dyDescent="0.35">
      <c r="A225" s="21" t="s">
        <v>10</v>
      </c>
      <c r="D225" s="35">
        <v>26912.15</v>
      </c>
      <c r="E225" s="35">
        <v>97286.71</v>
      </c>
      <c r="G225" s="35">
        <v>53168</v>
      </c>
      <c r="H225" s="35">
        <v>75417.039999999994</v>
      </c>
    </row>
    <row r="226" spans="1:10" x14ac:dyDescent="0.35">
      <c r="A226" s="21" t="s">
        <v>152</v>
      </c>
      <c r="C226" s="35">
        <v>78781</v>
      </c>
      <c r="D226" s="35">
        <v>26912.15</v>
      </c>
      <c r="E226" s="35">
        <v>97286.71</v>
      </c>
      <c r="F226" s="35">
        <v>0</v>
      </c>
      <c r="G226" s="35">
        <v>0</v>
      </c>
      <c r="H226" s="35">
        <v>0</v>
      </c>
      <c r="I226" s="35">
        <v>0</v>
      </c>
    </row>
    <row r="227" spans="1:10" x14ac:dyDescent="0.35">
      <c r="A227" s="21" t="s">
        <v>72</v>
      </c>
      <c r="C227" s="35">
        <v>0</v>
      </c>
      <c r="D227" s="35">
        <v>0</v>
      </c>
      <c r="E227" s="35">
        <v>0</v>
      </c>
      <c r="F227" s="35">
        <v>0</v>
      </c>
      <c r="G227" s="35">
        <v>0</v>
      </c>
      <c r="H227" s="35">
        <v>0</v>
      </c>
      <c r="I227" s="35">
        <v>0</v>
      </c>
    </row>
    <row r="228" spans="1:10" x14ac:dyDescent="0.35">
      <c r="A228" s="21" t="s">
        <v>153</v>
      </c>
      <c r="C228" s="35">
        <v>0</v>
      </c>
      <c r="D228" s="35">
        <v>0</v>
      </c>
      <c r="E228" s="35">
        <v>-22249.040000000001</v>
      </c>
      <c r="F228" s="35">
        <v>22249.040000000001</v>
      </c>
      <c r="G228" s="35">
        <v>53168</v>
      </c>
      <c r="H228" s="35">
        <v>75417.039999999994</v>
      </c>
      <c r="I228" s="35">
        <v>0</v>
      </c>
    </row>
    <row r="230" spans="1:10" x14ac:dyDescent="0.35">
      <c r="A230" s="21" t="s">
        <v>154</v>
      </c>
      <c r="D230" s="35">
        <v>66071.149999999994</v>
      </c>
      <c r="E230" s="35">
        <v>74477.59</v>
      </c>
      <c r="G230" s="35">
        <v>14500</v>
      </c>
      <c r="H230" s="35">
        <v>14500</v>
      </c>
    </row>
    <row r="231" spans="1:10" x14ac:dyDescent="0.35">
      <c r="A231" s="21" t="s">
        <v>154</v>
      </c>
      <c r="B231" t="s">
        <v>152</v>
      </c>
      <c r="D231" s="35">
        <v>0</v>
      </c>
      <c r="E231" s="35">
        <v>0</v>
      </c>
      <c r="G231" s="35">
        <v>0</v>
      </c>
      <c r="H231" s="35">
        <v>0</v>
      </c>
    </row>
    <row r="232" spans="1:10" x14ac:dyDescent="0.35">
      <c r="A232" s="21" t="s">
        <v>124</v>
      </c>
      <c r="B232" t="s">
        <v>152</v>
      </c>
      <c r="D232" s="35">
        <v>3260.15</v>
      </c>
      <c r="E232" s="35">
        <v>11666.59</v>
      </c>
      <c r="G232" s="35">
        <v>14500</v>
      </c>
      <c r="H232" s="35">
        <v>14500</v>
      </c>
    </row>
    <row r="233" spans="1:10" x14ac:dyDescent="0.35">
      <c r="A233" s="21" t="s">
        <v>75</v>
      </c>
      <c r="B233" t="s">
        <v>72</v>
      </c>
      <c r="D233" s="35">
        <v>0</v>
      </c>
      <c r="E233" s="35">
        <v>0</v>
      </c>
      <c r="G233" s="35">
        <v>0</v>
      </c>
      <c r="H233" s="35">
        <v>0</v>
      </c>
    </row>
    <row r="234" spans="1:10" x14ac:dyDescent="0.35">
      <c r="A234" s="21" t="s">
        <v>80</v>
      </c>
      <c r="B234" t="s">
        <v>152</v>
      </c>
      <c r="D234" s="35">
        <v>62811</v>
      </c>
      <c r="E234" s="35">
        <v>62811</v>
      </c>
      <c r="G234" s="35">
        <v>0</v>
      </c>
      <c r="H234" s="35">
        <v>0</v>
      </c>
    </row>
    <row r="235" spans="1:10" x14ac:dyDescent="0.35">
      <c r="A235" s="21" t="s">
        <v>142</v>
      </c>
      <c r="B235" t="s">
        <v>155</v>
      </c>
      <c r="D235" s="35">
        <v>0</v>
      </c>
      <c r="E235" s="35">
        <v>0</v>
      </c>
      <c r="G235" s="35">
        <v>0</v>
      </c>
      <c r="H235" s="35">
        <v>0</v>
      </c>
    </row>
    <row r="236" spans="1:10" x14ac:dyDescent="0.35">
      <c r="A236" s="21" t="s">
        <v>143</v>
      </c>
      <c r="B236" t="s">
        <v>153</v>
      </c>
      <c r="D236" s="35">
        <v>0</v>
      </c>
      <c r="E236" s="35">
        <v>0</v>
      </c>
      <c r="G236" s="35">
        <v>0</v>
      </c>
      <c r="H236" s="35">
        <v>0</v>
      </c>
    </row>
    <row r="237" spans="1:10" x14ac:dyDescent="0.35">
      <c r="A237" s="21" t="s">
        <v>156</v>
      </c>
      <c r="B237" t="s">
        <v>152</v>
      </c>
      <c r="D237" s="35">
        <v>0</v>
      </c>
      <c r="E237" s="35">
        <v>0</v>
      </c>
      <c r="G237" s="35">
        <v>0</v>
      </c>
      <c r="H237" s="35">
        <v>0</v>
      </c>
    </row>
    <row r="239" spans="1:10" x14ac:dyDescent="0.35">
      <c r="A239" s="21" t="s">
        <v>157</v>
      </c>
      <c r="B239" t="s">
        <v>1</v>
      </c>
      <c r="C239" t="s">
        <v>2</v>
      </c>
      <c r="D239" t="s">
        <v>3</v>
      </c>
      <c r="E239" t="s">
        <v>4</v>
      </c>
      <c r="F239" t="s">
        <v>5</v>
      </c>
      <c r="G239" t="s">
        <v>6</v>
      </c>
      <c r="H239" t="s">
        <v>7</v>
      </c>
      <c r="I239" t="s">
        <v>8</v>
      </c>
      <c r="J239" s="21" t="s">
        <v>9</v>
      </c>
    </row>
    <row r="240" spans="1:10" x14ac:dyDescent="0.35">
      <c r="A240" s="21" t="s">
        <v>10</v>
      </c>
      <c r="D240" s="35">
        <v>39437</v>
      </c>
      <c r="E240" s="35">
        <v>307319.43</v>
      </c>
      <c r="G240" s="35">
        <v>2771</v>
      </c>
      <c r="H240" s="35">
        <v>0</v>
      </c>
    </row>
    <row r="241" spans="1:10" x14ac:dyDescent="0.35">
      <c r="A241" s="21" t="s">
        <v>157</v>
      </c>
      <c r="C241" s="35">
        <v>313189</v>
      </c>
      <c r="D241" s="35">
        <v>-563</v>
      </c>
      <c r="E241" s="35">
        <v>307319.43</v>
      </c>
      <c r="F241" s="35">
        <v>5306.57</v>
      </c>
      <c r="G241" s="35">
        <v>2771</v>
      </c>
      <c r="H241" s="35">
        <v>0</v>
      </c>
      <c r="I241" s="35">
        <v>8077.57</v>
      </c>
    </row>
    <row r="242" spans="1:10" x14ac:dyDescent="0.35">
      <c r="A242" s="21" t="s">
        <v>158</v>
      </c>
      <c r="C242" s="35">
        <v>0</v>
      </c>
      <c r="D242" s="35">
        <v>40000</v>
      </c>
      <c r="E242" s="35">
        <v>40000</v>
      </c>
      <c r="F242" s="35">
        <v>0</v>
      </c>
      <c r="G242" s="35">
        <v>0</v>
      </c>
      <c r="H242" s="35">
        <v>0</v>
      </c>
      <c r="I242" s="35">
        <v>0</v>
      </c>
    </row>
    <row r="243" spans="1:10" x14ac:dyDescent="0.35">
      <c r="A243" s="21" t="s">
        <v>159</v>
      </c>
      <c r="C243" s="35">
        <v>0</v>
      </c>
      <c r="D243" s="35">
        <v>0</v>
      </c>
      <c r="E243" s="35">
        <v>0</v>
      </c>
      <c r="F243" s="35">
        <v>0</v>
      </c>
      <c r="G243" s="35">
        <v>0</v>
      </c>
      <c r="H243" s="35">
        <v>0</v>
      </c>
      <c r="I243" s="35">
        <v>0</v>
      </c>
    </row>
    <row r="244" spans="1:10" x14ac:dyDescent="0.35">
      <c r="A244" s="21" t="s">
        <v>72</v>
      </c>
      <c r="C244" s="35">
        <v>0</v>
      </c>
      <c r="D244" s="35">
        <v>0</v>
      </c>
      <c r="E244" s="35">
        <v>0</v>
      </c>
      <c r="F244" s="35">
        <v>0</v>
      </c>
      <c r="G244" s="35">
        <v>0</v>
      </c>
      <c r="H244" s="35">
        <v>0</v>
      </c>
      <c r="I244" s="35">
        <v>0</v>
      </c>
    </row>
    <row r="246" spans="1:10" x14ac:dyDescent="0.35">
      <c r="A246" s="21" t="s">
        <v>160</v>
      </c>
      <c r="D246" s="35">
        <v>10563</v>
      </c>
      <c r="E246" s="35">
        <v>10563</v>
      </c>
      <c r="G246" s="35">
        <v>-2771</v>
      </c>
      <c r="H246" s="35">
        <v>-2771</v>
      </c>
    </row>
    <row r="247" spans="1:10" x14ac:dyDescent="0.35">
      <c r="A247" s="21" t="s">
        <v>160</v>
      </c>
      <c r="B247" t="s">
        <v>157</v>
      </c>
      <c r="D247" s="35">
        <v>0</v>
      </c>
      <c r="E247" s="35">
        <v>0</v>
      </c>
      <c r="G247" s="35">
        <v>0</v>
      </c>
      <c r="H247" s="35">
        <v>0</v>
      </c>
    </row>
    <row r="248" spans="1:10" x14ac:dyDescent="0.35">
      <c r="A248" s="21" t="s">
        <v>130</v>
      </c>
      <c r="B248" t="s">
        <v>157</v>
      </c>
      <c r="D248" s="35">
        <v>-2771</v>
      </c>
      <c r="E248" s="35">
        <v>-2771</v>
      </c>
      <c r="G248" s="35">
        <v>-2771</v>
      </c>
      <c r="H248" s="35">
        <v>-2771</v>
      </c>
    </row>
    <row r="249" spans="1:10" x14ac:dyDescent="0.35">
      <c r="A249" s="21" t="s">
        <v>75</v>
      </c>
      <c r="B249" t="s">
        <v>72</v>
      </c>
      <c r="D249" s="35">
        <v>0</v>
      </c>
      <c r="E249" s="35">
        <v>0</v>
      </c>
      <c r="G249" s="35">
        <v>0</v>
      </c>
      <c r="H249" s="35">
        <v>0</v>
      </c>
    </row>
    <row r="250" spans="1:10" x14ac:dyDescent="0.35">
      <c r="A250" s="21" t="s">
        <v>161</v>
      </c>
      <c r="B250" t="s">
        <v>161</v>
      </c>
      <c r="D250" s="35">
        <v>0</v>
      </c>
      <c r="E250" s="35">
        <v>0</v>
      </c>
      <c r="G250" s="35">
        <v>0</v>
      </c>
      <c r="H250" s="35">
        <v>0</v>
      </c>
    </row>
    <row r="251" spans="1:10" x14ac:dyDescent="0.35">
      <c r="A251" s="21" t="s">
        <v>80</v>
      </c>
      <c r="B251" t="s">
        <v>157</v>
      </c>
      <c r="D251" s="35">
        <v>13334</v>
      </c>
      <c r="E251" s="35">
        <v>13334</v>
      </c>
      <c r="G251" s="35">
        <v>0</v>
      </c>
      <c r="H251" s="35">
        <v>0</v>
      </c>
    </row>
    <row r="252" spans="1:10" x14ac:dyDescent="0.35">
      <c r="A252" s="21" t="s">
        <v>142</v>
      </c>
      <c r="B252" t="s">
        <v>159</v>
      </c>
      <c r="D252" s="35">
        <v>0</v>
      </c>
      <c r="E252" s="35">
        <v>0</v>
      </c>
      <c r="G252" s="35">
        <v>0</v>
      </c>
      <c r="H252" s="35">
        <v>0</v>
      </c>
    </row>
    <row r="254" spans="1:10" x14ac:dyDescent="0.35">
      <c r="A254" s="21" t="s">
        <v>162</v>
      </c>
      <c r="B254" t="s">
        <v>1</v>
      </c>
      <c r="C254" t="s">
        <v>2</v>
      </c>
      <c r="D254" t="s">
        <v>3</v>
      </c>
      <c r="E254" t="s">
        <v>4</v>
      </c>
      <c r="F254" t="s">
        <v>5</v>
      </c>
      <c r="G254" t="s">
        <v>6</v>
      </c>
      <c r="H254" t="s">
        <v>7</v>
      </c>
      <c r="I254" t="s">
        <v>8</v>
      </c>
      <c r="J254" s="21" t="s">
        <v>9</v>
      </c>
    </row>
    <row r="255" spans="1:10" x14ac:dyDescent="0.35">
      <c r="A255" s="21" t="s">
        <v>10</v>
      </c>
      <c r="D255" s="35">
        <v>-80354.179999999993</v>
      </c>
      <c r="E255" s="35">
        <v>6193.07</v>
      </c>
      <c r="G255" s="35">
        <v>0</v>
      </c>
      <c r="H255" s="35">
        <v>0</v>
      </c>
    </row>
    <row r="256" spans="1:10" x14ac:dyDescent="0.35">
      <c r="A256" s="21" t="s">
        <v>162</v>
      </c>
      <c r="C256" s="35">
        <v>0</v>
      </c>
      <c r="D256" s="35">
        <v>17846.62</v>
      </c>
      <c r="E256" s="35">
        <v>6193.07</v>
      </c>
      <c r="F256" s="35">
        <v>3497.94</v>
      </c>
      <c r="H256" s="35">
        <v>0</v>
      </c>
      <c r="I256" s="35">
        <v>3497.94</v>
      </c>
    </row>
    <row r="257" spans="1:10" x14ac:dyDescent="0.35">
      <c r="A257" s="21" t="s">
        <v>163</v>
      </c>
      <c r="C257" s="35">
        <v>31407.3</v>
      </c>
      <c r="D257" s="35">
        <v>-31259.3</v>
      </c>
      <c r="E257" s="35">
        <v>148</v>
      </c>
      <c r="F257" s="35">
        <v>0</v>
      </c>
      <c r="H257" s="35">
        <v>0</v>
      </c>
      <c r="I257" s="35">
        <v>0</v>
      </c>
    </row>
    <row r="258" spans="1:10" x14ac:dyDescent="0.35">
      <c r="A258" s="21" t="s">
        <v>164</v>
      </c>
      <c r="C258" s="35">
        <v>72374.7</v>
      </c>
      <c r="D258" s="35">
        <v>-66941.5</v>
      </c>
      <c r="E258" s="35">
        <v>6600.76</v>
      </c>
      <c r="F258" s="35">
        <v>0</v>
      </c>
      <c r="H258" s="35">
        <v>0</v>
      </c>
      <c r="I258" s="35">
        <v>0</v>
      </c>
    </row>
    <row r="259" spans="1:10" x14ac:dyDescent="0.35">
      <c r="A259" s="21" t="s">
        <v>72</v>
      </c>
      <c r="C259" s="35">
        <v>0</v>
      </c>
      <c r="D259" s="35">
        <v>0</v>
      </c>
      <c r="E259" s="35">
        <v>0</v>
      </c>
      <c r="F259" s="35">
        <v>0</v>
      </c>
      <c r="H259" s="35">
        <v>0</v>
      </c>
      <c r="I259" s="35">
        <v>0</v>
      </c>
    </row>
    <row r="261" spans="1:10" x14ac:dyDescent="0.35">
      <c r="A261" s="21" t="s">
        <v>165</v>
      </c>
      <c r="D261" s="35">
        <v>150459.18</v>
      </c>
      <c r="E261" s="35">
        <v>157447.23000000001</v>
      </c>
      <c r="G261" s="35">
        <v>36663</v>
      </c>
      <c r="H261" s="35">
        <v>36663</v>
      </c>
    </row>
    <row r="262" spans="1:10" x14ac:dyDescent="0.35">
      <c r="A262" s="21" t="s">
        <v>165</v>
      </c>
      <c r="B262" t="s">
        <v>162</v>
      </c>
      <c r="D262" s="35">
        <v>0</v>
      </c>
      <c r="E262" s="35">
        <v>149.19999999999999</v>
      </c>
      <c r="G262" s="35">
        <v>0</v>
      </c>
      <c r="H262" s="35">
        <v>0</v>
      </c>
    </row>
    <row r="263" spans="1:10" x14ac:dyDescent="0.35">
      <c r="A263" s="21" t="s">
        <v>80</v>
      </c>
      <c r="B263" t="s">
        <v>162</v>
      </c>
      <c r="D263" s="35">
        <v>70105</v>
      </c>
      <c r="E263" s="35">
        <v>70064.28</v>
      </c>
      <c r="G263" s="35">
        <v>0</v>
      </c>
      <c r="H263" s="35">
        <v>0</v>
      </c>
    </row>
    <row r="264" spans="1:10" x14ac:dyDescent="0.35">
      <c r="A264" s="21" t="s">
        <v>130</v>
      </c>
      <c r="B264" t="s">
        <v>162</v>
      </c>
      <c r="D264" s="35">
        <v>-25200</v>
      </c>
      <c r="E264" s="35">
        <v>-25215</v>
      </c>
      <c r="G264" s="35">
        <v>-25200</v>
      </c>
      <c r="H264" s="35">
        <v>-25200</v>
      </c>
    </row>
    <row r="265" spans="1:10" x14ac:dyDescent="0.35">
      <c r="A265" s="21" t="s">
        <v>124</v>
      </c>
      <c r="B265" t="s">
        <v>162</v>
      </c>
      <c r="D265" s="35">
        <v>6195.66</v>
      </c>
      <c r="E265" s="35">
        <v>14317.71</v>
      </c>
      <c r="G265" s="35">
        <v>13500</v>
      </c>
      <c r="H265" s="35">
        <v>13500</v>
      </c>
    </row>
    <row r="266" spans="1:10" x14ac:dyDescent="0.35">
      <c r="A266" s="21" t="s">
        <v>151</v>
      </c>
      <c r="B266" t="s">
        <v>162</v>
      </c>
      <c r="D266" s="35">
        <v>1157.72</v>
      </c>
      <c r="E266" s="35">
        <v>1097.8</v>
      </c>
      <c r="G266" s="35">
        <v>1036</v>
      </c>
      <c r="H266" s="35">
        <v>1036</v>
      </c>
    </row>
    <row r="267" spans="1:10" x14ac:dyDescent="0.35">
      <c r="A267" s="21" t="s">
        <v>142</v>
      </c>
      <c r="B267" t="s">
        <v>164</v>
      </c>
      <c r="D267" s="35">
        <v>98200.8</v>
      </c>
      <c r="E267" s="35">
        <v>97033.24</v>
      </c>
      <c r="G267" s="35">
        <v>47327</v>
      </c>
      <c r="H267" s="35">
        <v>47327</v>
      </c>
    </row>
    <row r="268" spans="1:10" x14ac:dyDescent="0.35">
      <c r="A268" s="21" t="s">
        <v>75</v>
      </c>
      <c r="B268" t="s">
        <v>72</v>
      </c>
      <c r="D268" s="35">
        <v>0</v>
      </c>
      <c r="E268" s="35">
        <v>0</v>
      </c>
      <c r="G268" s="35">
        <v>0</v>
      </c>
      <c r="H268" s="35">
        <v>0</v>
      </c>
    </row>
    <row r="270" spans="1:10" x14ac:dyDescent="0.35">
      <c r="A270" s="21" t="s">
        <v>166</v>
      </c>
      <c r="B270" t="s">
        <v>1</v>
      </c>
      <c r="C270" t="s">
        <v>2</v>
      </c>
      <c r="D270" t="s">
        <v>3</v>
      </c>
      <c r="E270" t="s">
        <v>4</v>
      </c>
      <c r="F270" t="s">
        <v>5</v>
      </c>
      <c r="G270" t="s">
        <v>6</v>
      </c>
      <c r="H270" t="s">
        <v>7</v>
      </c>
      <c r="I270" t="s">
        <v>8</v>
      </c>
      <c r="J270" s="21" t="s">
        <v>9</v>
      </c>
    </row>
    <row r="271" spans="1:10" x14ac:dyDescent="0.35">
      <c r="A271" s="21" t="s">
        <v>10</v>
      </c>
      <c r="D271" s="35">
        <v>-11080</v>
      </c>
      <c r="E271" s="35">
        <v>57032.160000000003</v>
      </c>
      <c r="G271" s="35">
        <v>0</v>
      </c>
      <c r="H271" s="35">
        <v>0</v>
      </c>
    </row>
    <row r="272" spans="1:10" x14ac:dyDescent="0.35">
      <c r="A272" s="21" t="s">
        <v>166</v>
      </c>
      <c r="C272" s="35">
        <v>75926</v>
      </c>
      <c r="D272" s="35">
        <v>-11080</v>
      </c>
      <c r="E272" s="35">
        <v>57032.160000000003</v>
      </c>
      <c r="F272" s="35">
        <v>7813.84</v>
      </c>
      <c r="G272" s="35">
        <v>0</v>
      </c>
      <c r="H272" s="35">
        <v>0</v>
      </c>
      <c r="I272" s="35">
        <v>7813.84</v>
      </c>
    </row>
    <row r="273" spans="1:10" x14ac:dyDescent="0.35">
      <c r="A273" s="21" t="s">
        <v>167</v>
      </c>
      <c r="C273" s="35">
        <v>50000</v>
      </c>
      <c r="D273" s="35">
        <v>0</v>
      </c>
      <c r="E273" s="35">
        <v>50000</v>
      </c>
      <c r="F273" s="35">
        <v>0</v>
      </c>
      <c r="G273" s="35">
        <v>0</v>
      </c>
      <c r="H273" s="35">
        <v>0</v>
      </c>
      <c r="I273" s="35">
        <v>0</v>
      </c>
    </row>
    <row r="274" spans="1:10" x14ac:dyDescent="0.35">
      <c r="A274" s="21" t="s">
        <v>168</v>
      </c>
      <c r="C274" s="35">
        <v>50000</v>
      </c>
      <c r="D274" s="35">
        <v>0</v>
      </c>
      <c r="E274" s="35">
        <v>50000</v>
      </c>
      <c r="F274" s="35">
        <v>0</v>
      </c>
      <c r="G274" s="35">
        <v>0</v>
      </c>
      <c r="H274" s="35">
        <v>0</v>
      </c>
      <c r="I274" s="35">
        <v>0</v>
      </c>
    </row>
    <row r="276" spans="1:10" x14ac:dyDescent="0.35">
      <c r="A276" s="21" t="s">
        <v>169</v>
      </c>
      <c r="D276" s="35">
        <v>11080</v>
      </c>
      <c r="E276" s="35">
        <v>11080</v>
      </c>
      <c r="G276" s="35">
        <v>0</v>
      </c>
      <c r="H276" s="35">
        <v>0</v>
      </c>
    </row>
    <row r="277" spans="1:10" x14ac:dyDescent="0.35">
      <c r="A277" s="21" t="s">
        <v>169</v>
      </c>
      <c r="B277" t="s">
        <v>166</v>
      </c>
      <c r="D277" s="35">
        <v>0</v>
      </c>
      <c r="E277" s="35">
        <v>0</v>
      </c>
      <c r="G277" s="35">
        <v>0</v>
      </c>
      <c r="H277" s="35">
        <v>0</v>
      </c>
    </row>
    <row r="278" spans="1:10" x14ac:dyDescent="0.35">
      <c r="A278" s="21" t="s">
        <v>80</v>
      </c>
      <c r="B278" t="s">
        <v>166</v>
      </c>
      <c r="D278" s="35">
        <v>11080</v>
      </c>
      <c r="E278" s="35">
        <v>11080</v>
      </c>
      <c r="G278" s="35">
        <v>0</v>
      </c>
      <c r="H278" s="35">
        <v>0</v>
      </c>
    </row>
    <row r="279" spans="1:10" x14ac:dyDescent="0.35">
      <c r="A279" s="21" t="s">
        <v>75</v>
      </c>
      <c r="B279" t="s">
        <v>168</v>
      </c>
      <c r="D279" s="35">
        <v>0</v>
      </c>
      <c r="E279" s="35">
        <v>0</v>
      </c>
      <c r="G279" s="35">
        <v>0</v>
      </c>
      <c r="H279" s="35">
        <v>0</v>
      </c>
    </row>
    <row r="281" spans="1:10" x14ac:dyDescent="0.35">
      <c r="A281" s="21" t="s">
        <v>170</v>
      </c>
      <c r="B281" t="s">
        <v>1</v>
      </c>
      <c r="C281" t="s">
        <v>2</v>
      </c>
      <c r="D281" t="s">
        <v>3</v>
      </c>
      <c r="E281" t="s">
        <v>4</v>
      </c>
      <c r="F281" t="s">
        <v>5</v>
      </c>
      <c r="G281" t="s">
        <v>6</v>
      </c>
      <c r="H281" t="s">
        <v>7</v>
      </c>
      <c r="I281" t="s">
        <v>8</v>
      </c>
      <c r="J281" s="21" t="s">
        <v>9</v>
      </c>
    </row>
    <row r="282" spans="1:10" x14ac:dyDescent="0.35">
      <c r="A282" s="21" t="s">
        <v>10</v>
      </c>
      <c r="D282" s="35">
        <v>0</v>
      </c>
      <c r="E282" s="35">
        <v>0</v>
      </c>
      <c r="G282" s="35">
        <v>2000</v>
      </c>
      <c r="H282" s="35">
        <v>0</v>
      </c>
    </row>
    <row r="283" spans="1:10" x14ac:dyDescent="0.35">
      <c r="A283" s="21" t="s">
        <v>171</v>
      </c>
      <c r="C283" s="35">
        <v>0</v>
      </c>
      <c r="D283" s="35">
        <v>0</v>
      </c>
      <c r="E283" s="35">
        <v>0</v>
      </c>
      <c r="F283" s="35">
        <v>0</v>
      </c>
      <c r="G283" s="35">
        <v>2000</v>
      </c>
      <c r="H283" s="35">
        <v>0</v>
      </c>
      <c r="I283" s="35">
        <v>2000</v>
      </c>
      <c r="J283" s="21" t="s">
        <v>172</v>
      </c>
    </row>
    <row r="285" spans="1:10" x14ac:dyDescent="0.35">
      <c r="A285" s="21" t="s">
        <v>173</v>
      </c>
      <c r="D285" s="35">
        <v>0</v>
      </c>
      <c r="E285" s="35">
        <v>0</v>
      </c>
      <c r="G285" s="35">
        <v>0</v>
      </c>
      <c r="H285" s="35">
        <v>0</v>
      </c>
    </row>
    <row r="286" spans="1:10" x14ac:dyDescent="0.35">
      <c r="A286" s="21" t="s">
        <v>173</v>
      </c>
      <c r="B286" t="s">
        <v>171</v>
      </c>
      <c r="D286" s="35">
        <v>0</v>
      </c>
      <c r="E286" s="35">
        <v>0</v>
      </c>
      <c r="G286" s="35">
        <v>0</v>
      </c>
      <c r="H286" s="35">
        <v>0</v>
      </c>
    </row>
    <row r="288" spans="1:10" x14ac:dyDescent="0.35">
      <c r="A288" s="21" t="s">
        <v>174</v>
      </c>
      <c r="B288" t="s">
        <v>1</v>
      </c>
      <c r="C288" t="s">
        <v>2</v>
      </c>
      <c r="D288" t="s">
        <v>3</v>
      </c>
      <c r="E288" t="s">
        <v>4</v>
      </c>
      <c r="F288" t="s">
        <v>5</v>
      </c>
      <c r="G288" t="s">
        <v>6</v>
      </c>
      <c r="H288" t="s">
        <v>7</v>
      </c>
      <c r="I288" t="s">
        <v>8</v>
      </c>
      <c r="J288" s="21" t="s">
        <v>9</v>
      </c>
    </row>
    <row r="289" spans="1:10" x14ac:dyDescent="0.35">
      <c r="A289" s="21" t="s">
        <v>10</v>
      </c>
      <c r="D289" s="35">
        <v>1556.83</v>
      </c>
      <c r="E289" s="35">
        <v>2130.9699999999998</v>
      </c>
      <c r="G289" s="35">
        <v>3145</v>
      </c>
      <c r="H289" s="35">
        <v>0</v>
      </c>
    </row>
    <row r="290" spans="1:10" x14ac:dyDescent="0.35">
      <c r="A290" s="21" t="s">
        <v>174</v>
      </c>
      <c r="C290" s="35">
        <v>8888</v>
      </c>
      <c r="D290" s="35">
        <v>1556.83</v>
      </c>
      <c r="E290" s="35">
        <v>2130.9699999999998</v>
      </c>
      <c r="F290" s="35">
        <v>1893.43</v>
      </c>
      <c r="G290" s="35">
        <v>3145</v>
      </c>
      <c r="H290" s="35">
        <v>0</v>
      </c>
      <c r="I290" s="35">
        <v>5038.43</v>
      </c>
    </row>
    <row r="291" spans="1:10" x14ac:dyDescent="0.35">
      <c r="A291" s="21" t="s">
        <v>175</v>
      </c>
      <c r="C291" s="35">
        <v>0</v>
      </c>
      <c r="D291" s="35">
        <v>0</v>
      </c>
      <c r="E291" s="35">
        <v>0</v>
      </c>
      <c r="F291" s="35">
        <v>0</v>
      </c>
      <c r="H291" s="35">
        <v>0</v>
      </c>
      <c r="I291" s="35">
        <v>0</v>
      </c>
    </row>
    <row r="292" spans="1:10" x14ac:dyDescent="0.35">
      <c r="A292" s="21" t="s">
        <v>72</v>
      </c>
      <c r="C292" s="35">
        <v>0</v>
      </c>
      <c r="D292" s="35">
        <v>0</v>
      </c>
      <c r="E292" s="35">
        <v>0</v>
      </c>
      <c r="F292" s="35">
        <v>0</v>
      </c>
      <c r="H292" s="35">
        <v>0</v>
      </c>
      <c r="I292" s="35">
        <v>0</v>
      </c>
    </row>
    <row r="293" spans="1:10" x14ac:dyDescent="0.35">
      <c r="A293" s="21" t="s">
        <v>153</v>
      </c>
      <c r="C293" s="35">
        <v>0</v>
      </c>
      <c r="D293" s="35">
        <v>0</v>
      </c>
      <c r="E293" s="35">
        <v>0</v>
      </c>
      <c r="F293" s="35">
        <v>0</v>
      </c>
      <c r="H293" s="35">
        <v>0</v>
      </c>
      <c r="I293" s="35">
        <v>0</v>
      </c>
    </row>
    <row r="295" spans="1:10" x14ac:dyDescent="0.35">
      <c r="A295" s="21" t="s">
        <v>176</v>
      </c>
      <c r="D295" s="35">
        <v>91396.17</v>
      </c>
      <c r="E295" s="35">
        <v>97816.6</v>
      </c>
      <c r="G295" s="35">
        <v>6355</v>
      </c>
      <c r="H295" s="35">
        <v>6355</v>
      </c>
    </row>
    <row r="296" spans="1:10" x14ac:dyDescent="0.35">
      <c r="A296" s="21" t="s">
        <v>176</v>
      </c>
      <c r="B296" t="s">
        <v>174</v>
      </c>
      <c r="D296" s="35">
        <v>0</v>
      </c>
      <c r="E296" s="35">
        <v>0</v>
      </c>
      <c r="G296" s="35">
        <v>0</v>
      </c>
      <c r="H296" s="35">
        <v>0</v>
      </c>
    </row>
    <row r="297" spans="1:10" x14ac:dyDescent="0.35">
      <c r="A297" s="21" t="s">
        <v>80</v>
      </c>
      <c r="B297" t="s">
        <v>174</v>
      </c>
      <c r="D297" s="35">
        <v>92953</v>
      </c>
      <c r="E297" s="35">
        <v>92892</v>
      </c>
      <c r="G297" s="35">
        <v>0</v>
      </c>
      <c r="H297" s="35">
        <v>0</v>
      </c>
    </row>
    <row r="298" spans="1:10" x14ac:dyDescent="0.35">
      <c r="A298" s="21" t="s">
        <v>124</v>
      </c>
      <c r="B298" t="s">
        <v>174</v>
      </c>
      <c r="D298" s="35">
        <v>1588.17</v>
      </c>
      <c r="E298" s="35">
        <v>8069.6</v>
      </c>
      <c r="G298" s="35">
        <v>9500</v>
      </c>
      <c r="H298" s="35">
        <v>9500</v>
      </c>
    </row>
    <row r="299" spans="1:10" x14ac:dyDescent="0.35">
      <c r="A299" s="21" t="s">
        <v>130</v>
      </c>
      <c r="B299" t="s">
        <v>174</v>
      </c>
      <c r="D299" s="35">
        <v>-3145</v>
      </c>
      <c r="E299" s="35">
        <v>-3145</v>
      </c>
      <c r="G299" s="35">
        <v>-3145</v>
      </c>
      <c r="H299" s="35">
        <v>-3145</v>
      </c>
    </row>
    <row r="300" spans="1:10" x14ac:dyDescent="0.35">
      <c r="A300" s="21" t="s">
        <v>75</v>
      </c>
      <c r="B300" t="s">
        <v>72</v>
      </c>
      <c r="D300" s="35">
        <v>0</v>
      </c>
      <c r="E300" s="35">
        <v>0</v>
      </c>
      <c r="G300" s="35">
        <v>0</v>
      </c>
      <c r="H300" s="35">
        <v>0</v>
      </c>
    </row>
    <row r="301" spans="1:10" x14ac:dyDescent="0.35">
      <c r="A301" s="21" t="s">
        <v>142</v>
      </c>
      <c r="B301" t="s">
        <v>175</v>
      </c>
      <c r="D301" s="35">
        <v>0</v>
      </c>
      <c r="E301" s="35">
        <v>0</v>
      </c>
      <c r="G301" s="35">
        <v>0</v>
      </c>
      <c r="H301" s="35">
        <v>0</v>
      </c>
    </row>
    <row r="303" spans="1:10" x14ac:dyDescent="0.35">
      <c r="A303" s="21" t="s">
        <v>177</v>
      </c>
      <c r="B303" t="s">
        <v>1</v>
      </c>
      <c r="C303" t="s">
        <v>2</v>
      </c>
      <c r="D303" t="s">
        <v>3</v>
      </c>
      <c r="E303" t="s">
        <v>4</v>
      </c>
      <c r="F303" t="s">
        <v>5</v>
      </c>
      <c r="G303" t="s">
        <v>6</v>
      </c>
      <c r="H303" t="s">
        <v>7</v>
      </c>
      <c r="I303" t="s">
        <v>8</v>
      </c>
      <c r="J303" s="21" t="s">
        <v>9</v>
      </c>
    </row>
    <row r="304" spans="1:10" x14ac:dyDescent="0.35">
      <c r="A304" s="21" t="s">
        <v>10</v>
      </c>
      <c r="D304" s="35">
        <v>406</v>
      </c>
      <c r="E304" s="35">
        <v>-26053</v>
      </c>
      <c r="G304" s="35">
        <v>-37000</v>
      </c>
      <c r="H304" s="35">
        <v>0</v>
      </c>
    </row>
    <row r="305" spans="1:10" x14ac:dyDescent="0.35">
      <c r="A305" s="21" t="s">
        <v>177</v>
      </c>
      <c r="C305" s="35">
        <v>355</v>
      </c>
      <c r="D305" s="35">
        <v>-9594</v>
      </c>
      <c r="E305" s="35">
        <v>-26053</v>
      </c>
      <c r="F305" s="35">
        <v>27000</v>
      </c>
      <c r="G305" s="35">
        <v>-27000</v>
      </c>
      <c r="H305" s="35">
        <v>0</v>
      </c>
      <c r="I305" s="35">
        <v>0</v>
      </c>
    </row>
    <row r="306" spans="1:10" x14ac:dyDescent="0.35">
      <c r="A306" s="21" t="s">
        <v>178</v>
      </c>
      <c r="C306" s="35">
        <v>0</v>
      </c>
      <c r="D306" s="35">
        <v>10000</v>
      </c>
      <c r="E306" s="35">
        <v>0</v>
      </c>
      <c r="F306" s="35">
        <v>10000</v>
      </c>
      <c r="G306" s="35">
        <v>-10000</v>
      </c>
      <c r="H306" s="35">
        <v>0</v>
      </c>
      <c r="I306" s="35">
        <v>0</v>
      </c>
    </row>
    <row r="307" spans="1:10" x14ac:dyDescent="0.35">
      <c r="A307" s="21" t="s">
        <v>72</v>
      </c>
      <c r="C307" s="35">
        <v>0</v>
      </c>
      <c r="D307" s="35">
        <v>0</v>
      </c>
      <c r="E307" s="35">
        <v>0</v>
      </c>
      <c r="F307" s="35">
        <v>0</v>
      </c>
      <c r="H307" s="35">
        <v>0</v>
      </c>
      <c r="I307" s="35">
        <v>0</v>
      </c>
    </row>
    <row r="309" spans="1:10" x14ac:dyDescent="0.35">
      <c r="A309" s="21" t="s">
        <v>179</v>
      </c>
      <c r="D309" s="35">
        <v>19781</v>
      </c>
      <c r="E309" s="35">
        <v>9595</v>
      </c>
      <c r="G309" s="35">
        <v>37000</v>
      </c>
      <c r="H309" s="35">
        <v>37000</v>
      </c>
    </row>
    <row r="310" spans="1:10" x14ac:dyDescent="0.35">
      <c r="A310" s="21" t="s">
        <v>179</v>
      </c>
      <c r="B310" t="s">
        <v>177</v>
      </c>
      <c r="D310" s="35">
        <v>0</v>
      </c>
      <c r="E310" s="35">
        <v>0</v>
      </c>
      <c r="G310" s="35">
        <v>0</v>
      </c>
      <c r="H310" s="35">
        <v>0</v>
      </c>
    </row>
    <row r="311" spans="1:10" x14ac:dyDescent="0.35">
      <c r="A311" s="21" t="s">
        <v>80</v>
      </c>
      <c r="B311" t="s">
        <v>177</v>
      </c>
      <c r="D311" s="35">
        <v>19781</v>
      </c>
      <c r="E311" s="35">
        <v>9595</v>
      </c>
      <c r="G311" s="35">
        <v>0</v>
      </c>
      <c r="H311" s="35">
        <v>0</v>
      </c>
    </row>
    <row r="312" spans="1:10" ht="43.5" x14ac:dyDescent="0.35">
      <c r="A312" s="21" t="s">
        <v>75</v>
      </c>
      <c r="B312" t="s">
        <v>72</v>
      </c>
      <c r="D312" s="35">
        <v>0</v>
      </c>
      <c r="E312" s="35">
        <v>0</v>
      </c>
      <c r="G312" s="35">
        <v>37000</v>
      </c>
      <c r="H312" s="35">
        <v>37000</v>
      </c>
      <c r="J312" s="21" t="s">
        <v>180</v>
      </c>
    </row>
    <row r="313" spans="1:10" x14ac:dyDescent="0.35">
      <c r="A313" s="21" t="s">
        <v>124</v>
      </c>
      <c r="B313" t="s">
        <v>177</v>
      </c>
      <c r="D313" s="35">
        <v>0</v>
      </c>
      <c r="E313" s="35">
        <v>0</v>
      </c>
      <c r="G313" s="35">
        <v>0</v>
      </c>
      <c r="H313" s="35">
        <v>0</v>
      </c>
    </row>
    <row r="314" spans="1:10" x14ac:dyDescent="0.35">
      <c r="A314" s="21" t="s">
        <v>142</v>
      </c>
      <c r="B314" t="s">
        <v>178</v>
      </c>
      <c r="D314" s="35">
        <v>0</v>
      </c>
      <c r="E314" s="35">
        <v>0</v>
      </c>
      <c r="G314" s="35">
        <v>0</v>
      </c>
      <c r="H314" s="35">
        <v>0</v>
      </c>
    </row>
    <row r="316" spans="1:10" x14ac:dyDescent="0.35">
      <c r="A316" s="21" t="s">
        <v>181</v>
      </c>
      <c r="B316" t="s">
        <v>1</v>
      </c>
      <c r="C316" t="s">
        <v>2</v>
      </c>
      <c r="D316" t="s">
        <v>3</v>
      </c>
      <c r="E316" t="s">
        <v>4</v>
      </c>
      <c r="F316" t="s">
        <v>5</v>
      </c>
      <c r="G316" t="s">
        <v>6</v>
      </c>
      <c r="H316" t="s">
        <v>7</v>
      </c>
      <c r="I316" t="s">
        <v>8</v>
      </c>
      <c r="J316" s="21" t="s">
        <v>9</v>
      </c>
    </row>
    <row r="317" spans="1:10" x14ac:dyDescent="0.35">
      <c r="A317" s="21" t="s">
        <v>10</v>
      </c>
      <c r="D317" s="35">
        <v>24730.95</v>
      </c>
      <c r="E317" s="35">
        <v>-10367.129999999999</v>
      </c>
      <c r="G317" s="35">
        <v>-7708</v>
      </c>
      <c r="H317" s="35">
        <v>0</v>
      </c>
    </row>
    <row r="318" spans="1:10" ht="72.5" x14ac:dyDescent="0.35">
      <c r="A318" s="21" t="s">
        <v>181</v>
      </c>
      <c r="C318" s="35">
        <v>3868</v>
      </c>
      <c r="D318" s="35">
        <v>-269.05</v>
      </c>
      <c r="E318" s="35">
        <v>-10367.129999999999</v>
      </c>
      <c r="F318" s="35">
        <v>15171.68</v>
      </c>
      <c r="G318" s="35">
        <v>-11208</v>
      </c>
      <c r="H318" s="35">
        <v>0</v>
      </c>
      <c r="I318" s="35">
        <v>3963.68</v>
      </c>
      <c r="J318" s="21" t="s">
        <v>182</v>
      </c>
    </row>
    <row r="319" spans="1:10" x14ac:dyDescent="0.35">
      <c r="A319" s="21" t="s">
        <v>183</v>
      </c>
      <c r="C319" s="35">
        <v>0</v>
      </c>
      <c r="D319" s="35">
        <v>25000</v>
      </c>
      <c r="E319" s="35">
        <v>15130</v>
      </c>
      <c r="F319" s="35">
        <v>10656</v>
      </c>
      <c r="G319" s="35">
        <v>1000</v>
      </c>
      <c r="H319" s="35">
        <v>0</v>
      </c>
      <c r="I319" s="35">
        <v>11656</v>
      </c>
    </row>
    <row r="320" spans="1:10" x14ac:dyDescent="0.35">
      <c r="A320" s="21" t="s">
        <v>184</v>
      </c>
      <c r="C320" s="35">
        <v>0</v>
      </c>
      <c r="D320" s="35">
        <v>0</v>
      </c>
      <c r="E320" s="35">
        <v>0</v>
      </c>
      <c r="F320" s="35">
        <v>119.39</v>
      </c>
      <c r="G320" s="35">
        <v>2500</v>
      </c>
      <c r="H320" s="35">
        <v>0</v>
      </c>
      <c r="I320" s="35">
        <v>2619.39</v>
      </c>
    </row>
    <row r="322" spans="1:10" x14ac:dyDescent="0.35">
      <c r="A322" s="21" t="s">
        <v>185</v>
      </c>
      <c r="D322" s="35">
        <v>5019.8900000000003</v>
      </c>
      <c r="E322" s="35">
        <v>2908.9</v>
      </c>
      <c r="G322" s="35">
        <v>18039</v>
      </c>
      <c r="H322" s="35">
        <v>18039</v>
      </c>
    </row>
    <row r="323" spans="1:10" x14ac:dyDescent="0.35">
      <c r="A323" s="21" t="s">
        <v>186</v>
      </c>
      <c r="B323" t="s">
        <v>181</v>
      </c>
      <c r="D323" s="35">
        <v>3000</v>
      </c>
      <c r="E323" s="35">
        <v>1560</v>
      </c>
      <c r="G323" s="35">
        <v>5000</v>
      </c>
      <c r="H323" s="35">
        <v>5000</v>
      </c>
    </row>
    <row r="324" spans="1:10" x14ac:dyDescent="0.35">
      <c r="A324" s="21" t="s">
        <v>124</v>
      </c>
      <c r="B324" t="s">
        <v>181</v>
      </c>
      <c r="D324" s="35">
        <v>800</v>
      </c>
      <c r="E324" s="35">
        <v>823.24</v>
      </c>
      <c r="G324" s="35">
        <v>2425</v>
      </c>
      <c r="H324" s="35">
        <v>2425</v>
      </c>
    </row>
    <row r="325" spans="1:10" x14ac:dyDescent="0.35">
      <c r="A325" s="21" t="s">
        <v>130</v>
      </c>
      <c r="B325" t="s">
        <v>183</v>
      </c>
      <c r="D325" s="35">
        <v>-1000</v>
      </c>
      <c r="E325" s="35">
        <v>-1786</v>
      </c>
      <c r="G325" s="35">
        <v>-1000</v>
      </c>
      <c r="H325" s="35">
        <v>-1000</v>
      </c>
    </row>
    <row r="326" spans="1:10" x14ac:dyDescent="0.35">
      <c r="A326" s="21" t="s">
        <v>187</v>
      </c>
      <c r="B326" t="s">
        <v>184</v>
      </c>
      <c r="D326" s="35">
        <v>373.89</v>
      </c>
      <c r="E326" s="35">
        <v>254.5</v>
      </c>
      <c r="G326" s="35">
        <v>406</v>
      </c>
      <c r="H326" s="35">
        <v>406</v>
      </c>
    </row>
    <row r="327" spans="1:10" x14ac:dyDescent="0.35">
      <c r="A327" s="21" t="s">
        <v>188</v>
      </c>
      <c r="B327" t="s">
        <v>181</v>
      </c>
      <c r="D327" s="35">
        <v>0</v>
      </c>
      <c r="E327" s="35">
        <v>0</v>
      </c>
      <c r="G327" s="35">
        <v>10380</v>
      </c>
      <c r="H327" s="35">
        <v>10380</v>
      </c>
    </row>
    <row r="328" spans="1:10" x14ac:dyDescent="0.35">
      <c r="A328" s="21" t="s">
        <v>189</v>
      </c>
      <c r="B328" t="s">
        <v>181</v>
      </c>
      <c r="D328" s="35">
        <v>0</v>
      </c>
      <c r="E328" s="35">
        <v>0</v>
      </c>
      <c r="G328" s="35">
        <v>576</v>
      </c>
      <c r="H328" s="35">
        <v>576</v>
      </c>
    </row>
    <row r="329" spans="1:10" x14ac:dyDescent="0.35">
      <c r="A329" s="21" t="s">
        <v>190</v>
      </c>
      <c r="B329" t="s">
        <v>181</v>
      </c>
      <c r="D329" s="35">
        <v>0</v>
      </c>
      <c r="E329" s="35">
        <v>251.8</v>
      </c>
      <c r="G329" s="35">
        <v>252</v>
      </c>
      <c r="H329" s="35">
        <v>252</v>
      </c>
    </row>
    <row r="330" spans="1:10" x14ac:dyDescent="0.35">
      <c r="A330" s="21" t="s">
        <v>80</v>
      </c>
      <c r="B330" t="s">
        <v>181</v>
      </c>
      <c r="D330" s="35">
        <v>1846</v>
      </c>
      <c r="E330" s="35">
        <v>1805.36</v>
      </c>
      <c r="G330" s="35">
        <v>0</v>
      </c>
      <c r="H330" s="35">
        <v>0</v>
      </c>
    </row>
    <row r="331" spans="1:10" x14ac:dyDescent="0.35">
      <c r="A331" s="21" t="s">
        <v>142</v>
      </c>
      <c r="B331" t="s">
        <v>183</v>
      </c>
      <c r="D331" s="35">
        <v>0</v>
      </c>
      <c r="E331" s="35">
        <v>0</v>
      </c>
      <c r="G331" s="35">
        <v>0</v>
      </c>
      <c r="H331" s="35">
        <v>0</v>
      </c>
    </row>
    <row r="333" spans="1:10" x14ac:dyDescent="0.35">
      <c r="A333" s="21" t="s">
        <v>191</v>
      </c>
      <c r="B333" t="s">
        <v>1</v>
      </c>
      <c r="C333" t="s">
        <v>2</v>
      </c>
      <c r="D333" t="s">
        <v>3</v>
      </c>
      <c r="E333" t="s">
        <v>4</v>
      </c>
      <c r="F333" t="s">
        <v>5</v>
      </c>
      <c r="G333" t="s">
        <v>6</v>
      </c>
      <c r="H333" t="s">
        <v>7</v>
      </c>
      <c r="I333" t="s">
        <v>8</v>
      </c>
      <c r="J333" s="21" t="s">
        <v>9</v>
      </c>
    </row>
    <row r="334" spans="1:10" x14ac:dyDescent="0.35">
      <c r="A334" s="21" t="s">
        <v>10</v>
      </c>
      <c r="D334" s="35">
        <v>117187.33</v>
      </c>
      <c r="E334" s="35">
        <v>42000</v>
      </c>
      <c r="G334" s="35">
        <v>91855</v>
      </c>
      <c r="H334" s="35">
        <v>85500</v>
      </c>
    </row>
    <row r="335" spans="1:10" x14ac:dyDescent="0.35">
      <c r="A335" s="21" t="s">
        <v>191</v>
      </c>
      <c r="C335" s="35">
        <v>17445</v>
      </c>
      <c r="D335" s="35">
        <v>17187.330000000002</v>
      </c>
      <c r="E335" s="35">
        <v>42000</v>
      </c>
      <c r="F335" s="35">
        <v>5012.33</v>
      </c>
      <c r="G335" s="35">
        <v>6355</v>
      </c>
      <c r="H335" s="35">
        <v>0</v>
      </c>
      <c r="I335" s="35">
        <v>11367.33</v>
      </c>
    </row>
    <row r="336" spans="1:10" x14ac:dyDescent="0.35">
      <c r="A336" s="21" t="s">
        <v>192</v>
      </c>
      <c r="C336" s="35">
        <v>0</v>
      </c>
      <c r="D336" s="35">
        <v>100000</v>
      </c>
      <c r="E336" s="35">
        <v>100000</v>
      </c>
      <c r="F336" s="35">
        <v>0</v>
      </c>
      <c r="G336" s="35">
        <v>85500</v>
      </c>
      <c r="H336" s="35">
        <v>85500</v>
      </c>
      <c r="I336" s="35">
        <v>0</v>
      </c>
    </row>
    <row r="337" spans="1:10" x14ac:dyDescent="0.35">
      <c r="A337" s="21" t="s">
        <v>72</v>
      </c>
      <c r="C337" s="35">
        <v>0</v>
      </c>
      <c r="D337" s="35">
        <v>0</v>
      </c>
      <c r="E337" s="35">
        <v>0</v>
      </c>
      <c r="F337" s="35">
        <v>0</v>
      </c>
      <c r="H337" s="35">
        <v>0</v>
      </c>
      <c r="I337" s="35">
        <v>0</v>
      </c>
    </row>
    <row r="339" spans="1:10" x14ac:dyDescent="0.35">
      <c r="A339" s="21" t="s">
        <v>193</v>
      </c>
      <c r="D339" s="35">
        <v>168884</v>
      </c>
      <c r="E339" s="35">
        <v>156504</v>
      </c>
      <c r="G339" s="35">
        <v>170770</v>
      </c>
      <c r="H339" s="35">
        <v>170770</v>
      </c>
    </row>
    <row r="340" spans="1:10" x14ac:dyDescent="0.35">
      <c r="A340" s="21" t="s">
        <v>194</v>
      </c>
      <c r="B340" t="s">
        <v>191</v>
      </c>
      <c r="D340" s="35">
        <v>25000</v>
      </c>
      <c r="E340" s="35">
        <v>12620</v>
      </c>
      <c r="G340" s="35">
        <v>27125</v>
      </c>
      <c r="H340" s="35">
        <v>27125</v>
      </c>
    </row>
    <row r="341" spans="1:10" x14ac:dyDescent="0.35">
      <c r="A341" s="21" t="s">
        <v>130</v>
      </c>
      <c r="B341" t="s">
        <v>191</v>
      </c>
      <c r="D341" s="35">
        <v>-20000</v>
      </c>
      <c r="E341" s="35">
        <v>-20000</v>
      </c>
      <c r="G341" s="35">
        <v>-20000</v>
      </c>
      <c r="H341" s="35">
        <v>-20000</v>
      </c>
    </row>
    <row r="342" spans="1:10" x14ac:dyDescent="0.35">
      <c r="A342" s="21" t="s">
        <v>195</v>
      </c>
      <c r="B342" t="s">
        <v>191</v>
      </c>
      <c r="D342" s="35">
        <v>13884</v>
      </c>
      <c r="E342" s="35">
        <v>13884</v>
      </c>
      <c r="G342" s="35">
        <v>13645</v>
      </c>
      <c r="H342" s="35">
        <v>13645</v>
      </c>
    </row>
    <row r="343" spans="1:10" x14ac:dyDescent="0.35">
      <c r="A343" s="21" t="s">
        <v>196</v>
      </c>
      <c r="B343" t="s">
        <v>191</v>
      </c>
      <c r="D343" s="35">
        <v>150000</v>
      </c>
      <c r="E343" s="35">
        <v>150000</v>
      </c>
      <c r="G343" s="35">
        <v>150000</v>
      </c>
      <c r="H343" s="35">
        <v>150000</v>
      </c>
    </row>
    <row r="344" spans="1:10" x14ac:dyDescent="0.35">
      <c r="A344" s="21" t="s">
        <v>197</v>
      </c>
      <c r="B344" t="s">
        <v>191</v>
      </c>
      <c r="D344" s="35">
        <v>0</v>
      </c>
      <c r="E344" s="35">
        <v>0</v>
      </c>
      <c r="G344" s="35">
        <v>0</v>
      </c>
      <c r="H344" s="35">
        <v>0</v>
      </c>
    </row>
    <row r="345" spans="1:10" x14ac:dyDescent="0.35">
      <c r="A345" s="21" t="s">
        <v>123</v>
      </c>
      <c r="B345" t="s">
        <v>191</v>
      </c>
      <c r="D345" s="35">
        <v>0</v>
      </c>
      <c r="E345" s="35">
        <v>0</v>
      </c>
      <c r="G345" s="35">
        <v>0</v>
      </c>
      <c r="H345" s="35">
        <v>0</v>
      </c>
    </row>
    <row r="346" spans="1:10" x14ac:dyDescent="0.35">
      <c r="A346" s="21" t="s">
        <v>142</v>
      </c>
      <c r="B346" t="s">
        <v>192</v>
      </c>
      <c r="D346" s="35">
        <v>0</v>
      </c>
      <c r="E346" s="35">
        <v>0</v>
      </c>
      <c r="G346" s="35">
        <v>0</v>
      </c>
      <c r="H346" s="35">
        <v>0</v>
      </c>
    </row>
    <row r="348" spans="1:10" x14ac:dyDescent="0.35">
      <c r="A348" s="21" t="s">
        <v>198</v>
      </c>
      <c r="B348" t="s">
        <v>1</v>
      </c>
      <c r="C348" t="s">
        <v>2</v>
      </c>
      <c r="D348" t="s">
        <v>3</v>
      </c>
      <c r="E348" t="s">
        <v>4</v>
      </c>
      <c r="F348" t="s">
        <v>5</v>
      </c>
      <c r="G348" t="s">
        <v>6</v>
      </c>
      <c r="H348" t="s">
        <v>7</v>
      </c>
      <c r="I348" t="s">
        <v>8</v>
      </c>
      <c r="J348" s="21" t="s">
        <v>9</v>
      </c>
    </row>
    <row r="349" spans="1:10" x14ac:dyDescent="0.35">
      <c r="A349" s="21" t="s">
        <v>10</v>
      </c>
      <c r="D349" s="35">
        <v>-57373.96</v>
      </c>
      <c r="E349" s="35">
        <v>15000</v>
      </c>
      <c r="G349" s="35">
        <v>-58853</v>
      </c>
      <c r="H349" s="35">
        <v>116342</v>
      </c>
    </row>
    <row r="350" spans="1:10" ht="58" x14ac:dyDescent="0.35">
      <c r="A350" s="21" t="s">
        <v>198</v>
      </c>
      <c r="C350" s="35">
        <v>92793</v>
      </c>
      <c r="D350" s="35">
        <v>-57373.96</v>
      </c>
      <c r="E350" s="35">
        <v>15000</v>
      </c>
      <c r="F350" s="35">
        <v>68295.350000000006</v>
      </c>
      <c r="G350" s="35">
        <v>-58853</v>
      </c>
      <c r="H350" s="35">
        <v>0</v>
      </c>
      <c r="I350" s="35">
        <v>9442.35</v>
      </c>
      <c r="J350" s="21" t="s">
        <v>199</v>
      </c>
    </row>
    <row r="351" spans="1:10" x14ac:dyDescent="0.35">
      <c r="A351" s="21" t="s">
        <v>200</v>
      </c>
      <c r="C351" s="35">
        <v>207017</v>
      </c>
      <c r="D351" s="35">
        <v>0</v>
      </c>
      <c r="E351" s="35">
        <v>0</v>
      </c>
      <c r="F351" s="35">
        <v>116342</v>
      </c>
      <c r="G351" s="35">
        <v>0</v>
      </c>
      <c r="H351" s="35">
        <v>116342</v>
      </c>
      <c r="I351" s="35">
        <v>0</v>
      </c>
    </row>
    <row r="353" spans="1:10" x14ac:dyDescent="0.35">
      <c r="A353" s="21" t="s">
        <v>201</v>
      </c>
      <c r="D353" s="35">
        <v>61049.29</v>
      </c>
      <c r="E353" s="35">
        <v>103847.98</v>
      </c>
      <c r="G353" s="35">
        <v>58853</v>
      </c>
      <c r="H353" s="35">
        <v>58853</v>
      </c>
    </row>
    <row r="354" spans="1:10" x14ac:dyDescent="0.35">
      <c r="A354" s="21" t="s">
        <v>201</v>
      </c>
      <c r="B354" t="s">
        <v>198</v>
      </c>
      <c r="D354" s="35">
        <v>0</v>
      </c>
      <c r="E354" s="35">
        <v>0</v>
      </c>
      <c r="G354" s="35">
        <v>0</v>
      </c>
      <c r="H354" s="35">
        <v>0</v>
      </c>
    </row>
    <row r="355" spans="1:10" x14ac:dyDescent="0.35">
      <c r="A355" s="21" t="s">
        <v>202</v>
      </c>
      <c r="B355" t="s">
        <v>198</v>
      </c>
      <c r="D355" s="35">
        <v>55000</v>
      </c>
      <c r="E355" s="35">
        <v>2995</v>
      </c>
      <c r="G355" s="35">
        <v>50000</v>
      </c>
      <c r="H355" s="35">
        <v>50000</v>
      </c>
    </row>
    <row r="356" spans="1:10" x14ac:dyDescent="0.35">
      <c r="A356" s="21" t="s">
        <v>124</v>
      </c>
      <c r="B356" t="s">
        <v>198</v>
      </c>
      <c r="D356" s="35">
        <v>3534.96</v>
      </c>
      <c r="E356" s="35">
        <v>8992.98</v>
      </c>
      <c r="G356" s="35">
        <v>7750</v>
      </c>
      <c r="H356" s="35">
        <v>7750</v>
      </c>
    </row>
    <row r="357" spans="1:10" x14ac:dyDescent="0.35">
      <c r="A357" s="21" t="s">
        <v>203</v>
      </c>
      <c r="B357" t="s">
        <v>198</v>
      </c>
      <c r="D357" s="35">
        <v>2514.33</v>
      </c>
      <c r="E357" s="35">
        <v>1185</v>
      </c>
      <c r="G357" s="35">
        <v>1103</v>
      </c>
      <c r="H357" s="35">
        <v>1103</v>
      </c>
    </row>
    <row r="358" spans="1:10" x14ac:dyDescent="0.35">
      <c r="A358" s="21" t="s">
        <v>204</v>
      </c>
      <c r="B358" t="s">
        <v>200</v>
      </c>
      <c r="D358" s="35">
        <v>0</v>
      </c>
      <c r="E358" s="35">
        <v>151231.73000000001</v>
      </c>
      <c r="G358" s="35">
        <v>0</v>
      </c>
      <c r="H358" s="35">
        <v>0</v>
      </c>
    </row>
    <row r="359" spans="1:10" x14ac:dyDescent="0.35">
      <c r="A359" s="21" t="s">
        <v>205</v>
      </c>
      <c r="B359" t="s">
        <v>200</v>
      </c>
      <c r="D359" s="35">
        <v>0</v>
      </c>
      <c r="E359" s="35">
        <v>-60556.73</v>
      </c>
      <c r="G359" s="35">
        <v>0</v>
      </c>
      <c r="H359" s="35">
        <v>0</v>
      </c>
    </row>
    <row r="360" spans="1:10" x14ac:dyDescent="0.35">
      <c r="A360" s="21" t="s">
        <v>206</v>
      </c>
      <c r="B360" t="s">
        <v>198</v>
      </c>
      <c r="D360" s="35">
        <v>0</v>
      </c>
      <c r="E360" s="35">
        <v>0</v>
      </c>
      <c r="G360" s="35">
        <v>0</v>
      </c>
      <c r="H360" s="35">
        <v>0</v>
      </c>
    </row>
    <row r="362" spans="1:10" x14ac:dyDescent="0.35">
      <c r="A362" s="21" t="s">
        <v>207</v>
      </c>
      <c r="B362" t="s">
        <v>1</v>
      </c>
      <c r="C362" t="s">
        <v>2</v>
      </c>
      <c r="D362" t="s">
        <v>3</v>
      </c>
      <c r="E362" t="s">
        <v>4</v>
      </c>
      <c r="F362" t="s">
        <v>5</v>
      </c>
      <c r="G362" t="s">
        <v>6</v>
      </c>
      <c r="H362" t="s">
        <v>7</v>
      </c>
      <c r="I362" t="s">
        <v>8</v>
      </c>
      <c r="J362" s="21" t="s">
        <v>9</v>
      </c>
    </row>
    <row r="363" spans="1:10" x14ac:dyDescent="0.35">
      <c r="A363" s="21" t="s">
        <v>10</v>
      </c>
      <c r="D363" s="35">
        <v>-140893.70000000001</v>
      </c>
      <c r="E363" s="35">
        <v>9500</v>
      </c>
      <c r="G363" s="35">
        <v>-102000</v>
      </c>
      <c r="H363" s="35">
        <v>0</v>
      </c>
    </row>
    <row r="364" spans="1:10" ht="43.5" x14ac:dyDescent="0.35">
      <c r="A364" s="21" t="s">
        <v>207</v>
      </c>
      <c r="C364" s="35">
        <v>257197.6</v>
      </c>
      <c r="D364" s="35">
        <v>-140893.70000000001</v>
      </c>
      <c r="E364" s="35">
        <v>9500</v>
      </c>
      <c r="F364" s="35">
        <v>118887.46</v>
      </c>
      <c r="G364" s="35">
        <v>-102000</v>
      </c>
      <c r="H364" s="35">
        <v>0</v>
      </c>
      <c r="I364" s="35">
        <v>16887.46</v>
      </c>
      <c r="J364" s="21" t="s">
        <v>208</v>
      </c>
    </row>
    <row r="366" spans="1:10" x14ac:dyDescent="0.35">
      <c r="A366" s="21" t="s">
        <v>209</v>
      </c>
      <c r="D366" s="35">
        <v>398174.7</v>
      </c>
      <c r="E366" s="35">
        <v>386091.14</v>
      </c>
      <c r="G366" s="35">
        <v>730562</v>
      </c>
      <c r="H366" s="35">
        <v>730562</v>
      </c>
    </row>
    <row r="367" spans="1:10" x14ac:dyDescent="0.35">
      <c r="A367" s="21" t="s">
        <v>210</v>
      </c>
      <c r="B367" t="s">
        <v>207</v>
      </c>
      <c r="D367" s="35">
        <v>36197.699999999997</v>
      </c>
      <c r="E367" s="35">
        <v>0</v>
      </c>
      <c r="G367" s="35">
        <v>35000</v>
      </c>
      <c r="H367" s="35">
        <v>35000</v>
      </c>
    </row>
    <row r="368" spans="1:10" x14ac:dyDescent="0.35">
      <c r="A368" s="21" t="s">
        <v>211</v>
      </c>
      <c r="B368" t="s">
        <v>207</v>
      </c>
      <c r="D368" s="35">
        <v>262207</v>
      </c>
      <c r="E368" s="35">
        <v>288934.84000000003</v>
      </c>
      <c r="G368" s="35">
        <v>695562</v>
      </c>
      <c r="H368" s="35">
        <v>695562</v>
      </c>
    </row>
    <row r="369" spans="1:10" x14ac:dyDescent="0.35">
      <c r="A369" s="21" t="s">
        <v>212</v>
      </c>
      <c r="B369" t="s">
        <v>207</v>
      </c>
      <c r="D369" s="35">
        <v>39462</v>
      </c>
      <c r="E369" s="35">
        <v>29731.66</v>
      </c>
      <c r="G369" s="35">
        <v>0</v>
      </c>
      <c r="H369" s="35">
        <v>0</v>
      </c>
    </row>
    <row r="370" spans="1:10" x14ac:dyDescent="0.35">
      <c r="A370" s="21" t="s">
        <v>213</v>
      </c>
      <c r="B370" t="s">
        <v>207</v>
      </c>
      <c r="D370" s="35">
        <v>60308</v>
      </c>
      <c r="E370" s="35">
        <v>66013.34</v>
      </c>
      <c r="G370" s="35">
        <v>0</v>
      </c>
      <c r="H370" s="35">
        <v>0</v>
      </c>
    </row>
    <row r="371" spans="1:10" x14ac:dyDescent="0.35">
      <c r="A371" s="21" t="s">
        <v>214</v>
      </c>
      <c r="B371" t="s">
        <v>207</v>
      </c>
      <c r="D371" s="35">
        <v>0</v>
      </c>
      <c r="E371" s="35">
        <v>1411.3</v>
      </c>
      <c r="G371" s="35">
        <v>0</v>
      </c>
      <c r="H371" s="35">
        <v>0</v>
      </c>
    </row>
    <row r="373" spans="1:10" x14ac:dyDescent="0.35">
      <c r="A373" s="21" t="s">
        <v>215</v>
      </c>
      <c r="B373" t="s">
        <v>1</v>
      </c>
      <c r="C373" t="s">
        <v>2</v>
      </c>
      <c r="D373" t="s">
        <v>3</v>
      </c>
      <c r="E373" t="s">
        <v>4</v>
      </c>
      <c r="F373" t="s">
        <v>5</v>
      </c>
      <c r="G373" t="s">
        <v>6</v>
      </c>
      <c r="H373" t="s">
        <v>7</v>
      </c>
      <c r="I373" t="s">
        <v>8</v>
      </c>
      <c r="J373" s="21" t="s">
        <v>9</v>
      </c>
    </row>
    <row r="374" spans="1:10" x14ac:dyDescent="0.35">
      <c r="A374" s="21" t="s">
        <v>10</v>
      </c>
      <c r="D374" s="35">
        <v>-15943.37</v>
      </c>
      <c r="E374" s="35">
        <v>0</v>
      </c>
      <c r="G374" s="35">
        <v>-36000</v>
      </c>
      <c r="H374" s="35">
        <v>0</v>
      </c>
    </row>
    <row r="375" spans="1:10" x14ac:dyDescent="0.35">
      <c r="A375" s="21" t="s">
        <v>216</v>
      </c>
      <c r="C375" s="35">
        <v>29861.51</v>
      </c>
      <c r="D375" s="35">
        <v>-15943.37</v>
      </c>
      <c r="E375" s="35">
        <v>0</v>
      </c>
      <c r="F375" s="35">
        <v>37381.51</v>
      </c>
      <c r="G375" s="35">
        <v>-36000</v>
      </c>
      <c r="H375" s="35">
        <v>0</v>
      </c>
      <c r="I375" s="35">
        <v>1381.51</v>
      </c>
    </row>
    <row r="377" spans="1:10" x14ac:dyDescent="0.35">
      <c r="A377" s="21" t="s">
        <v>217</v>
      </c>
      <c r="D377" s="35">
        <v>30943.37</v>
      </c>
      <c r="E377" s="35">
        <v>7480</v>
      </c>
      <c r="G377" s="35">
        <v>36000</v>
      </c>
      <c r="H377" s="35">
        <v>36000</v>
      </c>
    </row>
    <row r="378" spans="1:10" x14ac:dyDescent="0.35">
      <c r="A378" s="21" t="s">
        <v>218</v>
      </c>
      <c r="B378" t="s">
        <v>216</v>
      </c>
      <c r="D378" s="35">
        <v>15943.37</v>
      </c>
      <c r="E378" s="35">
        <v>6860</v>
      </c>
      <c r="G378" s="35">
        <v>20000</v>
      </c>
      <c r="H378" s="35">
        <v>20000</v>
      </c>
    </row>
    <row r="379" spans="1:10" x14ac:dyDescent="0.35">
      <c r="A379" s="21" t="s">
        <v>219</v>
      </c>
      <c r="B379" t="s">
        <v>216</v>
      </c>
      <c r="D379" s="35">
        <v>0</v>
      </c>
      <c r="E379" s="35">
        <v>0</v>
      </c>
      <c r="G379" s="35">
        <v>1000</v>
      </c>
      <c r="H379" s="35">
        <v>1000</v>
      </c>
      <c r="I379" s="35">
        <v>0</v>
      </c>
    </row>
    <row r="380" spans="1:10" x14ac:dyDescent="0.35">
      <c r="A380" s="21" t="s">
        <v>220</v>
      </c>
      <c r="B380" t="s">
        <v>216</v>
      </c>
      <c r="D380" s="35">
        <v>15000</v>
      </c>
      <c r="E380" s="35">
        <v>620</v>
      </c>
      <c r="G380" s="35">
        <v>15000</v>
      </c>
      <c r="H380" s="35">
        <v>15000</v>
      </c>
    </row>
    <row r="382" spans="1:10" x14ac:dyDescent="0.35">
      <c r="A382" s="21" t="s">
        <v>221</v>
      </c>
      <c r="B382" t="s">
        <v>1</v>
      </c>
      <c r="C382" t="s">
        <v>2</v>
      </c>
      <c r="D382" t="s">
        <v>3</v>
      </c>
      <c r="E382" t="s">
        <v>4</v>
      </c>
      <c r="F382" t="s">
        <v>5</v>
      </c>
      <c r="G382" t="s">
        <v>6</v>
      </c>
      <c r="H382" t="s">
        <v>7</v>
      </c>
      <c r="I382" t="s">
        <v>8</v>
      </c>
      <c r="J382" s="21" t="s">
        <v>9</v>
      </c>
    </row>
    <row r="383" spans="1:10" x14ac:dyDescent="0.35">
      <c r="A383" s="21" t="s">
        <v>10</v>
      </c>
      <c r="D383" s="35">
        <v>-13150</v>
      </c>
      <c r="E383" s="35">
        <v>-60000</v>
      </c>
      <c r="G383" s="35">
        <v>-211004</v>
      </c>
      <c r="H383" s="35">
        <v>0</v>
      </c>
    </row>
    <row r="384" spans="1:10" ht="87" x14ac:dyDescent="0.35">
      <c r="A384" s="21" t="s">
        <v>221</v>
      </c>
      <c r="C384" s="35">
        <v>134217.12</v>
      </c>
      <c r="D384" s="35">
        <v>-13150</v>
      </c>
      <c r="E384" s="35">
        <v>-60000</v>
      </c>
      <c r="F384" s="35">
        <v>185584.02</v>
      </c>
      <c r="G384" s="35">
        <v>-185404</v>
      </c>
      <c r="H384" s="35">
        <v>0</v>
      </c>
      <c r="I384" s="35">
        <v>180.02</v>
      </c>
      <c r="J384" s="21" t="s">
        <v>222</v>
      </c>
    </row>
    <row r="385" spans="1:10" ht="29" x14ac:dyDescent="0.35">
      <c r="A385" s="21" t="s">
        <v>223</v>
      </c>
      <c r="C385" s="35">
        <v>16000</v>
      </c>
      <c r="D385" s="35">
        <v>0</v>
      </c>
      <c r="E385" s="35">
        <v>0</v>
      </c>
      <c r="F385" s="35">
        <v>11872.77</v>
      </c>
      <c r="G385" s="35">
        <v>-5600</v>
      </c>
      <c r="H385" s="35">
        <v>0</v>
      </c>
      <c r="I385" s="35">
        <v>6272.77</v>
      </c>
      <c r="J385" s="21" t="s">
        <v>224</v>
      </c>
    </row>
    <row r="386" spans="1:10" ht="29" x14ac:dyDescent="0.35">
      <c r="A386" s="21" t="s">
        <v>225</v>
      </c>
      <c r="C386" s="35">
        <v>9763</v>
      </c>
      <c r="D386" s="35">
        <v>0</v>
      </c>
      <c r="E386" s="35">
        <v>0</v>
      </c>
      <c r="F386" s="35">
        <v>22904.67</v>
      </c>
      <c r="G386" s="35">
        <v>-20000</v>
      </c>
      <c r="H386" s="35">
        <v>0</v>
      </c>
      <c r="I386" s="35">
        <v>2904.67</v>
      </c>
      <c r="J386" s="21" t="s">
        <v>226</v>
      </c>
    </row>
    <row r="387" spans="1:10" x14ac:dyDescent="0.35">
      <c r="A387" s="21" t="s">
        <v>72</v>
      </c>
      <c r="C387" s="35">
        <v>0</v>
      </c>
      <c r="D387" s="35">
        <v>0</v>
      </c>
      <c r="E387" s="35">
        <v>0</v>
      </c>
      <c r="F387" s="35">
        <v>0</v>
      </c>
      <c r="H387" s="35">
        <v>0</v>
      </c>
      <c r="I387" s="35">
        <v>0</v>
      </c>
    </row>
    <row r="389" spans="1:10" x14ac:dyDescent="0.35">
      <c r="A389" s="21" t="s">
        <v>227</v>
      </c>
      <c r="D389" s="35">
        <v>118359.81</v>
      </c>
      <c r="E389" s="35">
        <v>104828.47</v>
      </c>
      <c r="G389" s="35">
        <v>399671</v>
      </c>
      <c r="H389" s="35">
        <v>399671</v>
      </c>
    </row>
    <row r="390" spans="1:10" x14ac:dyDescent="0.35">
      <c r="A390" s="21" t="s">
        <v>227</v>
      </c>
      <c r="B390" t="s">
        <v>221</v>
      </c>
      <c r="D390" s="35">
        <v>1000</v>
      </c>
      <c r="E390" s="35">
        <v>2346.3200000000002</v>
      </c>
      <c r="G390" s="35">
        <v>0</v>
      </c>
      <c r="H390" s="35">
        <v>0</v>
      </c>
    </row>
    <row r="391" spans="1:10" x14ac:dyDescent="0.35">
      <c r="A391" s="21" t="s">
        <v>228</v>
      </c>
      <c r="B391" t="s">
        <v>225</v>
      </c>
      <c r="D391" s="35">
        <v>12924</v>
      </c>
      <c r="E391" s="35">
        <v>13344.5</v>
      </c>
      <c r="G391" s="35">
        <v>12924</v>
      </c>
      <c r="H391" s="35">
        <v>12924</v>
      </c>
    </row>
    <row r="392" spans="1:10" x14ac:dyDescent="0.35">
      <c r="A392" s="21" t="s">
        <v>229</v>
      </c>
      <c r="B392" t="s">
        <v>221</v>
      </c>
      <c r="D392" s="35">
        <v>5356</v>
      </c>
      <c r="E392" s="35">
        <v>311.24</v>
      </c>
      <c r="G392" s="35">
        <v>3000</v>
      </c>
      <c r="H392" s="35">
        <v>3000</v>
      </c>
    </row>
    <row r="393" spans="1:10" x14ac:dyDescent="0.35">
      <c r="A393" s="21" t="s">
        <v>230</v>
      </c>
      <c r="B393" t="s">
        <v>221</v>
      </c>
      <c r="D393" s="35">
        <v>1250</v>
      </c>
      <c r="E393" s="35">
        <v>552.74</v>
      </c>
      <c r="G393" s="35">
        <v>1357</v>
      </c>
      <c r="H393" s="35">
        <v>1357</v>
      </c>
    </row>
    <row r="394" spans="1:10" x14ac:dyDescent="0.35">
      <c r="A394" s="21" t="s">
        <v>231</v>
      </c>
      <c r="B394" t="s">
        <v>221</v>
      </c>
      <c r="D394" s="35">
        <v>0</v>
      </c>
      <c r="E394" s="35">
        <v>0</v>
      </c>
      <c r="G394" s="35">
        <v>8400</v>
      </c>
      <c r="H394" s="35">
        <v>8400</v>
      </c>
    </row>
    <row r="395" spans="1:10" x14ac:dyDescent="0.35">
      <c r="A395" s="21" t="s">
        <v>102</v>
      </c>
      <c r="B395" t="s">
        <v>221</v>
      </c>
      <c r="D395" s="35">
        <v>8000</v>
      </c>
      <c r="E395" s="35">
        <v>3395.04</v>
      </c>
      <c r="G395" s="35">
        <v>12480</v>
      </c>
      <c r="H395" s="35">
        <v>12480</v>
      </c>
    </row>
    <row r="396" spans="1:10" x14ac:dyDescent="0.35">
      <c r="A396" s="21" t="s">
        <v>232</v>
      </c>
      <c r="B396" t="s">
        <v>221</v>
      </c>
      <c r="D396" s="35">
        <v>0</v>
      </c>
      <c r="E396" s="35">
        <v>4430.4399999999996</v>
      </c>
      <c r="G396" s="35">
        <v>0</v>
      </c>
      <c r="H396" s="35">
        <v>0</v>
      </c>
    </row>
    <row r="397" spans="1:10" ht="43.5" x14ac:dyDescent="0.35">
      <c r="A397" s="21" t="s">
        <v>233</v>
      </c>
      <c r="B397" t="s">
        <v>221</v>
      </c>
      <c r="D397" s="35">
        <v>46589.599999999999</v>
      </c>
      <c r="E397" s="35">
        <v>59102.37</v>
      </c>
      <c r="G397" s="35">
        <v>61380</v>
      </c>
      <c r="H397" s="35">
        <v>61380</v>
      </c>
      <c r="J397" s="21" t="s">
        <v>234</v>
      </c>
    </row>
    <row r="398" spans="1:10" x14ac:dyDescent="0.35">
      <c r="A398" s="21" t="s">
        <v>235</v>
      </c>
      <c r="G398" s="35">
        <v>50000</v>
      </c>
      <c r="H398" s="35">
        <v>61380</v>
      </c>
    </row>
    <row r="399" spans="1:10" ht="29" x14ac:dyDescent="0.35">
      <c r="A399" s="21" t="s">
        <v>236</v>
      </c>
      <c r="B399" t="s">
        <v>221</v>
      </c>
      <c r="D399" s="35">
        <v>0</v>
      </c>
      <c r="E399" s="35">
        <v>0</v>
      </c>
      <c r="G399" s="35">
        <v>22000</v>
      </c>
      <c r="H399" s="35">
        <v>22000</v>
      </c>
    </row>
    <row r="400" spans="1:10" x14ac:dyDescent="0.35">
      <c r="A400" s="21" t="s">
        <v>237</v>
      </c>
      <c r="B400" t="s">
        <v>221</v>
      </c>
      <c r="D400" s="35">
        <v>0</v>
      </c>
      <c r="E400" s="35">
        <v>0</v>
      </c>
      <c r="G400" s="35">
        <v>160000</v>
      </c>
      <c r="H400" s="35">
        <v>160000</v>
      </c>
    </row>
    <row r="401" spans="1:10" ht="29" x14ac:dyDescent="0.35">
      <c r="A401" s="21" t="s">
        <v>238</v>
      </c>
      <c r="B401" t="s">
        <v>221</v>
      </c>
      <c r="D401" s="35">
        <v>0</v>
      </c>
      <c r="E401" s="35">
        <v>0</v>
      </c>
      <c r="G401" s="35">
        <v>30000</v>
      </c>
      <c r="H401" s="35">
        <v>30000</v>
      </c>
    </row>
    <row r="402" spans="1:10" x14ac:dyDescent="0.35">
      <c r="A402" s="21" t="s">
        <v>239</v>
      </c>
      <c r="B402" t="s">
        <v>221</v>
      </c>
      <c r="D402" s="35">
        <v>1500</v>
      </c>
      <c r="E402" s="35">
        <v>1014.76</v>
      </c>
      <c r="G402" s="35">
        <v>2250</v>
      </c>
      <c r="H402" s="35">
        <v>2250</v>
      </c>
    </row>
    <row r="403" spans="1:10" x14ac:dyDescent="0.35">
      <c r="A403" s="21" t="s">
        <v>203</v>
      </c>
      <c r="B403" t="s">
        <v>221</v>
      </c>
      <c r="D403" s="35">
        <v>21740.21</v>
      </c>
      <c r="E403" s="35">
        <v>9766</v>
      </c>
      <c r="G403" s="35">
        <v>10280</v>
      </c>
      <c r="H403" s="35">
        <v>10280</v>
      </c>
    </row>
    <row r="404" spans="1:10" x14ac:dyDescent="0.35">
      <c r="A404" s="21" t="s">
        <v>75</v>
      </c>
      <c r="B404" t="s">
        <v>72</v>
      </c>
      <c r="D404" s="35">
        <v>0</v>
      </c>
      <c r="E404" s="35">
        <v>0</v>
      </c>
      <c r="G404" s="35">
        <v>0</v>
      </c>
      <c r="H404" s="35">
        <v>0</v>
      </c>
    </row>
    <row r="405" spans="1:10" x14ac:dyDescent="0.35">
      <c r="A405" s="21" t="s">
        <v>240</v>
      </c>
      <c r="B405" t="s">
        <v>223</v>
      </c>
      <c r="D405" s="35">
        <v>0</v>
      </c>
      <c r="E405" s="35">
        <v>4127.2299999999996</v>
      </c>
      <c r="G405" s="35">
        <v>5600</v>
      </c>
      <c r="H405" s="35">
        <v>5600</v>
      </c>
    </row>
    <row r="406" spans="1:10" x14ac:dyDescent="0.35">
      <c r="A406" s="21" t="s">
        <v>241</v>
      </c>
      <c r="B406" t="s">
        <v>225</v>
      </c>
      <c r="D406" s="35">
        <v>20000</v>
      </c>
      <c r="E406" s="35">
        <v>6437.83</v>
      </c>
      <c r="G406" s="35">
        <v>20000</v>
      </c>
      <c r="H406" s="35">
        <v>20000</v>
      </c>
    </row>
    <row r="408" spans="1:10" x14ac:dyDescent="0.35">
      <c r="A408" s="21" t="s">
        <v>242</v>
      </c>
      <c r="B408" t="s">
        <v>1</v>
      </c>
      <c r="C408" t="s">
        <v>2</v>
      </c>
      <c r="D408" t="s">
        <v>3</v>
      </c>
      <c r="E408" t="s">
        <v>4</v>
      </c>
      <c r="F408" t="s">
        <v>5</v>
      </c>
      <c r="G408" t="s">
        <v>6</v>
      </c>
      <c r="H408" t="s">
        <v>7</v>
      </c>
      <c r="I408" t="s">
        <v>8</v>
      </c>
      <c r="J408" s="21" t="s">
        <v>9</v>
      </c>
    </row>
    <row r="409" spans="1:10" x14ac:dyDescent="0.35">
      <c r="A409" s="21" t="s">
        <v>10</v>
      </c>
      <c r="D409" s="35">
        <v>-3677.61</v>
      </c>
      <c r="E409" s="35">
        <v>0</v>
      </c>
      <c r="G409" s="35">
        <v>-71658</v>
      </c>
      <c r="H409" s="35">
        <v>0</v>
      </c>
    </row>
    <row r="410" spans="1:10" ht="29" x14ac:dyDescent="0.35">
      <c r="A410" s="21" t="s">
        <v>242</v>
      </c>
      <c r="C410" s="35">
        <v>4774</v>
      </c>
      <c r="D410" s="35">
        <v>1812.5</v>
      </c>
      <c r="E410" s="35">
        <v>0</v>
      </c>
      <c r="F410" s="35">
        <v>15144.87</v>
      </c>
      <c r="G410" s="35">
        <v>-15000</v>
      </c>
      <c r="H410" s="35">
        <v>0</v>
      </c>
      <c r="I410" s="35">
        <v>144.87</v>
      </c>
      <c r="J410" s="21" t="s">
        <v>243</v>
      </c>
    </row>
    <row r="411" spans="1:10" x14ac:dyDescent="0.35">
      <c r="A411" s="21" t="s">
        <v>244</v>
      </c>
      <c r="C411" s="35">
        <v>48434.73</v>
      </c>
      <c r="D411" s="35">
        <v>-10500</v>
      </c>
      <c r="E411" s="35">
        <v>0</v>
      </c>
      <c r="F411" s="35">
        <v>51943.59</v>
      </c>
      <c r="G411" s="35">
        <v>-28498</v>
      </c>
      <c r="H411" s="35">
        <v>0</v>
      </c>
      <c r="I411" s="35">
        <v>23445.59</v>
      </c>
    </row>
    <row r="412" spans="1:10" x14ac:dyDescent="0.35">
      <c r="A412" s="21" t="s">
        <v>245</v>
      </c>
      <c r="C412" s="35">
        <v>50003.14</v>
      </c>
      <c r="D412" s="35">
        <v>5009.8900000000003</v>
      </c>
      <c r="E412" s="35">
        <v>0</v>
      </c>
      <c r="F412" s="35">
        <v>39773.78</v>
      </c>
      <c r="G412" s="35">
        <v>-28160</v>
      </c>
      <c r="H412" s="35">
        <v>0</v>
      </c>
      <c r="I412" s="35">
        <v>11613.78</v>
      </c>
    </row>
    <row r="414" spans="1:10" x14ac:dyDescent="0.35">
      <c r="A414" s="21" t="s">
        <v>246</v>
      </c>
      <c r="D414" s="35">
        <v>58579.56</v>
      </c>
      <c r="E414" s="35">
        <v>51251.58</v>
      </c>
      <c r="G414" s="35">
        <v>106680</v>
      </c>
      <c r="H414" s="35">
        <v>106680</v>
      </c>
    </row>
    <row r="415" spans="1:10" x14ac:dyDescent="0.35">
      <c r="A415" s="21" t="s">
        <v>246</v>
      </c>
      <c r="B415" t="s">
        <v>242</v>
      </c>
      <c r="D415" s="35">
        <v>5000</v>
      </c>
      <c r="E415" s="35">
        <v>0</v>
      </c>
      <c r="G415" s="35">
        <v>0</v>
      </c>
      <c r="H415" s="35">
        <v>0</v>
      </c>
    </row>
    <row r="416" spans="1:10" x14ac:dyDescent="0.35">
      <c r="A416" s="21" t="s">
        <v>247</v>
      </c>
      <c r="B416" t="s">
        <v>242</v>
      </c>
      <c r="D416" s="35">
        <v>380.07</v>
      </c>
      <c r="E416" s="35">
        <v>384</v>
      </c>
      <c r="G416" s="35">
        <v>413</v>
      </c>
      <c r="H416" s="35">
        <v>413</v>
      </c>
    </row>
    <row r="417" spans="1:10" x14ac:dyDescent="0.35">
      <c r="A417" s="21" t="s">
        <v>248</v>
      </c>
      <c r="B417" t="s">
        <v>242</v>
      </c>
      <c r="D417" s="35">
        <v>0</v>
      </c>
      <c r="E417" s="35">
        <v>767</v>
      </c>
      <c r="G417" s="35">
        <v>833</v>
      </c>
      <c r="H417" s="35">
        <v>833</v>
      </c>
    </row>
    <row r="418" spans="1:10" x14ac:dyDescent="0.35">
      <c r="A418" s="21" t="s">
        <v>249</v>
      </c>
      <c r="B418" t="s">
        <v>242</v>
      </c>
      <c r="D418" s="35">
        <v>3079.19</v>
      </c>
      <c r="E418" s="35">
        <v>3009.5</v>
      </c>
      <c r="G418" s="35">
        <v>3341</v>
      </c>
      <c r="H418" s="35">
        <v>3341</v>
      </c>
    </row>
    <row r="419" spans="1:10" x14ac:dyDescent="0.35">
      <c r="A419" s="21" t="s">
        <v>250</v>
      </c>
      <c r="B419" t="s">
        <v>242</v>
      </c>
      <c r="D419" s="35">
        <v>36.049999999999997</v>
      </c>
      <c r="E419" s="35">
        <v>35</v>
      </c>
      <c r="G419" s="35">
        <v>35</v>
      </c>
      <c r="H419" s="35">
        <v>35</v>
      </c>
    </row>
    <row r="420" spans="1:10" x14ac:dyDescent="0.35">
      <c r="A420" s="21" t="s">
        <v>251</v>
      </c>
      <c r="B420" t="s">
        <v>245</v>
      </c>
      <c r="D420" s="35">
        <v>0</v>
      </c>
      <c r="E420" s="35">
        <v>15239.25</v>
      </c>
      <c r="G420" s="35">
        <v>28160</v>
      </c>
      <c r="H420" s="35">
        <v>28160</v>
      </c>
    </row>
    <row r="421" spans="1:10" x14ac:dyDescent="0.35">
      <c r="A421" s="21" t="s">
        <v>252</v>
      </c>
      <c r="B421" t="s">
        <v>244</v>
      </c>
      <c r="D421" s="35">
        <v>26265</v>
      </c>
      <c r="E421" s="35">
        <v>12256.14</v>
      </c>
      <c r="G421" s="35">
        <v>38498</v>
      </c>
      <c r="H421" s="35">
        <v>38498</v>
      </c>
    </row>
    <row r="422" spans="1:10" x14ac:dyDescent="0.35">
      <c r="A422" s="21" t="s">
        <v>253</v>
      </c>
      <c r="B422" t="s">
        <v>242</v>
      </c>
      <c r="D422" s="35">
        <v>20000</v>
      </c>
      <c r="E422" s="35">
        <v>17529.77</v>
      </c>
      <c r="G422" s="35">
        <v>30000</v>
      </c>
      <c r="H422" s="35">
        <v>30000</v>
      </c>
    </row>
    <row r="423" spans="1:10" x14ac:dyDescent="0.35">
      <c r="A423" s="21" t="s">
        <v>254</v>
      </c>
      <c r="B423" t="s">
        <v>242</v>
      </c>
      <c r="D423" s="35">
        <v>265.23</v>
      </c>
      <c r="E423" s="35">
        <v>328.5</v>
      </c>
      <c r="G423" s="35">
        <v>400</v>
      </c>
      <c r="H423" s="35">
        <v>400</v>
      </c>
    </row>
    <row r="424" spans="1:10" x14ac:dyDescent="0.35">
      <c r="A424" s="21" t="s">
        <v>255</v>
      </c>
      <c r="B424" t="s">
        <v>242</v>
      </c>
      <c r="D424" s="35">
        <v>0</v>
      </c>
      <c r="E424" s="35">
        <v>-2147.58</v>
      </c>
      <c r="G424" s="35">
        <v>0</v>
      </c>
      <c r="H424" s="35">
        <v>0</v>
      </c>
    </row>
    <row r="425" spans="1:10" x14ac:dyDescent="0.35">
      <c r="A425" s="21" t="s">
        <v>256</v>
      </c>
      <c r="B425" t="s">
        <v>242</v>
      </c>
      <c r="D425" s="35">
        <v>3554.02</v>
      </c>
      <c r="E425" s="35">
        <v>3850</v>
      </c>
      <c r="G425" s="35">
        <v>5000</v>
      </c>
      <c r="H425" s="35">
        <v>5000</v>
      </c>
    </row>
    <row r="427" spans="1:10" x14ac:dyDescent="0.35">
      <c r="A427" s="21" t="s">
        <v>257</v>
      </c>
      <c r="B427" t="s">
        <v>1</v>
      </c>
      <c r="C427" t="s">
        <v>2</v>
      </c>
      <c r="D427" t="s">
        <v>3</v>
      </c>
      <c r="E427" t="s">
        <v>4</v>
      </c>
      <c r="F427" t="s">
        <v>5</v>
      </c>
      <c r="G427" t="s">
        <v>6</v>
      </c>
      <c r="H427" t="s">
        <v>7</v>
      </c>
      <c r="I427" t="s">
        <v>8</v>
      </c>
      <c r="J427" s="21" t="s">
        <v>9</v>
      </c>
    </row>
    <row r="428" spans="1:10" x14ac:dyDescent="0.35">
      <c r="A428" s="21" t="s">
        <v>10</v>
      </c>
      <c r="D428" s="35">
        <v>-45000</v>
      </c>
      <c r="E428" s="35">
        <v>0</v>
      </c>
      <c r="G428" s="35">
        <v>-9699</v>
      </c>
      <c r="H428" s="35">
        <v>0</v>
      </c>
    </row>
    <row r="429" spans="1:10" x14ac:dyDescent="0.35">
      <c r="A429" s="21" t="s">
        <v>257</v>
      </c>
      <c r="C429" s="35">
        <v>42114</v>
      </c>
      <c r="D429" s="35">
        <v>-45000</v>
      </c>
      <c r="E429" s="35">
        <v>0</v>
      </c>
      <c r="F429" s="35">
        <v>9699.17</v>
      </c>
      <c r="G429" s="35">
        <v>-9699</v>
      </c>
      <c r="H429" s="35">
        <v>0</v>
      </c>
      <c r="I429" s="35">
        <v>0.17</v>
      </c>
    </row>
    <row r="430" spans="1:10" x14ac:dyDescent="0.35">
      <c r="G430" s="35">
        <v>74127</v>
      </c>
    </row>
    <row r="431" spans="1:10" x14ac:dyDescent="0.35">
      <c r="A431" s="21" t="s">
        <v>258</v>
      </c>
      <c r="D431" s="35">
        <v>55000</v>
      </c>
      <c r="E431" s="35">
        <v>42414.83</v>
      </c>
      <c r="G431" s="35">
        <v>63921</v>
      </c>
      <c r="H431" s="35">
        <v>63921</v>
      </c>
    </row>
    <row r="432" spans="1:10" x14ac:dyDescent="0.35">
      <c r="A432" s="21" t="s">
        <v>258</v>
      </c>
      <c r="B432" t="s">
        <v>257</v>
      </c>
      <c r="D432" s="35">
        <v>15000</v>
      </c>
      <c r="E432" s="35">
        <v>11300.17</v>
      </c>
      <c r="G432" s="35">
        <v>15000</v>
      </c>
      <c r="H432" s="35">
        <v>15000</v>
      </c>
    </row>
    <row r="433" spans="1:10" x14ac:dyDescent="0.35">
      <c r="A433" s="21" t="s">
        <v>259</v>
      </c>
      <c r="B433" t="s">
        <v>257</v>
      </c>
      <c r="D433" s="35">
        <v>5000</v>
      </c>
      <c r="E433" s="35">
        <v>4490.9399999999996</v>
      </c>
      <c r="G433" s="35">
        <v>5000</v>
      </c>
      <c r="H433" s="35">
        <v>5000</v>
      </c>
    </row>
    <row r="434" spans="1:10" x14ac:dyDescent="0.35">
      <c r="A434" s="21" t="s">
        <v>260</v>
      </c>
      <c r="B434" t="s">
        <v>257</v>
      </c>
      <c r="D434" s="35">
        <v>5000</v>
      </c>
      <c r="E434" s="35">
        <v>1623.72</v>
      </c>
      <c r="G434" s="35">
        <v>2500</v>
      </c>
      <c r="H434" s="35">
        <v>2500</v>
      </c>
    </row>
    <row r="435" spans="1:10" x14ac:dyDescent="0.35">
      <c r="A435" s="21" t="s">
        <v>261</v>
      </c>
      <c r="B435" t="s">
        <v>257</v>
      </c>
      <c r="D435" s="35">
        <v>5000</v>
      </c>
      <c r="E435" s="35">
        <v>5000</v>
      </c>
      <c r="G435" s="35">
        <v>10000</v>
      </c>
      <c r="H435" s="35">
        <v>10000</v>
      </c>
    </row>
    <row r="436" spans="1:10" x14ac:dyDescent="0.35">
      <c r="A436" s="21" t="s">
        <v>262</v>
      </c>
      <c r="B436" t="s">
        <v>257</v>
      </c>
      <c r="D436" s="35">
        <v>5000</v>
      </c>
      <c r="E436" s="35">
        <v>0</v>
      </c>
      <c r="G436" s="35">
        <v>5921</v>
      </c>
      <c r="H436" s="35">
        <v>5921</v>
      </c>
    </row>
    <row r="437" spans="1:10" x14ac:dyDescent="0.35">
      <c r="A437" s="21" t="s">
        <v>263</v>
      </c>
      <c r="B437" t="s">
        <v>257</v>
      </c>
      <c r="D437" s="35">
        <v>5000</v>
      </c>
      <c r="E437" s="35">
        <v>5000</v>
      </c>
      <c r="G437" s="35">
        <v>5000</v>
      </c>
      <c r="H437" s="35">
        <v>5000</v>
      </c>
    </row>
    <row r="438" spans="1:10" x14ac:dyDescent="0.35">
      <c r="A438" s="21" t="s">
        <v>264</v>
      </c>
      <c r="B438" t="s">
        <v>257</v>
      </c>
      <c r="D438" s="35">
        <v>5000</v>
      </c>
      <c r="E438" s="35">
        <v>5000</v>
      </c>
      <c r="G438" s="35">
        <v>5000</v>
      </c>
      <c r="H438" s="35">
        <v>5000</v>
      </c>
    </row>
    <row r="439" spans="1:10" x14ac:dyDescent="0.35">
      <c r="A439" s="21" t="s">
        <v>265</v>
      </c>
      <c r="B439" t="s">
        <v>257</v>
      </c>
      <c r="D439" s="35">
        <v>5000</v>
      </c>
      <c r="E439" s="35">
        <v>5000</v>
      </c>
      <c r="G439" s="35">
        <v>3000</v>
      </c>
      <c r="H439" s="35">
        <v>3000</v>
      </c>
    </row>
    <row r="440" spans="1:10" x14ac:dyDescent="0.35">
      <c r="A440" s="21" t="s">
        <v>266</v>
      </c>
      <c r="B440" t="s">
        <v>257</v>
      </c>
      <c r="D440" s="35">
        <v>5000</v>
      </c>
      <c r="E440" s="35">
        <v>5000</v>
      </c>
      <c r="G440" s="35">
        <v>0</v>
      </c>
      <c r="H440" s="35">
        <v>0</v>
      </c>
    </row>
    <row r="441" spans="1:10" x14ac:dyDescent="0.35">
      <c r="A441" s="21" t="s">
        <v>267</v>
      </c>
      <c r="B441" t="s">
        <v>257</v>
      </c>
      <c r="D441" s="35">
        <v>0</v>
      </c>
      <c r="E441" s="35">
        <v>0</v>
      </c>
      <c r="G441" s="35">
        <v>2500</v>
      </c>
      <c r="H441" s="35">
        <v>2500</v>
      </c>
    </row>
    <row r="442" spans="1:10" x14ac:dyDescent="0.35">
      <c r="A442" s="21" t="s">
        <v>268</v>
      </c>
      <c r="B442" t="s">
        <v>257</v>
      </c>
      <c r="D442" s="35">
        <v>0</v>
      </c>
      <c r="E442" s="35">
        <v>0</v>
      </c>
      <c r="G442" s="35">
        <v>5000</v>
      </c>
      <c r="H442" s="35">
        <v>5000</v>
      </c>
    </row>
    <row r="443" spans="1:10" x14ac:dyDescent="0.35">
      <c r="A443" s="21" t="s">
        <v>269</v>
      </c>
      <c r="B443" t="s">
        <v>257</v>
      </c>
      <c r="D443" s="35">
        <v>0</v>
      </c>
      <c r="E443" s="35">
        <v>0</v>
      </c>
      <c r="G443" s="35">
        <v>5000</v>
      </c>
      <c r="H443" s="35">
        <v>5000</v>
      </c>
    </row>
    <row r="445" spans="1:10" x14ac:dyDescent="0.35">
      <c r="A445" s="21" t="s">
        <v>270</v>
      </c>
      <c r="B445" t="s">
        <v>1</v>
      </c>
      <c r="C445" t="s">
        <v>2</v>
      </c>
      <c r="D445" t="s">
        <v>3</v>
      </c>
      <c r="E445" t="s">
        <v>4</v>
      </c>
      <c r="F445" t="s">
        <v>5</v>
      </c>
      <c r="G445" t="s">
        <v>6</v>
      </c>
      <c r="H445" t="s">
        <v>7</v>
      </c>
      <c r="I445" t="s">
        <v>8</v>
      </c>
      <c r="J445" s="21" t="s">
        <v>9</v>
      </c>
    </row>
    <row r="446" spans="1:10" x14ac:dyDescent="0.35">
      <c r="A446" s="21" t="s">
        <v>10</v>
      </c>
      <c r="D446" s="35">
        <v>-60000</v>
      </c>
      <c r="E446" s="35">
        <v>-40578.160000000003</v>
      </c>
      <c r="G446" s="35">
        <v>0</v>
      </c>
      <c r="H446" s="35">
        <v>0</v>
      </c>
    </row>
    <row r="447" spans="1:10" x14ac:dyDescent="0.35">
      <c r="A447" s="21" t="s">
        <v>270</v>
      </c>
      <c r="C447" s="35">
        <v>23421.84</v>
      </c>
      <c r="D447" s="35">
        <v>-60000</v>
      </c>
      <c r="E447" s="35">
        <v>-40578.160000000003</v>
      </c>
      <c r="F447" s="35">
        <v>4000</v>
      </c>
      <c r="G447" s="35">
        <v>0</v>
      </c>
      <c r="H447" s="35">
        <v>0</v>
      </c>
      <c r="I447" s="35">
        <v>4000</v>
      </c>
    </row>
    <row r="449" spans="1:10" x14ac:dyDescent="0.35">
      <c r="A449" s="21" t="s">
        <v>271</v>
      </c>
      <c r="D449" s="35">
        <v>50000</v>
      </c>
      <c r="E449" s="35">
        <v>50000</v>
      </c>
      <c r="G449" s="35">
        <v>65000</v>
      </c>
      <c r="H449" s="35">
        <v>65000</v>
      </c>
    </row>
    <row r="450" spans="1:10" x14ac:dyDescent="0.35">
      <c r="A450" s="21" t="s">
        <v>271</v>
      </c>
      <c r="B450" t="s">
        <v>270</v>
      </c>
      <c r="D450" s="35">
        <v>50000</v>
      </c>
      <c r="E450" s="35">
        <v>50000</v>
      </c>
      <c r="G450" s="35">
        <v>50000</v>
      </c>
      <c r="H450" s="35">
        <v>50000</v>
      </c>
    </row>
    <row r="451" spans="1:10" x14ac:dyDescent="0.35">
      <c r="A451" s="21" t="s">
        <v>272</v>
      </c>
      <c r="B451" t="s">
        <v>270</v>
      </c>
      <c r="D451" s="35">
        <v>0</v>
      </c>
      <c r="E451" s="35">
        <v>0</v>
      </c>
      <c r="G451" s="35">
        <v>15000</v>
      </c>
      <c r="H451" s="35">
        <v>15000</v>
      </c>
    </row>
    <row r="453" spans="1:10" x14ac:dyDescent="0.35">
      <c r="A453" s="21" t="s">
        <v>273</v>
      </c>
      <c r="B453" t="s">
        <v>1</v>
      </c>
      <c r="C453" t="s">
        <v>2</v>
      </c>
      <c r="D453" t="s">
        <v>3</v>
      </c>
      <c r="E453" t="s">
        <v>4</v>
      </c>
      <c r="F453" t="s">
        <v>5</v>
      </c>
      <c r="G453" t="s">
        <v>6</v>
      </c>
      <c r="H453" t="s">
        <v>7</v>
      </c>
      <c r="I453" t="s">
        <v>8</v>
      </c>
      <c r="J453" s="21" t="s">
        <v>9</v>
      </c>
    </row>
    <row r="454" spans="1:10" x14ac:dyDescent="0.35">
      <c r="A454" s="21" t="s">
        <v>10</v>
      </c>
      <c r="D454" s="35">
        <v>0</v>
      </c>
      <c r="E454" s="35">
        <v>-1000</v>
      </c>
      <c r="G454" s="35">
        <v>0</v>
      </c>
      <c r="H454" s="35">
        <v>0</v>
      </c>
    </row>
    <row r="455" spans="1:10" x14ac:dyDescent="0.35">
      <c r="A455" s="21" t="s">
        <v>273</v>
      </c>
      <c r="C455" s="35">
        <v>0</v>
      </c>
      <c r="D455" s="35">
        <v>0</v>
      </c>
      <c r="E455" s="35">
        <v>-1000</v>
      </c>
      <c r="F455" s="35">
        <v>479.44</v>
      </c>
      <c r="H455" s="35">
        <v>0</v>
      </c>
      <c r="I455" s="35">
        <v>3079.44</v>
      </c>
    </row>
    <row r="457" spans="1:10" x14ac:dyDescent="0.35">
      <c r="A457" s="21" t="s">
        <v>274</v>
      </c>
      <c r="D457" s="35">
        <v>11000</v>
      </c>
      <c r="E457" s="35">
        <v>11520.56</v>
      </c>
      <c r="G457" s="35">
        <v>23908</v>
      </c>
      <c r="H457" s="35">
        <v>23908</v>
      </c>
    </row>
    <row r="458" spans="1:10" x14ac:dyDescent="0.35">
      <c r="A458" s="21" t="s">
        <v>274</v>
      </c>
      <c r="B458" t="s">
        <v>273</v>
      </c>
      <c r="D458" s="35">
        <v>10000</v>
      </c>
      <c r="E458" s="35">
        <v>7332.5</v>
      </c>
      <c r="G458" s="35">
        <v>15000</v>
      </c>
      <c r="H458" s="35">
        <v>15000</v>
      </c>
    </row>
    <row r="459" spans="1:10" x14ac:dyDescent="0.35">
      <c r="A459" s="21" t="s">
        <v>275</v>
      </c>
      <c r="B459" t="s">
        <v>273</v>
      </c>
      <c r="D459" s="35">
        <v>0</v>
      </c>
      <c r="E459" s="35">
        <v>179.66</v>
      </c>
      <c r="G459" s="35">
        <v>0</v>
      </c>
      <c r="H459" s="35">
        <v>0</v>
      </c>
    </row>
    <row r="460" spans="1:10" x14ac:dyDescent="0.35">
      <c r="A460" s="21" t="s">
        <v>276</v>
      </c>
      <c r="B460" t="s">
        <v>273</v>
      </c>
      <c r="D460" s="35">
        <v>0</v>
      </c>
      <c r="E460" s="35">
        <v>0</v>
      </c>
      <c r="G460" s="35">
        <v>1308</v>
      </c>
      <c r="H460" s="35">
        <v>1308</v>
      </c>
    </row>
    <row r="461" spans="1:10" x14ac:dyDescent="0.35">
      <c r="A461" s="21" t="s">
        <v>277</v>
      </c>
      <c r="B461" t="s">
        <v>273</v>
      </c>
      <c r="D461" s="35">
        <v>0</v>
      </c>
      <c r="E461" s="35">
        <v>2000</v>
      </c>
      <c r="G461" s="35">
        <v>4600</v>
      </c>
      <c r="H461" s="35">
        <v>2000</v>
      </c>
      <c r="J461" s="21" t="s">
        <v>278</v>
      </c>
    </row>
    <row r="462" spans="1:10" x14ac:dyDescent="0.35">
      <c r="A462" s="21" t="s">
        <v>279</v>
      </c>
      <c r="B462" t="s">
        <v>273</v>
      </c>
      <c r="D462" s="35">
        <v>500</v>
      </c>
      <c r="E462" s="35">
        <v>500</v>
      </c>
      <c r="G462" s="35">
        <v>500</v>
      </c>
      <c r="H462" s="35">
        <v>500</v>
      </c>
      <c r="J462" s="21" t="s">
        <v>280</v>
      </c>
    </row>
    <row r="463" spans="1:10" x14ac:dyDescent="0.35">
      <c r="A463" s="21" t="s">
        <v>281</v>
      </c>
      <c r="B463" t="s">
        <v>273</v>
      </c>
      <c r="D463" s="35">
        <v>500</v>
      </c>
      <c r="E463" s="35">
        <v>500</v>
      </c>
      <c r="G463" s="35">
        <v>500</v>
      </c>
      <c r="H463" s="35">
        <v>500</v>
      </c>
      <c r="J463" s="21" t="s">
        <v>280</v>
      </c>
    </row>
    <row r="464" spans="1:10" x14ac:dyDescent="0.35">
      <c r="A464" s="21" t="s">
        <v>282</v>
      </c>
      <c r="B464" t="s">
        <v>273</v>
      </c>
      <c r="D464" s="35">
        <v>0</v>
      </c>
      <c r="E464" s="35">
        <v>1000</v>
      </c>
      <c r="G464" s="35">
        <v>1000</v>
      </c>
      <c r="H464" s="35">
        <v>1000</v>
      </c>
      <c r="J464" s="21" t="s">
        <v>280</v>
      </c>
    </row>
    <row r="465" spans="1:10" ht="29" x14ac:dyDescent="0.35">
      <c r="A465" s="21" t="s">
        <v>283</v>
      </c>
      <c r="B465" t="s">
        <v>273</v>
      </c>
      <c r="D465" s="35">
        <v>0</v>
      </c>
      <c r="E465" s="35">
        <v>0</v>
      </c>
      <c r="G465" s="35">
        <v>1000</v>
      </c>
      <c r="H465" s="35">
        <v>1000</v>
      </c>
    </row>
    <row r="466" spans="1:10" x14ac:dyDescent="0.35">
      <c r="A466" s="21" t="s">
        <v>284</v>
      </c>
      <c r="B466" t="s">
        <v>273</v>
      </c>
      <c r="D466" s="35">
        <v>0</v>
      </c>
      <c r="E466" s="35">
        <v>8.4</v>
      </c>
      <c r="G466" s="35">
        <v>0</v>
      </c>
      <c r="H466" s="35">
        <v>0</v>
      </c>
    </row>
    <row r="468" spans="1:10" x14ac:dyDescent="0.35">
      <c r="A468" s="21" t="s">
        <v>285</v>
      </c>
      <c r="B468" t="s">
        <v>1</v>
      </c>
      <c r="C468" t="s">
        <v>2</v>
      </c>
      <c r="D468" t="s">
        <v>3</v>
      </c>
      <c r="E468" t="s">
        <v>4</v>
      </c>
      <c r="F468" t="s">
        <v>5</v>
      </c>
      <c r="G468" t="s">
        <v>6</v>
      </c>
      <c r="H468" t="s">
        <v>7</v>
      </c>
      <c r="I468" t="s">
        <v>8</v>
      </c>
      <c r="J468" s="21" t="s">
        <v>9</v>
      </c>
    </row>
    <row r="469" spans="1:10" x14ac:dyDescent="0.35">
      <c r="A469" s="21" t="s">
        <v>10</v>
      </c>
      <c r="D469" s="35">
        <v>2078.54</v>
      </c>
      <c r="E469" s="35">
        <v>0</v>
      </c>
      <c r="G469" s="35">
        <v>-6745</v>
      </c>
      <c r="H469" s="35">
        <v>0</v>
      </c>
    </row>
    <row r="470" spans="1:10" x14ac:dyDescent="0.35">
      <c r="A470" s="21" t="s">
        <v>285</v>
      </c>
      <c r="C470" s="35">
        <v>19023</v>
      </c>
      <c r="D470" s="35">
        <v>2078.54</v>
      </c>
      <c r="E470" s="35">
        <v>0</v>
      </c>
      <c r="F470" s="35">
        <v>20651.54</v>
      </c>
      <c r="G470" s="35">
        <v>-6745</v>
      </c>
      <c r="H470" s="35">
        <v>0</v>
      </c>
      <c r="I470" s="35">
        <v>13906.54</v>
      </c>
    </row>
    <row r="472" spans="1:10" x14ac:dyDescent="0.35">
      <c r="A472" s="21" t="s">
        <v>286</v>
      </c>
      <c r="D472" s="35">
        <v>6294.8</v>
      </c>
      <c r="E472" s="35">
        <v>6744.8</v>
      </c>
      <c r="G472" s="35">
        <v>6745</v>
      </c>
      <c r="H472" s="35">
        <v>6745</v>
      </c>
    </row>
    <row r="473" spans="1:10" x14ac:dyDescent="0.35">
      <c r="A473" s="21" t="s">
        <v>286</v>
      </c>
      <c r="B473" t="s">
        <v>285</v>
      </c>
      <c r="D473" s="35">
        <v>0</v>
      </c>
      <c r="E473" s="35">
        <v>0</v>
      </c>
      <c r="G473" s="35">
        <v>0</v>
      </c>
      <c r="H473" s="35">
        <v>0</v>
      </c>
    </row>
    <row r="474" spans="1:10" x14ac:dyDescent="0.35">
      <c r="A474" s="21" t="s">
        <v>287</v>
      </c>
      <c r="B474" t="s">
        <v>285</v>
      </c>
      <c r="D474" s="35">
        <v>0</v>
      </c>
      <c r="E474" s="35">
        <v>0</v>
      </c>
      <c r="G474" s="35">
        <v>0</v>
      </c>
      <c r="H474" s="35">
        <v>0</v>
      </c>
    </row>
    <row r="475" spans="1:10" x14ac:dyDescent="0.35">
      <c r="A475" s="21" t="s">
        <v>288</v>
      </c>
      <c r="B475" t="s">
        <v>285</v>
      </c>
      <c r="D475" s="35">
        <v>6294.8</v>
      </c>
      <c r="E475" s="35">
        <v>6294.8</v>
      </c>
      <c r="G475" s="35">
        <v>6295</v>
      </c>
      <c r="H475" s="35">
        <v>6295</v>
      </c>
    </row>
    <row r="476" spans="1:10" x14ac:dyDescent="0.35">
      <c r="A476" s="21" t="s">
        <v>289</v>
      </c>
      <c r="B476" t="s">
        <v>285</v>
      </c>
      <c r="D476" s="35">
        <v>0</v>
      </c>
      <c r="E476" s="35">
        <v>450</v>
      </c>
      <c r="G476" s="35">
        <v>450</v>
      </c>
      <c r="H476" s="35">
        <v>450</v>
      </c>
    </row>
    <row r="478" spans="1:10" x14ac:dyDescent="0.35">
      <c r="A478" s="21" t="s">
        <v>290</v>
      </c>
      <c r="B478" t="s">
        <v>1</v>
      </c>
      <c r="C478" t="s">
        <v>2</v>
      </c>
      <c r="D478" t="s">
        <v>3</v>
      </c>
      <c r="E478" t="s">
        <v>4</v>
      </c>
      <c r="F478" t="s">
        <v>5</v>
      </c>
      <c r="G478" t="s">
        <v>6</v>
      </c>
      <c r="H478" t="s">
        <v>7</v>
      </c>
      <c r="I478" t="s">
        <v>8</v>
      </c>
      <c r="J478" s="21" t="s">
        <v>9</v>
      </c>
    </row>
    <row r="479" spans="1:10" x14ac:dyDescent="0.35">
      <c r="A479" s="21" t="s">
        <v>10</v>
      </c>
      <c r="D479" s="35">
        <v>0</v>
      </c>
      <c r="E479" s="35">
        <v>4000</v>
      </c>
      <c r="G479" s="35">
        <v>-400</v>
      </c>
      <c r="H479" s="35">
        <v>0</v>
      </c>
    </row>
    <row r="480" spans="1:10" x14ac:dyDescent="0.35">
      <c r="A480" s="21" t="s">
        <v>290</v>
      </c>
      <c r="C480" s="35">
        <v>4581</v>
      </c>
      <c r="D480" s="35">
        <v>0</v>
      </c>
      <c r="E480" s="35">
        <v>4000</v>
      </c>
      <c r="F480" s="35">
        <v>411.5</v>
      </c>
      <c r="G480" s="35">
        <v>-400</v>
      </c>
      <c r="H480" s="35">
        <v>0</v>
      </c>
      <c r="I480" s="35">
        <v>11.5</v>
      </c>
    </row>
    <row r="481" spans="1:10" x14ac:dyDescent="0.35">
      <c r="A481" s="21" t="s">
        <v>291</v>
      </c>
      <c r="C481" s="35">
        <v>0</v>
      </c>
      <c r="D481" s="35">
        <v>0</v>
      </c>
      <c r="E481" s="35">
        <v>0</v>
      </c>
      <c r="F481" s="35">
        <v>0</v>
      </c>
      <c r="H481" s="35">
        <v>0</v>
      </c>
      <c r="I481" s="35">
        <v>0</v>
      </c>
    </row>
    <row r="483" spans="1:10" x14ac:dyDescent="0.35">
      <c r="A483" s="21" t="s">
        <v>292</v>
      </c>
      <c r="D483" s="35">
        <v>0</v>
      </c>
      <c r="E483" s="35">
        <v>169.5</v>
      </c>
      <c r="G483" s="35">
        <v>400</v>
      </c>
      <c r="H483" s="35">
        <v>400</v>
      </c>
    </row>
    <row r="484" spans="1:10" x14ac:dyDescent="0.35">
      <c r="A484" s="21" t="s">
        <v>292</v>
      </c>
      <c r="B484" t="s">
        <v>290</v>
      </c>
      <c r="D484" s="35">
        <v>0</v>
      </c>
      <c r="E484" s="35">
        <v>0</v>
      </c>
      <c r="G484" s="35">
        <v>0</v>
      </c>
      <c r="H484" s="35">
        <v>0</v>
      </c>
    </row>
    <row r="485" spans="1:10" x14ac:dyDescent="0.35">
      <c r="A485" s="21" t="s">
        <v>293</v>
      </c>
      <c r="B485" t="s">
        <v>290</v>
      </c>
      <c r="D485" s="35">
        <v>0</v>
      </c>
      <c r="E485" s="35">
        <v>169.5</v>
      </c>
      <c r="G485" s="35">
        <v>400</v>
      </c>
      <c r="H485" s="35">
        <v>400</v>
      </c>
    </row>
    <row r="487" spans="1:10" x14ac:dyDescent="0.35">
      <c r="A487" s="21" t="s">
        <v>294</v>
      </c>
      <c r="B487" t="s">
        <v>1</v>
      </c>
      <c r="C487" t="s">
        <v>2</v>
      </c>
      <c r="D487" t="s">
        <v>3</v>
      </c>
      <c r="E487" t="s">
        <v>4</v>
      </c>
      <c r="F487" t="s">
        <v>5</v>
      </c>
      <c r="G487" t="s">
        <v>6</v>
      </c>
      <c r="H487" t="s">
        <v>7</v>
      </c>
      <c r="I487" t="s">
        <v>8</v>
      </c>
      <c r="J487" s="21" t="s">
        <v>9</v>
      </c>
    </row>
    <row r="488" spans="1:10" x14ac:dyDescent="0.35">
      <c r="A488" s="21" t="s">
        <v>10</v>
      </c>
      <c r="D488" s="35">
        <v>11526</v>
      </c>
      <c r="E488" s="35">
        <v>-4000</v>
      </c>
      <c r="G488" s="35">
        <v>-16598</v>
      </c>
      <c r="H488" s="35">
        <v>30000</v>
      </c>
    </row>
    <row r="489" spans="1:10" ht="58" x14ac:dyDescent="0.35">
      <c r="A489" s="21" t="s">
        <v>294</v>
      </c>
      <c r="C489" s="35">
        <v>0</v>
      </c>
      <c r="D489" s="35">
        <v>11526</v>
      </c>
      <c r="E489" s="35">
        <v>-4000</v>
      </c>
      <c r="F489" s="35">
        <v>16598</v>
      </c>
      <c r="G489" s="35">
        <v>-16598</v>
      </c>
      <c r="H489" s="35">
        <v>0</v>
      </c>
      <c r="I489" s="35">
        <v>0</v>
      </c>
      <c r="J489" s="21" t="s">
        <v>295</v>
      </c>
    </row>
    <row r="490" spans="1:10" x14ac:dyDescent="0.35">
      <c r="A490" s="21" t="s">
        <v>296</v>
      </c>
      <c r="C490" s="35">
        <v>41499</v>
      </c>
      <c r="D490" s="35">
        <v>0</v>
      </c>
      <c r="E490" s="35">
        <v>0</v>
      </c>
      <c r="F490" s="35">
        <v>45559</v>
      </c>
      <c r="H490" s="35">
        <v>30000</v>
      </c>
      <c r="I490" s="35">
        <v>15559</v>
      </c>
    </row>
    <row r="491" spans="1:10" x14ac:dyDescent="0.35">
      <c r="A491" s="21" t="s">
        <v>297</v>
      </c>
      <c r="C491" s="35">
        <v>10000</v>
      </c>
      <c r="D491" s="35">
        <v>0</v>
      </c>
      <c r="E491" s="35">
        <v>0</v>
      </c>
      <c r="F491" s="35">
        <v>10000</v>
      </c>
      <c r="H491" s="35">
        <v>0</v>
      </c>
      <c r="I491" s="35">
        <v>10000</v>
      </c>
    </row>
    <row r="493" spans="1:10" x14ac:dyDescent="0.35">
      <c r="A493" s="21" t="s">
        <v>298</v>
      </c>
      <c r="D493" s="35">
        <v>8472</v>
      </c>
      <c r="E493" s="35">
        <v>3340</v>
      </c>
      <c r="G493" s="35">
        <v>21400</v>
      </c>
      <c r="H493" s="35">
        <v>21400</v>
      </c>
    </row>
    <row r="494" spans="1:10" x14ac:dyDescent="0.35">
      <c r="A494" s="21" t="s">
        <v>298</v>
      </c>
      <c r="B494" t="s">
        <v>294</v>
      </c>
      <c r="D494" s="35">
        <v>0</v>
      </c>
      <c r="E494" s="35">
        <v>0</v>
      </c>
      <c r="G494" s="35">
        <v>0</v>
      </c>
      <c r="H494" s="35">
        <v>0</v>
      </c>
    </row>
    <row r="495" spans="1:10" x14ac:dyDescent="0.35">
      <c r="A495" s="21" t="s">
        <v>299</v>
      </c>
      <c r="B495" t="s">
        <v>294</v>
      </c>
      <c r="D495" s="35">
        <v>2472</v>
      </c>
      <c r="E495" s="35">
        <v>2400</v>
      </c>
      <c r="G495" s="35">
        <v>2400</v>
      </c>
      <c r="H495" s="35">
        <v>2400</v>
      </c>
    </row>
    <row r="496" spans="1:10" x14ac:dyDescent="0.35">
      <c r="A496" s="21" t="s">
        <v>296</v>
      </c>
      <c r="B496" t="s">
        <v>296</v>
      </c>
      <c r="D496" s="35">
        <v>5000</v>
      </c>
      <c r="E496" s="35">
        <v>940</v>
      </c>
      <c r="G496" s="35">
        <v>0</v>
      </c>
      <c r="H496" s="35">
        <v>0</v>
      </c>
    </row>
    <row r="497" spans="1:10" x14ac:dyDescent="0.35">
      <c r="A497" s="21" t="s">
        <v>300</v>
      </c>
      <c r="B497" t="s">
        <v>294</v>
      </c>
      <c r="D497" s="35">
        <v>0</v>
      </c>
      <c r="E497" s="35">
        <v>0</v>
      </c>
      <c r="G497" s="35">
        <v>15000</v>
      </c>
      <c r="H497" s="35">
        <v>15000</v>
      </c>
    </row>
    <row r="498" spans="1:10" x14ac:dyDescent="0.35">
      <c r="A498" s="21" t="s">
        <v>301</v>
      </c>
      <c r="B498" t="s">
        <v>294</v>
      </c>
      <c r="D498" s="35">
        <v>1000</v>
      </c>
      <c r="E498" s="35">
        <v>0</v>
      </c>
      <c r="G498" s="35">
        <v>4000</v>
      </c>
      <c r="H498" s="35">
        <v>4000</v>
      </c>
    </row>
    <row r="500" spans="1:10" x14ac:dyDescent="0.35">
      <c r="A500" s="21" t="s">
        <v>302</v>
      </c>
      <c r="B500" t="s">
        <v>1</v>
      </c>
      <c r="C500" t="s">
        <v>2</v>
      </c>
      <c r="D500" t="s">
        <v>3</v>
      </c>
      <c r="E500" t="s">
        <v>4</v>
      </c>
      <c r="F500" t="s">
        <v>5</v>
      </c>
      <c r="G500" t="s">
        <v>6</v>
      </c>
      <c r="H500" t="s">
        <v>7</v>
      </c>
      <c r="I500" t="s">
        <v>8</v>
      </c>
      <c r="J500" s="21" t="s">
        <v>9</v>
      </c>
    </row>
    <row r="501" spans="1:10" x14ac:dyDescent="0.35">
      <c r="A501" s="21" t="s">
        <v>10</v>
      </c>
      <c r="D501" s="35">
        <v>0</v>
      </c>
      <c r="E501" s="35">
        <v>-5924.78</v>
      </c>
      <c r="G501" s="35">
        <v>0</v>
      </c>
      <c r="H501" s="35">
        <v>0</v>
      </c>
    </row>
    <row r="502" spans="1:10" x14ac:dyDescent="0.35">
      <c r="A502" s="21" t="s">
        <v>303</v>
      </c>
      <c r="C502" s="35">
        <v>104276.32</v>
      </c>
      <c r="D502" s="35">
        <v>0</v>
      </c>
      <c r="E502" s="35">
        <v>-5924.78</v>
      </c>
      <c r="F502" s="35">
        <v>17124.39</v>
      </c>
      <c r="H502" s="35">
        <v>0</v>
      </c>
      <c r="I502" s="35">
        <v>17124.39</v>
      </c>
    </row>
    <row r="503" spans="1:10" x14ac:dyDescent="0.35">
      <c r="A503" s="21" t="s">
        <v>304</v>
      </c>
      <c r="C503" s="35">
        <v>93176.2</v>
      </c>
      <c r="D503" s="35">
        <v>0</v>
      </c>
      <c r="E503" s="35">
        <v>0</v>
      </c>
      <c r="F503" s="35">
        <v>0</v>
      </c>
      <c r="H503" s="35">
        <v>0</v>
      </c>
      <c r="I503" s="35">
        <v>0</v>
      </c>
    </row>
    <row r="505" spans="1:10" x14ac:dyDescent="0.35">
      <c r="A505" s="21" t="s">
        <v>302</v>
      </c>
      <c r="D505" s="35">
        <v>0</v>
      </c>
      <c r="E505" s="35">
        <v>186252.91</v>
      </c>
      <c r="G505" s="35">
        <v>0</v>
      </c>
      <c r="H505" s="35">
        <v>0</v>
      </c>
    </row>
    <row r="506" spans="1:10" x14ac:dyDescent="0.35">
      <c r="A506" s="21" t="s">
        <v>305</v>
      </c>
      <c r="B506" t="s">
        <v>303</v>
      </c>
      <c r="D506" s="35">
        <v>0</v>
      </c>
      <c r="E506" s="35">
        <v>93076.71</v>
      </c>
      <c r="G506" s="35">
        <v>0</v>
      </c>
      <c r="H506" s="35">
        <v>0</v>
      </c>
    </row>
    <row r="507" spans="1:10" x14ac:dyDescent="0.35">
      <c r="A507" s="21" t="s">
        <v>306</v>
      </c>
      <c r="B507" t="s">
        <v>304</v>
      </c>
      <c r="D507" s="35">
        <v>0</v>
      </c>
      <c r="E507" s="35">
        <v>93176.2</v>
      </c>
      <c r="G507" s="35">
        <v>0</v>
      </c>
      <c r="H507" s="35">
        <v>0</v>
      </c>
    </row>
  </sheetData>
  <conditionalFormatting sqref="A3:J507">
    <cfRule type="expression" dxfId="101" priority="1">
      <formula>ISBLANK(OFFSET($A2,1,0))</formula>
    </cfRule>
  </conditionalFormatting>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I1007"/>
  <sheetViews>
    <sheetView zoomScale="87" zoomScaleNormal="100" workbookViewId="0">
      <pane xSplit="2" ySplit="1" topLeftCell="G138" activePane="bottomRight" state="frozen"/>
      <selection pane="topRight" activeCell="C1" sqref="C1"/>
      <selection pane="bottomLeft" activeCell="A2" sqref="A2"/>
      <selection pane="bottomRight" activeCell="R166" sqref="R166"/>
    </sheetView>
  </sheetViews>
  <sheetFormatPr defaultColWidth="8.81640625" defaultRowHeight="14.5" x14ac:dyDescent="0.35"/>
  <cols>
    <col min="1" max="1" width="26.81640625" style="86" customWidth="1"/>
    <col min="2" max="2" width="5.453125" style="85" bestFit="1" customWidth="1"/>
    <col min="3" max="3" width="5.453125" style="85" customWidth="1"/>
    <col min="4" max="4" width="10.453125" style="86" bestFit="1" customWidth="1"/>
    <col min="5" max="5" width="13.81640625" style="85" customWidth="1"/>
    <col min="6" max="6" width="19.54296875" style="93" customWidth="1"/>
    <col min="7" max="7" width="21.81640625" style="87" customWidth="1"/>
    <col min="8" max="8" width="13.453125" style="88" customWidth="1"/>
    <col min="9" max="9" width="13.81640625" style="89" bestFit="1" customWidth="1"/>
    <col min="10" max="10" width="19.54296875" style="87" bestFit="1" customWidth="1"/>
    <col min="11" max="11" width="20.453125" style="87" customWidth="1"/>
    <col min="12" max="12" width="13.453125" style="87" bestFit="1" customWidth="1"/>
    <col min="13" max="13" width="13.81640625" style="89" bestFit="1" customWidth="1"/>
    <col min="14" max="14" width="13.81640625" style="87" customWidth="1"/>
    <col min="15" max="15" width="11.54296875" style="87" bestFit="1" customWidth="1"/>
    <col min="16" max="16" width="21.54296875" style="87" customWidth="1"/>
    <col min="17" max="17" width="13.81640625" style="89" bestFit="1" customWidth="1"/>
    <col min="18" max="18" width="13.81640625" style="87" customWidth="1"/>
    <col min="19" max="19" width="11.81640625" style="87" bestFit="1" customWidth="1"/>
    <col min="20" max="20" width="13.453125" style="87" bestFit="1" customWidth="1"/>
    <col min="21" max="21" width="13.81640625" style="89" bestFit="1" customWidth="1"/>
    <col min="22" max="22" width="13.81640625" style="87" customWidth="1"/>
    <col min="23" max="23" width="12" style="87"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15</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-44166</v>
      </c>
      <c r="F2" s="87">
        <f>SUM(F3:F3)</f>
        <v>-144000</v>
      </c>
      <c r="I2" s="89">
        <f>SUM(I3:I3)</f>
        <v>-100155</v>
      </c>
      <c r="J2" s="87">
        <f>SUM(J3:J3)</f>
        <v>-2400</v>
      </c>
      <c r="M2" s="89">
        <f>SUM(M3:M3)</f>
        <v>-110000</v>
      </c>
      <c r="N2" s="87">
        <f>SUM(N3:N3)</f>
        <v>0</v>
      </c>
      <c r="Q2" s="89">
        <f>SUM(Q3:Q3)</f>
        <v>0</v>
      </c>
      <c r="R2" s="87">
        <f>SUM(R3:R3)</f>
        <v>0</v>
      </c>
      <c r="U2" s="89">
        <f>SUM(U3:U3)</f>
        <v>0</v>
      </c>
      <c r="V2" s="87">
        <f>SUM(V3:V3)</f>
        <v>0</v>
      </c>
      <c r="Y2" s="89">
        <f>SUM(Y3:Y3)</f>
        <v>0</v>
      </c>
      <c r="Z2" s="87">
        <f>SUM(Z3:Z3)</f>
        <v>0</v>
      </c>
      <c r="AC2" s="89">
        <f>SUM(AC3:AC3)</f>
        <v>0</v>
      </c>
      <c r="AD2" s="87">
        <f>SUM(AD3:AD3)</f>
        <v>0</v>
      </c>
    </row>
    <row r="3" spans="1:33" ht="116" x14ac:dyDescent="0.35">
      <c r="A3" s="86" t="s">
        <v>15</v>
      </c>
      <c r="B3" s="85">
        <v>1</v>
      </c>
      <c r="D3" s="86">
        <v>78133.02</v>
      </c>
      <c r="E3" s="87">
        <f>6292-50458</f>
        <v>-44166</v>
      </c>
      <c r="F3" s="87">
        <f>SUMIFS(H$16:H$1013,E$16:E$1013,1)</f>
        <v>-144000</v>
      </c>
      <c r="G3" s="87">
        <f>D3+E3-F3+SUMIFS(E$6:E$10,$C$6:$C$10,$A3)-SUMIFS(F$6:F$10,$C$6:$C$10,$A3)</f>
        <v>147703.46</v>
      </c>
      <c r="I3" s="89">
        <v>-100155</v>
      </c>
      <c r="J3" s="87">
        <f>SUMIFS(L$16:L$1020,I$16:I$1020,1)</f>
        <v>-2400</v>
      </c>
      <c r="K3" s="87">
        <f>G3+I3-J3+SUMIFS(I$6:I$10,$C$6:$C$10,$A3)-SUMIFS(J$6:J$10,$C$6:$C$10,$A3)</f>
        <v>136037.25799999983</v>
      </c>
      <c r="L3" s="84" t="s">
        <v>16</v>
      </c>
      <c r="M3" s="89">
        <v>-110000</v>
      </c>
      <c r="N3" s="87">
        <f>SUMIFS(P$16:P$1014,M$16:M$1014,1)</f>
        <v>0</v>
      </c>
      <c r="O3" s="87">
        <f>K3+M3-N3+SUMIFS(M$6:M$10,$C$6:$C$10,$A3)-SUMIFS(N$6:N$10,$C$6:$C$10,$A3)</f>
        <v>164584.50099999984</v>
      </c>
      <c r="P3" s="86" t="s">
        <v>2097</v>
      </c>
      <c r="R3" s="87">
        <f>SUMIFS(T$16:T$1013,Q$16:Q$1013,1)</f>
        <v>0</v>
      </c>
      <c r="S3" s="87">
        <f>O3+Q3-R3+SUMIFS(Q$6:Q$10,$C$6:$C$10,$A3)-SUMIFS(R$6:R$10,$C$6:$C$10,$A3)</f>
        <v>164584.50099999981</v>
      </c>
      <c r="V3" s="87">
        <f>SUMIFS(X$16:X$1013,U$16:U$1013,1)</f>
        <v>0</v>
      </c>
      <c r="W3" s="87">
        <f>S3+U3-V3+SUMIFS(U$6:U$10,$C$6:$C$10,$A3)-SUMIFS(V$6:V$10,$C$6:$C$10,$A3)</f>
        <v>164584.50099999981</v>
      </c>
      <c r="Z3" s="87">
        <f>SUMIFS(AB$16:AB$1013,Y$16:Y$1013,1)</f>
        <v>0</v>
      </c>
      <c r="AA3" s="87">
        <f>W3+Y3-Z3+SUMIFS(Y$6:Y$10,$C$6:$C$10,$A3)-SUMIFS(Z$6:Z$10,$C$6:$C$10,$A3)</f>
        <v>164584.50099999981</v>
      </c>
      <c r="AD3" s="87">
        <f>SUMIFS(AF$16:AF$1013,AC$16:AC$1013,1)</f>
        <v>0</v>
      </c>
      <c r="AE3" s="87">
        <f>AA3+AC3-AD3+SUMIFS(AC$6:AC$10,$C$6:$C$10,$A3)-SUMIFS(AD$6:AD$10,$C$6:$C$10,$A3)</f>
        <v>164584.50099999981</v>
      </c>
      <c r="AG3" s="87">
        <v>300000</v>
      </c>
    </row>
    <row r="4" spans="1:33" x14ac:dyDescent="0.35">
      <c r="E4" s="87"/>
      <c r="F4" s="87"/>
    </row>
    <row r="5" spans="1:33" x14ac:dyDescent="0.35">
      <c r="A5" s="90" t="s">
        <v>17</v>
      </c>
      <c r="D5" s="84"/>
      <c r="E5" s="87">
        <f>SUM(E6:E10)</f>
        <v>74948.98</v>
      </c>
      <c r="F5" s="87">
        <f>SUM(F6:F10)</f>
        <v>105212.54000000001</v>
      </c>
      <c r="I5" s="89">
        <f>SUM(I6:I10)</f>
        <v>227405</v>
      </c>
      <c r="J5" s="87">
        <f>SUM(J6:J10)</f>
        <v>141316.20200000014</v>
      </c>
      <c r="M5" s="89">
        <f>SUM(M6:M10)</f>
        <v>157801</v>
      </c>
      <c r="N5" s="87">
        <f>SUM(N6:N10)</f>
        <v>19253.756999999991</v>
      </c>
      <c r="Q5" s="89">
        <f>SUM(Q6:Q10)</f>
        <v>162536</v>
      </c>
      <c r="R5" s="87">
        <f>$Q$5</f>
        <v>162536</v>
      </c>
      <c r="U5" s="89">
        <f>SUM(U6:U10)</f>
        <v>167413</v>
      </c>
      <c r="V5" s="87">
        <f>$U$5</f>
        <v>167413</v>
      </c>
      <c r="Y5" s="89">
        <f>SUM(Y6:Y10)</f>
        <v>172438</v>
      </c>
      <c r="Z5" s="87">
        <f>$Y$5</f>
        <v>172438</v>
      </c>
      <c r="AC5" s="89">
        <f>SUM(AC6:AC10)</f>
        <v>177613</v>
      </c>
      <c r="AD5" s="87">
        <f>$AC$5</f>
        <v>177613</v>
      </c>
    </row>
    <row r="6" spans="1:33" x14ac:dyDescent="0.35">
      <c r="A6" s="87" t="s">
        <v>17</v>
      </c>
      <c r="B6" s="85">
        <v>2</v>
      </c>
      <c r="C6" s="85" t="s">
        <v>15</v>
      </c>
      <c r="D6" s="84"/>
      <c r="E6" s="87">
        <v>74948.98</v>
      </c>
      <c r="F6" s="87">
        <f>SUMIFS(H$16:H$1013,E$16:E$1013,$B6)</f>
        <v>105212.54000000001</v>
      </c>
      <c r="I6" s="91">
        <f>ROUNDUP((E6+1000)*RPICurrent,0)</f>
        <v>82405</v>
      </c>
      <c r="J6" s="87">
        <f>SUMIFS(L$16:L$1020,I$16:I$1020,$B6)</f>
        <v>85321.322000000117</v>
      </c>
      <c r="L6" s="86"/>
      <c r="M6" s="89">
        <v>90000</v>
      </c>
      <c r="N6" s="87">
        <f>SUMIFS(P$16:P$1020,M$16:M$1020,$B6)</f>
        <v>19040.186999999991</v>
      </c>
      <c r="Q6" s="89">
        <f>ROUNDUP((M6)*RPI,0)</f>
        <v>92700</v>
      </c>
      <c r="R6" s="87">
        <f>$Q$6</f>
        <v>92700</v>
      </c>
      <c r="U6" s="89">
        <f>ROUNDUP((Q6)*RPI,0)</f>
        <v>95481</v>
      </c>
      <c r="V6" s="87">
        <f>$U$6</f>
        <v>95481</v>
      </c>
      <c r="Y6" s="89">
        <f>ROUNDUP((U6)*RPI,0)</f>
        <v>98346</v>
      </c>
      <c r="Z6" s="87">
        <f>$Y$6</f>
        <v>98346</v>
      </c>
      <c r="AC6" s="89">
        <f>ROUNDUP((Y6)*RPI,0)</f>
        <v>101297</v>
      </c>
      <c r="AD6" s="87">
        <f>$AC$6</f>
        <v>101297</v>
      </c>
    </row>
    <row r="7" spans="1:33" x14ac:dyDescent="0.35">
      <c r="A7" s="87" t="s">
        <v>18</v>
      </c>
      <c r="B7" s="85">
        <v>3</v>
      </c>
      <c r="C7" s="85" t="s">
        <v>15</v>
      </c>
      <c r="E7" s="87">
        <v>0</v>
      </c>
      <c r="F7" s="87">
        <f>SUMIFS(H$16:H$1013,E$16:E$1013,$B7)</f>
        <v>0</v>
      </c>
      <c r="I7" s="89">
        <v>55000</v>
      </c>
      <c r="J7" s="87">
        <f>SUMIFS(L$16:L$1020,I$16:I$1020,$B7)</f>
        <v>2881.66</v>
      </c>
      <c r="L7" s="87" t="s">
        <v>498</v>
      </c>
      <c r="M7" s="89">
        <v>10000</v>
      </c>
      <c r="N7" s="87">
        <f>SUMIFS(P$16:P$1020,M$16:M$1020,$B7)</f>
        <v>0</v>
      </c>
      <c r="Q7" s="89">
        <f>ROUNDUP((M7)*RPI,0)</f>
        <v>10300</v>
      </c>
      <c r="R7" s="87">
        <f>$Q$7</f>
        <v>10300</v>
      </c>
      <c r="U7" s="89">
        <f>ROUNDUP((Q7)*RPI,0)</f>
        <v>10609</v>
      </c>
      <c r="V7" s="87">
        <f>$U$7</f>
        <v>10609</v>
      </c>
      <c r="Y7" s="89">
        <f>ROUNDUP((U7)*RPI,0)</f>
        <v>10928</v>
      </c>
      <c r="Z7" s="87">
        <f>$Y$7</f>
        <v>10928</v>
      </c>
      <c r="AC7" s="89">
        <f>ROUNDUP((Y7)*RPI,0)</f>
        <v>11256</v>
      </c>
      <c r="AD7" s="87">
        <f>$AC$7</f>
        <v>11256</v>
      </c>
    </row>
    <row r="8" spans="1:33" ht="14.5" customHeight="1" x14ac:dyDescent="0.35">
      <c r="A8" s="86" t="s">
        <v>19</v>
      </c>
      <c r="B8" s="92">
        <v>4</v>
      </c>
      <c r="C8" s="85" t="s">
        <v>15</v>
      </c>
      <c r="D8" s="84"/>
      <c r="E8" s="87">
        <v>0</v>
      </c>
      <c r="F8" s="87">
        <f>SUMIFS(H$16:H$1013,E$16:E$1013,$B8)</f>
        <v>0</v>
      </c>
      <c r="I8" s="89">
        <v>5000</v>
      </c>
      <c r="J8" s="87">
        <f>SUMIFS(L$16:L$1020,I$16:I$1020,$B8)</f>
        <v>3526.83</v>
      </c>
      <c r="L8" s="87" t="s">
        <v>498</v>
      </c>
      <c r="M8" s="89">
        <v>10000</v>
      </c>
      <c r="N8" s="87">
        <f>SUMIFS(P$16:P$1020,M$16:M$1020,$B8)</f>
        <v>0</v>
      </c>
      <c r="P8" s="87" t="s">
        <v>2096</v>
      </c>
      <c r="Q8" s="89">
        <f>ROUNDUP((M8)*RPI,0)</f>
        <v>10300</v>
      </c>
      <c r="R8" s="87">
        <f>$Q$8</f>
        <v>10300</v>
      </c>
      <c r="U8" s="89">
        <f>ROUNDUP((Q8)*RPI,0)</f>
        <v>10609</v>
      </c>
      <c r="V8" s="87">
        <f>$U$8</f>
        <v>10609</v>
      </c>
      <c r="Y8" s="89">
        <f>ROUNDUP((U8)*RPI,0)</f>
        <v>10928</v>
      </c>
      <c r="Z8" s="87">
        <f>$Y$8</f>
        <v>10928</v>
      </c>
      <c r="AC8" s="89">
        <f>ROUNDUP((Y8)*RPI,0)</f>
        <v>11256</v>
      </c>
      <c r="AD8" s="87">
        <f>$AC$8</f>
        <v>11256</v>
      </c>
    </row>
    <row r="9" spans="1:33" x14ac:dyDescent="0.35">
      <c r="A9" s="86" t="s">
        <v>20</v>
      </c>
      <c r="B9" s="92">
        <v>5</v>
      </c>
      <c r="C9" s="85" t="s">
        <v>15</v>
      </c>
      <c r="D9" s="84"/>
      <c r="E9" s="87">
        <v>0</v>
      </c>
      <c r="F9" s="87">
        <f>SUMIFS(H$16:H$1013,E$16:E$1013,$B9)</f>
        <v>0</v>
      </c>
      <c r="I9" s="89">
        <v>25000</v>
      </c>
      <c r="J9" s="87">
        <f>SUMIFS(L$16:L$1020,I$16:I$1020,$B9)</f>
        <v>5791.66</v>
      </c>
      <c r="L9" s="87" t="s">
        <v>498</v>
      </c>
      <c r="M9" s="89">
        <v>7000</v>
      </c>
      <c r="N9" s="87">
        <f>SUMIFS(P$16:P$1020,M$16:M$1020,$B9)</f>
        <v>0</v>
      </c>
      <c r="Q9" s="89">
        <f>ROUNDUP((M9)*RPI,0)</f>
        <v>7210</v>
      </c>
      <c r="R9" s="87">
        <f>$Q$9</f>
        <v>7210</v>
      </c>
      <c r="U9" s="89">
        <f>ROUNDUP((Q9)*RPI,0)</f>
        <v>7427</v>
      </c>
      <c r="V9" s="87">
        <f>$U$9</f>
        <v>7427</v>
      </c>
      <c r="Y9" s="89">
        <f>ROUNDUP((U9)*RPI,0)</f>
        <v>7650</v>
      </c>
      <c r="Z9" s="87">
        <f>$Y$9</f>
        <v>7650</v>
      </c>
      <c r="AC9" s="89">
        <f>ROUNDUP((Y9)*RPI,0)</f>
        <v>7880</v>
      </c>
      <c r="AD9" s="87">
        <f>$AC$9</f>
        <v>7880</v>
      </c>
    </row>
    <row r="10" spans="1:33" ht="72.5" x14ac:dyDescent="0.35">
      <c r="A10" s="86" t="s">
        <v>21</v>
      </c>
      <c r="B10" s="92">
        <v>6</v>
      </c>
      <c r="C10" s="85" t="s">
        <v>15</v>
      </c>
      <c r="D10" s="84"/>
      <c r="E10" s="87">
        <v>0</v>
      </c>
      <c r="F10" s="87">
        <f>SUMIFS(H$16:H$1013,E$16:E$1013,$B10)</f>
        <v>0</v>
      </c>
      <c r="I10" s="89">
        <v>60000</v>
      </c>
      <c r="J10" s="87">
        <f>SUMIFS(L$16:L$1020,I$16:I$1020,$B10)</f>
        <v>43794.73</v>
      </c>
      <c r="M10" s="89">
        <v>40801</v>
      </c>
      <c r="N10" s="87">
        <f>SUMIFS(P$16:P$1020,M$16:M$1020,$B10)</f>
        <v>213.57</v>
      </c>
      <c r="P10" s="86" t="s">
        <v>499</v>
      </c>
      <c r="Q10" s="89">
        <f>ROUNDUP((M10)*RPI,0)</f>
        <v>42026</v>
      </c>
      <c r="R10" s="87">
        <f>$Q$10</f>
        <v>42026</v>
      </c>
      <c r="U10" s="89">
        <f>ROUNDUP((Q10)*RPI,0)</f>
        <v>43287</v>
      </c>
      <c r="V10" s="87">
        <f>$U$10</f>
        <v>43287</v>
      </c>
      <c r="Y10" s="89">
        <f>ROUNDUP((U10)*RPI,0)</f>
        <v>44586</v>
      </c>
      <c r="Z10" s="87">
        <f>$Y$10</f>
        <v>44586</v>
      </c>
      <c r="AC10" s="89">
        <f>ROUNDUP((Y10)*RPI,0)</f>
        <v>45924</v>
      </c>
      <c r="AD10" s="87">
        <f>$AC$10</f>
        <v>45924</v>
      </c>
    </row>
    <row r="11" spans="1:33" x14ac:dyDescent="0.35">
      <c r="E11" s="87"/>
      <c r="F11" s="87"/>
    </row>
    <row r="12" spans="1:33" x14ac:dyDescent="0.35">
      <c r="E12" s="87"/>
      <c r="F12" s="87"/>
    </row>
    <row r="13" spans="1:33" x14ac:dyDescent="0.35">
      <c r="E13" s="87"/>
      <c r="F13" s="87"/>
    </row>
    <row r="14" spans="1:33" x14ac:dyDescent="0.35">
      <c r="A14" s="84" t="s">
        <v>487</v>
      </c>
      <c r="G14" s="85"/>
      <c r="H14" s="87"/>
      <c r="I14" s="94"/>
      <c r="J14" s="93"/>
      <c r="K14" s="85"/>
      <c r="M14" s="94"/>
      <c r="N14" s="93"/>
      <c r="O14" s="85"/>
      <c r="Q14" s="94"/>
      <c r="R14" s="93"/>
      <c r="S14" s="85"/>
      <c r="U14" s="94"/>
      <c r="V14" s="93"/>
      <c r="W14" s="85"/>
      <c r="Y14" s="94"/>
      <c r="Z14" s="93"/>
      <c r="AA14" s="85"/>
      <c r="AC14" s="94"/>
      <c r="AD14" s="93"/>
      <c r="AE14" s="85"/>
    </row>
    <row r="15" spans="1:33"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x14ac:dyDescent="0.35">
      <c r="A16" s="85"/>
      <c r="D16" s="85"/>
      <c r="E16" s="85">
        <v>2</v>
      </c>
      <c r="F16" s="93" t="s">
        <v>500</v>
      </c>
      <c r="G16" s="85" t="s">
        <v>501</v>
      </c>
      <c r="H16" s="87">
        <v>4500</v>
      </c>
      <c r="I16" s="94">
        <v>2</v>
      </c>
      <c r="J16" s="93">
        <v>45017</v>
      </c>
      <c r="K16" s="85" t="s">
        <v>502</v>
      </c>
      <c r="L16" s="87">
        <v>1575</v>
      </c>
      <c r="M16" s="94">
        <v>2</v>
      </c>
      <c r="N16" s="93" t="s">
        <v>676</v>
      </c>
      <c r="O16" s="85" t="s">
        <v>677</v>
      </c>
      <c r="P16" s="87">
        <v>5000</v>
      </c>
      <c r="Q16" s="94"/>
      <c r="R16" s="93"/>
      <c r="S16" s="85"/>
      <c r="U16" s="94"/>
      <c r="V16" s="93"/>
      <c r="W16" s="85"/>
      <c r="Y16" s="94"/>
      <c r="Z16" s="93"/>
      <c r="AA16" s="85"/>
      <c r="AC16" s="94"/>
      <c r="AD16" s="93"/>
      <c r="AE16" s="85"/>
    </row>
    <row r="17" spans="5:31" x14ac:dyDescent="0.35">
      <c r="E17" s="85">
        <v>2</v>
      </c>
      <c r="F17" s="93" t="s">
        <v>503</v>
      </c>
      <c r="G17" s="85" t="s">
        <v>504</v>
      </c>
      <c r="H17" s="87">
        <v>100</v>
      </c>
      <c r="I17" s="94">
        <v>2</v>
      </c>
      <c r="J17" s="93">
        <v>45028</v>
      </c>
      <c r="K17" s="85" t="s">
        <v>505</v>
      </c>
      <c r="L17" s="87">
        <v>1334.65</v>
      </c>
      <c r="M17" s="94">
        <v>2</v>
      </c>
      <c r="N17" s="93">
        <v>45392</v>
      </c>
      <c r="O17" s="85" t="s">
        <v>2202</v>
      </c>
      <c r="P17" s="148">
        <v>81.87</v>
      </c>
      <c r="Q17" s="94"/>
      <c r="R17" s="93"/>
      <c r="S17" s="85"/>
      <c r="U17" s="94"/>
      <c r="V17" s="93"/>
      <c r="W17" s="85"/>
      <c r="Y17" s="94"/>
      <c r="Z17" s="93"/>
      <c r="AA17" s="85"/>
      <c r="AC17" s="94"/>
      <c r="AD17" s="93"/>
      <c r="AE17" s="85"/>
    </row>
    <row r="18" spans="5:31" x14ac:dyDescent="0.35">
      <c r="E18" s="85">
        <v>2</v>
      </c>
      <c r="F18" s="93" t="s">
        <v>506</v>
      </c>
      <c r="G18" s="85" t="s">
        <v>507</v>
      </c>
      <c r="H18" s="87">
        <v>225</v>
      </c>
      <c r="I18" s="94">
        <v>2</v>
      </c>
      <c r="J18" s="93">
        <v>45020</v>
      </c>
      <c r="K18" s="85" t="s">
        <v>508</v>
      </c>
      <c r="L18" s="87">
        <v>160</v>
      </c>
      <c r="M18" s="94">
        <v>2</v>
      </c>
      <c r="N18" s="93">
        <v>45386</v>
      </c>
      <c r="O18" s="85" t="s">
        <v>2202</v>
      </c>
      <c r="P18" s="148">
        <v>42.87</v>
      </c>
      <c r="Q18" s="94"/>
      <c r="R18" s="93"/>
      <c r="S18" s="85"/>
      <c r="U18" s="94"/>
      <c r="V18" s="93"/>
      <c r="W18" s="85"/>
      <c r="Y18" s="94"/>
      <c r="Z18" s="93"/>
      <c r="AA18" s="85"/>
      <c r="AC18" s="94"/>
      <c r="AD18" s="93"/>
      <c r="AE18" s="85"/>
    </row>
    <row r="19" spans="5:31" x14ac:dyDescent="0.35">
      <c r="E19" s="85">
        <v>2</v>
      </c>
      <c r="F19" s="93" t="s">
        <v>506</v>
      </c>
      <c r="G19" s="85" t="s">
        <v>509</v>
      </c>
      <c r="H19" s="87">
        <v>4275</v>
      </c>
      <c r="I19" s="94">
        <v>2</v>
      </c>
      <c r="J19" s="93">
        <v>45044</v>
      </c>
      <c r="K19" s="85" t="s">
        <v>510</v>
      </c>
      <c r="L19" s="87">
        <v>2166</v>
      </c>
      <c r="M19" s="94">
        <v>2</v>
      </c>
      <c r="N19" s="93">
        <v>45391</v>
      </c>
      <c r="O19" s="85" t="s">
        <v>615</v>
      </c>
      <c r="P19" s="148">
        <v>88.74</v>
      </c>
      <c r="Q19" s="94"/>
      <c r="R19" s="93"/>
      <c r="S19" s="85"/>
      <c r="U19" s="94"/>
      <c r="V19" s="93"/>
      <c r="W19" s="85"/>
      <c r="Y19" s="94"/>
      <c r="Z19" s="93"/>
      <c r="AA19" s="85"/>
      <c r="AC19" s="94"/>
      <c r="AD19" s="93"/>
      <c r="AE19" s="85"/>
    </row>
    <row r="20" spans="5:31" x14ac:dyDescent="0.35">
      <c r="E20" s="85">
        <v>2</v>
      </c>
      <c r="F20" s="93" t="s">
        <v>506</v>
      </c>
      <c r="G20" s="85" t="s">
        <v>511</v>
      </c>
      <c r="H20" s="87">
        <v>370</v>
      </c>
      <c r="I20" s="94">
        <v>2</v>
      </c>
      <c r="J20" s="93">
        <v>45033</v>
      </c>
      <c r="K20" s="85" t="s">
        <v>512</v>
      </c>
      <c r="L20" s="87">
        <v>245</v>
      </c>
      <c r="M20" s="94">
        <v>2</v>
      </c>
      <c r="N20" s="93">
        <v>45391</v>
      </c>
      <c r="O20" s="85" t="s">
        <v>2820</v>
      </c>
      <c r="P20" s="148">
        <v>38.17</v>
      </c>
      <c r="Q20" s="94"/>
      <c r="R20" s="93"/>
      <c r="S20" s="85"/>
      <c r="U20" s="94"/>
      <c r="V20" s="93"/>
      <c r="W20" s="85"/>
      <c r="Y20" s="94"/>
      <c r="Z20" s="93"/>
      <c r="AA20" s="85"/>
      <c r="AC20" s="94"/>
      <c r="AD20" s="93"/>
      <c r="AE20" s="85"/>
    </row>
    <row r="21" spans="5:31" x14ac:dyDescent="0.35">
      <c r="E21" s="85">
        <v>2</v>
      </c>
      <c r="F21" s="93" t="s">
        <v>506</v>
      </c>
      <c r="G21" s="85" t="s">
        <v>513</v>
      </c>
      <c r="H21" s="87">
        <v>200</v>
      </c>
      <c r="I21" s="94">
        <v>1</v>
      </c>
      <c r="J21" s="93">
        <v>45044</v>
      </c>
      <c r="K21" s="85" t="s">
        <v>514</v>
      </c>
      <c r="L21" s="87">
        <v>3600</v>
      </c>
      <c r="M21" s="94">
        <v>2</v>
      </c>
      <c r="N21" s="93">
        <v>45393</v>
      </c>
      <c r="O21" s="85" t="s">
        <v>615</v>
      </c>
      <c r="P21" s="148">
        <v>9.17</v>
      </c>
      <c r="Q21" s="94"/>
      <c r="R21" s="93"/>
      <c r="S21" s="85"/>
      <c r="U21" s="94"/>
      <c r="V21" s="93"/>
      <c r="W21" s="85"/>
      <c r="Y21" s="94"/>
      <c r="Z21" s="93"/>
      <c r="AA21" s="85"/>
      <c r="AC21" s="94"/>
      <c r="AD21" s="93"/>
      <c r="AE21" s="85"/>
    </row>
    <row r="22" spans="5:31" x14ac:dyDescent="0.35">
      <c r="E22" s="85">
        <v>2</v>
      </c>
      <c r="F22" s="93" t="s">
        <v>506</v>
      </c>
      <c r="G22" s="85" t="s">
        <v>515</v>
      </c>
      <c r="H22" s="87">
        <v>465</v>
      </c>
      <c r="I22" s="94">
        <v>2</v>
      </c>
      <c r="J22" s="93">
        <v>45034</v>
      </c>
      <c r="K22" s="85" t="s">
        <v>516</v>
      </c>
      <c r="L22" s="87">
        <v>2475</v>
      </c>
      <c r="M22" s="94">
        <v>2</v>
      </c>
      <c r="N22" s="93">
        <v>45394</v>
      </c>
      <c r="O22" s="85" t="s">
        <v>2829</v>
      </c>
      <c r="P22" s="148">
        <v>46.5</v>
      </c>
      <c r="Q22" s="94"/>
      <c r="R22" s="93"/>
      <c r="S22" s="85"/>
      <c r="U22" s="94"/>
      <c r="V22" s="93"/>
      <c r="W22" s="85"/>
      <c r="Y22" s="94"/>
      <c r="Z22" s="93"/>
      <c r="AA22" s="85"/>
      <c r="AC22" s="94"/>
      <c r="AD22" s="93"/>
      <c r="AE22" s="85"/>
    </row>
    <row r="23" spans="5:31" x14ac:dyDescent="0.35">
      <c r="E23" s="85">
        <v>2</v>
      </c>
      <c r="F23" s="93" t="s">
        <v>506</v>
      </c>
      <c r="G23" s="85" t="s">
        <v>517</v>
      </c>
      <c r="H23" s="87">
        <v>300</v>
      </c>
      <c r="I23" s="94">
        <v>2</v>
      </c>
      <c r="J23" s="93">
        <v>45030</v>
      </c>
      <c r="K23" s="85" t="s">
        <v>518</v>
      </c>
      <c r="L23" s="87">
        <v>18.13</v>
      </c>
      <c r="M23" s="94">
        <v>2</v>
      </c>
      <c r="N23" s="93">
        <v>45387</v>
      </c>
      <c r="O23" s="85" t="s">
        <v>2836</v>
      </c>
      <c r="P23" s="148">
        <v>6.35</v>
      </c>
      <c r="Q23" s="94"/>
      <c r="R23" s="93"/>
      <c r="S23" s="85"/>
      <c r="U23" s="94"/>
      <c r="V23" s="93"/>
      <c r="W23" s="85"/>
      <c r="Y23" s="94"/>
      <c r="Z23" s="93"/>
      <c r="AA23" s="85"/>
      <c r="AC23" s="94"/>
      <c r="AD23" s="93"/>
      <c r="AE23" s="85"/>
    </row>
    <row r="24" spans="5:31" x14ac:dyDescent="0.35">
      <c r="E24" s="85">
        <v>2</v>
      </c>
      <c r="F24" s="93" t="s">
        <v>519</v>
      </c>
      <c r="G24" s="85" t="s">
        <v>520</v>
      </c>
      <c r="H24" s="87">
        <v>1240</v>
      </c>
      <c r="I24" s="94">
        <v>2</v>
      </c>
      <c r="J24" s="93">
        <v>45035</v>
      </c>
      <c r="K24" s="85" t="s">
        <v>521</v>
      </c>
      <c r="L24" s="87">
        <v>30.78</v>
      </c>
      <c r="M24" s="94">
        <v>2</v>
      </c>
      <c r="N24" s="93">
        <v>45399</v>
      </c>
      <c r="O24" s="85" t="s">
        <v>2841</v>
      </c>
      <c r="P24" s="148">
        <v>80</v>
      </c>
      <c r="Q24" s="94"/>
      <c r="R24" s="93"/>
      <c r="S24" s="85"/>
      <c r="U24" s="94"/>
      <c r="V24" s="93"/>
      <c r="W24" s="85"/>
      <c r="Y24" s="94"/>
      <c r="Z24" s="93"/>
      <c r="AA24" s="85"/>
      <c r="AC24" s="94"/>
      <c r="AD24" s="93"/>
      <c r="AE24" s="85"/>
    </row>
    <row r="25" spans="5:31" x14ac:dyDescent="0.35">
      <c r="E25" s="85">
        <v>2</v>
      </c>
      <c r="F25" s="93" t="s">
        <v>522</v>
      </c>
      <c r="G25" s="85" t="s">
        <v>523</v>
      </c>
      <c r="H25" s="87">
        <v>90</v>
      </c>
      <c r="I25" s="94">
        <v>2</v>
      </c>
      <c r="J25" s="93">
        <v>45041</v>
      </c>
      <c r="K25" s="85" t="s">
        <v>524</v>
      </c>
      <c r="L25" s="87">
        <v>32.299999999999997</v>
      </c>
      <c r="M25" s="94">
        <v>2</v>
      </c>
      <c r="N25" s="93">
        <v>45400</v>
      </c>
      <c r="O25" s="85" t="s">
        <v>615</v>
      </c>
      <c r="P25" s="148">
        <v>24.79</v>
      </c>
      <c r="Q25" s="94"/>
      <c r="R25" s="93"/>
      <c r="S25" s="85"/>
      <c r="U25" s="94"/>
      <c r="V25" s="93"/>
      <c r="W25" s="85"/>
      <c r="Y25" s="94"/>
      <c r="Z25" s="93"/>
      <c r="AA25" s="85"/>
      <c r="AC25" s="94"/>
      <c r="AD25" s="93"/>
      <c r="AE25" s="85"/>
    </row>
    <row r="26" spans="5:31" x14ac:dyDescent="0.35">
      <c r="E26" s="85">
        <v>2</v>
      </c>
      <c r="F26" s="93" t="s">
        <v>522</v>
      </c>
      <c r="G26" s="85" t="s">
        <v>525</v>
      </c>
      <c r="H26" s="87">
        <v>200.93</v>
      </c>
      <c r="I26" s="94">
        <v>2</v>
      </c>
      <c r="J26" s="93">
        <v>45040</v>
      </c>
      <c r="K26" s="85" t="s">
        <v>526</v>
      </c>
      <c r="L26" s="87">
        <v>5.83</v>
      </c>
      <c r="M26" s="94">
        <v>2</v>
      </c>
      <c r="N26" s="93">
        <v>45400</v>
      </c>
      <c r="O26" s="85" t="s">
        <v>2844</v>
      </c>
      <c r="P26" s="148">
        <v>3.75</v>
      </c>
      <c r="Q26" s="94"/>
      <c r="R26" s="93"/>
      <c r="S26" s="85"/>
      <c r="U26" s="94"/>
      <c r="V26" s="93"/>
      <c r="W26" s="85"/>
      <c r="Y26" s="94"/>
      <c r="Z26" s="93"/>
      <c r="AA26" s="85"/>
      <c r="AC26" s="94"/>
      <c r="AD26" s="93"/>
      <c r="AE26" s="85"/>
    </row>
    <row r="27" spans="5:31" x14ac:dyDescent="0.35">
      <c r="E27" s="85">
        <v>2</v>
      </c>
      <c r="F27" s="93" t="s">
        <v>527</v>
      </c>
      <c r="G27" s="85" t="s">
        <v>528</v>
      </c>
      <c r="H27" s="87">
        <v>117</v>
      </c>
      <c r="I27" s="94">
        <v>2</v>
      </c>
      <c r="J27" s="93">
        <v>45044</v>
      </c>
      <c r="K27" s="85" t="s">
        <v>529</v>
      </c>
      <c r="L27" s="87">
        <v>3277.1</v>
      </c>
      <c r="M27" s="94">
        <v>2</v>
      </c>
      <c r="N27" s="93">
        <v>45405</v>
      </c>
      <c r="O27" s="85" t="s">
        <v>615</v>
      </c>
      <c r="P27" s="148">
        <v>7.66</v>
      </c>
      <c r="Q27" s="94"/>
      <c r="R27" s="93"/>
      <c r="S27" s="85"/>
      <c r="U27" s="94"/>
      <c r="V27" s="93"/>
      <c r="W27" s="85"/>
      <c r="Y27" s="94"/>
      <c r="Z27" s="93"/>
      <c r="AA27" s="85"/>
      <c r="AC27" s="94"/>
      <c r="AD27" s="93"/>
      <c r="AE27" s="85"/>
    </row>
    <row r="28" spans="5:31" x14ac:dyDescent="0.35">
      <c r="E28" s="85">
        <v>2</v>
      </c>
      <c r="F28" s="93" t="s">
        <v>530</v>
      </c>
      <c r="G28" s="85" t="s">
        <v>531</v>
      </c>
      <c r="H28" s="87">
        <v>27.7</v>
      </c>
      <c r="I28" s="94">
        <v>2</v>
      </c>
      <c r="J28" s="93">
        <v>45044</v>
      </c>
      <c r="K28" s="85" t="s">
        <v>532</v>
      </c>
      <c r="L28" s="87">
        <v>1137.19</v>
      </c>
      <c r="M28" s="94">
        <v>2</v>
      </c>
      <c r="N28" s="93">
        <v>45401</v>
      </c>
      <c r="O28" s="85" t="s">
        <v>727</v>
      </c>
      <c r="P28" s="148">
        <v>12.08</v>
      </c>
      <c r="Q28" s="94"/>
      <c r="R28" s="93"/>
      <c r="S28" s="85"/>
      <c r="U28" s="94"/>
      <c r="V28" s="93"/>
      <c r="W28" s="85"/>
      <c r="Y28" s="94"/>
      <c r="Z28" s="93"/>
      <c r="AA28" s="85"/>
      <c r="AC28" s="94"/>
      <c r="AD28" s="93"/>
      <c r="AE28" s="85"/>
    </row>
    <row r="29" spans="5:31" x14ac:dyDescent="0.35">
      <c r="E29" s="85">
        <v>2</v>
      </c>
      <c r="F29" s="93" t="s">
        <v>533</v>
      </c>
      <c r="G29" s="85" t="s">
        <v>534</v>
      </c>
      <c r="H29" s="87">
        <v>360</v>
      </c>
      <c r="I29" s="94">
        <v>2</v>
      </c>
      <c r="J29" s="93">
        <v>45050</v>
      </c>
      <c r="K29" s="85" t="s">
        <v>535</v>
      </c>
      <c r="L29" s="87">
        <v>11.67</v>
      </c>
      <c r="M29" s="94">
        <v>2</v>
      </c>
      <c r="N29" s="93">
        <v>45405</v>
      </c>
      <c r="O29" s="85" t="s">
        <v>2848</v>
      </c>
      <c r="P29" s="148">
        <v>16.670000000000002</v>
      </c>
      <c r="Q29" s="94"/>
      <c r="R29" s="93"/>
      <c r="S29" s="85"/>
      <c r="U29" s="94"/>
      <c r="V29" s="93"/>
      <c r="W29" s="85"/>
      <c r="Y29" s="94"/>
      <c r="Z29" s="93"/>
      <c r="AA29" s="85"/>
      <c r="AC29" s="94"/>
      <c r="AD29" s="93"/>
      <c r="AE29" s="85"/>
    </row>
    <row r="30" spans="5:31" x14ac:dyDescent="0.35">
      <c r="E30" s="85">
        <v>2</v>
      </c>
      <c r="F30" s="93" t="s">
        <v>533</v>
      </c>
      <c r="G30" s="85" t="s">
        <v>536</v>
      </c>
      <c r="H30" s="87">
        <v>869.42</v>
      </c>
      <c r="I30" s="94">
        <v>2</v>
      </c>
      <c r="J30" s="93">
        <v>45061</v>
      </c>
      <c r="K30" s="85" t="s">
        <v>537</v>
      </c>
      <c r="L30" s="87">
        <v>15</v>
      </c>
      <c r="M30" s="94">
        <v>2</v>
      </c>
      <c r="N30" s="93">
        <v>45407</v>
      </c>
      <c r="O30" s="85" t="s">
        <v>615</v>
      </c>
      <c r="P30" s="148">
        <v>66.5</v>
      </c>
      <c r="Q30" s="94"/>
      <c r="R30" s="93"/>
      <c r="S30" s="85"/>
      <c r="U30" s="94"/>
      <c r="V30" s="93"/>
      <c r="W30" s="85"/>
      <c r="Y30" s="94"/>
      <c r="Z30" s="93"/>
      <c r="AA30" s="85"/>
      <c r="AC30" s="94"/>
      <c r="AD30" s="93"/>
      <c r="AE30" s="85"/>
    </row>
    <row r="31" spans="5:31" x14ac:dyDescent="0.35">
      <c r="E31" s="85">
        <v>2</v>
      </c>
      <c r="F31" s="93" t="s">
        <v>538</v>
      </c>
      <c r="G31" s="85" t="s">
        <v>539</v>
      </c>
      <c r="H31" s="87">
        <v>21.14</v>
      </c>
      <c r="I31" s="94">
        <v>2</v>
      </c>
      <c r="J31" s="93">
        <v>45044</v>
      </c>
      <c r="K31" s="85" t="s">
        <v>540</v>
      </c>
      <c r="L31" s="87">
        <v>210</v>
      </c>
      <c r="M31" s="94">
        <v>2</v>
      </c>
      <c r="N31" s="93">
        <v>45404</v>
      </c>
      <c r="O31" s="85" t="s">
        <v>2850</v>
      </c>
      <c r="P31" s="148">
        <v>30</v>
      </c>
      <c r="Q31" s="94"/>
      <c r="R31" s="93"/>
      <c r="S31" s="85"/>
      <c r="U31" s="94"/>
      <c r="V31" s="93"/>
      <c r="W31" s="85"/>
      <c r="Y31" s="94"/>
      <c r="Z31" s="93"/>
      <c r="AA31" s="85"/>
      <c r="AC31" s="94"/>
      <c r="AD31" s="93"/>
      <c r="AE31" s="85"/>
    </row>
    <row r="32" spans="5:31" x14ac:dyDescent="0.35">
      <c r="E32" s="85">
        <v>2</v>
      </c>
      <c r="F32" s="93" t="s">
        <v>541</v>
      </c>
      <c r="G32" s="85" t="s">
        <v>542</v>
      </c>
      <c r="H32" s="87">
        <v>80</v>
      </c>
      <c r="I32" s="94">
        <v>2</v>
      </c>
      <c r="J32" s="93">
        <v>45077</v>
      </c>
      <c r="K32" s="85" t="s">
        <v>543</v>
      </c>
      <c r="L32" s="87">
        <v>140</v>
      </c>
      <c r="M32" s="94">
        <v>2</v>
      </c>
      <c r="N32" s="93">
        <v>45407</v>
      </c>
      <c r="O32" s="85" t="s">
        <v>615</v>
      </c>
      <c r="P32" s="148">
        <v>16.329999999999998</v>
      </c>
      <c r="Q32" s="94"/>
      <c r="R32" s="93"/>
      <c r="S32" s="85"/>
      <c r="U32" s="94"/>
      <c r="V32" s="93"/>
      <c r="W32" s="85"/>
      <c r="Y32" s="94"/>
      <c r="Z32" s="93"/>
      <c r="AA32" s="85"/>
      <c r="AC32" s="94"/>
      <c r="AD32" s="93"/>
      <c r="AE32" s="85"/>
    </row>
    <row r="33" spans="5:31" x14ac:dyDescent="0.35">
      <c r="E33" s="85">
        <v>2</v>
      </c>
      <c r="F33" s="93" t="s">
        <v>544</v>
      </c>
      <c r="G33" s="85" t="s">
        <v>545</v>
      </c>
      <c r="H33" s="87">
        <v>490</v>
      </c>
      <c r="I33" s="94">
        <v>2</v>
      </c>
      <c r="J33" s="93">
        <v>45035</v>
      </c>
      <c r="K33" s="85" t="s">
        <v>546</v>
      </c>
      <c r="L33" s="87">
        <v>4200</v>
      </c>
      <c r="M33" s="94">
        <v>2</v>
      </c>
      <c r="N33" s="93">
        <v>45401</v>
      </c>
      <c r="O33" s="85" t="s">
        <v>615</v>
      </c>
      <c r="P33" s="148">
        <v>18.04</v>
      </c>
      <c r="Q33" s="94"/>
      <c r="R33" s="93"/>
      <c r="S33" s="85"/>
      <c r="U33" s="94"/>
      <c r="V33" s="93"/>
      <c r="W33" s="85"/>
      <c r="Y33" s="94"/>
      <c r="Z33" s="93"/>
      <c r="AA33" s="85"/>
      <c r="AC33" s="94"/>
      <c r="AD33" s="93"/>
      <c r="AE33" s="85"/>
    </row>
    <row r="34" spans="5:31" x14ac:dyDescent="0.35">
      <c r="E34" s="85">
        <v>2</v>
      </c>
      <c r="F34" s="93" t="s">
        <v>547</v>
      </c>
      <c r="G34" s="85" t="s">
        <v>525</v>
      </c>
      <c r="H34" s="87">
        <v>50.62</v>
      </c>
      <c r="I34" s="94">
        <v>2</v>
      </c>
      <c r="J34" s="93">
        <v>45069</v>
      </c>
      <c r="K34" s="85" t="s">
        <v>548</v>
      </c>
      <c r="L34" s="87">
        <v>2250</v>
      </c>
      <c r="M34" s="94"/>
      <c r="N34" s="93"/>
      <c r="O34" s="85"/>
      <c r="Q34" s="94"/>
      <c r="R34" s="93"/>
      <c r="S34" s="85"/>
      <c r="U34" s="94"/>
      <c r="V34" s="93"/>
      <c r="W34" s="85"/>
      <c r="Y34" s="94"/>
      <c r="Z34" s="93"/>
      <c r="AA34" s="85"/>
      <c r="AC34" s="94"/>
      <c r="AD34" s="93"/>
      <c r="AE34" s="85"/>
    </row>
    <row r="35" spans="5:31" x14ac:dyDescent="0.35">
      <c r="E35" s="85">
        <v>2</v>
      </c>
      <c r="F35" s="93" t="s">
        <v>549</v>
      </c>
      <c r="G35" s="85" t="s">
        <v>550</v>
      </c>
      <c r="H35" s="87">
        <v>177.1</v>
      </c>
      <c r="I35" s="94">
        <v>2</v>
      </c>
      <c r="J35" s="93">
        <v>45072</v>
      </c>
      <c r="K35" s="85" t="s">
        <v>537</v>
      </c>
      <c r="L35" s="87">
        <v>15.83</v>
      </c>
      <c r="M35" s="94">
        <v>2</v>
      </c>
      <c r="N35" s="93">
        <v>45412</v>
      </c>
      <c r="O35" s="85" t="s">
        <v>2863</v>
      </c>
      <c r="P35" s="148">
        <v>11.33</v>
      </c>
      <c r="Q35" s="94"/>
      <c r="R35" s="93"/>
      <c r="S35" s="85"/>
      <c r="U35" s="94"/>
      <c r="V35" s="93"/>
      <c r="W35" s="85"/>
      <c r="Y35" s="94"/>
      <c r="Z35" s="93"/>
      <c r="AA35" s="85"/>
      <c r="AC35" s="94"/>
      <c r="AD35" s="93"/>
      <c r="AE35" s="85"/>
    </row>
    <row r="36" spans="5:31" x14ac:dyDescent="0.35">
      <c r="E36" s="85">
        <v>2</v>
      </c>
      <c r="F36" s="93" t="s">
        <v>551</v>
      </c>
      <c r="G36" s="85" t="s">
        <v>552</v>
      </c>
      <c r="H36" s="87">
        <v>1920</v>
      </c>
      <c r="I36" s="94">
        <v>2</v>
      </c>
      <c r="J36" s="93">
        <v>45064</v>
      </c>
      <c r="K36" s="85" t="s">
        <v>553</v>
      </c>
      <c r="L36" s="87">
        <v>21.65</v>
      </c>
      <c r="M36" s="94">
        <v>2</v>
      </c>
      <c r="N36" s="93">
        <v>45412</v>
      </c>
      <c r="O36" s="85" t="s">
        <v>2864</v>
      </c>
      <c r="P36" s="148">
        <v>44.4</v>
      </c>
      <c r="Q36" s="94"/>
      <c r="R36" s="93"/>
      <c r="S36" s="85"/>
      <c r="U36" s="94"/>
      <c r="V36" s="93"/>
      <c r="W36" s="85"/>
      <c r="Y36" s="94"/>
      <c r="Z36" s="93"/>
      <c r="AA36" s="85"/>
      <c r="AC36" s="94"/>
      <c r="AD36" s="93"/>
      <c r="AE36" s="85"/>
    </row>
    <row r="37" spans="5:31" x14ac:dyDescent="0.35">
      <c r="E37" s="85">
        <v>2</v>
      </c>
      <c r="F37" s="93" t="s">
        <v>551</v>
      </c>
      <c r="G37" s="85" t="s">
        <v>554</v>
      </c>
      <c r="H37" s="87">
        <v>82</v>
      </c>
      <c r="I37" s="94">
        <v>2</v>
      </c>
      <c r="J37" s="93">
        <v>45064</v>
      </c>
      <c r="K37" s="85" t="s">
        <v>555</v>
      </c>
      <c r="L37" s="87">
        <v>18.38</v>
      </c>
      <c r="M37" s="94">
        <v>2</v>
      </c>
      <c r="N37" s="93">
        <v>45411</v>
      </c>
      <c r="O37" s="85" t="s">
        <v>3130</v>
      </c>
      <c r="P37" s="148">
        <v>88.89</v>
      </c>
      <c r="Q37" s="94"/>
      <c r="R37" s="93"/>
      <c r="S37" s="85"/>
      <c r="U37" s="94"/>
      <c r="V37" s="93"/>
      <c r="W37" s="85"/>
      <c r="Y37" s="94"/>
      <c r="Z37" s="93"/>
      <c r="AA37" s="85"/>
      <c r="AC37" s="94"/>
      <c r="AD37" s="93"/>
      <c r="AE37" s="85"/>
    </row>
    <row r="38" spans="5:31" x14ac:dyDescent="0.35">
      <c r="E38" s="85">
        <v>2</v>
      </c>
      <c r="F38" s="93" t="s">
        <v>556</v>
      </c>
      <c r="G38" s="85" t="s">
        <v>557</v>
      </c>
      <c r="H38" s="87">
        <v>4365.84</v>
      </c>
      <c r="I38" s="94">
        <v>2</v>
      </c>
      <c r="J38" s="93">
        <v>45077</v>
      </c>
      <c r="K38" s="85" t="s">
        <v>558</v>
      </c>
      <c r="L38" s="87">
        <v>125</v>
      </c>
      <c r="M38" s="94">
        <v>2</v>
      </c>
      <c r="N38" s="93">
        <v>45408</v>
      </c>
      <c r="O38" s="85" t="s">
        <v>3131</v>
      </c>
      <c r="P38" s="148">
        <v>141.66</v>
      </c>
      <c r="Q38" s="94"/>
      <c r="R38" s="93"/>
      <c r="S38" s="85"/>
      <c r="U38" s="94"/>
      <c r="V38" s="93"/>
      <c r="W38" s="85"/>
      <c r="Y38" s="94"/>
      <c r="Z38" s="93"/>
      <c r="AA38" s="85"/>
      <c r="AC38" s="94"/>
      <c r="AD38" s="93"/>
      <c r="AE38" s="85"/>
    </row>
    <row r="39" spans="5:31" x14ac:dyDescent="0.35">
      <c r="E39" s="85">
        <v>2</v>
      </c>
      <c r="F39" s="93" t="s">
        <v>559</v>
      </c>
      <c r="G39" s="85" t="s">
        <v>560</v>
      </c>
      <c r="H39" s="87">
        <v>766</v>
      </c>
      <c r="I39" s="94">
        <v>2</v>
      </c>
      <c r="J39" s="93">
        <v>45077</v>
      </c>
      <c r="K39" s="85" t="s">
        <v>561</v>
      </c>
      <c r="L39" s="87">
        <v>400.95</v>
      </c>
      <c r="M39" s="94">
        <v>2</v>
      </c>
      <c r="N39" s="93">
        <v>45411</v>
      </c>
      <c r="O39" s="85" t="s">
        <v>615</v>
      </c>
      <c r="P39" s="148">
        <v>17.399999999999999</v>
      </c>
      <c r="Q39" s="94"/>
      <c r="R39" s="93"/>
      <c r="S39" s="85"/>
      <c r="U39" s="94"/>
      <c r="V39" s="93"/>
      <c r="W39" s="85"/>
      <c r="Y39" s="94"/>
      <c r="Z39" s="93"/>
      <c r="AA39" s="85"/>
      <c r="AC39" s="94"/>
      <c r="AD39" s="93"/>
      <c r="AE39" s="85"/>
    </row>
    <row r="40" spans="5:31" x14ac:dyDescent="0.35">
      <c r="E40" s="85">
        <v>2</v>
      </c>
      <c r="F40" s="93" t="s">
        <v>559</v>
      </c>
      <c r="G40" s="85" t="s">
        <v>562</v>
      </c>
      <c r="H40" s="87">
        <v>184</v>
      </c>
      <c r="I40" s="94">
        <v>2</v>
      </c>
      <c r="J40" s="93">
        <v>45092</v>
      </c>
      <c r="K40" s="85" t="s">
        <v>563</v>
      </c>
      <c r="L40" s="87">
        <v>140</v>
      </c>
      <c r="M40" s="94">
        <v>2</v>
      </c>
      <c r="N40" s="93">
        <v>45412</v>
      </c>
      <c r="O40" s="85" t="s">
        <v>615</v>
      </c>
      <c r="P40" s="148">
        <v>12.41</v>
      </c>
      <c r="Q40" s="94"/>
      <c r="R40" s="93"/>
      <c r="S40" s="85"/>
      <c r="U40" s="94"/>
      <c r="V40" s="93"/>
      <c r="W40" s="85"/>
      <c r="Y40" s="94"/>
      <c r="Z40" s="93"/>
      <c r="AA40" s="85"/>
      <c r="AC40" s="94"/>
      <c r="AD40" s="93"/>
      <c r="AE40" s="85"/>
    </row>
    <row r="41" spans="5:31" x14ac:dyDescent="0.35">
      <c r="E41" s="85">
        <v>2</v>
      </c>
      <c r="F41" s="93" t="s">
        <v>564</v>
      </c>
      <c r="G41" s="85" t="s">
        <v>565</v>
      </c>
      <c r="H41" s="87">
        <v>2994</v>
      </c>
      <c r="I41" s="94">
        <v>2</v>
      </c>
      <c r="J41" s="93">
        <v>45097</v>
      </c>
      <c r="K41" s="85" t="s">
        <v>566</v>
      </c>
      <c r="L41" s="87">
        <v>6900</v>
      </c>
      <c r="M41" s="94">
        <v>2</v>
      </c>
      <c r="N41" s="93">
        <v>45405</v>
      </c>
      <c r="O41" s="85" t="s">
        <v>615</v>
      </c>
      <c r="P41" s="148">
        <v>9.64</v>
      </c>
      <c r="Q41" s="94"/>
      <c r="R41" s="93"/>
      <c r="S41" s="85"/>
      <c r="U41" s="94"/>
      <c r="V41" s="93"/>
      <c r="W41" s="85"/>
      <c r="Y41" s="94"/>
      <c r="Z41" s="93"/>
      <c r="AA41" s="85"/>
      <c r="AC41" s="94"/>
      <c r="AD41" s="93"/>
      <c r="AE41" s="85"/>
    </row>
    <row r="42" spans="5:31" x14ac:dyDescent="0.35">
      <c r="E42" s="85">
        <v>2</v>
      </c>
      <c r="F42" s="93" t="s">
        <v>564</v>
      </c>
      <c r="G42" s="85" t="s">
        <v>567</v>
      </c>
      <c r="H42" s="87">
        <v>4050</v>
      </c>
      <c r="I42" s="94">
        <v>2</v>
      </c>
      <c r="J42" s="93">
        <v>45096</v>
      </c>
      <c r="K42" s="85" t="s">
        <v>537</v>
      </c>
      <c r="L42" s="87">
        <v>46.15</v>
      </c>
      <c r="M42" s="94">
        <v>2</v>
      </c>
      <c r="N42" s="93">
        <v>45393</v>
      </c>
      <c r="O42" s="85" t="s">
        <v>2889</v>
      </c>
      <c r="P42" s="148">
        <v>76.45</v>
      </c>
      <c r="Q42" s="94"/>
      <c r="R42" s="93"/>
      <c r="S42" s="85"/>
      <c r="U42" s="94"/>
      <c r="V42" s="93"/>
      <c r="W42" s="85"/>
      <c r="Y42" s="94"/>
      <c r="Z42" s="93"/>
      <c r="AA42" s="85"/>
      <c r="AC42" s="94"/>
      <c r="AD42" s="93"/>
      <c r="AE42" s="85"/>
    </row>
    <row r="43" spans="5:31" x14ac:dyDescent="0.35">
      <c r="E43" s="85">
        <v>2</v>
      </c>
      <c r="F43" s="93" t="s">
        <v>564</v>
      </c>
      <c r="G43" s="85" t="s">
        <v>568</v>
      </c>
      <c r="H43" s="87">
        <v>160</v>
      </c>
      <c r="I43" s="94">
        <v>2</v>
      </c>
      <c r="J43" s="93">
        <v>45096</v>
      </c>
      <c r="K43" s="85" t="s">
        <v>537</v>
      </c>
      <c r="L43" s="87">
        <v>27.5</v>
      </c>
      <c r="M43" s="94"/>
      <c r="N43" s="93"/>
      <c r="O43" s="85"/>
      <c r="Q43" s="94"/>
      <c r="R43" s="93"/>
      <c r="S43" s="85"/>
      <c r="U43" s="94"/>
      <c r="V43" s="93"/>
      <c r="W43" s="85"/>
      <c r="Y43" s="94"/>
      <c r="Z43" s="93"/>
      <c r="AA43" s="85"/>
      <c r="AC43" s="94"/>
      <c r="AD43" s="93"/>
      <c r="AE43" s="85"/>
    </row>
    <row r="44" spans="5:31" x14ac:dyDescent="0.35">
      <c r="E44" s="85">
        <v>2</v>
      </c>
      <c r="F44" s="93" t="s">
        <v>564</v>
      </c>
      <c r="G44" s="85" t="s">
        <v>569</v>
      </c>
      <c r="H44" s="87">
        <v>195</v>
      </c>
      <c r="I44" s="94">
        <v>2</v>
      </c>
      <c r="J44" s="93">
        <v>45096</v>
      </c>
      <c r="K44" s="85" t="s">
        <v>570</v>
      </c>
      <c r="L44" s="87">
        <v>39.32</v>
      </c>
      <c r="M44" s="94">
        <v>2</v>
      </c>
      <c r="N44" s="93">
        <v>45407</v>
      </c>
      <c r="O44" s="85" t="s">
        <v>615</v>
      </c>
      <c r="P44" s="148">
        <v>34.979999999999997</v>
      </c>
      <c r="Q44" s="94"/>
      <c r="R44" s="93"/>
      <c r="S44" s="85"/>
      <c r="U44" s="94"/>
      <c r="V44" s="93"/>
      <c r="W44" s="85"/>
      <c r="Y44" s="94"/>
      <c r="Z44" s="93"/>
      <c r="AA44" s="85"/>
      <c r="AC44" s="94"/>
      <c r="AD44" s="93"/>
      <c r="AE44" s="85"/>
    </row>
    <row r="45" spans="5:31" x14ac:dyDescent="0.35">
      <c r="E45" s="85">
        <v>2</v>
      </c>
      <c r="F45" s="93" t="s">
        <v>571</v>
      </c>
      <c r="G45" s="85" t="s">
        <v>572</v>
      </c>
      <c r="H45" s="87">
        <v>32.47</v>
      </c>
      <c r="I45" s="94">
        <v>3</v>
      </c>
      <c r="J45" s="93">
        <v>45020</v>
      </c>
      <c r="K45" s="85" t="s">
        <v>573</v>
      </c>
      <c r="L45" s="87">
        <v>99.99</v>
      </c>
      <c r="M45" s="94">
        <v>2</v>
      </c>
      <c r="N45" s="93">
        <v>45411</v>
      </c>
      <c r="O45" s="85" t="s">
        <v>2345</v>
      </c>
      <c r="P45" s="148">
        <v>316.64999999999998</v>
      </c>
      <c r="Q45" s="94"/>
      <c r="R45" s="93"/>
      <c r="S45" s="85"/>
      <c r="U45" s="94"/>
      <c r="V45" s="93"/>
      <c r="W45" s="85"/>
      <c r="Y45" s="94"/>
      <c r="Z45" s="93"/>
      <c r="AA45" s="85"/>
      <c r="AC45" s="94"/>
      <c r="AD45" s="93"/>
      <c r="AE45" s="85"/>
    </row>
    <row r="46" spans="5:31" x14ac:dyDescent="0.35">
      <c r="E46" s="85">
        <v>2</v>
      </c>
      <c r="F46" s="93" t="s">
        <v>574</v>
      </c>
      <c r="G46" s="85" t="s">
        <v>575</v>
      </c>
      <c r="H46" s="87">
        <v>16.47</v>
      </c>
      <c r="I46" s="94">
        <v>2</v>
      </c>
      <c r="J46" s="93">
        <v>45030</v>
      </c>
      <c r="K46" s="85" t="s">
        <v>576</v>
      </c>
      <c r="L46" s="87">
        <v>6.08</v>
      </c>
      <c r="M46" s="94">
        <v>2</v>
      </c>
      <c r="N46" s="93">
        <v>45412</v>
      </c>
      <c r="O46" s="85" t="s">
        <v>2345</v>
      </c>
      <c r="P46" s="148">
        <v>124.98</v>
      </c>
      <c r="Q46" s="94"/>
      <c r="R46" s="93"/>
      <c r="S46" s="85"/>
      <c r="U46" s="94"/>
      <c r="V46" s="93"/>
      <c r="W46" s="85"/>
      <c r="Y46" s="94"/>
      <c r="Z46" s="93"/>
      <c r="AA46" s="85"/>
      <c r="AC46" s="94"/>
      <c r="AD46" s="93"/>
      <c r="AE46" s="85"/>
    </row>
    <row r="47" spans="5:31" x14ac:dyDescent="0.35">
      <c r="E47" s="85">
        <v>2</v>
      </c>
      <c r="F47" s="93" t="s">
        <v>574</v>
      </c>
      <c r="G47" s="85" t="s">
        <v>577</v>
      </c>
      <c r="H47" s="87">
        <v>26.88</v>
      </c>
      <c r="I47" s="94">
        <v>2</v>
      </c>
      <c r="J47" s="93">
        <v>45035</v>
      </c>
      <c r="K47" s="85" t="s">
        <v>578</v>
      </c>
      <c r="L47" s="87">
        <v>499.9</v>
      </c>
      <c r="M47" s="94">
        <v>2</v>
      </c>
      <c r="N47" s="93">
        <v>45421</v>
      </c>
      <c r="O47" s="85" t="s">
        <v>615</v>
      </c>
      <c r="P47" s="148">
        <f>29.08-26.58</f>
        <v>2.5</v>
      </c>
      <c r="Q47" s="94"/>
      <c r="R47" s="93"/>
      <c r="S47" s="85"/>
      <c r="U47" s="94"/>
      <c r="V47" s="93"/>
      <c r="W47" s="85"/>
      <c r="Y47" s="94"/>
      <c r="Z47" s="93"/>
      <c r="AA47" s="85"/>
      <c r="AC47" s="94"/>
      <c r="AD47" s="93"/>
      <c r="AE47" s="85"/>
    </row>
    <row r="48" spans="5:31" x14ac:dyDescent="0.35">
      <c r="E48" s="85">
        <v>2</v>
      </c>
      <c r="F48" s="93" t="s">
        <v>579</v>
      </c>
      <c r="G48" s="85" t="s">
        <v>531</v>
      </c>
      <c r="H48" s="87">
        <v>18.36</v>
      </c>
      <c r="I48" s="94">
        <v>2</v>
      </c>
      <c r="J48" s="93">
        <v>45069</v>
      </c>
      <c r="K48" s="85" t="s">
        <v>577</v>
      </c>
      <c r="L48" s="87">
        <v>13.18</v>
      </c>
      <c r="M48" s="94">
        <v>2</v>
      </c>
      <c r="N48" s="93">
        <v>45426</v>
      </c>
      <c r="O48" s="85" t="s">
        <v>2895</v>
      </c>
      <c r="P48" s="148">
        <v>14.58</v>
      </c>
      <c r="Q48" s="94"/>
      <c r="R48" s="93"/>
      <c r="S48" s="85"/>
      <c r="U48" s="94"/>
      <c r="V48" s="93"/>
      <c r="W48" s="85"/>
      <c r="Y48" s="94"/>
      <c r="Z48" s="93"/>
      <c r="AA48" s="85"/>
      <c r="AC48" s="94"/>
      <c r="AD48" s="93"/>
      <c r="AE48" s="85"/>
    </row>
    <row r="49" spans="5:31" x14ac:dyDescent="0.35">
      <c r="E49" s="85">
        <v>2</v>
      </c>
      <c r="F49" s="93" t="s">
        <v>580</v>
      </c>
      <c r="G49" s="85" t="s">
        <v>581</v>
      </c>
      <c r="H49" s="87">
        <v>41.67</v>
      </c>
      <c r="I49" s="94">
        <v>2</v>
      </c>
      <c r="J49" s="93">
        <v>45072</v>
      </c>
      <c r="K49" s="85" t="s">
        <v>535</v>
      </c>
      <c r="L49" s="87">
        <v>25</v>
      </c>
      <c r="M49" s="94">
        <v>2</v>
      </c>
      <c r="N49" s="93">
        <v>45426</v>
      </c>
      <c r="O49" s="85" t="s">
        <v>2896</v>
      </c>
      <c r="P49" s="148">
        <v>332.6</v>
      </c>
      <c r="Q49" s="94"/>
      <c r="R49" s="93"/>
      <c r="S49" s="85"/>
      <c r="U49" s="94"/>
      <c r="V49" s="93"/>
      <c r="W49" s="85"/>
      <c r="Y49" s="94"/>
      <c r="Z49" s="93"/>
      <c r="AA49" s="85"/>
      <c r="AC49" s="94"/>
      <c r="AD49" s="93"/>
      <c r="AE49" s="85"/>
    </row>
    <row r="50" spans="5:31" x14ac:dyDescent="0.35">
      <c r="E50" s="85">
        <v>2</v>
      </c>
      <c r="F50" s="93" t="s">
        <v>582</v>
      </c>
      <c r="G50" s="85" t="s">
        <v>583</v>
      </c>
      <c r="H50" s="87">
        <v>320</v>
      </c>
      <c r="I50" s="94">
        <v>2</v>
      </c>
      <c r="J50" s="93">
        <v>45067</v>
      </c>
      <c r="K50" s="85" t="s">
        <v>584</v>
      </c>
      <c r="L50" s="87">
        <v>1648</v>
      </c>
      <c r="M50" s="94">
        <v>2</v>
      </c>
      <c r="N50" s="93">
        <v>45423</v>
      </c>
      <c r="O50" s="85" t="s">
        <v>540</v>
      </c>
      <c r="P50" s="148">
        <v>200</v>
      </c>
      <c r="Q50" s="94"/>
      <c r="R50" s="93"/>
      <c r="S50" s="85"/>
      <c r="U50" s="94"/>
      <c r="V50" s="93"/>
      <c r="W50" s="85"/>
      <c r="Y50" s="94"/>
      <c r="Z50" s="93"/>
      <c r="AA50" s="85"/>
      <c r="AC50" s="94"/>
      <c r="AD50" s="93"/>
      <c r="AE50" s="85"/>
    </row>
    <row r="51" spans="5:31" x14ac:dyDescent="0.35">
      <c r="E51" s="85">
        <v>2</v>
      </c>
      <c r="F51" s="93" t="s">
        <v>585</v>
      </c>
      <c r="G51" s="85" t="s">
        <v>586</v>
      </c>
      <c r="H51" s="87">
        <v>10.4</v>
      </c>
      <c r="I51" s="94">
        <v>2</v>
      </c>
      <c r="J51" s="93">
        <v>45083</v>
      </c>
      <c r="K51" s="85" t="s">
        <v>587</v>
      </c>
      <c r="L51" s="87">
        <v>14.17</v>
      </c>
      <c r="M51" s="94">
        <v>2</v>
      </c>
      <c r="N51" s="93">
        <v>45429</v>
      </c>
      <c r="O51" s="85" t="s">
        <v>615</v>
      </c>
      <c r="P51" s="148">
        <v>48.65</v>
      </c>
      <c r="Q51" s="94"/>
      <c r="R51" s="93"/>
      <c r="S51" s="85"/>
      <c r="U51" s="94"/>
      <c r="V51" s="93"/>
      <c r="W51" s="85"/>
      <c r="Y51" s="94"/>
      <c r="Z51" s="93"/>
      <c r="AA51" s="85"/>
      <c r="AC51" s="94"/>
      <c r="AD51" s="93"/>
      <c r="AE51" s="85"/>
    </row>
    <row r="52" spans="5:31" x14ac:dyDescent="0.35">
      <c r="E52" s="85">
        <v>2</v>
      </c>
      <c r="F52" s="93" t="s">
        <v>585</v>
      </c>
      <c r="G52" s="85" t="s">
        <v>588</v>
      </c>
      <c r="H52" s="87">
        <v>593.97</v>
      </c>
      <c r="I52" s="94">
        <v>2</v>
      </c>
      <c r="J52" s="93">
        <v>45083</v>
      </c>
      <c r="K52" s="85" t="s">
        <v>589</v>
      </c>
      <c r="L52" s="87">
        <v>4.91</v>
      </c>
      <c r="M52" s="94">
        <v>2</v>
      </c>
      <c r="N52" s="93">
        <v>45415</v>
      </c>
      <c r="O52" s="85" t="s">
        <v>615</v>
      </c>
      <c r="P52" s="148">
        <v>14.83</v>
      </c>
      <c r="Q52" s="94"/>
      <c r="R52" s="93"/>
      <c r="S52" s="85"/>
      <c r="U52" s="94"/>
      <c r="V52" s="93"/>
      <c r="W52" s="85"/>
      <c r="Y52" s="94"/>
      <c r="Z52" s="93"/>
      <c r="AA52" s="85"/>
      <c r="AC52" s="94"/>
      <c r="AD52" s="93"/>
      <c r="AE52" s="85"/>
    </row>
    <row r="53" spans="5:31" x14ac:dyDescent="0.35">
      <c r="E53" s="85">
        <v>2</v>
      </c>
      <c r="F53" s="93" t="s">
        <v>585</v>
      </c>
      <c r="G53" s="85" t="s">
        <v>590</v>
      </c>
      <c r="H53" s="87">
        <v>1781.91</v>
      </c>
      <c r="I53" s="94">
        <v>2</v>
      </c>
      <c r="J53" s="93">
        <v>45085</v>
      </c>
      <c r="K53" s="85" t="s">
        <v>591</v>
      </c>
      <c r="L53" s="87">
        <v>25.74</v>
      </c>
      <c r="M53" s="94">
        <v>2</v>
      </c>
      <c r="N53" s="93">
        <v>45419</v>
      </c>
      <c r="O53" s="85" t="s">
        <v>615</v>
      </c>
      <c r="P53" s="149">
        <v>13.67</v>
      </c>
      <c r="Q53" s="94"/>
      <c r="R53" s="93"/>
      <c r="S53" s="85"/>
      <c r="U53" s="94"/>
      <c r="V53" s="93"/>
      <c r="W53" s="85"/>
      <c r="Y53" s="94"/>
      <c r="Z53" s="93"/>
      <c r="AA53" s="85"/>
      <c r="AC53" s="94"/>
      <c r="AD53" s="93"/>
      <c r="AE53" s="85"/>
    </row>
    <row r="54" spans="5:31" x14ac:dyDescent="0.35">
      <c r="E54" s="85">
        <v>2</v>
      </c>
      <c r="F54" s="93" t="s">
        <v>585</v>
      </c>
      <c r="G54" s="85" t="s">
        <v>592</v>
      </c>
      <c r="H54" s="87">
        <v>132</v>
      </c>
      <c r="I54" s="94">
        <v>2</v>
      </c>
      <c r="J54" s="93">
        <v>45086</v>
      </c>
      <c r="K54" s="85" t="s">
        <v>589</v>
      </c>
      <c r="L54" s="87">
        <v>23.32</v>
      </c>
      <c r="M54" s="94">
        <v>2</v>
      </c>
      <c r="N54" s="93">
        <v>45428</v>
      </c>
      <c r="O54" s="85" t="s">
        <v>727</v>
      </c>
      <c r="P54" s="148">
        <v>57</v>
      </c>
      <c r="Q54" s="94"/>
      <c r="R54" s="93"/>
      <c r="S54" s="85"/>
      <c r="U54" s="94"/>
      <c r="V54" s="93"/>
      <c r="W54" s="85"/>
      <c r="Y54" s="94"/>
      <c r="Z54" s="93"/>
      <c r="AA54" s="85"/>
      <c r="AC54" s="94"/>
      <c r="AD54" s="93"/>
      <c r="AE54" s="85"/>
    </row>
    <row r="55" spans="5:31" x14ac:dyDescent="0.35">
      <c r="E55" s="85">
        <v>2</v>
      </c>
      <c r="F55" s="93" t="s">
        <v>593</v>
      </c>
      <c r="G55" s="85" t="s">
        <v>594</v>
      </c>
      <c r="H55" s="87">
        <v>0.1</v>
      </c>
      <c r="I55" s="94">
        <v>2</v>
      </c>
      <c r="J55" s="93">
        <v>45084</v>
      </c>
      <c r="K55" s="85" t="s">
        <v>595</v>
      </c>
      <c r="L55" s="87">
        <v>27.13</v>
      </c>
      <c r="M55" s="94">
        <v>2</v>
      </c>
      <c r="N55" s="93">
        <v>45421</v>
      </c>
      <c r="O55" s="85" t="s">
        <v>615</v>
      </c>
      <c r="P55" s="148">
        <v>59.05</v>
      </c>
      <c r="Q55" s="94"/>
      <c r="R55" s="93"/>
      <c r="S55" s="85"/>
      <c r="U55" s="94"/>
      <c r="V55" s="93"/>
      <c r="W55" s="85"/>
      <c r="Y55" s="94"/>
      <c r="Z55" s="93"/>
      <c r="AA55" s="85"/>
      <c r="AC55" s="94"/>
      <c r="AD55" s="93"/>
      <c r="AE55" s="85"/>
    </row>
    <row r="56" spans="5:31" x14ac:dyDescent="0.35">
      <c r="E56" s="85">
        <v>2</v>
      </c>
      <c r="F56" s="93" t="s">
        <v>596</v>
      </c>
      <c r="G56" s="85" t="s">
        <v>597</v>
      </c>
      <c r="H56" s="87">
        <v>280</v>
      </c>
      <c r="I56" s="94">
        <v>2</v>
      </c>
      <c r="J56" s="93">
        <v>45084</v>
      </c>
      <c r="K56" s="85" t="s">
        <v>598</v>
      </c>
      <c r="L56" s="87">
        <v>206.8</v>
      </c>
      <c r="M56" s="94"/>
      <c r="N56" s="93"/>
      <c r="O56" s="85"/>
      <c r="Q56" s="94"/>
      <c r="R56" s="93"/>
      <c r="S56" s="85"/>
      <c r="U56" s="94"/>
      <c r="V56" s="93"/>
      <c r="W56" s="85"/>
      <c r="Y56" s="94"/>
      <c r="Z56" s="93"/>
      <c r="AA56" s="85"/>
      <c r="AC56" s="94"/>
      <c r="AD56" s="93"/>
      <c r="AE56" s="85"/>
    </row>
    <row r="57" spans="5:31" x14ac:dyDescent="0.35">
      <c r="E57" s="85">
        <v>2</v>
      </c>
      <c r="F57" s="93" t="s">
        <v>596</v>
      </c>
      <c r="G57" s="85" t="s">
        <v>599</v>
      </c>
      <c r="H57" s="87">
        <v>300</v>
      </c>
      <c r="I57" s="94">
        <v>6</v>
      </c>
      <c r="J57" s="93">
        <v>45103</v>
      </c>
      <c r="K57" s="85" t="s">
        <v>600</v>
      </c>
      <c r="L57" s="87">
        <v>21.33</v>
      </c>
      <c r="M57" s="94">
        <v>2</v>
      </c>
      <c r="N57" s="93">
        <v>45433</v>
      </c>
      <c r="O57" s="85" t="s">
        <v>2909</v>
      </c>
      <c r="P57" s="148">
        <v>16.25</v>
      </c>
      <c r="Q57" s="94"/>
      <c r="R57" s="93"/>
      <c r="S57" s="85"/>
      <c r="U57" s="94"/>
      <c r="V57" s="93"/>
      <c r="W57" s="85"/>
      <c r="Y57" s="94"/>
      <c r="Z57" s="93"/>
      <c r="AA57" s="85"/>
      <c r="AC57" s="94"/>
      <c r="AD57" s="93"/>
      <c r="AE57" s="85"/>
    </row>
    <row r="58" spans="5:31" x14ac:dyDescent="0.35">
      <c r="E58" s="85">
        <v>2</v>
      </c>
      <c r="F58" s="93" t="s">
        <v>596</v>
      </c>
      <c r="G58" s="85" t="s">
        <v>601</v>
      </c>
      <c r="H58" s="87">
        <v>55</v>
      </c>
      <c r="I58" s="94">
        <v>6</v>
      </c>
      <c r="J58" s="93" t="s">
        <v>602</v>
      </c>
      <c r="K58" s="85" t="s">
        <v>603</v>
      </c>
      <c r="L58" s="87">
        <v>30000</v>
      </c>
      <c r="M58" s="94">
        <v>2</v>
      </c>
      <c r="N58" s="93">
        <v>45435</v>
      </c>
      <c r="O58" s="85" t="s">
        <v>2915</v>
      </c>
      <c r="P58" s="148">
        <v>3.33</v>
      </c>
      <c r="Q58" s="94"/>
      <c r="R58" s="93"/>
      <c r="S58" s="85"/>
      <c r="U58" s="94"/>
      <c r="V58" s="93"/>
      <c r="W58" s="85"/>
      <c r="Y58" s="94"/>
      <c r="Z58" s="93"/>
      <c r="AA58" s="85"/>
      <c r="AC58" s="94"/>
      <c r="AD58" s="93"/>
      <c r="AE58" s="85"/>
    </row>
    <row r="59" spans="5:31" x14ac:dyDescent="0.35">
      <c r="E59" s="85">
        <v>2</v>
      </c>
      <c r="F59" s="93" t="s">
        <v>604</v>
      </c>
      <c r="G59" s="85" t="s">
        <v>605</v>
      </c>
      <c r="H59" s="87">
        <v>60</v>
      </c>
      <c r="I59" s="94">
        <v>2</v>
      </c>
      <c r="J59" s="93">
        <v>45145</v>
      </c>
      <c r="K59" s="85" t="s">
        <v>606</v>
      </c>
      <c r="L59" s="87">
        <f>5.45+21.24/1.2</f>
        <v>23.15</v>
      </c>
      <c r="M59" s="94">
        <v>2</v>
      </c>
      <c r="N59" s="93">
        <v>45442</v>
      </c>
      <c r="O59" s="85" t="s">
        <v>615</v>
      </c>
      <c r="P59" s="148">
        <v>39.58</v>
      </c>
      <c r="Q59" s="94"/>
      <c r="R59" s="93"/>
      <c r="S59" s="85"/>
      <c r="U59" s="94"/>
      <c r="V59" s="93"/>
      <c r="W59" s="85"/>
      <c r="Y59" s="94"/>
      <c r="Z59" s="93"/>
      <c r="AA59" s="85"/>
      <c r="AC59" s="94"/>
      <c r="AD59" s="93"/>
      <c r="AE59" s="85"/>
    </row>
    <row r="60" spans="5:31" x14ac:dyDescent="0.35">
      <c r="E60" s="85">
        <v>2</v>
      </c>
      <c r="F60" s="93" t="s">
        <v>607</v>
      </c>
      <c r="G60" s="85" t="s">
        <v>539</v>
      </c>
      <c r="H60" s="87">
        <v>39.99</v>
      </c>
      <c r="I60" s="94">
        <v>2</v>
      </c>
      <c r="J60" s="93">
        <v>45147</v>
      </c>
      <c r="K60" s="85" t="s">
        <v>608</v>
      </c>
      <c r="L60" s="87">
        <v>1035</v>
      </c>
      <c r="M60" s="94">
        <v>2</v>
      </c>
      <c r="N60" s="93">
        <v>45435</v>
      </c>
      <c r="O60" s="85" t="s">
        <v>2710</v>
      </c>
      <c r="P60" s="148">
        <v>5</v>
      </c>
      <c r="Q60" s="94"/>
      <c r="R60" s="93"/>
      <c r="S60" s="85"/>
      <c r="U60" s="94"/>
      <c r="V60" s="93"/>
      <c r="W60" s="85"/>
      <c r="Y60" s="94"/>
      <c r="Z60" s="93"/>
      <c r="AA60" s="85"/>
      <c r="AC60" s="94"/>
      <c r="AD60" s="93"/>
      <c r="AE60" s="85"/>
    </row>
    <row r="61" spans="5:31" x14ac:dyDescent="0.35">
      <c r="E61" s="85">
        <v>2</v>
      </c>
      <c r="F61" s="93" t="s">
        <v>609</v>
      </c>
      <c r="G61" s="85" t="s">
        <v>610</v>
      </c>
      <c r="H61" s="87">
        <v>345.6</v>
      </c>
      <c r="I61" s="94">
        <v>2</v>
      </c>
      <c r="J61" s="93">
        <v>45135</v>
      </c>
      <c r="K61" s="85" t="s">
        <v>611</v>
      </c>
      <c r="L61" s="87">
        <v>73</v>
      </c>
      <c r="M61" s="94">
        <v>2</v>
      </c>
      <c r="N61" s="93">
        <v>45435</v>
      </c>
      <c r="O61" s="85" t="s">
        <v>2919</v>
      </c>
      <c r="P61" s="148">
        <v>35</v>
      </c>
      <c r="Q61" s="94"/>
      <c r="R61" s="93"/>
      <c r="S61" s="85"/>
      <c r="U61" s="94"/>
      <c r="V61" s="93"/>
      <c r="W61" s="85"/>
      <c r="Y61" s="94"/>
      <c r="Z61" s="93"/>
      <c r="AA61" s="85"/>
      <c r="AC61" s="94"/>
      <c r="AD61" s="93"/>
      <c r="AE61" s="85"/>
    </row>
    <row r="62" spans="5:31" x14ac:dyDescent="0.35">
      <c r="E62" s="85">
        <v>2</v>
      </c>
      <c r="F62" s="93" t="s">
        <v>609</v>
      </c>
      <c r="G62" s="85" t="s">
        <v>612</v>
      </c>
      <c r="H62" s="87">
        <v>397.57</v>
      </c>
      <c r="I62" s="94">
        <v>2</v>
      </c>
      <c r="J62" s="93">
        <v>45114</v>
      </c>
      <c r="K62" s="85" t="s">
        <v>613</v>
      </c>
      <c r="L62" s="87">
        <v>17.079999999999998</v>
      </c>
      <c r="M62" s="94">
        <v>6</v>
      </c>
      <c r="N62" s="93">
        <v>45429</v>
      </c>
      <c r="O62" s="85" t="s">
        <v>576</v>
      </c>
      <c r="P62" s="148">
        <v>213.57</v>
      </c>
      <c r="Q62" s="94"/>
      <c r="R62" s="93"/>
      <c r="S62" s="85"/>
      <c r="U62" s="94"/>
      <c r="V62" s="93"/>
      <c r="W62" s="85"/>
      <c r="Y62" s="94"/>
      <c r="Z62" s="93"/>
      <c r="AA62" s="85"/>
      <c r="AC62" s="94"/>
      <c r="AD62" s="93"/>
      <c r="AE62" s="85"/>
    </row>
    <row r="63" spans="5:31" x14ac:dyDescent="0.35">
      <c r="E63" s="85">
        <v>2</v>
      </c>
      <c r="F63" s="93" t="s">
        <v>609</v>
      </c>
      <c r="G63" s="85" t="s">
        <v>614</v>
      </c>
      <c r="H63" s="87">
        <v>593.97</v>
      </c>
      <c r="I63" s="94">
        <v>2</v>
      </c>
      <c r="J63" s="93">
        <v>45117</v>
      </c>
      <c r="K63" s="85" t="s">
        <v>615</v>
      </c>
      <c r="L63" s="87">
        <v>44.58</v>
      </c>
      <c r="M63" s="94">
        <v>2</v>
      </c>
      <c r="N63" s="93">
        <v>45435</v>
      </c>
      <c r="O63" s="85" t="s">
        <v>615</v>
      </c>
      <c r="P63" s="148">
        <v>9.92</v>
      </c>
      <c r="Q63" s="94"/>
      <c r="R63" s="93"/>
      <c r="S63" s="85"/>
      <c r="U63" s="94"/>
      <c r="V63" s="93"/>
      <c r="W63" s="85"/>
      <c r="Y63" s="94"/>
      <c r="Z63" s="93"/>
      <c r="AA63" s="85"/>
      <c r="AC63" s="94"/>
      <c r="AD63" s="93"/>
      <c r="AE63" s="85"/>
    </row>
    <row r="64" spans="5:31" x14ac:dyDescent="0.35">
      <c r="E64" s="85">
        <v>2</v>
      </c>
      <c r="F64" s="93" t="s">
        <v>616</v>
      </c>
      <c r="G64" s="85" t="s">
        <v>617</v>
      </c>
      <c r="H64" s="87">
        <v>945</v>
      </c>
      <c r="I64" s="94">
        <v>2</v>
      </c>
      <c r="J64" s="93">
        <v>45121</v>
      </c>
      <c r="K64" s="85" t="s">
        <v>618</v>
      </c>
      <c r="L64" s="85">
        <v>20.83</v>
      </c>
      <c r="M64" s="94">
        <v>2</v>
      </c>
      <c r="N64" s="93">
        <v>45427</v>
      </c>
      <c r="O64" s="85" t="s">
        <v>2922</v>
      </c>
      <c r="P64" s="148">
        <v>12.55</v>
      </c>
      <c r="Q64" s="94"/>
      <c r="R64" s="93"/>
      <c r="S64" s="85"/>
      <c r="U64" s="94"/>
      <c r="V64" s="93"/>
      <c r="W64" s="85"/>
      <c r="Y64" s="94"/>
      <c r="Z64" s="93"/>
      <c r="AA64" s="85"/>
      <c r="AC64" s="94"/>
      <c r="AD64" s="93"/>
      <c r="AE64" s="85"/>
    </row>
    <row r="65" spans="5:31" x14ac:dyDescent="0.35">
      <c r="E65" s="85">
        <v>2</v>
      </c>
      <c r="F65" s="93" t="s">
        <v>619</v>
      </c>
      <c r="G65" s="85" t="s">
        <v>620</v>
      </c>
      <c r="H65" s="87">
        <v>52.43</v>
      </c>
      <c r="I65" s="85">
        <v>2</v>
      </c>
      <c r="J65" s="93">
        <v>45091</v>
      </c>
      <c r="K65" s="85" t="s">
        <v>621</v>
      </c>
      <c r="L65" s="87">
        <v>170.29</v>
      </c>
      <c r="M65" s="94">
        <v>2</v>
      </c>
      <c r="N65" s="93">
        <v>45390</v>
      </c>
      <c r="O65" s="85" t="s">
        <v>715</v>
      </c>
      <c r="P65" s="148">
        <v>14.58</v>
      </c>
      <c r="Q65" s="94"/>
      <c r="R65" s="93"/>
      <c r="S65" s="85"/>
      <c r="U65" s="94"/>
      <c r="V65" s="93"/>
      <c r="W65" s="85"/>
      <c r="Y65" s="94"/>
      <c r="Z65" s="93"/>
      <c r="AA65" s="85"/>
      <c r="AC65" s="94"/>
      <c r="AD65" s="93"/>
      <c r="AE65" s="85"/>
    </row>
    <row r="66" spans="5:31" x14ac:dyDescent="0.35">
      <c r="E66" s="85">
        <v>2</v>
      </c>
      <c r="F66" s="93" t="s">
        <v>619</v>
      </c>
      <c r="G66" s="85" t="s">
        <v>622</v>
      </c>
      <c r="H66" s="87">
        <v>32.15</v>
      </c>
      <c r="I66" s="85">
        <v>2</v>
      </c>
      <c r="J66" s="93">
        <v>45127</v>
      </c>
      <c r="K66" s="85" t="s">
        <v>623</v>
      </c>
      <c r="L66" s="87">
        <v>274</v>
      </c>
      <c r="M66" s="94">
        <v>2</v>
      </c>
      <c r="N66" s="93">
        <v>45391</v>
      </c>
      <c r="O66" s="85" t="s">
        <v>2925</v>
      </c>
      <c r="P66" s="148">
        <v>20.100000000000001</v>
      </c>
      <c r="Q66" s="94"/>
      <c r="R66" s="93"/>
      <c r="S66" s="85"/>
      <c r="U66" s="94"/>
      <c r="V66" s="93"/>
      <c r="W66" s="85"/>
      <c r="Y66" s="94"/>
      <c r="Z66" s="93"/>
      <c r="AA66" s="85"/>
      <c r="AC66" s="94"/>
      <c r="AD66" s="93"/>
      <c r="AE66" s="85"/>
    </row>
    <row r="67" spans="5:31" x14ac:dyDescent="0.35">
      <c r="E67" s="85">
        <v>2</v>
      </c>
      <c r="F67" s="93" t="s">
        <v>624</v>
      </c>
      <c r="G67" s="85" t="s">
        <v>625</v>
      </c>
      <c r="H67" s="87">
        <v>4.49</v>
      </c>
      <c r="I67" s="85">
        <v>2</v>
      </c>
      <c r="J67" s="93">
        <v>45079</v>
      </c>
      <c r="K67" s="85" t="s">
        <v>626</v>
      </c>
      <c r="L67" s="87">
        <f>26.23+11.65+23.2+30.83+30.49+25.7+45.83+9.15</f>
        <v>203.08</v>
      </c>
      <c r="M67" s="94">
        <v>2</v>
      </c>
      <c r="N67" s="93">
        <v>45399</v>
      </c>
      <c r="O67" s="85" t="s">
        <v>615</v>
      </c>
      <c r="P67" s="148">
        <v>20.45</v>
      </c>
      <c r="Q67" s="94"/>
      <c r="R67" s="93"/>
      <c r="S67" s="85"/>
      <c r="U67" s="94"/>
      <c r="V67" s="93"/>
      <c r="W67" s="85"/>
      <c r="Y67" s="94"/>
      <c r="Z67" s="93"/>
      <c r="AA67" s="85"/>
      <c r="AC67" s="94"/>
      <c r="AD67" s="93"/>
      <c r="AE67" s="85"/>
    </row>
    <row r="68" spans="5:31" x14ac:dyDescent="0.35">
      <c r="E68" s="85">
        <v>2</v>
      </c>
      <c r="F68" s="93" t="s">
        <v>627</v>
      </c>
      <c r="G68" s="85" t="s">
        <v>628</v>
      </c>
      <c r="H68" s="87">
        <v>16.260000000000002</v>
      </c>
      <c r="I68" s="85">
        <v>2</v>
      </c>
      <c r="J68" s="93">
        <v>45091</v>
      </c>
      <c r="K68" s="85" t="s">
        <v>621</v>
      </c>
      <c r="L68" s="87">
        <v>194.24</v>
      </c>
      <c r="M68" s="94">
        <v>2</v>
      </c>
      <c r="N68" s="93">
        <v>45408</v>
      </c>
      <c r="O68" s="85" t="s">
        <v>2928</v>
      </c>
      <c r="P68" s="148">
        <v>51.42</v>
      </c>
      <c r="Q68" s="94"/>
      <c r="R68" s="93"/>
      <c r="S68" s="85"/>
      <c r="U68" s="94"/>
      <c r="V68" s="93"/>
      <c r="W68" s="85"/>
      <c r="Y68" s="94"/>
      <c r="Z68" s="93"/>
      <c r="AA68" s="85"/>
      <c r="AC68" s="94"/>
      <c r="AD68" s="93"/>
      <c r="AE68" s="85"/>
    </row>
    <row r="69" spans="5:31" x14ac:dyDescent="0.35">
      <c r="E69" s="85">
        <v>2</v>
      </c>
      <c r="F69" s="93" t="s">
        <v>629</v>
      </c>
      <c r="G69" s="85" t="s">
        <v>630</v>
      </c>
      <c r="H69" s="87">
        <v>6.86</v>
      </c>
      <c r="I69" s="85">
        <v>2</v>
      </c>
      <c r="J69" s="93">
        <v>45118</v>
      </c>
      <c r="K69" s="85" t="s">
        <v>631</v>
      </c>
      <c r="L69" s="87">
        <v>45</v>
      </c>
      <c r="M69" s="94">
        <v>2</v>
      </c>
      <c r="N69" s="93">
        <v>45393</v>
      </c>
      <c r="O69" s="85" t="s">
        <v>2935</v>
      </c>
      <c r="P69" s="148">
        <v>19.98</v>
      </c>
      <c r="Q69" s="94"/>
      <c r="R69" s="93"/>
      <c r="S69" s="85"/>
      <c r="U69" s="94"/>
      <c r="V69" s="93"/>
      <c r="W69" s="85"/>
      <c r="Y69" s="94"/>
      <c r="Z69" s="93"/>
      <c r="AA69" s="85"/>
      <c r="AC69" s="94"/>
      <c r="AD69" s="93"/>
      <c r="AE69" s="85"/>
    </row>
    <row r="70" spans="5:31" x14ac:dyDescent="0.35">
      <c r="E70" s="85">
        <v>2</v>
      </c>
      <c r="F70" s="93" t="s">
        <v>629</v>
      </c>
      <c r="G70" s="85" t="s">
        <v>632</v>
      </c>
      <c r="H70" s="87">
        <v>3.74</v>
      </c>
      <c r="I70" s="85">
        <v>2</v>
      </c>
      <c r="J70" s="93">
        <v>45113</v>
      </c>
      <c r="K70" s="85" t="s">
        <v>633</v>
      </c>
      <c r="L70" s="87">
        <v>100</v>
      </c>
      <c r="M70" s="94">
        <v>2</v>
      </c>
      <c r="N70" s="93">
        <v>45443</v>
      </c>
      <c r="O70" s="85" t="s">
        <v>2952</v>
      </c>
      <c r="P70" s="148">
        <v>128.18</v>
      </c>
      <c r="Q70" s="94"/>
      <c r="R70" s="93"/>
      <c r="S70" s="85"/>
      <c r="U70" s="94"/>
      <c r="V70" s="93"/>
      <c r="W70" s="85"/>
      <c r="Y70" s="94"/>
      <c r="Z70" s="93"/>
      <c r="AA70" s="85"/>
      <c r="AC70" s="94"/>
      <c r="AD70" s="93"/>
      <c r="AE70" s="85"/>
    </row>
    <row r="71" spans="5:31" x14ac:dyDescent="0.35">
      <c r="E71" s="85">
        <v>2</v>
      </c>
      <c r="F71" s="93" t="s">
        <v>634</v>
      </c>
      <c r="G71" s="85" t="s">
        <v>635</v>
      </c>
      <c r="H71" s="87">
        <v>163</v>
      </c>
      <c r="I71" s="85">
        <v>2</v>
      </c>
      <c r="J71" s="93">
        <v>45113</v>
      </c>
      <c r="K71" s="85" t="s">
        <v>636</v>
      </c>
      <c r="L71" s="87">
        <v>410</v>
      </c>
      <c r="M71" s="94">
        <v>2</v>
      </c>
      <c r="N71" s="93">
        <v>45451</v>
      </c>
      <c r="O71" s="85" t="s">
        <v>2202</v>
      </c>
      <c r="P71" s="148">
        <v>58.5</v>
      </c>
      <c r="Q71" s="94"/>
      <c r="R71" s="93"/>
      <c r="S71" s="85"/>
      <c r="U71" s="94"/>
      <c r="V71" s="93"/>
      <c r="W71" s="85"/>
      <c r="Y71" s="94"/>
      <c r="Z71" s="93"/>
      <c r="AA71" s="85"/>
      <c r="AC71" s="94"/>
      <c r="AD71" s="93"/>
      <c r="AE71" s="85"/>
    </row>
    <row r="72" spans="5:31" x14ac:dyDescent="0.35">
      <c r="E72" s="85">
        <v>2</v>
      </c>
      <c r="F72" s="93" t="s">
        <v>637</v>
      </c>
      <c r="G72" s="85" t="s">
        <v>638</v>
      </c>
      <c r="H72" s="87">
        <v>395</v>
      </c>
      <c r="I72" s="94">
        <v>3</v>
      </c>
      <c r="J72" s="93">
        <v>45169</v>
      </c>
      <c r="K72" s="85" t="s">
        <v>639</v>
      </c>
      <c r="L72" s="87">
        <v>757.68</v>
      </c>
      <c r="M72" s="94">
        <v>2</v>
      </c>
      <c r="N72" s="93">
        <v>45454</v>
      </c>
      <c r="O72" s="85" t="s">
        <v>2953</v>
      </c>
      <c r="P72" s="148">
        <v>14.5</v>
      </c>
      <c r="Q72" s="94"/>
      <c r="R72" s="93"/>
      <c r="S72" s="85"/>
      <c r="U72" s="94"/>
      <c r="V72" s="93"/>
      <c r="W72" s="85"/>
      <c r="Y72" s="94"/>
      <c r="Z72" s="93"/>
      <c r="AA72" s="85"/>
      <c r="AC72" s="94"/>
      <c r="AD72" s="93"/>
      <c r="AE72" s="85"/>
    </row>
    <row r="73" spans="5:31" x14ac:dyDescent="0.35">
      <c r="E73" s="85">
        <v>2</v>
      </c>
      <c r="F73" s="93" t="s">
        <v>640</v>
      </c>
      <c r="G73" s="85" t="s">
        <v>641</v>
      </c>
      <c r="H73" s="87">
        <v>10.84</v>
      </c>
      <c r="I73" s="94">
        <v>2</v>
      </c>
      <c r="J73" s="93">
        <v>45160</v>
      </c>
      <c r="K73" s="85" t="s">
        <v>642</v>
      </c>
      <c r="L73" s="87">
        <v>2880</v>
      </c>
      <c r="M73" s="94">
        <v>2</v>
      </c>
      <c r="N73" s="93">
        <v>45440</v>
      </c>
      <c r="O73" s="85" t="s">
        <v>2928</v>
      </c>
      <c r="P73" s="148">
        <v>218.5</v>
      </c>
      <c r="Q73" s="94"/>
      <c r="R73" s="93"/>
      <c r="S73" s="85"/>
      <c r="U73" s="94"/>
      <c r="V73" s="93"/>
      <c r="W73" s="85"/>
      <c r="Y73" s="94"/>
      <c r="Z73" s="93"/>
      <c r="AA73" s="85"/>
      <c r="AC73" s="94"/>
      <c r="AD73" s="93"/>
      <c r="AE73" s="85"/>
    </row>
    <row r="74" spans="5:31" x14ac:dyDescent="0.35">
      <c r="E74" s="85">
        <v>2</v>
      </c>
      <c r="F74" s="93" t="s">
        <v>643</v>
      </c>
      <c r="G74" s="85" t="s">
        <v>644</v>
      </c>
      <c r="H74" s="87">
        <v>205</v>
      </c>
      <c r="I74" s="94">
        <v>2</v>
      </c>
      <c r="J74" s="93">
        <v>45156</v>
      </c>
      <c r="K74" s="85" t="s">
        <v>645</v>
      </c>
      <c r="L74" s="87">
        <v>155</v>
      </c>
      <c r="M74" s="94">
        <v>2</v>
      </c>
      <c r="N74" s="93">
        <v>45440</v>
      </c>
      <c r="O74" s="85" t="s">
        <v>2955</v>
      </c>
      <c r="P74" s="148">
        <v>186.5</v>
      </c>
      <c r="Q74" s="94"/>
      <c r="R74" s="93"/>
      <c r="S74" s="85"/>
      <c r="U74" s="94"/>
      <c r="V74" s="93"/>
      <c r="W74" s="85"/>
      <c r="Y74" s="94"/>
      <c r="Z74" s="93"/>
      <c r="AA74" s="85"/>
      <c r="AC74" s="94"/>
      <c r="AD74" s="93"/>
      <c r="AE74" s="85"/>
    </row>
    <row r="75" spans="5:31" x14ac:dyDescent="0.35">
      <c r="E75" s="85">
        <v>2</v>
      </c>
      <c r="F75" s="93" t="s">
        <v>643</v>
      </c>
      <c r="G75" s="85" t="s">
        <v>646</v>
      </c>
      <c r="H75" s="87">
        <v>2822</v>
      </c>
      <c r="I75" s="94">
        <v>2</v>
      </c>
      <c r="J75" s="93">
        <v>45140</v>
      </c>
      <c r="K75" s="85" t="s">
        <v>647</v>
      </c>
      <c r="L75" s="87">
        <v>4360</v>
      </c>
      <c r="M75" s="94">
        <v>2</v>
      </c>
      <c r="N75" s="93">
        <v>45454</v>
      </c>
      <c r="O75" s="85" t="s">
        <v>2956</v>
      </c>
      <c r="P75" s="148">
        <v>23.3</v>
      </c>
      <c r="Q75" s="94"/>
      <c r="R75" s="93"/>
      <c r="S75" s="85"/>
      <c r="U75" s="94"/>
      <c r="V75" s="93"/>
      <c r="W75" s="85"/>
      <c r="Y75" s="94"/>
      <c r="Z75" s="93"/>
      <c r="AA75" s="85"/>
      <c r="AC75" s="94"/>
      <c r="AD75" s="93"/>
      <c r="AE75" s="85"/>
    </row>
    <row r="76" spans="5:31" x14ac:dyDescent="0.35">
      <c r="E76" s="85">
        <v>2</v>
      </c>
      <c r="F76" s="93" t="s">
        <v>643</v>
      </c>
      <c r="G76" s="85" t="s">
        <v>648</v>
      </c>
      <c r="H76" s="87">
        <v>9.98</v>
      </c>
      <c r="I76" s="94">
        <v>6</v>
      </c>
      <c r="J76" s="93">
        <v>45160</v>
      </c>
      <c r="K76" s="85" t="s">
        <v>649</v>
      </c>
      <c r="L76" s="87">
        <v>910</v>
      </c>
      <c r="M76" s="94">
        <v>2</v>
      </c>
      <c r="N76" s="93">
        <v>45412</v>
      </c>
      <c r="O76" s="85" t="s">
        <v>2958</v>
      </c>
      <c r="P76" s="148">
        <v>17.59</v>
      </c>
      <c r="Q76" s="94"/>
      <c r="R76" s="93"/>
      <c r="S76" s="85"/>
      <c r="U76" s="94"/>
      <c r="V76" s="93"/>
      <c r="W76" s="85"/>
      <c r="Y76" s="94"/>
      <c r="Z76" s="93"/>
      <c r="AA76" s="85"/>
      <c r="AC76" s="94"/>
      <c r="AD76" s="93"/>
      <c r="AE76" s="85"/>
    </row>
    <row r="77" spans="5:31" x14ac:dyDescent="0.35">
      <c r="E77" s="85">
        <v>2</v>
      </c>
      <c r="F77" s="93" t="s">
        <v>643</v>
      </c>
      <c r="G77" s="85" t="s">
        <v>650</v>
      </c>
      <c r="H77" s="87">
        <v>18.239999999999998</v>
      </c>
      <c r="I77" s="94">
        <v>6</v>
      </c>
      <c r="J77" s="93">
        <v>45160</v>
      </c>
      <c r="K77" s="85" t="s">
        <v>651</v>
      </c>
      <c r="L77" s="87">
        <v>3625</v>
      </c>
      <c r="M77" s="94">
        <v>2</v>
      </c>
      <c r="N77" s="93">
        <v>45443</v>
      </c>
      <c r="O77" s="85" t="s">
        <v>615</v>
      </c>
      <c r="P77" s="148">
        <v>8.1999999999999993</v>
      </c>
      <c r="Q77" s="94"/>
      <c r="R77" s="93"/>
      <c r="S77" s="85"/>
      <c r="U77" s="94"/>
      <c r="V77" s="93"/>
      <c r="W77" s="85"/>
      <c r="Y77" s="94"/>
      <c r="Z77" s="93"/>
      <c r="AA77" s="85"/>
      <c r="AC77" s="94"/>
      <c r="AD77" s="93"/>
      <c r="AE77" s="85"/>
    </row>
    <row r="78" spans="5:31" x14ac:dyDescent="0.35">
      <c r="E78" s="85">
        <v>2</v>
      </c>
      <c r="F78" s="93" t="s">
        <v>652</v>
      </c>
      <c r="G78" s="85" t="s">
        <v>653</v>
      </c>
      <c r="H78" s="87">
        <v>52.97</v>
      </c>
      <c r="I78" s="94">
        <v>2</v>
      </c>
      <c r="J78" s="93">
        <v>45147</v>
      </c>
      <c r="K78" s="85" t="s">
        <v>654</v>
      </c>
      <c r="L78" s="87">
        <v>43.94</v>
      </c>
      <c r="M78" s="94">
        <v>2</v>
      </c>
      <c r="N78" s="93">
        <v>45442</v>
      </c>
      <c r="O78" s="85" t="s">
        <v>2960</v>
      </c>
      <c r="P78" s="148">
        <v>13.32</v>
      </c>
      <c r="Q78" s="94"/>
      <c r="R78" s="93"/>
      <c r="S78" s="85"/>
      <c r="U78" s="94"/>
      <c r="V78" s="93"/>
      <c r="W78" s="85"/>
      <c r="Y78" s="94"/>
      <c r="Z78" s="93"/>
      <c r="AA78" s="85"/>
      <c r="AC78" s="94"/>
      <c r="AD78" s="93"/>
      <c r="AE78" s="85"/>
    </row>
    <row r="79" spans="5:31" x14ac:dyDescent="0.35">
      <c r="E79" s="85">
        <v>2</v>
      </c>
      <c r="F79" s="93" t="s">
        <v>655</v>
      </c>
      <c r="G79" s="85" t="s">
        <v>656</v>
      </c>
      <c r="H79" s="87">
        <v>110</v>
      </c>
      <c r="I79" s="94">
        <v>2</v>
      </c>
      <c r="J79" s="93">
        <v>45160</v>
      </c>
      <c r="K79" s="85" t="s">
        <v>657</v>
      </c>
      <c r="L79" s="87">
        <v>10.92</v>
      </c>
      <c r="M79" s="94">
        <v>2</v>
      </c>
      <c r="N79" s="93">
        <v>45467</v>
      </c>
      <c r="O79" s="85" t="s">
        <v>2588</v>
      </c>
      <c r="P79" s="148">
        <v>92.5</v>
      </c>
      <c r="Q79" s="94"/>
      <c r="R79" s="93"/>
      <c r="S79" s="85"/>
      <c r="U79" s="94"/>
      <c r="V79" s="93"/>
      <c r="W79" s="85"/>
      <c r="Y79" s="94"/>
      <c r="Z79" s="93"/>
      <c r="AA79" s="85"/>
      <c r="AC79" s="94"/>
      <c r="AD79" s="93"/>
      <c r="AE79" s="85"/>
    </row>
    <row r="80" spans="5:31" x14ac:dyDescent="0.35">
      <c r="E80" s="85">
        <v>2</v>
      </c>
      <c r="F80" s="93" t="s">
        <v>658</v>
      </c>
      <c r="G80" s="85" t="s">
        <v>659</v>
      </c>
      <c r="H80" s="87">
        <v>10.58</v>
      </c>
      <c r="I80" s="94">
        <v>2</v>
      </c>
      <c r="J80" s="93">
        <v>45182</v>
      </c>
      <c r="K80" s="85" t="s">
        <v>660</v>
      </c>
      <c r="L80" s="87">
        <v>3123</v>
      </c>
      <c r="M80" s="94">
        <v>2</v>
      </c>
      <c r="N80" s="93">
        <v>45470</v>
      </c>
      <c r="O80" s="85" t="s">
        <v>659</v>
      </c>
      <c r="P80" s="148">
        <v>5.75</v>
      </c>
      <c r="Q80" s="94"/>
      <c r="R80" s="93"/>
      <c r="S80" s="85"/>
      <c r="U80" s="94"/>
      <c r="V80" s="93"/>
      <c r="W80" s="85"/>
      <c r="Y80" s="94"/>
      <c r="Z80" s="93"/>
      <c r="AA80" s="85"/>
      <c r="AC80" s="94"/>
      <c r="AD80" s="93"/>
      <c r="AE80" s="85"/>
    </row>
    <row r="81" spans="5:31" x14ac:dyDescent="0.35">
      <c r="E81" s="85">
        <v>2</v>
      </c>
      <c r="F81" s="93" t="s">
        <v>661</v>
      </c>
      <c r="G81" s="85" t="s">
        <v>662</v>
      </c>
      <c r="H81" s="87">
        <v>50.75</v>
      </c>
      <c r="I81" s="94">
        <v>2</v>
      </c>
      <c r="J81" s="93">
        <v>45172</v>
      </c>
      <c r="K81" s="85" t="s">
        <v>663</v>
      </c>
      <c r="L81" s="87">
        <v>2545.5</v>
      </c>
      <c r="M81" s="94">
        <v>2</v>
      </c>
      <c r="N81" s="93">
        <v>45469</v>
      </c>
      <c r="O81" s="85" t="s">
        <v>1606</v>
      </c>
      <c r="P81" s="148">
        <v>57</v>
      </c>
      <c r="Q81" s="94"/>
      <c r="R81" s="93"/>
      <c r="S81" s="85"/>
      <c r="U81" s="94"/>
      <c r="V81" s="93"/>
      <c r="W81" s="85"/>
      <c r="Y81" s="94"/>
      <c r="Z81" s="93"/>
      <c r="AA81" s="85"/>
      <c r="AC81" s="94"/>
      <c r="AD81" s="93"/>
      <c r="AE81" s="85"/>
    </row>
    <row r="82" spans="5:31" x14ac:dyDescent="0.35">
      <c r="E82" s="85">
        <v>2</v>
      </c>
      <c r="F82" s="93" t="s">
        <v>664</v>
      </c>
      <c r="G82" s="85" t="s">
        <v>665</v>
      </c>
      <c r="H82" s="87">
        <v>345</v>
      </c>
      <c r="I82" s="94">
        <v>1</v>
      </c>
      <c r="J82" s="93" t="s">
        <v>2385</v>
      </c>
      <c r="K82" s="85" t="s">
        <v>667</v>
      </c>
      <c r="L82" s="87">
        <v>-6000</v>
      </c>
      <c r="M82" s="94">
        <v>2</v>
      </c>
      <c r="N82" s="93">
        <v>45470</v>
      </c>
      <c r="O82" s="85" t="s">
        <v>2970</v>
      </c>
      <c r="P82" s="148">
        <v>31.25</v>
      </c>
      <c r="Q82" s="94"/>
      <c r="R82" s="93"/>
      <c r="S82" s="85"/>
      <c r="U82" s="94"/>
      <c r="V82" s="93"/>
      <c r="W82" s="85"/>
      <c r="Y82" s="94"/>
      <c r="Z82" s="93"/>
      <c r="AA82" s="85"/>
      <c r="AC82" s="94"/>
      <c r="AD82" s="93"/>
      <c r="AE82" s="85"/>
    </row>
    <row r="83" spans="5:31" x14ac:dyDescent="0.35">
      <c r="E83" s="85">
        <v>2</v>
      </c>
      <c r="F83" s="93" t="s">
        <v>668</v>
      </c>
      <c r="G83" s="85" t="s">
        <v>669</v>
      </c>
      <c r="H83" s="87">
        <v>350</v>
      </c>
      <c r="I83" s="94">
        <v>6</v>
      </c>
      <c r="J83" s="93">
        <v>45183</v>
      </c>
      <c r="K83" s="85" t="s">
        <v>649</v>
      </c>
      <c r="L83" s="87">
        <v>1150</v>
      </c>
      <c r="M83" s="94">
        <v>2</v>
      </c>
      <c r="N83" s="93">
        <v>45421</v>
      </c>
      <c r="O83" s="85" t="s">
        <v>715</v>
      </c>
      <c r="P83" s="148">
        <v>14.17</v>
      </c>
      <c r="Q83" s="94"/>
      <c r="R83" s="93"/>
      <c r="S83" s="85"/>
      <c r="U83" s="94"/>
      <c r="V83" s="93"/>
      <c r="W83" s="85"/>
      <c r="Y83" s="94"/>
      <c r="Z83" s="93"/>
      <c r="AA83" s="85"/>
      <c r="AC83" s="94"/>
      <c r="AD83" s="93"/>
      <c r="AE83" s="85"/>
    </row>
    <row r="84" spans="5:31" x14ac:dyDescent="0.35">
      <c r="E84" s="85">
        <v>2</v>
      </c>
      <c r="F84" s="93" t="s">
        <v>668</v>
      </c>
      <c r="G84" s="85" t="s">
        <v>670</v>
      </c>
      <c r="H84" s="87">
        <v>1395</v>
      </c>
      <c r="I84" s="94">
        <v>2</v>
      </c>
      <c r="J84" s="93">
        <v>45175</v>
      </c>
      <c r="K84" s="85" t="s">
        <v>673</v>
      </c>
      <c r="L84" s="87">
        <v>200</v>
      </c>
      <c r="M84" s="94">
        <v>2</v>
      </c>
      <c r="N84" s="93">
        <v>45433</v>
      </c>
      <c r="O84" s="85" t="s">
        <v>715</v>
      </c>
      <c r="P84" s="148">
        <v>16.667000000000002</v>
      </c>
      <c r="Q84" s="94"/>
      <c r="R84" s="93"/>
      <c r="S84" s="85"/>
      <c r="U84" s="94"/>
      <c r="V84" s="93"/>
      <c r="W84" s="85"/>
      <c r="Y84" s="94"/>
      <c r="Z84" s="93"/>
      <c r="AA84" s="85"/>
      <c r="AC84" s="94"/>
      <c r="AD84" s="93"/>
      <c r="AE84" s="85"/>
    </row>
    <row r="85" spans="5:31" x14ac:dyDescent="0.35">
      <c r="E85" s="85">
        <v>2</v>
      </c>
      <c r="F85" s="93" t="s">
        <v>671</v>
      </c>
      <c r="G85" s="85" t="s">
        <v>672</v>
      </c>
      <c r="H85" s="87">
        <v>120</v>
      </c>
      <c r="I85" s="94">
        <v>2</v>
      </c>
      <c r="J85" s="93">
        <v>45187</v>
      </c>
      <c r="K85" s="85" t="s">
        <v>673</v>
      </c>
      <c r="L85" s="87">
        <v>1260</v>
      </c>
      <c r="M85" s="94">
        <v>2</v>
      </c>
      <c r="N85" s="93">
        <v>45434</v>
      </c>
      <c r="O85" s="85" t="s">
        <v>2928</v>
      </c>
      <c r="P85" s="148">
        <v>138</v>
      </c>
      <c r="Q85" s="94"/>
      <c r="R85" s="93"/>
      <c r="S85" s="85"/>
      <c r="U85" s="94"/>
      <c r="V85" s="93"/>
      <c r="W85" s="85"/>
      <c r="Y85" s="94"/>
      <c r="Z85" s="93"/>
      <c r="AA85" s="85"/>
      <c r="AC85" s="94"/>
      <c r="AD85" s="93"/>
      <c r="AE85" s="85"/>
    </row>
    <row r="86" spans="5:31" x14ac:dyDescent="0.35">
      <c r="E86" s="85">
        <v>2</v>
      </c>
      <c r="F86" s="93" t="s">
        <v>671</v>
      </c>
      <c r="G86" s="85" t="s">
        <v>674</v>
      </c>
      <c r="H86" s="87">
        <v>385</v>
      </c>
      <c r="I86" s="94" t="s">
        <v>23</v>
      </c>
      <c r="J86" s="93" t="s">
        <v>676</v>
      </c>
      <c r="K86" s="85" t="s">
        <v>677</v>
      </c>
      <c r="L86" s="87">
        <v>5000</v>
      </c>
      <c r="M86" s="94">
        <v>2</v>
      </c>
      <c r="N86" s="93">
        <v>45435</v>
      </c>
      <c r="O86" s="85" t="s">
        <v>727</v>
      </c>
      <c r="P86" s="148">
        <v>24.85</v>
      </c>
      <c r="Q86" s="94"/>
      <c r="R86" s="93"/>
      <c r="S86" s="85"/>
      <c r="U86" s="94"/>
      <c r="V86" s="93"/>
      <c r="W86" s="85"/>
      <c r="Y86" s="94"/>
      <c r="Z86" s="93"/>
      <c r="AA86" s="85"/>
      <c r="AC86" s="94"/>
      <c r="AD86" s="93"/>
      <c r="AE86" s="85"/>
    </row>
    <row r="87" spans="5:31" x14ac:dyDescent="0.35">
      <c r="E87" s="85">
        <v>2</v>
      </c>
      <c r="F87" s="93" t="s">
        <v>671</v>
      </c>
      <c r="G87" s="85" t="s">
        <v>675</v>
      </c>
      <c r="H87" s="87">
        <v>4250</v>
      </c>
      <c r="I87" s="94">
        <v>2</v>
      </c>
      <c r="J87" s="93">
        <v>45189</v>
      </c>
      <c r="K87" s="85" t="s">
        <v>679</v>
      </c>
      <c r="L87" s="87">
        <v>90.26</v>
      </c>
      <c r="M87" s="94">
        <v>2</v>
      </c>
      <c r="N87" s="93">
        <v>45436</v>
      </c>
      <c r="O87" s="85" t="s">
        <v>715</v>
      </c>
      <c r="P87" s="148">
        <v>25.83</v>
      </c>
      <c r="Q87" s="94"/>
      <c r="R87" s="93"/>
      <c r="S87" s="85"/>
      <c r="U87" s="94"/>
      <c r="V87" s="93"/>
      <c r="W87" s="85"/>
      <c r="Y87" s="94"/>
      <c r="Z87" s="93"/>
      <c r="AA87" s="85"/>
      <c r="AC87" s="94"/>
      <c r="AD87" s="93"/>
      <c r="AE87" s="85"/>
    </row>
    <row r="88" spans="5:31" x14ac:dyDescent="0.35">
      <c r="E88" s="85">
        <v>2</v>
      </c>
      <c r="F88" s="93" t="s">
        <v>671</v>
      </c>
      <c r="G88" s="85" t="s">
        <v>678</v>
      </c>
      <c r="H88" s="87">
        <v>1000</v>
      </c>
      <c r="I88" s="94">
        <v>2</v>
      </c>
      <c r="J88" s="93">
        <v>45191</v>
      </c>
      <c r="K88" s="85" t="s">
        <v>682</v>
      </c>
      <c r="L88" s="87">
        <v>101.93</v>
      </c>
      <c r="M88" s="94">
        <v>2</v>
      </c>
      <c r="N88" s="93">
        <v>45443</v>
      </c>
      <c r="O88" s="85" t="s">
        <v>715</v>
      </c>
      <c r="P88" s="148">
        <v>18.329999999999998</v>
      </c>
      <c r="Q88" s="94"/>
      <c r="R88" s="93"/>
      <c r="S88" s="85"/>
      <c r="U88" s="94"/>
      <c r="V88" s="93"/>
      <c r="W88" s="85"/>
      <c r="Y88" s="94"/>
      <c r="Z88" s="93"/>
      <c r="AA88" s="85"/>
      <c r="AC88" s="94"/>
      <c r="AD88" s="93"/>
      <c r="AE88" s="85"/>
    </row>
    <row r="89" spans="5:31" x14ac:dyDescent="0.35">
      <c r="E89" s="85">
        <v>2</v>
      </c>
      <c r="F89" s="93" t="s">
        <v>680</v>
      </c>
      <c r="G89" s="85" t="s">
        <v>681</v>
      </c>
      <c r="H89" s="87">
        <v>13.31</v>
      </c>
      <c r="I89" s="94">
        <v>2</v>
      </c>
      <c r="J89" s="93">
        <v>45183</v>
      </c>
      <c r="K89" s="85" t="s">
        <v>685</v>
      </c>
      <c r="L89" s="87">
        <v>320</v>
      </c>
      <c r="M89" s="94">
        <v>2</v>
      </c>
      <c r="N89" s="93">
        <v>45442</v>
      </c>
      <c r="O89" s="85" t="s">
        <v>715</v>
      </c>
      <c r="P89" s="148">
        <v>17.46</v>
      </c>
      <c r="Q89" s="94"/>
      <c r="R89" s="93"/>
      <c r="S89" s="85"/>
      <c r="U89" s="94"/>
      <c r="V89" s="93"/>
      <c r="W89" s="85"/>
      <c r="Y89" s="94"/>
      <c r="Z89" s="93"/>
      <c r="AA89" s="85"/>
      <c r="AC89" s="94"/>
      <c r="AD89" s="93"/>
      <c r="AE89" s="85"/>
    </row>
    <row r="90" spans="5:31" x14ac:dyDescent="0.35">
      <c r="E90" s="85">
        <v>2</v>
      </c>
      <c r="F90" s="93" t="s">
        <v>683</v>
      </c>
      <c r="G90" s="85" t="s">
        <v>684</v>
      </c>
      <c r="H90" s="87">
        <v>593.97</v>
      </c>
      <c r="I90" s="94">
        <v>2</v>
      </c>
      <c r="J90" s="93">
        <v>45172</v>
      </c>
      <c r="K90" s="85" t="s">
        <v>688</v>
      </c>
      <c r="L90" s="87">
        <v>985</v>
      </c>
      <c r="M90" s="94">
        <v>2</v>
      </c>
      <c r="N90" s="93">
        <v>45443</v>
      </c>
      <c r="O90" s="85" t="s">
        <v>3007</v>
      </c>
      <c r="P90" s="148">
        <v>4.38</v>
      </c>
      <c r="Q90" s="94"/>
      <c r="R90" s="93"/>
      <c r="S90" s="85"/>
      <c r="U90" s="94"/>
      <c r="V90" s="93"/>
      <c r="W90" s="85"/>
      <c r="Y90" s="94"/>
      <c r="Z90" s="93"/>
      <c r="AA90" s="85"/>
      <c r="AC90" s="94"/>
      <c r="AD90" s="93"/>
      <c r="AE90" s="85"/>
    </row>
    <row r="91" spans="5:31" x14ac:dyDescent="0.35">
      <c r="E91" s="85">
        <v>2</v>
      </c>
      <c r="F91" s="93" t="s">
        <v>686</v>
      </c>
      <c r="G91" s="85" t="s">
        <v>687</v>
      </c>
      <c r="H91" s="87">
        <v>13.57</v>
      </c>
      <c r="I91" s="94">
        <v>2</v>
      </c>
      <c r="J91" s="93">
        <v>45153</v>
      </c>
      <c r="K91" s="85" t="s">
        <v>690</v>
      </c>
      <c r="L91" s="87">
        <v>13.4</v>
      </c>
      <c r="M91" s="94">
        <v>2</v>
      </c>
      <c r="N91" s="93">
        <v>45463</v>
      </c>
      <c r="O91" s="85" t="s">
        <v>600</v>
      </c>
      <c r="P91" s="148">
        <v>103.5</v>
      </c>
      <c r="Q91" s="94"/>
      <c r="R91" s="93"/>
      <c r="S91" s="85"/>
      <c r="U91" s="94"/>
      <c r="V91" s="93"/>
      <c r="W91" s="85"/>
      <c r="Y91" s="94"/>
      <c r="Z91" s="93"/>
      <c r="AA91" s="85"/>
      <c r="AC91" s="94"/>
      <c r="AD91" s="93"/>
      <c r="AE91" s="85"/>
    </row>
    <row r="92" spans="5:31" x14ac:dyDescent="0.35">
      <c r="E92" s="85">
        <v>2</v>
      </c>
      <c r="F92" s="93" t="s">
        <v>689</v>
      </c>
      <c r="G92" s="85" t="s">
        <v>540</v>
      </c>
      <c r="H92" s="87">
        <v>80</v>
      </c>
      <c r="I92" s="94">
        <v>6</v>
      </c>
      <c r="J92" s="93">
        <v>45170</v>
      </c>
      <c r="K92" s="85" t="s">
        <v>693</v>
      </c>
      <c r="L92" s="87">
        <v>94.58</v>
      </c>
      <c r="M92" s="94">
        <v>2</v>
      </c>
      <c r="N92" s="93">
        <v>45473</v>
      </c>
      <c r="O92" s="85" t="s">
        <v>3025</v>
      </c>
      <c r="P92" s="148">
        <v>13.33</v>
      </c>
      <c r="Q92" s="94"/>
      <c r="R92" s="93"/>
      <c r="S92" s="85"/>
      <c r="U92" s="94"/>
      <c r="V92" s="93"/>
      <c r="W92" s="85"/>
      <c r="Y92" s="94"/>
      <c r="Z92" s="93"/>
      <c r="AA92" s="85"/>
      <c r="AC92" s="94"/>
      <c r="AD92" s="93"/>
      <c r="AE92" s="85"/>
    </row>
    <row r="93" spans="5:31" x14ac:dyDescent="0.35">
      <c r="E93" s="85">
        <v>2</v>
      </c>
      <c r="F93" s="93" t="s">
        <v>691</v>
      </c>
      <c r="G93" s="85" t="s">
        <v>692</v>
      </c>
      <c r="H93" s="87">
        <v>28.87</v>
      </c>
      <c r="I93" s="94">
        <v>3</v>
      </c>
      <c r="J93" s="93">
        <v>45170</v>
      </c>
      <c r="K93" s="85" t="s">
        <v>696</v>
      </c>
      <c r="L93" s="87">
        <v>28.75</v>
      </c>
      <c r="M93" s="94">
        <v>2</v>
      </c>
      <c r="N93" s="93">
        <v>45471</v>
      </c>
      <c r="O93" s="85" t="s">
        <v>1068</v>
      </c>
      <c r="P93" s="148">
        <v>200</v>
      </c>
      <c r="Q93" s="94"/>
      <c r="R93" s="93"/>
      <c r="S93" s="85"/>
      <c r="U93" s="94"/>
      <c r="V93" s="93"/>
      <c r="W93" s="85"/>
      <c r="Y93" s="94"/>
      <c r="Z93" s="93"/>
      <c r="AA93" s="85"/>
      <c r="AC93" s="94"/>
      <c r="AD93" s="93"/>
      <c r="AE93" s="85"/>
    </row>
    <row r="94" spans="5:31" x14ac:dyDescent="0.35">
      <c r="E94" s="85">
        <v>2</v>
      </c>
      <c r="F94" s="93" t="s">
        <v>694</v>
      </c>
      <c r="G94" s="85" t="s">
        <v>695</v>
      </c>
      <c r="H94" s="87">
        <v>1120</v>
      </c>
      <c r="I94" s="94">
        <v>2</v>
      </c>
      <c r="J94" s="93">
        <v>45189</v>
      </c>
      <c r="K94" s="85" t="s">
        <v>698</v>
      </c>
      <c r="L94" s="87">
        <v>24.42</v>
      </c>
      <c r="M94" s="94">
        <v>2</v>
      </c>
      <c r="N94" s="93">
        <v>45421</v>
      </c>
      <c r="O94" s="85" t="s">
        <v>3046</v>
      </c>
      <c r="P94" s="148">
        <v>41.65</v>
      </c>
      <c r="Q94" s="94"/>
      <c r="R94" s="93"/>
      <c r="S94" s="85"/>
      <c r="U94" s="94"/>
      <c r="V94" s="93"/>
      <c r="W94" s="85"/>
      <c r="Y94" s="94"/>
      <c r="Z94" s="93"/>
      <c r="AA94" s="85"/>
      <c r="AC94" s="94"/>
      <c r="AD94" s="93"/>
      <c r="AE94" s="85"/>
    </row>
    <row r="95" spans="5:31" x14ac:dyDescent="0.35">
      <c r="E95" s="85">
        <v>2</v>
      </c>
      <c r="F95" s="93" t="s">
        <v>694</v>
      </c>
      <c r="G95" s="85" t="s">
        <v>697</v>
      </c>
      <c r="H95" s="87">
        <v>3345</v>
      </c>
      <c r="I95" s="85">
        <v>2</v>
      </c>
      <c r="J95" s="93">
        <v>45119</v>
      </c>
      <c r="K95" s="87" t="s">
        <v>701</v>
      </c>
      <c r="L95" s="88">
        <v>51.43</v>
      </c>
      <c r="M95" s="94">
        <v>2</v>
      </c>
      <c r="N95" s="93">
        <v>45427</v>
      </c>
      <c r="O95" s="85" t="s">
        <v>3047</v>
      </c>
      <c r="P95" s="148">
        <v>4.16</v>
      </c>
      <c r="Q95" s="94"/>
      <c r="R95" s="93"/>
      <c r="S95" s="85"/>
      <c r="U95" s="94"/>
      <c r="V95" s="93"/>
      <c r="W95" s="85"/>
      <c r="Y95" s="94"/>
      <c r="Z95" s="93"/>
      <c r="AA95" s="85"/>
      <c r="AC95" s="94"/>
      <c r="AD95" s="93"/>
      <c r="AE95" s="85"/>
    </row>
    <row r="96" spans="5:31" x14ac:dyDescent="0.35">
      <c r="E96" s="85">
        <v>1</v>
      </c>
      <c r="F96" s="93" t="s">
        <v>699</v>
      </c>
      <c r="G96" s="85" t="s">
        <v>700</v>
      </c>
      <c r="H96" s="87">
        <v>-150000</v>
      </c>
      <c r="I96" s="85">
        <v>2</v>
      </c>
      <c r="J96" s="93">
        <v>45120</v>
      </c>
      <c r="K96" s="87" t="s">
        <v>535</v>
      </c>
      <c r="L96" s="88">
        <v>20</v>
      </c>
      <c r="M96" s="94">
        <v>2</v>
      </c>
      <c r="N96" s="93">
        <v>45427</v>
      </c>
      <c r="O96" s="85" t="s">
        <v>3048</v>
      </c>
      <c r="P96" s="148">
        <v>9.33</v>
      </c>
      <c r="Q96" s="94"/>
      <c r="R96" s="93"/>
      <c r="S96" s="85"/>
      <c r="U96" s="94"/>
      <c r="V96" s="93"/>
      <c r="W96" s="85"/>
      <c r="Y96" s="94"/>
      <c r="Z96" s="93"/>
      <c r="AA96" s="85"/>
      <c r="AC96" s="94"/>
      <c r="AD96" s="93"/>
      <c r="AE96" s="85"/>
    </row>
    <row r="97" spans="5:35" x14ac:dyDescent="0.35">
      <c r="E97" s="85">
        <v>2</v>
      </c>
      <c r="F97" s="93">
        <v>45013</v>
      </c>
      <c r="G97" s="85" t="s">
        <v>702</v>
      </c>
      <c r="H97" s="87">
        <v>3350</v>
      </c>
      <c r="I97" s="94">
        <v>2</v>
      </c>
      <c r="J97" s="93">
        <v>45127</v>
      </c>
      <c r="K97" s="85" t="s">
        <v>595</v>
      </c>
      <c r="L97" s="87">
        <v>60.19</v>
      </c>
      <c r="M97" s="94">
        <v>2</v>
      </c>
      <c r="N97" s="93">
        <v>45432</v>
      </c>
      <c r="O97" s="85" t="s">
        <v>3049</v>
      </c>
      <c r="P97" s="148">
        <v>11.47</v>
      </c>
      <c r="Q97" s="94"/>
      <c r="R97" s="93"/>
      <c r="S97" s="85"/>
      <c r="U97" s="94"/>
      <c r="V97" s="93"/>
      <c r="W97" s="85"/>
      <c r="Y97" s="94"/>
      <c r="Z97" s="93"/>
      <c r="AA97" s="85"/>
      <c r="AC97" s="94"/>
      <c r="AD97" s="93"/>
      <c r="AE97" s="85"/>
    </row>
    <row r="98" spans="5:35" x14ac:dyDescent="0.35">
      <c r="E98" s="85" t="s">
        <v>703</v>
      </c>
      <c r="F98" s="93" t="s">
        <v>676</v>
      </c>
      <c r="G98" s="85" t="s">
        <v>514</v>
      </c>
      <c r="H98" s="87">
        <v>4000</v>
      </c>
      <c r="I98" s="94">
        <v>2</v>
      </c>
      <c r="J98" s="93">
        <v>45127</v>
      </c>
      <c r="K98" s="85" t="s">
        <v>705</v>
      </c>
      <c r="L98" s="87">
        <v>125</v>
      </c>
      <c r="M98" s="94">
        <v>2</v>
      </c>
      <c r="N98" s="93">
        <v>45433</v>
      </c>
      <c r="O98" s="85" t="s">
        <v>3050</v>
      </c>
      <c r="P98" s="148">
        <v>22.83</v>
      </c>
      <c r="Q98" s="94"/>
      <c r="R98" s="93"/>
      <c r="S98" s="85"/>
      <c r="U98" s="94"/>
      <c r="V98" s="93"/>
      <c r="W98" s="85"/>
      <c r="Y98" s="94"/>
      <c r="Z98" s="93"/>
      <c r="AA98" s="85"/>
      <c r="AC98" s="94"/>
      <c r="AD98" s="93"/>
      <c r="AE98" s="85"/>
    </row>
    <row r="99" spans="5:35" x14ac:dyDescent="0.35">
      <c r="E99" s="85">
        <v>2</v>
      </c>
      <c r="F99" s="93">
        <v>44869</v>
      </c>
      <c r="G99" s="85" t="s">
        <v>704</v>
      </c>
      <c r="H99" s="87">
        <v>4650</v>
      </c>
      <c r="I99" s="94">
        <v>2</v>
      </c>
      <c r="J99" s="93">
        <v>45168</v>
      </c>
      <c r="K99" s="85" t="s">
        <v>570</v>
      </c>
      <c r="L99" s="87">
        <v>119.55</v>
      </c>
      <c r="M99" s="94">
        <v>2</v>
      </c>
      <c r="N99" s="93">
        <v>45434</v>
      </c>
      <c r="O99" s="85" t="s">
        <v>3051</v>
      </c>
      <c r="P99" s="148">
        <v>71.650000000000006</v>
      </c>
      <c r="Q99" s="94"/>
      <c r="R99" s="93"/>
      <c r="S99" s="85"/>
      <c r="U99" s="94"/>
      <c r="V99" s="93"/>
      <c r="W99" s="85"/>
      <c r="Y99" s="94"/>
      <c r="Z99" s="93"/>
      <c r="AA99" s="85"/>
      <c r="AC99" s="94"/>
      <c r="AD99" s="93"/>
      <c r="AE99" s="85"/>
    </row>
    <row r="100" spans="5:35" x14ac:dyDescent="0.35">
      <c r="E100" s="85">
        <v>2</v>
      </c>
      <c r="F100" s="93">
        <v>44869</v>
      </c>
      <c r="G100" s="85" t="s">
        <v>706</v>
      </c>
      <c r="H100" s="87">
        <v>185</v>
      </c>
      <c r="I100" s="94">
        <v>2</v>
      </c>
      <c r="J100" s="93">
        <v>45174</v>
      </c>
      <c r="K100" s="85" t="s">
        <v>618</v>
      </c>
      <c r="L100" s="87">
        <v>20.83</v>
      </c>
      <c r="M100" s="94">
        <v>2</v>
      </c>
      <c r="N100" s="93">
        <v>45436</v>
      </c>
      <c r="O100" s="85" t="s">
        <v>2889</v>
      </c>
      <c r="P100" s="148">
        <v>56.65</v>
      </c>
      <c r="Q100" s="94"/>
      <c r="R100" s="93"/>
      <c r="S100" s="85"/>
      <c r="U100" s="94"/>
      <c r="V100" s="93"/>
      <c r="W100" s="85"/>
      <c r="Y100" s="94"/>
      <c r="Z100" s="93"/>
      <c r="AA100" s="85"/>
      <c r="AC100" s="94"/>
      <c r="AD100" s="93"/>
      <c r="AE100" s="85"/>
    </row>
    <row r="101" spans="5:35" x14ac:dyDescent="0.35">
      <c r="E101" s="85">
        <v>2</v>
      </c>
      <c r="F101" s="93">
        <v>44869</v>
      </c>
      <c r="G101" s="85" t="s">
        <v>707</v>
      </c>
      <c r="H101" s="87">
        <v>2</v>
      </c>
      <c r="I101" s="94">
        <v>2</v>
      </c>
      <c r="J101" s="93">
        <v>45174</v>
      </c>
      <c r="K101" s="85" t="s">
        <v>2294</v>
      </c>
      <c r="L101" s="87">
        <v>94.98</v>
      </c>
      <c r="M101" s="94">
        <v>2</v>
      </c>
      <c r="N101" s="93">
        <v>45456</v>
      </c>
      <c r="O101" s="85" t="s">
        <v>3052</v>
      </c>
      <c r="P101" s="148">
        <v>56.65</v>
      </c>
      <c r="Q101" s="94"/>
      <c r="R101" s="93"/>
      <c r="S101" s="85"/>
      <c r="U101" s="94"/>
      <c r="V101" s="93"/>
      <c r="W101" s="85"/>
      <c r="Y101" s="94"/>
      <c r="Z101" s="93"/>
      <c r="AA101" s="85"/>
      <c r="AC101" s="94"/>
      <c r="AD101" s="93"/>
      <c r="AE101" s="85"/>
    </row>
    <row r="102" spans="5:35" x14ac:dyDescent="0.35">
      <c r="E102" s="85">
        <v>2</v>
      </c>
      <c r="F102" s="93">
        <v>44879</v>
      </c>
      <c r="G102" s="85" t="s">
        <v>540</v>
      </c>
      <c r="H102" s="87">
        <v>180</v>
      </c>
      <c r="I102" s="94">
        <v>2</v>
      </c>
      <c r="J102" s="93">
        <v>45176</v>
      </c>
      <c r="K102" s="85" t="s">
        <v>2295</v>
      </c>
      <c r="L102" s="87">
        <v>6.91</v>
      </c>
      <c r="M102" s="94">
        <v>2</v>
      </c>
      <c r="N102" s="93">
        <v>45456</v>
      </c>
      <c r="O102" s="85" t="s">
        <v>3053</v>
      </c>
      <c r="P102" s="148">
        <v>24.99</v>
      </c>
      <c r="Q102" s="94"/>
      <c r="R102" s="93"/>
      <c r="S102" s="85"/>
      <c r="U102" s="94"/>
      <c r="V102" s="93"/>
      <c r="W102" s="85"/>
      <c r="Y102" s="94"/>
      <c r="Z102" s="93"/>
      <c r="AA102" s="85"/>
      <c r="AC102" s="94"/>
      <c r="AD102" s="93"/>
      <c r="AE102" s="85"/>
    </row>
    <row r="103" spans="5:35" x14ac:dyDescent="0.35">
      <c r="E103" s="85">
        <v>2</v>
      </c>
      <c r="F103" s="93">
        <v>44879</v>
      </c>
      <c r="G103" s="85" t="s">
        <v>710</v>
      </c>
      <c r="H103" s="87">
        <v>305</v>
      </c>
      <c r="I103" s="94">
        <v>2</v>
      </c>
      <c r="J103" s="93">
        <v>45180</v>
      </c>
      <c r="K103" s="85" t="s">
        <v>2296</v>
      </c>
      <c r="L103" s="87">
        <v>19.149999999999999</v>
      </c>
      <c r="M103" s="94">
        <v>2</v>
      </c>
      <c r="N103" s="93">
        <v>45470</v>
      </c>
      <c r="O103" s="85" t="s">
        <v>3054</v>
      </c>
      <c r="P103" s="148">
        <v>45.54</v>
      </c>
      <c r="Q103" s="94"/>
      <c r="R103" s="93"/>
      <c r="S103" s="85"/>
      <c r="U103" s="94"/>
      <c r="V103" s="93"/>
      <c r="W103" s="85"/>
      <c r="Y103" s="94"/>
      <c r="Z103" s="93"/>
      <c r="AA103" s="85"/>
      <c r="AC103" s="94"/>
      <c r="AD103" s="93"/>
      <c r="AE103" s="85"/>
    </row>
    <row r="104" spans="5:35" x14ac:dyDescent="0.35">
      <c r="E104" s="85">
        <v>2</v>
      </c>
      <c r="F104" s="93">
        <v>44877</v>
      </c>
      <c r="G104" s="85" t="s">
        <v>712</v>
      </c>
      <c r="H104" s="87">
        <v>334.44</v>
      </c>
      <c r="I104" s="94">
        <v>2</v>
      </c>
      <c r="J104" s="93">
        <v>45197</v>
      </c>
      <c r="K104" s="85" t="s">
        <v>526</v>
      </c>
      <c r="L104" s="87">
        <v>20.93</v>
      </c>
      <c r="M104" s="94">
        <v>2</v>
      </c>
      <c r="N104" s="93">
        <v>45470</v>
      </c>
      <c r="O104" s="85" t="s">
        <v>615</v>
      </c>
      <c r="P104" s="148">
        <v>12.14</v>
      </c>
      <c r="Q104" s="94"/>
      <c r="R104" s="93"/>
      <c r="S104" s="85"/>
      <c r="U104" s="94"/>
      <c r="V104" s="93"/>
      <c r="W104" s="85"/>
      <c r="Y104" s="94"/>
      <c r="Z104" s="93"/>
      <c r="AA104" s="85"/>
      <c r="AC104" s="94"/>
      <c r="AD104" s="93"/>
      <c r="AE104" s="85"/>
    </row>
    <row r="105" spans="5:35" x14ac:dyDescent="0.35">
      <c r="E105" s="85">
        <v>2</v>
      </c>
      <c r="F105" s="93">
        <v>44873</v>
      </c>
      <c r="G105" s="85" t="s">
        <v>714</v>
      </c>
      <c r="H105" s="87">
        <v>300</v>
      </c>
      <c r="I105" s="94">
        <v>2</v>
      </c>
      <c r="J105" s="93">
        <v>45201</v>
      </c>
      <c r="K105" s="85" t="s">
        <v>708</v>
      </c>
      <c r="L105" s="87">
        <v>120</v>
      </c>
      <c r="M105" s="94">
        <v>2</v>
      </c>
      <c r="N105" s="93">
        <v>45454</v>
      </c>
      <c r="O105" s="85" t="s">
        <v>1482</v>
      </c>
      <c r="P105" s="148">
        <v>54.99</v>
      </c>
      <c r="Q105" s="94"/>
      <c r="R105" s="93"/>
      <c r="S105" s="85"/>
      <c r="U105" s="94"/>
      <c r="V105" s="93"/>
      <c r="W105" s="85"/>
      <c r="Y105" s="94"/>
      <c r="Z105" s="93"/>
      <c r="AA105" s="85"/>
      <c r="AC105" s="94"/>
      <c r="AD105" s="93"/>
      <c r="AE105" s="85"/>
    </row>
    <row r="106" spans="5:35" x14ac:dyDescent="0.35">
      <c r="E106" s="85">
        <v>2</v>
      </c>
      <c r="F106" s="93">
        <v>44878</v>
      </c>
      <c r="G106" s="85" t="s">
        <v>716</v>
      </c>
      <c r="H106" s="87">
        <v>3050</v>
      </c>
      <c r="I106" s="94">
        <v>2</v>
      </c>
      <c r="J106" s="93">
        <v>45208</v>
      </c>
      <c r="K106" s="85" t="s">
        <v>709</v>
      </c>
      <c r="L106" s="87">
        <v>138.97999999999999</v>
      </c>
      <c r="M106" s="94">
        <v>2</v>
      </c>
      <c r="N106" s="93">
        <v>45455</v>
      </c>
      <c r="O106" s="85" t="s">
        <v>3055</v>
      </c>
      <c r="P106" s="148">
        <v>188.26</v>
      </c>
      <c r="Q106" s="94"/>
      <c r="R106" s="93"/>
      <c r="S106" s="85"/>
      <c r="U106" s="94"/>
      <c r="V106" s="93"/>
      <c r="W106" s="85"/>
      <c r="Y106" s="94"/>
      <c r="Z106" s="93"/>
      <c r="AA106" s="85"/>
      <c r="AC106" s="94"/>
      <c r="AD106" s="93"/>
      <c r="AE106" s="85"/>
    </row>
    <row r="107" spans="5:35" x14ac:dyDescent="0.35">
      <c r="E107" s="85">
        <v>2</v>
      </c>
      <c r="F107" s="93">
        <v>44893</v>
      </c>
      <c r="G107" s="85" t="s">
        <v>718</v>
      </c>
      <c r="H107" s="87">
        <v>593.97</v>
      </c>
      <c r="I107" s="94">
        <v>2</v>
      </c>
      <c r="J107" s="93">
        <v>45208</v>
      </c>
      <c r="K107" s="85" t="s">
        <v>711</v>
      </c>
      <c r="L107" s="87">
        <v>236.25</v>
      </c>
      <c r="M107" s="94">
        <v>2</v>
      </c>
      <c r="N107" s="93">
        <v>45455</v>
      </c>
      <c r="O107" s="85" t="s">
        <v>3056</v>
      </c>
      <c r="P107" s="148">
        <v>-29.16</v>
      </c>
      <c r="Q107" s="94"/>
      <c r="R107" s="93"/>
      <c r="S107" s="85"/>
      <c r="U107" s="94"/>
      <c r="V107" s="93"/>
      <c r="W107" s="85"/>
      <c r="Y107" s="94"/>
      <c r="Z107" s="93"/>
      <c r="AA107" s="85"/>
      <c r="AC107" s="94"/>
      <c r="AD107" s="93"/>
      <c r="AE107" s="85"/>
    </row>
    <row r="108" spans="5:35" x14ac:dyDescent="0.35">
      <c r="E108" s="85">
        <v>2</v>
      </c>
      <c r="F108" s="93">
        <v>44896</v>
      </c>
      <c r="G108" s="85" t="s">
        <v>721</v>
      </c>
      <c r="H108" s="87">
        <v>715</v>
      </c>
      <c r="I108" s="94">
        <v>2</v>
      </c>
      <c r="J108" s="93">
        <v>45207</v>
      </c>
      <c r="K108" s="85" t="s">
        <v>713</v>
      </c>
      <c r="L108" s="87">
        <v>1500</v>
      </c>
      <c r="M108" s="94">
        <v>2</v>
      </c>
      <c r="N108" s="93">
        <v>45484</v>
      </c>
      <c r="O108" s="85" t="s">
        <v>615</v>
      </c>
      <c r="P108" s="87">
        <v>41.91</v>
      </c>
      <c r="Q108" s="94"/>
      <c r="R108" s="93"/>
      <c r="S108" s="85"/>
      <c r="U108" s="94"/>
      <c r="V108" s="93"/>
      <c r="W108" s="85"/>
      <c r="Y108" s="94"/>
      <c r="Z108" s="93"/>
      <c r="AA108" s="85"/>
      <c r="AC108" s="94"/>
      <c r="AD108" s="93"/>
      <c r="AE108" s="85"/>
    </row>
    <row r="109" spans="5:35" x14ac:dyDescent="0.35">
      <c r="E109" s="85">
        <v>2</v>
      </c>
      <c r="F109" s="93">
        <v>44903</v>
      </c>
      <c r="G109" s="85" t="s">
        <v>722</v>
      </c>
      <c r="H109" s="87">
        <v>100</v>
      </c>
      <c r="I109" s="94">
        <v>2</v>
      </c>
      <c r="J109" s="93">
        <v>45201</v>
      </c>
      <c r="K109" s="85" t="s">
        <v>715</v>
      </c>
      <c r="L109" s="87">
        <v>22</v>
      </c>
      <c r="M109" s="94">
        <v>2</v>
      </c>
      <c r="N109" s="93">
        <v>45483</v>
      </c>
      <c r="O109" s="85" t="s">
        <v>3057</v>
      </c>
      <c r="P109" s="87">
        <v>67.41</v>
      </c>
      <c r="Q109" s="94"/>
      <c r="R109" s="93"/>
      <c r="S109" s="85"/>
      <c r="U109" s="94"/>
      <c r="V109" s="93"/>
      <c r="W109" s="85"/>
      <c r="Y109" s="94"/>
      <c r="Z109" s="93"/>
      <c r="AA109" s="85"/>
      <c r="AC109" s="94"/>
      <c r="AD109" s="93"/>
      <c r="AE109" s="85"/>
    </row>
    <row r="110" spans="5:35" x14ac:dyDescent="0.35">
      <c r="E110" s="85">
        <v>2</v>
      </c>
      <c r="F110" s="93">
        <v>44903</v>
      </c>
      <c r="G110" s="85" t="s">
        <v>723</v>
      </c>
      <c r="H110" s="87">
        <f>7+10</f>
        <v>17</v>
      </c>
      <c r="I110" s="94">
        <v>2</v>
      </c>
      <c r="J110" s="93">
        <v>45211</v>
      </c>
      <c r="K110" s="85" t="s">
        <v>717</v>
      </c>
      <c r="L110" s="87">
        <v>62.5</v>
      </c>
      <c r="M110" s="94">
        <v>2</v>
      </c>
      <c r="N110" s="93">
        <v>45483</v>
      </c>
      <c r="O110" s="85" t="s">
        <v>3058</v>
      </c>
      <c r="P110" s="87">
        <v>19.989999999999998</v>
      </c>
      <c r="Q110" s="94"/>
      <c r="R110" s="93"/>
      <c r="S110" s="85"/>
      <c r="U110" s="94"/>
      <c r="V110" s="93"/>
      <c r="W110" s="85"/>
      <c r="Y110" s="94"/>
      <c r="Z110" s="93"/>
      <c r="AA110" s="85"/>
      <c r="AC110" s="94"/>
      <c r="AD110" s="93"/>
      <c r="AE110" s="85"/>
    </row>
    <row r="111" spans="5:35" x14ac:dyDescent="0.35">
      <c r="E111" s="85">
        <v>2</v>
      </c>
      <c r="F111" s="93">
        <v>44903</v>
      </c>
      <c r="G111" s="85" t="s">
        <v>724</v>
      </c>
      <c r="H111" s="87">
        <v>236.25</v>
      </c>
      <c r="I111" s="94">
        <v>2</v>
      </c>
      <c r="J111" s="93">
        <v>45202</v>
      </c>
      <c r="K111" s="85" t="s">
        <v>2095</v>
      </c>
      <c r="L111" s="87">
        <v>423.11</v>
      </c>
      <c r="M111" s="94">
        <v>2</v>
      </c>
      <c r="N111" s="93">
        <v>45483</v>
      </c>
      <c r="O111" s="85" t="s">
        <v>2836</v>
      </c>
      <c r="P111" s="87">
        <v>8.33</v>
      </c>
      <c r="Q111" s="94"/>
      <c r="R111" s="93"/>
      <c r="S111" s="85"/>
      <c r="U111" s="94"/>
      <c r="V111" s="93"/>
      <c r="W111" s="85"/>
      <c r="Y111" s="94"/>
      <c r="Z111" s="93"/>
      <c r="AA111" s="85"/>
      <c r="AC111" s="94"/>
      <c r="AD111" s="93"/>
      <c r="AE111" s="85"/>
      <c r="AG111" s="94"/>
      <c r="AH111" s="93"/>
      <c r="AI111" s="85"/>
    </row>
    <row r="112" spans="5:35" x14ac:dyDescent="0.35">
      <c r="E112" s="85">
        <v>2</v>
      </c>
      <c r="F112" s="93">
        <v>44838</v>
      </c>
      <c r="G112" s="85" t="s">
        <v>725</v>
      </c>
      <c r="H112" s="87">
        <v>48.5</v>
      </c>
      <c r="I112" s="94">
        <v>5</v>
      </c>
      <c r="J112" s="93">
        <v>45266</v>
      </c>
      <c r="K112" s="85" t="s">
        <v>720</v>
      </c>
      <c r="L112" s="87">
        <v>3325</v>
      </c>
      <c r="M112" s="94">
        <v>2</v>
      </c>
      <c r="N112" s="93">
        <v>45483</v>
      </c>
      <c r="O112" s="85" t="s">
        <v>3059</v>
      </c>
      <c r="P112" s="87">
        <v>16.329999999999998</v>
      </c>
      <c r="Q112" s="94"/>
      <c r="R112" s="93"/>
      <c r="S112" s="85"/>
      <c r="U112" s="94"/>
      <c r="V112" s="93"/>
      <c r="W112" s="85"/>
      <c r="Y112" s="94"/>
      <c r="Z112" s="93"/>
      <c r="AA112" s="85"/>
      <c r="AC112" s="94"/>
      <c r="AD112" s="93"/>
      <c r="AE112" s="85"/>
      <c r="AG112" s="94"/>
      <c r="AH112" s="93"/>
      <c r="AI112" s="85"/>
    </row>
    <row r="113" spans="5:35" x14ac:dyDescent="0.35">
      <c r="E113" s="85">
        <v>2</v>
      </c>
      <c r="F113" s="93">
        <v>44839</v>
      </c>
      <c r="G113" s="85" t="s">
        <v>726</v>
      </c>
      <c r="H113" s="87">
        <v>2672.7</v>
      </c>
      <c r="I113" s="94">
        <v>5</v>
      </c>
      <c r="J113" s="93">
        <v>45314</v>
      </c>
      <c r="K113" s="85" t="s">
        <v>2127</v>
      </c>
      <c r="L113" s="87">
        <v>725</v>
      </c>
      <c r="M113" s="94">
        <v>2</v>
      </c>
      <c r="N113" s="93">
        <v>45483</v>
      </c>
      <c r="O113" s="85" t="s">
        <v>3060</v>
      </c>
      <c r="P113" s="87">
        <v>6.75</v>
      </c>
      <c r="Q113" s="94"/>
      <c r="R113" s="93"/>
      <c r="S113" s="85"/>
      <c r="U113" s="94"/>
      <c r="V113" s="93"/>
      <c r="W113" s="85"/>
      <c r="Y113" s="94"/>
      <c r="Z113" s="93"/>
      <c r="AA113" s="85"/>
      <c r="AC113" s="94"/>
      <c r="AD113" s="93"/>
      <c r="AE113" s="85"/>
      <c r="AG113" s="94"/>
      <c r="AH113" s="93"/>
      <c r="AI113" s="85"/>
    </row>
    <row r="114" spans="5:35" x14ac:dyDescent="0.35">
      <c r="E114" s="85">
        <v>2</v>
      </c>
      <c r="F114" s="93">
        <v>44841</v>
      </c>
      <c r="G114" s="85" t="s">
        <v>727</v>
      </c>
      <c r="H114" s="87">
        <v>16.670000000000002</v>
      </c>
      <c r="I114" s="94">
        <v>2</v>
      </c>
      <c r="J114" s="93">
        <v>45236</v>
      </c>
      <c r="K114" s="85" t="s">
        <v>2128</v>
      </c>
      <c r="L114" s="87">
        <v>13.32</v>
      </c>
      <c r="M114" s="94">
        <v>2</v>
      </c>
      <c r="N114" s="93">
        <v>45464</v>
      </c>
      <c r="O114" s="85" t="s">
        <v>615</v>
      </c>
      <c r="P114" s="87">
        <v>12.88</v>
      </c>
      <c r="Q114" s="94"/>
      <c r="R114" s="93"/>
      <c r="S114" s="85"/>
      <c r="U114" s="94"/>
      <c r="V114" s="93"/>
      <c r="W114" s="85"/>
      <c r="Y114" s="94"/>
      <c r="Z114" s="93"/>
      <c r="AA114" s="85"/>
      <c r="AC114" s="94"/>
      <c r="AD114" s="93"/>
      <c r="AE114" s="85"/>
      <c r="AG114" s="94"/>
      <c r="AH114" s="93"/>
      <c r="AI114" s="85"/>
    </row>
    <row r="115" spans="5:35" x14ac:dyDescent="0.35">
      <c r="E115" s="85">
        <v>2</v>
      </c>
      <c r="F115" s="93">
        <v>44879</v>
      </c>
      <c r="G115" s="85" t="s">
        <v>540</v>
      </c>
      <c r="H115" s="87">
        <v>120</v>
      </c>
      <c r="I115" s="94">
        <v>2</v>
      </c>
      <c r="J115" s="93">
        <v>45239</v>
      </c>
      <c r="K115" s="85" t="s">
        <v>2129</v>
      </c>
      <c r="L115" s="87">
        <v>11.65</v>
      </c>
      <c r="M115" s="94">
        <v>2</v>
      </c>
      <c r="N115" s="93">
        <v>45485</v>
      </c>
      <c r="O115" s="85" t="s">
        <v>615</v>
      </c>
      <c r="P115" s="87">
        <v>26.64</v>
      </c>
      <c r="Q115" s="94"/>
      <c r="R115" s="93"/>
      <c r="S115" s="85"/>
      <c r="U115" s="94"/>
      <c r="V115" s="93"/>
      <c r="W115" s="85"/>
      <c r="Y115" s="94"/>
      <c r="Z115" s="93"/>
      <c r="AA115" s="85"/>
      <c r="AC115" s="94"/>
      <c r="AD115" s="93"/>
      <c r="AE115" s="85"/>
      <c r="AG115" s="94"/>
      <c r="AH115" s="93"/>
      <c r="AI115" s="85"/>
    </row>
    <row r="116" spans="5:35" x14ac:dyDescent="0.35">
      <c r="E116" s="85">
        <v>2</v>
      </c>
      <c r="F116" s="93">
        <v>44877</v>
      </c>
      <c r="G116" s="85" t="s">
        <v>728</v>
      </c>
      <c r="H116" s="87">
        <v>1500</v>
      </c>
      <c r="I116" s="94">
        <v>3</v>
      </c>
      <c r="J116" s="93">
        <v>45226</v>
      </c>
      <c r="K116" s="85" t="s">
        <v>2130</v>
      </c>
      <c r="L116" s="87">
        <v>1995.24</v>
      </c>
      <c r="M116" s="94">
        <v>2</v>
      </c>
      <c r="N116" s="93">
        <v>45467</v>
      </c>
      <c r="O116" s="85" t="s">
        <v>3076</v>
      </c>
      <c r="P116" s="148">
        <v>39.07</v>
      </c>
      <c r="Q116" s="94"/>
      <c r="R116" s="93"/>
      <c r="S116" s="85"/>
      <c r="U116" s="94"/>
      <c r="V116" s="93"/>
      <c r="W116" s="85"/>
      <c r="Y116" s="94"/>
      <c r="Z116" s="93"/>
      <c r="AA116" s="85"/>
      <c r="AC116" s="94"/>
      <c r="AD116" s="93"/>
      <c r="AE116" s="85"/>
      <c r="AG116" s="94"/>
      <c r="AH116" s="93"/>
      <c r="AI116" s="85"/>
    </row>
    <row r="117" spans="5:35" x14ac:dyDescent="0.35">
      <c r="E117" s="85">
        <v>2</v>
      </c>
      <c r="F117" s="93">
        <v>44880</v>
      </c>
      <c r="G117" s="85" t="s">
        <v>729</v>
      </c>
      <c r="H117" s="87">
        <v>37</v>
      </c>
      <c r="I117" s="94">
        <v>2</v>
      </c>
      <c r="J117" s="93">
        <v>45259</v>
      </c>
      <c r="K117" s="85" t="s">
        <v>2131</v>
      </c>
      <c r="L117" s="87">
        <v>44.25</v>
      </c>
      <c r="M117" s="94">
        <v>2</v>
      </c>
      <c r="N117" s="93">
        <v>45467</v>
      </c>
      <c r="O117" s="85" t="s">
        <v>3077</v>
      </c>
      <c r="P117" s="148">
        <v>242.88</v>
      </c>
      <c r="Q117" s="94"/>
      <c r="R117" s="93"/>
      <c r="S117" s="85"/>
      <c r="U117" s="94"/>
      <c r="V117" s="93"/>
      <c r="W117" s="85"/>
      <c r="Y117" s="94"/>
      <c r="Z117" s="93"/>
      <c r="AA117" s="85"/>
      <c r="AC117" s="94"/>
      <c r="AD117" s="93"/>
      <c r="AE117" s="85"/>
      <c r="AG117" s="94"/>
      <c r="AH117" s="93"/>
      <c r="AI117" s="85"/>
    </row>
    <row r="118" spans="5:35" x14ac:dyDescent="0.35">
      <c r="E118" s="85">
        <v>2</v>
      </c>
      <c r="F118" s="93">
        <v>44881</v>
      </c>
      <c r="G118" s="85" t="s">
        <v>730</v>
      </c>
      <c r="H118" s="87">
        <v>55.99</v>
      </c>
      <c r="I118" s="94">
        <v>2</v>
      </c>
      <c r="J118" s="93">
        <v>45254</v>
      </c>
      <c r="K118" s="85" t="s">
        <v>2132</v>
      </c>
      <c r="L118" s="87">
        <v>18.82</v>
      </c>
      <c r="M118" s="94">
        <v>2</v>
      </c>
      <c r="N118" s="93">
        <v>45456</v>
      </c>
      <c r="O118" s="85" t="s">
        <v>3078</v>
      </c>
      <c r="P118" s="148">
        <v>35.6</v>
      </c>
      <c r="Q118" s="94"/>
      <c r="R118" s="93"/>
      <c r="S118" s="85"/>
      <c r="U118" s="94"/>
      <c r="V118" s="93"/>
      <c r="W118" s="85"/>
      <c r="Y118" s="94"/>
      <c r="Z118" s="93"/>
      <c r="AA118" s="85"/>
      <c r="AC118" s="94"/>
      <c r="AD118" s="93"/>
      <c r="AE118" s="85"/>
      <c r="AG118" s="94"/>
      <c r="AH118" s="93"/>
      <c r="AI118" s="85"/>
    </row>
    <row r="119" spans="5:35" x14ac:dyDescent="0.35">
      <c r="E119" s="85">
        <v>2</v>
      </c>
      <c r="F119" s="93">
        <v>44884</v>
      </c>
      <c r="G119" s="85" t="s">
        <v>102</v>
      </c>
      <c r="H119" s="87">
        <v>7.25</v>
      </c>
      <c r="I119" s="94">
        <v>2</v>
      </c>
      <c r="J119" s="93">
        <v>45204</v>
      </c>
      <c r="K119" s="85" t="s">
        <v>2133</v>
      </c>
      <c r="L119" s="87">
        <v>6.31</v>
      </c>
      <c r="M119" s="94">
        <v>2</v>
      </c>
      <c r="N119" s="93">
        <v>45457</v>
      </c>
      <c r="O119" s="85" t="s">
        <v>615</v>
      </c>
      <c r="P119" s="148">
        <f>22.33+8.75+10.05+14.42+8.17+12.88</f>
        <v>76.599999999999994</v>
      </c>
      <c r="Q119" s="94"/>
      <c r="R119" s="93"/>
      <c r="S119" s="85"/>
      <c r="U119" s="94"/>
      <c r="V119" s="93"/>
      <c r="W119" s="85"/>
      <c r="Y119" s="94"/>
      <c r="Z119" s="93"/>
      <c r="AA119" s="85"/>
      <c r="AC119" s="94"/>
      <c r="AD119" s="93"/>
      <c r="AE119" s="85"/>
      <c r="AG119" s="94"/>
      <c r="AH119" s="93"/>
      <c r="AI119" s="85"/>
    </row>
    <row r="120" spans="5:35" x14ac:dyDescent="0.35">
      <c r="E120" s="85">
        <v>2</v>
      </c>
      <c r="F120" s="93">
        <v>44893</v>
      </c>
      <c r="G120" s="85" t="s">
        <v>684</v>
      </c>
      <c r="H120" s="87">
        <v>593.97</v>
      </c>
      <c r="I120" s="94">
        <v>2</v>
      </c>
      <c r="J120" s="93">
        <v>45210</v>
      </c>
      <c r="K120" s="85" t="s">
        <v>2134</v>
      </c>
      <c r="L120" s="87">
        <v>49.1</v>
      </c>
      <c r="M120" s="94">
        <v>2</v>
      </c>
      <c r="N120" s="93">
        <v>45496</v>
      </c>
      <c r="O120" s="85" t="s">
        <v>3140</v>
      </c>
      <c r="P120" s="87">
        <v>114.99</v>
      </c>
      <c r="Q120" s="94"/>
      <c r="R120" s="93"/>
      <c r="S120" s="85"/>
      <c r="U120" s="94"/>
      <c r="V120" s="93"/>
      <c r="W120" s="85"/>
      <c r="Y120" s="94"/>
      <c r="Z120" s="93"/>
      <c r="AA120" s="85"/>
      <c r="AC120" s="94"/>
      <c r="AD120" s="93"/>
      <c r="AE120" s="85"/>
      <c r="AG120" s="94"/>
      <c r="AH120" s="93"/>
      <c r="AI120" s="85"/>
    </row>
    <row r="121" spans="5:35" x14ac:dyDescent="0.35">
      <c r="E121" s="85">
        <v>2</v>
      </c>
      <c r="F121" s="93">
        <v>44902</v>
      </c>
      <c r="G121" s="85" t="s">
        <v>731</v>
      </c>
      <c r="H121" s="87">
        <v>35</v>
      </c>
      <c r="I121" s="94">
        <v>2</v>
      </c>
      <c r="J121" s="93">
        <v>45212</v>
      </c>
      <c r="K121" s="85" t="s">
        <v>2135</v>
      </c>
      <c r="L121" s="87">
        <v>49.92</v>
      </c>
      <c r="M121" s="94">
        <v>2</v>
      </c>
      <c r="N121" s="93">
        <v>45492</v>
      </c>
      <c r="O121" s="87" t="s">
        <v>3145</v>
      </c>
      <c r="P121" s="87">
        <v>41</v>
      </c>
      <c r="Q121" s="94"/>
      <c r="R121" s="93"/>
      <c r="S121" s="85"/>
      <c r="U121" s="94"/>
      <c r="V121" s="93"/>
      <c r="W121" s="85"/>
      <c r="Y121" s="94"/>
      <c r="Z121" s="93"/>
      <c r="AA121" s="85"/>
      <c r="AC121" s="94"/>
      <c r="AD121" s="93"/>
      <c r="AE121" s="85"/>
      <c r="AG121" s="94"/>
      <c r="AH121" s="93"/>
      <c r="AI121" s="85"/>
    </row>
    <row r="122" spans="5:35" x14ac:dyDescent="0.35">
      <c r="E122" s="85">
        <v>2</v>
      </c>
      <c r="F122" s="93">
        <v>44902</v>
      </c>
      <c r="G122" s="85" t="s">
        <v>732</v>
      </c>
      <c r="H122" s="87">
        <v>187.92</v>
      </c>
      <c r="I122" s="94">
        <v>2</v>
      </c>
      <c r="J122" s="93">
        <v>45216</v>
      </c>
      <c r="K122" s="85" t="s">
        <v>750</v>
      </c>
      <c r="L122" s="87">
        <v>37.79</v>
      </c>
      <c r="M122" s="94">
        <v>2</v>
      </c>
      <c r="N122" s="93">
        <v>45492</v>
      </c>
      <c r="O122" s="85" t="s">
        <v>615</v>
      </c>
      <c r="P122" s="87">
        <v>9.25</v>
      </c>
      <c r="Q122" s="94"/>
      <c r="R122" s="93"/>
      <c r="S122" s="85"/>
      <c r="U122" s="94"/>
      <c r="V122" s="93"/>
      <c r="W122" s="85"/>
      <c r="Y122" s="94"/>
      <c r="Z122" s="93"/>
      <c r="AA122" s="85"/>
      <c r="AC122" s="94"/>
      <c r="AD122" s="93"/>
      <c r="AE122" s="85"/>
      <c r="AG122" s="94"/>
      <c r="AH122" s="93"/>
      <c r="AI122" s="85"/>
    </row>
    <row r="123" spans="5:35" x14ac:dyDescent="0.35">
      <c r="E123" s="85">
        <v>2</v>
      </c>
      <c r="F123" s="93">
        <v>44904</v>
      </c>
      <c r="G123" s="85" t="s">
        <v>733</v>
      </c>
      <c r="H123" s="87">
        <v>364.8</v>
      </c>
      <c r="I123" s="94">
        <v>2</v>
      </c>
      <c r="J123" s="93">
        <v>45216</v>
      </c>
      <c r="K123" s="85" t="s">
        <v>2136</v>
      </c>
      <c r="L123" s="87">
        <v>21.321999999999999</v>
      </c>
      <c r="M123" s="95">
        <v>2</v>
      </c>
      <c r="N123" s="93">
        <v>45492</v>
      </c>
      <c r="O123" s="96" t="s">
        <v>3146</v>
      </c>
      <c r="P123" s="96">
        <v>4.08</v>
      </c>
      <c r="Q123" s="95"/>
      <c r="R123" s="96"/>
      <c r="S123" s="85"/>
      <c r="U123" s="94"/>
      <c r="V123" s="93"/>
      <c r="W123" s="85"/>
      <c r="Y123" s="94"/>
      <c r="Z123" s="93"/>
      <c r="AA123" s="85"/>
      <c r="AC123" s="94"/>
      <c r="AD123" s="93"/>
      <c r="AE123" s="85"/>
      <c r="AG123" s="94"/>
      <c r="AH123" s="93"/>
      <c r="AI123" s="85"/>
    </row>
    <row r="124" spans="5:35" x14ac:dyDescent="0.35">
      <c r="E124" s="85">
        <v>2</v>
      </c>
      <c r="F124" s="93">
        <v>44907</v>
      </c>
      <c r="G124" s="85" t="s">
        <v>734</v>
      </c>
      <c r="H124" s="87">
        <v>266</v>
      </c>
      <c r="I124" s="94">
        <v>2</v>
      </c>
      <c r="J124" s="93">
        <v>45223</v>
      </c>
      <c r="K124" s="85" t="s">
        <v>2137</v>
      </c>
      <c r="L124" s="87">
        <v>34.97</v>
      </c>
      <c r="M124" s="95">
        <v>2</v>
      </c>
      <c r="N124" s="93">
        <v>45468</v>
      </c>
      <c r="O124" s="96" t="s">
        <v>3148</v>
      </c>
      <c r="P124" s="96">
        <v>733.28</v>
      </c>
      <c r="Q124" s="95"/>
      <c r="R124" s="96"/>
      <c r="S124" s="85"/>
      <c r="U124" s="94"/>
      <c r="V124" s="93"/>
      <c r="W124" s="85"/>
      <c r="Y124" s="94"/>
      <c r="Z124" s="93"/>
      <c r="AA124" s="85"/>
      <c r="AC124" s="94"/>
      <c r="AD124" s="93"/>
      <c r="AE124" s="85"/>
      <c r="AG124" s="94"/>
      <c r="AH124" s="93"/>
      <c r="AI124" s="85"/>
    </row>
    <row r="125" spans="5:35" x14ac:dyDescent="0.35">
      <c r="E125" s="85">
        <v>2</v>
      </c>
      <c r="F125" s="93">
        <v>44910</v>
      </c>
      <c r="G125" s="85" t="s">
        <v>735</v>
      </c>
      <c r="H125" s="87">
        <v>8.0399999999999991</v>
      </c>
      <c r="I125" s="94">
        <v>2</v>
      </c>
      <c r="J125" s="93">
        <v>45224</v>
      </c>
      <c r="K125" s="85" t="s">
        <v>2138</v>
      </c>
      <c r="L125" s="87">
        <v>75.78</v>
      </c>
      <c r="M125" s="94">
        <v>2</v>
      </c>
      <c r="N125" s="93">
        <v>45489</v>
      </c>
      <c r="O125" s="85" t="s">
        <v>3149</v>
      </c>
      <c r="P125" s="87">
        <v>3.75</v>
      </c>
      <c r="Q125" s="94"/>
      <c r="R125" s="93"/>
      <c r="S125" s="85"/>
      <c r="U125" s="94"/>
      <c r="V125" s="93"/>
      <c r="W125" s="85"/>
      <c r="Y125" s="94"/>
      <c r="Z125" s="93"/>
      <c r="AA125" s="85"/>
      <c r="AC125" s="94"/>
      <c r="AD125" s="93"/>
      <c r="AE125" s="85"/>
    </row>
    <row r="126" spans="5:35" x14ac:dyDescent="0.35">
      <c r="E126" s="85">
        <v>2</v>
      </c>
      <c r="F126" s="93">
        <v>44911</v>
      </c>
      <c r="G126" s="85" t="s">
        <v>736</v>
      </c>
      <c r="H126" s="87">
        <v>730</v>
      </c>
      <c r="I126" s="94">
        <v>2</v>
      </c>
      <c r="J126" s="93">
        <v>45229</v>
      </c>
      <c r="K126" s="85" t="s">
        <v>2139</v>
      </c>
      <c r="L126" s="87">
        <v>15.82</v>
      </c>
      <c r="M126" s="94">
        <v>2</v>
      </c>
      <c r="N126" s="93">
        <v>45488</v>
      </c>
      <c r="O126" s="85" t="s">
        <v>615</v>
      </c>
      <c r="P126" s="87">
        <v>90.75</v>
      </c>
      <c r="Q126" s="94"/>
      <c r="R126" s="93"/>
      <c r="S126" s="85"/>
      <c r="U126" s="94"/>
      <c r="V126" s="93"/>
      <c r="W126" s="85"/>
      <c r="Y126" s="94"/>
      <c r="Z126" s="93"/>
      <c r="AA126" s="85"/>
      <c r="AC126" s="94"/>
      <c r="AD126" s="93"/>
      <c r="AE126" s="85"/>
    </row>
    <row r="127" spans="5:35" x14ac:dyDescent="0.35">
      <c r="E127" s="85">
        <v>2</v>
      </c>
      <c r="F127" s="93">
        <v>44911</v>
      </c>
      <c r="G127" s="85" t="s">
        <v>737</v>
      </c>
      <c r="H127" s="87">
        <v>455</v>
      </c>
      <c r="I127" s="94">
        <v>2</v>
      </c>
      <c r="J127" s="93">
        <v>45247</v>
      </c>
      <c r="K127" s="85" t="s">
        <v>2140</v>
      </c>
      <c r="L127" s="87">
        <v>1138.99</v>
      </c>
      <c r="M127" s="94">
        <v>2</v>
      </c>
      <c r="N127" s="93">
        <v>45485</v>
      </c>
      <c r="O127" s="85" t="s">
        <v>2538</v>
      </c>
      <c r="P127" s="87">
        <v>270</v>
      </c>
      <c r="Q127" s="94"/>
      <c r="R127" s="93"/>
      <c r="S127" s="85"/>
      <c r="U127" s="94"/>
      <c r="V127" s="93"/>
      <c r="W127" s="85"/>
      <c r="Y127" s="94"/>
      <c r="Z127" s="93"/>
      <c r="AA127" s="85"/>
      <c r="AC127" s="94"/>
      <c r="AD127" s="93"/>
      <c r="AE127" s="85"/>
    </row>
    <row r="128" spans="5:35" x14ac:dyDescent="0.35">
      <c r="E128" s="85">
        <v>2</v>
      </c>
      <c r="F128" s="93">
        <v>44914</v>
      </c>
      <c r="G128" s="85" t="s">
        <v>738</v>
      </c>
      <c r="H128" s="87">
        <v>925</v>
      </c>
      <c r="I128" s="94">
        <v>4</v>
      </c>
      <c r="J128" s="93">
        <v>45243</v>
      </c>
      <c r="K128" s="85" t="s">
        <v>19</v>
      </c>
      <c r="L128" s="87">
        <v>3526.83</v>
      </c>
      <c r="M128" s="94">
        <v>2</v>
      </c>
      <c r="N128" s="93">
        <v>45485</v>
      </c>
      <c r="O128" s="85" t="s">
        <v>3152</v>
      </c>
      <c r="P128" s="87">
        <v>9.18</v>
      </c>
      <c r="Q128" s="94"/>
      <c r="R128" s="93"/>
      <c r="S128" s="85"/>
      <c r="U128" s="94"/>
      <c r="V128" s="93"/>
      <c r="W128" s="85"/>
      <c r="Y128" s="94"/>
      <c r="Z128" s="93"/>
      <c r="AA128" s="85"/>
      <c r="AC128" s="94"/>
      <c r="AD128" s="93"/>
      <c r="AE128" s="85"/>
    </row>
    <row r="129" spans="5:31" x14ac:dyDescent="0.35">
      <c r="E129" s="85">
        <v>2</v>
      </c>
      <c r="F129" s="93">
        <v>44916</v>
      </c>
      <c r="G129" s="85" t="s">
        <v>739</v>
      </c>
      <c r="H129" s="87">
        <v>20.83</v>
      </c>
      <c r="I129" s="94">
        <v>2</v>
      </c>
      <c r="J129" s="93">
        <v>45247</v>
      </c>
      <c r="K129" s="85" t="s">
        <v>2141</v>
      </c>
      <c r="L129" s="87">
        <v>1355</v>
      </c>
      <c r="M129" s="94">
        <v>2</v>
      </c>
      <c r="N129" s="93">
        <v>45468</v>
      </c>
      <c r="O129" s="85" t="s">
        <v>3154</v>
      </c>
      <c r="P129" s="87">
        <v>9.41</v>
      </c>
      <c r="Q129" s="94"/>
      <c r="R129" s="93"/>
      <c r="S129" s="85"/>
      <c r="U129" s="94"/>
      <c r="V129" s="93"/>
      <c r="W129" s="85"/>
      <c r="Y129" s="94"/>
      <c r="Z129" s="93"/>
      <c r="AA129" s="85"/>
      <c r="AC129" s="94"/>
      <c r="AD129" s="93"/>
      <c r="AE129" s="85"/>
    </row>
    <row r="130" spans="5:31" x14ac:dyDescent="0.35">
      <c r="E130" s="85">
        <v>2</v>
      </c>
      <c r="F130" s="93">
        <v>44917</v>
      </c>
      <c r="G130" s="85" t="s">
        <v>740</v>
      </c>
      <c r="H130" s="87">
        <v>8.73</v>
      </c>
      <c r="I130" s="94">
        <v>2</v>
      </c>
      <c r="J130" s="93">
        <v>45236</v>
      </c>
      <c r="K130" s="85" t="s">
        <v>2142</v>
      </c>
      <c r="L130" s="87">
        <v>5825.52</v>
      </c>
      <c r="M130" s="94">
        <v>2</v>
      </c>
      <c r="N130" s="93">
        <v>45468</v>
      </c>
      <c r="O130" s="85" t="s">
        <v>3155</v>
      </c>
      <c r="P130" s="87">
        <v>35.75</v>
      </c>
      <c r="Q130" s="94"/>
      <c r="R130" s="93"/>
      <c r="S130" s="85"/>
      <c r="U130" s="94"/>
      <c r="V130" s="93"/>
      <c r="W130" s="85"/>
      <c r="Y130" s="94"/>
      <c r="Z130" s="93"/>
      <c r="AA130" s="85"/>
      <c r="AC130" s="94"/>
      <c r="AD130" s="93"/>
      <c r="AE130" s="85"/>
    </row>
    <row r="131" spans="5:31" x14ac:dyDescent="0.35">
      <c r="E131" s="85">
        <v>2</v>
      </c>
      <c r="F131" s="93">
        <v>44917</v>
      </c>
      <c r="G131" s="85" t="s">
        <v>741</v>
      </c>
      <c r="H131" s="87">
        <v>24</v>
      </c>
      <c r="I131" s="94">
        <v>2</v>
      </c>
      <c r="J131" s="93">
        <v>45266</v>
      </c>
      <c r="K131" s="85" t="s">
        <v>2249</v>
      </c>
      <c r="L131" s="87">
        <v>8848.6</v>
      </c>
      <c r="M131" s="94">
        <v>2</v>
      </c>
      <c r="N131" s="93">
        <v>45498</v>
      </c>
      <c r="O131" s="85" t="s">
        <v>615</v>
      </c>
      <c r="P131" s="87">
        <v>48.95</v>
      </c>
      <c r="Q131" s="94"/>
      <c r="R131" s="93"/>
      <c r="S131" s="85"/>
      <c r="U131" s="94"/>
      <c r="V131" s="93"/>
      <c r="W131" s="85"/>
      <c r="Y131" s="94"/>
      <c r="Z131" s="93"/>
      <c r="AA131" s="85"/>
      <c r="AC131" s="94"/>
      <c r="AD131" s="93"/>
      <c r="AE131" s="85"/>
    </row>
    <row r="132" spans="5:31" x14ac:dyDescent="0.35">
      <c r="E132" s="85">
        <v>2</v>
      </c>
      <c r="F132" s="93">
        <v>44917</v>
      </c>
      <c r="G132" s="85" t="s">
        <v>684</v>
      </c>
      <c r="H132" s="87">
        <v>593.97</v>
      </c>
      <c r="I132" s="94">
        <v>2</v>
      </c>
      <c r="J132" s="93">
        <v>45266</v>
      </c>
      <c r="K132" s="85" t="s">
        <v>2249</v>
      </c>
      <c r="L132" s="87">
        <v>6700</v>
      </c>
      <c r="M132" s="94">
        <v>2</v>
      </c>
      <c r="N132" s="93">
        <v>45497</v>
      </c>
      <c r="O132" s="85" t="s">
        <v>3156</v>
      </c>
      <c r="P132" s="87">
        <v>2334.7199999999998</v>
      </c>
      <c r="Q132" s="94"/>
      <c r="R132" s="93"/>
      <c r="S132" s="85"/>
      <c r="U132" s="94"/>
      <c r="V132" s="93"/>
      <c r="W132" s="85"/>
      <c r="Y132" s="94"/>
      <c r="Z132" s="93"/>
      <c r="AA132" s="85"/>
      <c r="AC132" s="94"/>
      <c r="AD132" s="93"/>
      <c r="AE132" s="85"/>
    </row>
    <row r="133" spans="5:31" x14ac:dyDescent="0.35">
      <c r="E133" s="85">
        <v>2</v>
      </c>
      <c r="F133" s="93">
        <v>44918</v>
      </c>
      <c r="G133" s="85" t="s">
        <v>742</v>
      </c>
      <c r="H133" s="87">
        <v>170</v>
      </c>
      <c r="I133" s="94">
        <v>2</v>
      </c>
      <c r="J133" s="93">
        <v>45272</v>
      </c>
      <c r="K133" s="85" t="s">
        <v>2258</v>
      </c>
      <c r="L133" s="87">
        <f>6.25+13.37+16.85+8+2.5+2.6+4.6+2.69+3.5+2+1+2+2</f>
        <v>67.36</v>
      </c>
      <c r="M133" s="94">
        <v>2</v>
      </c>
      <c r="N133" s="93">
        <v>45495</v>
      </c>
      <c r="O133" s="85" t="s">
        <v>3157</v>
      </c>
      <c r="P133" s="87">
        <v>127</v>
      </c>
      <c r="Q133" s="94"/>
      <c r="R133" s="93"/>
      <c r="S133" s="85"/>
      <c r="U133" s="94"/>
      <c r="V133" s="93"/>
      <c r="W133" s="85"/>
      <c r="Y133" s="94"/>
      <c r="Z133" s="93"/>
      <c r="AA133" s="85"/>
      <c r="AC133" s="94"/>
      <c r="AD133" s="93"/>
      <c r="AE133" s="85"/>
    </row>
    <row r="134" spans="5:31" x14ac:dyDescent="0.35">
      <c r="E134" s="85">
        <v>2</v>
      </c>
      <c r="F134" s="93">
        <v>44938</v>
      </c>
      <c r="G134" s="85" t="s">
        <v>743</v>
      </c>
      <c r="H134" s="87">
        <v>36.33</v>
      </c>
      <c r="I134" s="94">
        <v>2</v>
      </c>
      <c r="J134" s="93">
        <v>45274</v>
      </c>
      <c r="K134" s="85" t="s">
        <v>2263</v>
      </c>
      <c r="L134" s="87">
        <v>14.25</v>
      </c>
      <c r="M134" s="94">
        <v>2</v>
      </c>
      <c r="N134" s="93">
        <v>45496</v>
      </c>
      <c r="O134" s="85" t="s">
        <v>615</v>
      </c>
      <c r="P134" s="87">
        <v>11.92</v>
      </c>
      <c r="Q134" s="94"/>
      <c r="R134" s="93"/>
      <c r="S134" s="85"/>
      <c r="U134" s="94"/>
      <c r="V134" s="93"/>
      <c r="W134" s="85"/>
      <c r="Y134" s="94"/>
      <c r="Z134" s="93"/>
      <c r="AA134" s="85"/>
      <c r="AC134" s="94"/>
      <c r="AD134" s="93"/>
      <c r="AE134" s="85"/>
    </row>
    <row r="135" spans="5:31" x14ac:dyDescent="0.35">
      <c r="E135" s="85">
        <v>2</v>
      </c>
      <c r="F135" s="93">
        <v>44945</v>
      </c>
      <c r="G135" s="85" t="s">
        <v>744</v>
      </c>
      <c r="H135" s="87">
        <v>2305</v>
      </c>
      <c r="I135" s="94">
        <v>2</v>
      </c>
      <c r="J135" s="93">
        <v>45266</v>
      </c>
      <c r="K135" s="85" t="s">
        <v>2264</v>
      </c>
      <c r="L135" s="87">
        <v>5.3</v>
      </c>
      <c r="M135" s="94">
        <v>2</v>
      </c>
      <c r="N135" s="93">
        <v>45498</v>
      </c>
      <c r="O135" s="85" t="s">
        <v>615</v>
      </c>
      <c r="P135" s="87">
        <v>29.8</v>
      </c>
      <c r="Q135" s="94"/>
      <c r="R135" s="93"/>
      <c r="S135" s="85"/>
      <c r="U135" s="94"/>
      <c r="V135" s="93"/>
      <c r="W135" s="85"/>
      <c r="Y135" s="94"/>
      <c r="Z135" s="93"/>
      <c r="AA135" s="85"/>
      <c r="AC135" s="94"/>
      <c r="AD135" s="93"/>
      <c r="AE135" s="85"/>
    </row>
    <row r="136" spans="5:31" x14ac:dyDescent="0.35">
      <c r="E136" s="85">
        <v>2</v>
      </c>
      <c r="F136" s="93">
        <v>44953</v>
      </c>
      <c r="G136" s="85" t="s">
        <v>684</v>
      </c>
      <c r="H136" s="87">
        <v>593.97</v>
      </c>
      <c r="I136" s="94">
        <v>2</v>
      </c>
      <c r="J136" s="93">
        <v>45290</v>
      </c>
      <c r="K136" s="85" t="s">
        <v>615</v>
      </c>
      <c r="L136" s="87">
        <v>77.02</v>
      </c>
      <c r="M136" s="94">
        <v>2</v>
      </c>
      <c r="N136" s="93">
        <v>45499</v>
      </c>
      <c r="O136" s="85" t="s">
        <v>3169</v>
      </c>
      <c r="P136" s="87">
        <v>5.82</v>
      </c>
      <c r="Q136" s="94"/>
      <c r="R136" s="93"/>
      <c r="S136" s="85"/>
      <c r="U136" s="94"/>
      <c r="V136" s="93"/>
      <c r="W136" s="85"/>
      <c r="Y136" s="94"/>
      <c r="Z136" s="93"/>
      <c r="AA136" s="85"/>
      <c r="AC136" s="94"/>
      <c r="AD136" s="93"/>
      <c r="AE136" s="85"/>
    </row>
    <row r="137" spans="5:31" x14ac:dyDescent="0.35">
      <c r="E137" s="85">
        <v>2</v>
      </c>
      <c r="F137" s="93">
        <v>44945</v>
      </c>
      <c r="G137" s="85" t="s">
        <v>745</v>
      </c>
      <c r="H137" s="87">
        <v>1617.55</v>
      </c>
      <c r="I137" s="94">
        <v>2</v>
      </c>
      <c r="J137" s="93">
        <v>45230</v>
      </c>
      <c r="K137" s="85" t="s">
        <v>615</v>
      </c>
      <c r="L137" s="87">
        <v>30.37</v>
      </c>
      <c r="M137" s="94">
        <v>2</v>
      </c>
      <c r="N137" s="93">
        <v>45440</v>
      </c>
      <c r="O137" s="85" t="s">
        <v>3176</v>
      </c>
      <c r="P137" s="87">
        <v>646</v>
      </c>
      <c r="Q137" s="94"/>
      <c r="R137" s="93"/>
      <c r="S137" s="85"/>
      <c r="U137" s="94"/>
      <c r="V137" s="93"/>
      <c r="W137" s="85"/>
      <c r="Y137" s="94"/>
      <c r="Z137" s="93"/>
      <c r="AA137" s="85"/>
      <c r="AC137" s="94"/>
      <c r="AD137" s="93"/>
      <c r="AE137" s="85"/>
    </row>
    <row r="138" spans="5:31" ht="101.5" x14ac:dyDescent="0.35">
      <c r="E138" s="92" t="s">
        <v>746</v>
      </c>
      <c r="F138" s="97" t="s">
        <v>676</v>
      </c>
      <c r="G138" s="98" t="s">
        <v>747</v>
      </c>
      <c r="H138" s="90">
        <v>7000</v>
      </c>
      <c r="I138" s="94">
        <v>2</v>
      </c>
      <c r="J138" s="93">
        <v>45232</v>
      </c>
      <c r="K138" s="85" t="s">
        <v>615</v>
      </c>
      <c r="L138" s="87">
        <v>6.65</v>
      </c>
      <c r="M138" s="94">
        <v>2</v>
      </c>
      <c r="N138" s="93">
        <v>45504</v>
      </c>
      <c r="O138" s="85" t="s">
        <v>615</v>
      </c>
      <c r="P138" s="87">
        <v>69.959999999999994</v>
      </c>
      <c r="Q138" s="94"/>
      <c r="R138" s="93"/>
      <c r="S138" s="85"/>
      <c r="U138" s="94"/>
      <c r="V138" s="93"/>
      <c r="W138" s="85"/>
      <c r="Y138" s="94"/>
      <c r="Z138" s="93"/>
      <c r="AA138" s="85"/>
      <c r="AC138" s="94"/>
      <c r="AD138" s="93"/>
      <c r="AE138" s="85"/>
    </row>
    <row r="139" spans="5:31" x14ac:dyDescent="0.35">
      <c r="E139" s="85">
        <v>2</v>
      </c>
      <c r="F139" s="93">
        <v>44965</v>
      </c>
      <c r="G139" s="85" t="s">
        <v>748</v>
      </c>
      <c r="H139" s="87">
        <v>380</v>
      </c>
      <c r="I139" s="94">
        <v>2</v>
      </c>
      <c r="J139" s="93">
        <v>45232</v>
      </c>
      <c r="K139" s="85" t="s">
        <v>615</v>
      </c>
      <c r="L139" s="87">
        <v>140.01</v>
      </c>
      <c r="M139" s="94">
        <v>2</v>
      </c>
      <c r="N139" s="93">
        <v>45502</v>
      </c>
      <c r="O139" s="85" t="s">
        <v>2928</v>
      </c>
      <c r="P139" s="87">
        <v>39.67</v>
      </c>
      <c r="Q139" s="94"/>
      <c r="R139" s="93"/>
      <c r="S139" s="85"/>
      <c r="U139" s="94"/>
      <c r="V139" s="93"/>
      <c r="W139" s="85"/>
      <c r="Y139" s="94"/>
      <c r="Z139" s="93"/>
      <c r="AA139" s="85"/>
      <c r="AC139" s="94"/>
      <c r="AD139" s="93"/>
      <c r="AE139" s="85"/>
    </row>
    <row r="140" spans="5:31" x14ac:dyDescent="0.35">
      <c r="E140" s="85">
        <v>2</v>
      </c>
      <c r="F140" s="93">
        <v>44972</v>
      </c>
      <c r="G140" s="85" t="s">
        <v>728</v>
      </c>
      <c r="H140" s="87">
        <v>1550</v>
      </c>
      <c r="I140" s="94">
        <v>2</v>
      </c>
      <c r="J140" s="93">
        <v>45237</v>
      </c>
      <c r="K140" s="85" t="s">
        <v>615</v>
      </c>
      <c r="L140" s="87">
        <v>74.95</v>
      </c>
      <c r="M140" s="94">
        <v>2</v>
      </c>
      <c r="N140" s="93">
        <v>45504</v>
      </c>
      <c r="O140" s="85" t="s">
        <v>3188</v>
      </c>
      <c r="P140" s="87">
        <v>27.12</v>
      </c>
      <c r="Q140" s="94"/>
      <c r="R140" s="93"/>
      <c r="S140" s="85"/>
      <c r="U140" s="94"/>
      <c r="V140" s="93"/>
      <c r="W140" s="85"/>
      <c r="Y140" s="94"/>
      <c r="Z140" s="93"/>
      <c r="AA140" s="85"/>
      <c r="AC140" s="94"/>
      <c r="AD140" s="93"/>
      <c r="AE140" s="85"/>
    </row>
    <row r="141" spans="5:31" x14ac:dyDescent="0.35">
      <c r="E141" s="85">
        <v>2</v>
      </c>
      <c r="F141" s="93">
        <v>44939</v>
      </c>
      <c r="G141" s="85" t="s">
        <v>749</v>
      </c>
      <c r="H141" s="87">
        <v>1</v>
      </c>
      <c r="I141" s="94">
        <v>2</v>
      </c>
      <c r="J141" s="93">
        <v>45251</v>
      </c>
      <c r="K141" s="85" t="s">
        <v>615</v>
      </c>
      <c r="L141" s="87">
        <v>47.07</v>
      </c>
      <c r="M141" s="94">
        <v>2</v>
      </c>
      <c r="N141" s="93">
        <v>45502</v>
      </c>
      <c r="O141" s="85" t="s">
        <v>3189</v>
      </c>
      <c r="P141" s="87">
        <v>486</v>
      </c>
      <c r="Q141" s="94"/>
      <c r="R141" s="93"/>
      <c r="S141" s="85"/>
      <c r="U141" s="94"/>
      <c r="V141" s="93"/>
      <c r="W141" s="85"/>
      <c r="Y141" s="94"/>
      <c r="Z141" s="93"/>
      <c r="AA141" s="85"/>
      <c r="AC141" s="94"/>
      <c r="AD141" s="93"/>
      <c r="AE141" s="85"/>
    </row>
    <row r="142" spans="5:31" x14ac:dyDescent="0.35">
      <c r="E142" s="85">
        <v>2</v>
      </c>
      <c r="F142" s="93">
        <v>44956</v>
      </c>
      <c r="G142" s="85" t="s">
        <v>750</v>
      </c>
      <c r="H142" s="87">
        <v>20.48</v>
      </c>
      <c r="I142" s="94">
        <v>2</v>
      </c>
      <c r="J142" s="93">
        <v>45257</v>
      </c>
      <c r="K142" s="85" t="s">
        <v>615</v>
      </c>
      <c r="L142" s="87">
        <v>75.63</v>
      </c>
      <c r="M142" s="94">
        <v>2</v>
      </c>
      <c r="N142" s="93">
        <v>45503</v>
      </c>
      <c r="O142" s="85" t="s">
        <v>615</v>
      </c>
      <c r="P142" s="87">
        <v>87.8</v>
      </c>
      <c r="Q142" s="94"/>
      <c r="R142" s="93"/>
      <c r="S142" s="85"/>
      <c r="U142" s="94"/>
      <c r="V142" s="93"/>
      <c r="W142" s="85"/>
      <c r="Y142" s="94"/>
      <c r="Z142" s="93"/>
      <c r="AA142" s="85"/>
      <c r="AC142" s="94"/>
      <c r="AD142" s="93"/>
      <c r="AE142" s="85"/>
    </row>
    <row r="143" spans="5:31" x14ac:dyDescent="0.35">
      <c r="E143" s="85">
        <v>2</v>
      </c>
      <c r="F143" s="93">
        <v>44976</v>
      </c>
      <c r="G143" s="85" t="s">
        <v>751</v>
      </c>
      <c r="H143" s="87">
        <v>162</v>
      </c>
      <c r="I143" s="94">
        <v>2</v>
      </c>
      <c r="J143" s="93">
        <v>45274</v>
      </c>
      <c r="K143" s="85" t="s">
        <v>615</v>
      </c>
      <c r="L143" s="87">
        <v>56.5</v>
      </c>
      <c r="M143" s="94">
        <v>2</v>
      </c>
      <c r="N143" s="93">
        <v>45504</v>
      </c>
      <c r="O143" s="85" t="s">
        <v>615</v>
      </c>
      <c r="P143" s="87">
        <v>22.17</v>
      </c>
      <c r="Q143" s="94"/>
      <c r="R143" s="93"/>
      <c r="S143" s="85"/>
      <c r="U143" s="94"/>
      <c r="V143" s="93"/>
      <c r="W143" s="85"/>
      <c r="Y143" s="94"/>
      <c r="Z143" s="93"/>
      <c r="AA143" s="85"/>
      <c r="AC143" s="94"/>
      <c r="AD143" s="93"/>
      <c r="AE143" s="85"/>
    </row>
    <row r="144" spans="5:31" x14ac:dyDescent="0.35">
      <c r="E144" s="85">
        <v>2</v>
      </c>
      <c r="F144" s="93">
        <v>44984</v>
      </c>
      <c r="G144" s="85" t="s">
        <v>752</v>
      </c>
      <c r="H144" s="87">
        <v>27.87</v>
      </c>
      <c r="I144" s="94">
        <v>2</v>
      </c>
      <c r="J144" s="93">
        <v>45259</v>
      </c>
      <c r="K144" s="85" t="s">
        <v>615</v>
      </c>
      <c r="L144" s="87">
        <v>15.11</v>
      </c>
      <c r="M144" s="94">
        <v>2</v>
      </c>
      <c r="N144" s="93">
        <v>45504</v>
      </c>
      <c r="O144" s="85" t="s">
        <v>3191</v>
      </c>
      <c r="P144" s="87">
        <v>3.42</v>
      </c>
      <c r="Q144" s="94"/>
      <c r="R144" s="93"/>
      <c r="S144" s="85"/>
      <c r="U144" s="94"/>
      <c r="V144" s="93"/>
      <c r="W144" s="85"/>
      <c r="Y144" s="94"/>
      <c r="Z144" s="93"/>
      <c r="AA144" s="85"/>
      <c r="AC144" s="94"/>
      <c r="AD144" s="93"/>
      <c r="AE144" s="85"/>
    </row>
    <row r="145" spans="5:31" x14ac:dyDescent="0.35">
      <c r="E145" s="85">
        <v>2</v>
      </c>
      <c r="F145" s="93">
        <v>44990</v>
      </c>
      <c r="G145" s="85" t="s">
        <v>753</v>
      </c>
      <c r="H145" s="87">
        <v>205</v>
      </c>
      <c r="I145" s="94">
        <v>2</v>
      </c>
      <c r="J145" s="93">
        <v>45275</v>
      </c>
      <c r="K145" s="85" t="s">
        <v>615</v>
      </c>
      <c r="L145" s="87">
        <v>22.29</v>
      </c>
      <c r="M145" s="94">
        <v>2</v>
      </c>
      <c r="N145" s="93">
        <v>45504</v>
      </c>
      <c r="O145" s="85" t="s">
        <v>615</v>
      </c>
      <c r="P145" s="87">
        <v>13.35</v>
      </c>
      <c r="Q145" s="94"/>
      <c r="R145" s="93"/>
      <c r="S145" s="85"/>
      <c r="U145" s="94"/>
      <c r="V145" s="93"/>
      <c r="W145" s="85"/>
      <c r="Y145" s="94"/>
      <c r="Z145" s="93"/>
      <c r="AA145" s="85"/>
      <c r="AC145" s="94"/>
      <c r="AD145" s="93"/>
      <c r="AE145" s="85"/>
    </row>
    <row r="146" spans="5:31" x14ac:dyDescent="0.35">
      <c r="E146" s="85">
        <v>2</v>
      </c>
      <c r="F146" s="93">
        <v>44993</v>
      </c>
      <c r="G146" s="85" t="s">
        <v>754</v>
      </c>
      <c r="H146" s="87">
        <v>67</v>
      </c>
      <c r="I146" s="94">
        <v>2</v>
      </c>
      <c r="J146" s="93">
        <v>45279</v>
      </c>
      <c r="K146" s="85" t="s">
        <v>2284</v>
      </c>
      <c r="L146" s="87">
        <v>345</v>
      </c>
      <c r="M146" s="94">
        <v>2</v>
      </c>
      <c r="N146" s="93">
        <v>45504</v>
      </c>
      <c r="O146" s="85" t="s">
        <v>615</v>
      </c>
      <c r="P146" s="87">
        <v>26.8</v>
      </c>
      <c r="Q146" s="94"/>
      <c r="R146" s="93"/>
      <c r="S146" s="85"/>
      <c r="U146" s="94"/>
      <c r="V146" s="93"/>
      <c r="W146" s="85"/>
      <c r="Y146" s="94"/>
      <c r="Z146" s="93"/>
      <c r="AA146" s="85"/>
      <c r="AC146" s="94"/>
      <c r="AD146" s="93"/>
      <c r="AE146" s="85"/>
    </row>
    <row r="147" spans="5:31" x14ac:dyDescent="0.35">
      <c r="E147" s="85">
        <v>2</v>
      </c>
      <c r="F147" s="93">
        <v>44993</v>
      </c>
      <c r="G147" s="85" t="s">
        <v>755</v>
      </c>
      <c r="H147" s="87">
        <v>160</v>
      </c>
      <c r="I147" s="94">
        <v>2</v>
      </c>
      <c r="J147" s="93">
        <v>45275</v>
      </c>
      <c r="K147" s="85" t="s">
        <v>537</v>
      </c>
      <c r="L147" s="87">
        <v>12.5</v>
      </c>
      <c r="M147" s="94">
        <v>2</v>
      </c>
      <c r="N147" s="93">
        <v>45504</v>
      </c>
      <c r="O147" s="85" t="s">
        <v>3192</v>
      </c>
      <c r="P147" s="87">
        <v>33</v>
      </c>
      <c r="Q147" s="94"/>
      <c r="R147" s="93"/>
      <c r="S147" s="85"/>
      <c r="U147" s="94"/>
      <c r="V147" s="93"/>
      <c r="W147" s="85"/>
      <c r="Y147" s="94"/>
      <c r="Z147" s="93"/>
      <c r="AA147" s="85"/>
      <c r="AC147" s="94"/>
      <c r="AD147" s="93"/>
      <c r="AE147" s="85"/>
    </row>
    <row r="148" spans="5:31" x14ac:dyDescent="0.35">
      <c r="E148" s="85">
        <v>2</v>
      </c>
      <c r="F148" s="93">
        <v>44993</v>
      </c>
      <c r="G148" s="85" t="s">
        <v>756</v>
      </c>
      <c r="H148" s="87">
        <v>150</v>
      </c>
      <c r="I148" s="94">
        <v>2</v>
      </c>
      <c r="J148" s="93">
        <v>45232</v>
      </c>
      <c r="K148" s="85" t="s">
        <v>2316</v>
      </c>
      <c r="L148" s="87">
        <v>8.16</v>
      </c>
      <c r="M148" s="94">
        <v>2</v>
      </c>
      <c r="N148" s="93">
        <v>45504</v>
      </c>
      <c r="O148" s="85" t="s">
        <v>3195</v>
      </c>
      <c r="P148" s="87">
        <v>975</v>
      </c>
      <c r="Q148" s="94"/>
      <c r="R148" s="93"/>
      <c r="S148" s="85"/>
      <c r="U148" s="94"/>
      <c r="V148" s="93"/>
      <c r="W148" s="85"/>
      <c r="Y148" s="94"/>
      <c r="Z148" s="93"/>
      <c r="AA148" s="85"/>
      <c r="AC148" s="94"/>
      <c r="AD148" s="93"/>
      <c r="AE148" s="85"/>
    </row>
    <row r="149" spans="5:31" x14ac:dyDescent="0.35">
      <c r="E149" s="85">
        <v>2</v>
      </c>
      <c r="F149" s="93">
        <v>44988</v>
      </c>
      <c r="G149" s="85" t="s">
        <v>757</v>
      </c>
      <c r="H149" s="87">
        <v>189.29</v>
      </c>
      <c r="I149" s="94">
        <v>2</v>
      </c>
      <c r="J149" s="93">
        <v>45237</v>
      </c>
      <c r="K149" s="85" t="s">
        <v>2320</v>
      </c>
      <c r="L149" s="87">
        <v>90</v>
      </c>
      <c r="M149" s="94">
        <v>2</v>
      </c>
      <c r="N149" s="93">
        <v>45504</v>
      </c>
      <c r="O149" s="85" t="s">
        <v>3196</v>
      </c>
      <c r="P149" s="87">
        <v>975</v>
      </c>
      <c r="Q149" s="94"/>
      <c r="R149" s="93"/>
      <c r="S149" s="85"/>
      <c r="U149" s="94"/>
      <c r="V149" s="93"/>
      <c r="W149" s="85"/>
      <c r="Y149" s="94"/>
      <c r="Z149" s="93"/>
      <c r="AA149" s="85"/>
      <c r="AC149" s="94"/>
      <c r="AD149" s="93"/>
      <c r="AE149" s="85"/>
    </row>
    <row r="150" spans="5:31" x14ac:dyDescent="0.35">
      <c r="E150" s="85">
        <v>2</v>
      </c>
      <c r="F150" s="93">
        <v>44988</v>
      </c>
      <c r="G150" s="85" t="s">
        <v>758</v>
      </c>
      <c r="H150" s="87">
        <v>93.44</v>
      </c>
      <c r="I150" s="94">
        <v>2</v>
      </c>
      <c r="J150" s="93">
        <v>45252</v>
      </c>
      <c r="K150" s="85" t="s">
        <v>727</v>
      </c>
      <c r="L150" s="87">
        <v>10</v>
      </c>
      <c r="M150" s="94">
        <v>2</v>
      </c>
      <c r="N150" s="93">
        <v>45506</v>
      </c>
      <c r="O150" s="85" t="s">
        <v>3198</v>
      </c>
      <c r="P150" s="87">
        <v>42.26</v>
      </c>
      <c r="Q150" s="94"/>
      <c r="R150" s="93"/>
      <c r="S150" s="85"/>
      <c r="U150" s="94"/>
      <c r="V150" s="93"/>
      <c r="W150" s="85"/>
      <c r="Y150" s="94"/>
      <c r="Z150" s="93"/>
      <c r="AA150" s="85"/>
      <c r="AC150" s="94"/>
      <c r="AD150" s="93"/>
      <c r="AE150" s="85"/>
    </row>
    <row r="151" spans="5:31" x14ac:dyDescent="0.35">
      <c r="E151" s="85">
        <v>2</v>
      </c>
      <c r="F151" s="93">
        <v>44985</v>
      </c>
      <c r="G151" s="85" t="s">
        <v>759</v>
      </c>
      <c r="H151" s="87">
        <v>710</v>
      </c>
      <c r="I151" s="94">
        <v>2</v>
      </c>
      <c r="J151" s="93">
        <v>45294</v>
      </c>
      <c r="K151" s="85" t="s">
        <v>615</v>
      </c>
      <c r="L151" s="87">
        <v>125.42</v>
      </c>
      <c r="M151" s="94">
        <v>2</v>
      </c>
      <c r="N151" s="93">
        <v>45505</v>
      </c>
      <c r="O151" s="85" t="s">
        <v>3199</v>
      </c>
      <c r="P151" s="87">
        <v>220.96</v>
      </c>
      <c r="Q151" s="94"/>
      <c r="R151" s="93"/>
      <c r="S151" s="85"/>
      <c r="U151" s="94"/>
      <c r="V151" s="93"/>
      <c r="W151" s="85"/>
      <c r="Y151" s="94"/>
      <c r="Z151" s="93"/>
      <c r="AA151" s="85"/>
      <c r="AC151" s="94"/>
      <c r="AD151" s="93"/>
      <c r="AE151" s="85"/>
    </row>
    <row r="152" spans="5:31" x14ac:dyDescent="0.35">
      <c r="E152" s="85">
        <v>2</v>
      </c>
      <c r="F152" s="93">
        <v>44985</v>
      </c>
      <c r="G152" s="85" t="s">
        <v>760</v>
      </c>
      <c r="H152" s="87">
        <v>368.47</v>
      </c>
      <c r="I152" s="94">
        <v>2</v>
      </c>
      <c r="J152" s="93">
        <v>45301</v>
      </c>
      <c r="K152" s="85" t="s">
        <v>615</v>
      </c>
      <c r="L152" s="87">
        <v>56.3</v>
      </c>
      <c r="M152" s="94">
        <v>2</v>
      </c>
      <c r="N152" s="93">
        <v>45505</v>
      </c>
      <c r="O152" s="85" t="s">
        <v>3201</v>
      </c>
      <c r="P152" s="87">
        <v>1397.09</v>
      </c>
      <c r="Q152" s="94"/>
      <c r="R152" s="93"/>
      <c r="S152" s="85"/>
      <c r="U152" s="94"/>
      <c r="V152" s="93"/>
      <c r="W152" s="85"/>
      <c r="Y152" s="94"/>
      <c r="Z152" s="93"/>
      <c r="AA152" s="85"/>
      <c r="AC152" s="94"/>
      <c r="AD152" s="93"/>
      <c r="AE152" s="85"/>
    </row>
    <row r="153" spans="5:31" x14ac:dyDescent="0.35">
      <c r="E153" s="85">
        <v>2</v>
      </c>
      <c r="F153" s="93">
        <v>44985</v>
      </c>
      <c r="G153" s="85" t="s">
        <v>761</v>
      </c>
      <c r="H153" s="87">
        <v>4600</v>
      </c>
      <c r="I153" s="94">
        <v>5</v>
      </c>
      <c r="J153" s="93">
        <v>45278</v>
      </c>
      <c r="K153" s="85" t="s">
        <v>2340</v>
      </c>
      <c r="L153" s="87">
        <v>16.66</v>
      </c>
      <c r="M153" s="94">
        <v>2</v>
      </c>
      <c r="N153" s="93">
        <v>45505</v>
      </c>
      <c r="O153" s="85" t="s">
        <v>3202</v>
      </c>
      <c r="P153" s="87">
        <v>38.47</v>
      </c>
      <c r="Q153" s="94"/>
      <c r="R153" s="93"/>
      <c r="S153" s="85"/>
      <c r="U153" s="94"/>
      <c r="V153" s="93"/>
      <c r="W153" s="85"/>
      <c r="Y153" s="94"/>
      <c r="Z153" s="93"/>
      <c r="AA153" s="85"/>
      <c r="AC153" s="94"/>
      <c r="AD153" s="93"/>
      <c r="AE153" s="85"/>
    </row>
    <row r="154" spans="5:31" x14ac:dyDescent="0.35">
      <c r="E154" s="92">
        <v>1</v>
      </c>
      <c r="F154" s="93" t="s">
        <v>676</v>
      </c>
      <c r="G154" s="85" t="s">
        <v>762</v>
      </c>
      <c r="H154" s="87">
        <v>6000</v>
      </c>
      <c r="I154" s="94">
        <v>2</v>
      </c>
      <c r="J154" s="93">
        <v>45278</v>
      </c>
      <c r="K154" s="85" t="s">
        <v>615</v>
      </c>
      <c r="L154" s="87">
        <v>23.31</v>
      </c>
      <c r="M154" s="94"/>
      <c r="N154" s="93"/>
      <c r="O154" s="85"/>
      <c r="Q154" s="94"/>
      <c r="R154" s="93"/>
      <c r="S154" s="85"/>
      <c r="U154" s="94"/>
      <c r="V154" s="93"/>
      <c r="W154" s="85"/>
      <c r="Y154" s="94"/>
      <c r="Z154" s="93"/>
      <c r="AA154" s="85"/>
      <c r="AC154" s="94"/>
      <c r="AD154" s="93"/>
      <c r="AE154" s="85"/>
    </row>
    <row r="155" spans="5:31" x14ac:dyDescent="0.35">
      <c r="E155" s="85">
        <v>2</v>
      </c>
      <c r="F155" s="93">
        <v>44994</v>
      </c>
      <c r="G155" s="85" t="s">
        <v>763</v>
      </c>
      <c r="H155" s="87">
        <v>691.43</v>
      </c>
      <c r="I155" s="94">
        <v>2</v>
      </c>
      <c r="J155" s="93">
        <v>45268</v>
      </c>
      <c r="K155" s="85" t="s">
        <v>2341</v>
      </c>
      <c r="L155" s="87">
        <v>5.47</v>
      </c>
      <c r="M155" s="94"/>
      <c r="N155" s="93"/>
      <c r="O155" s="85"/>
      <c r="Q155" s="94"/>
      <c r="R155" s="93"/>
      <c r="S155" s="85"/>
      <c r="U155" s="94"/>
      <c r="V155" s="93"/>
      <c r="W155" s="85"/>
      <c r="Y155" s="94"/>
      <c r="Z155" s="93"/>
      <c r="AA155" s="85"/>
      <c r="AC155" s="94"/>
      <c r="AD155" s="93"/>
      <c r="AE155" s="85"/>
    </row>
    <row r="156" spans="5:31" x14ac:dyDescent="0.35">
      <c r="E156" s="85">
        <v>2</v>
      </c>
      <c r="F156" s="93">
        <v>45002</v>
      </c>
      <c r="G156" s="85" t="s">
        <v>764</v>
      </c>
      <c r="H156" s="87">
        <v>7.55</v>
      </c>
      <c r="I156" s="94">
        <v>2</v>
      </c>
      <c r="J156" s="93">
        <v>45265</v>
      </c>
      <c r="K156" s="85" t="s">
        <v>2342</v>
      </c>
      <c r="L156" s="87">
        <v>52.64</v>
      </c>
      <c r="M156" s="94"/>
      <c r="N156" s="93"/>
      <c r="O156" s="85"/>
      <c r="Q156" s="94"/>
      <c r="R156" s="93"/>
      <c r="S156" s="85"/>
      <c r="U156" s="94"/>
      <c r="V156" s="93"/>
      <c r="W156" s="85"/>
      <c r="Y156" s="94"/>
      <c r="Z156" s="93"/>
      <c r="AA156" s="85"/>
      <c r="AC156" s="94"/>
      <c r="AD156" s="93"/>
      <c r="AE156" s="85"/>
    </row>
    <row r="157" spans="5:31" x14ac:dyDescent="0.35">
      <c r="E157" s="85">
        <v>2</v>
      </c>
      <c r="F157" s="93">
        <v>45002</v>
      </c>
      <c r="G157" s="85" t="s">
        <v>765</v>
      </c>
      <c r="H157" s="87">
        <v>2.4900000000000002</v>
      </c>
      <c r="I157" s="94">
        <v>2</v>
      </c>
      <c r="J157" s="93">
        <v>45264</v>
      </c>
      <c r="K157" s="85" t="s">
        <v>2343</v>
      </c>
      <c r="L157" s="87">
        <v>16.66</v>
      </c>
      <c r="M157" s="94"/>
      <c r="N157" s="93"/>
      <c r="O157" s="85"/>
      <c r="Q157" s="94"/>
      <c r="R157" s="93"/>
      <c r="S157" s="85"/>
      <c r="U157" s="94"/>
      <c r="V157" s="93"/>
      <c r="W157" s="85"/>
      <c r="Y157" s="94"/>
      <c r="Z157" s="93"/>
      <c r="AA157" s="85"/>
      <c r="AC157" s="94"/>
      <c r="AD157" s="93"/>
      <c r="AE157" s="85"/>
    </row>
    <row r="158" spans="5:31" x14ac:dyDescent="0.35">
      <c r="E158" s="85">
        <v>2</v>
      </c>
      <c r="F158" s="93">
        <v>45002</v>
      </c>
      <c r="G158" s="85" t="s">
        <v>766</v>
      </c>
      <c r="H158" s="87">
        <v>2365</v>
      </c>
      <c r="I158" s="94">
        <v>2</v>
      </c>
      <c r="J158" s="93">
        <v>45264</v>
      </c>
      <c r="K158" s="85" t="s">
        <v>2344</v>
      </c>
      <c r="L158" s="87">
        <v>2.33</v>
      </c>
      <c r="M158" s="94"/>
      <c r="N158" s="93"/>
      <c r="O158" s="85"/>
      <c r="Q158" s="94"/>
      <c r="R158" s="93"/>
      <c r="S158" s="85"/>
      <c r="U158" s="94"/>
      <c r="V158" s="93"/>
      <c r="W158" s="85"/>
      <c r="Y158" s="94"/>
      <c r="Z158" s="93"/>
      <c r="AA158" s="85"/>
      <c r="AC158" s="94"/>
      <c r="AD158" s="93"/>
      <c r="AE158" s="85"/>
    </row>
    <row r="159" spans="5:31" x14ac:dyDescent="0.35">
      <c r="E159" s="85">
        <v>2</v>
      </c>
      <c r="F159" s="93">
        <v>45002</v>
      </c>
      <c r="G159" s="85" t="s">
        <v>767</v>
      </c>
      <c r="H159" s="87">
        <v>987.67</v>
      </c>
      <c r="I159" s="94">
        <v>2</v>
      </c>
      <c r="J159" s="93">
        <v>45302</v>
      </c>
      <c r="K159" s="85" t="s">
        <v>2336</v>
      </c>
      <c r="L159" s="87">
        <v>1217</v>
      </c>
      <c r="M159" s="94"/>
      <c r="N159" s="93"/>
      <c r="O159" s="85"/>
      <c r="Q159" s="94"/>
      <c r="R159" s="93"/>
      <c r="S159" s="85"/>
      <c r="U159" s="94"/>
      <c r="V159" s="93"/>
      <c r="W159" s="85"/>
      <c r="Y159" s="94"/>
      <c r="Z159" s="93"/>
      <c r="AA159" s="85"/>
      <c r="AC159" s="94"/>
      <c r="AD159" s="93"/>
      <c r="AE159" s="85"/>
    </row>
    <row r="160" spans="5:31" x14ac:dyDescent="0.35">
      <c r="E160" s="85">
        <v>2</v>
      </c>
      <c r="F160" s="93">
        <v>45008</v>
      </c>
      <c r="G160" s="85" t="s">
        <v>768</v>
      </c>
      <c r="H160" s="87">
        <v>67</v>
      </c>
      <c r="I160" s="85">
        <v>2</v>
      </c>
      <c r="J160" s="93">
        <v>45261</v>
      </c>
      <c r="K160" s="87" t="s">
        <v>595</v>
      </c>
      <c r="L160" s="88">
        <f>54.8+51.64</f>
        <v>106.44</v>
      </c>
      <c r="M160" s="94"/>
      <c r="N160" s="93"/>
      <c r="O160" s="85"/>
      <c r="Q160" s="94"/>
      <c r="R160" s="93"/>
      <c r="S160" s="85"/>
      <c r="U160" s="94"/>
      <c r="V160" s="93"/>
      <c r="W160" s="85"/>
      <c r="Y160" s="94"/>
      <c r="Z160" s="93"/>
      <c r="AA160" s="85"/>
      <c r="AC160" s="94"/>
      <c r="AD160" s="93"/>
      <c r="AE160" s="85"/>
    </row>
    <row r="161" spans="5:31" x14ac:dyDescent="0.35">
      <c r="E161" s="85">
        <v>2</v>
      </c>
      <c r="F161" s="93">
        <v>44985</v>
      </c>
      <c r="G161" s="85" t="s">
        <v>33</v>
      </c>
      <c r="H161" s="87">
        <v>593.79</v>
      </c>
      <c r="I161" s="94">
        <v>2</v>
      </c>
      <c r="J161" s="93">
        <v>45211</v>
      </c>
      <c r="K161" s="85" t="s">
        <v>2376</v>
      </c>
      <c r="L161" s="87">
        <f>30.83+6.32+90.75+61.06</f>
        <v>188.96</v>
      </c>
      <c r="M161" s="94"/>
      <c r="N161" s="93"/>
      <c r="O161" s="85"/>
      <c r="Q161" s="94"/>
      <c r="R161" s="93"/>
      <c r="S161" s="85"/>
      <c r="U161" s="94"/>
      <c r="V161" s="93"/>
      <c r="W161" s="85"/>
      <c r="Y161" s="94"/>
      <c r="Z161" s="93"/>
      <c r="AA161" s="85"/>
      <c r="AC161" s="94"/>
      <c r="AD161" s="93"/>
      <c r="AE161" s="85"/>
    </row>
    <row r="162" spans="5:31" x14ac:dyDescent="0.35">
      <c r="E162" s="85">
        <v>2</v>
      </c>
      <c r="F162" s="93">
        <v>45013</v>
      </c>
      <c r="G162" s="85" t="s">
        <v>769</v>
      </c>
      <c r="H162" s="87">
        <v>210</v>
      </c>
      <c r="I162" s="94">
        <v>2</v>
      </c>
      <c r="J162" s="93">
        <v>45300</v>
      </c>
      <c r="K162" s="85" t="s">
        <v>2403</v>
      </c>
      <c r="L162" s="87">
        <v>174</v>
      </c>
      <c r="M162" s="94"/>
      <c r="N162" s="93"/>
      <c r="O162" s="85"/>
      <c r="Q162" s="94"/>
      <c r="R162" s="93"/>
      <c r="S162" s="85"/>
      <c r="U162" s="94"/>
      <c r="V162" s="93"/>
      <c r="W162" s="85"/>
      <c r="Y162" s="94"/>
      <c r="Z162" s="93"/>
      <c r="AA162" s="85"/>
      <c r="AC162" s="94"/>
      <c r="AD162" s="93"/>
      <c r="AE162" s="85"/>
    </row>
    <row r="163" spans="5:31" x14ac:dyDescent="0.35">
      <c r="E163" s="85">
        <v>2</v>
      </c>
      <c r="F163" s="93">
        <v>44963</v>
      </c>
      <c r="G163" s="85" t="s">
        <v>770</v>
      </c>
      <c r="H163" s="87">
        <v>23.63</v>
      </c>
      <c r="I163" s="94">
        <v>2</v>
      </c>
      <c r="J163" s="93">
        <v>45307</v>
      </c>
      <c r="K163" s="85" t="s">
        <v>620</v>
      </c>
      <c r="L163" s="87">
        <v>19.2</v>
      </c>
      <c r="M163" s="94"/>
      <c r="N163" s="93"/>
      <c r="O163" s="85"/>
      <c r="Q163" s="94"/>
      <c r="R163" s="93"/>
      <c r="S163" s="85"/>
      <c r="U163" s="94"/>
      <c r="V163" s="93"/>
      <c r="W163" s="85"/>
      <c r="Y163" s="94"/>
      <c r="Z163" s="93"/>
      <c r="AA163" s="85"/>
      <c r="AC163" s="94"/>
      <c r="AD163" s="93"/>
      <c r="AE163" s="85"/>
    </row>
    <row r="164" spans="5:31" x14ac:dyDescent="0.35">
      <c r="E164" s="85">
        <v>2</v>
      </c>
      <c r="F164" s="93">
        <v>44963</v>
      </c>
      <c r="G164" s="85" t="s">
        <v>618</v>
      </c>
      <c r="H164" s="87">
        <v>4.74</v>
      </c>
      <c r="I164" s="94">
        <v>2</v>
      </c>
      <c r="J164" s="93">
        <v>45300</v>
      </c>
      <c r="K164" s="85" t="s">
        <v>2404</v>
      </c>
      <c r="L164" s="87">
        <v>159</v>
      </c>
      <c r="M164" s="94"/>
      <c r="N164" s="93"/>
      <c r="O164" s="85"/>
      <c r="Q164" s="94"/>
      <c r="R164" s="93"/>
      <c r="S164" s="85"/>
      <c r="U164" s="94"/>
      <c r="V164" s="93"/>
      <c r="W164" s="85"/>
      <c r="Y164" s="94"/>
      <c r="Z164" s="93"/>
      <c r="AA164" s="85"/>
      <c r="AC164" s="94"/>
      <c r="AD164" s="93"/>
      <c r="AE164" s="85"/>
    </row>
    <row r="165" spans="5:31" x14ac:dyDescent="0.35">
      <c r="E165" s="85">
        <v>2</v>
      </c>
      <c r="F165" s="93">
        <v>44973</v>
      </c>
      <c r="G165" s="85" t="s">
        <v>771</v>
      </c>
      <c r="H165" s="87">
        <v>16.510000000000002</v>
      </c>
      <c r="I165" s="94">
        <v>2</v>
      </c>
      <c r="J165" s="93">
        <v>45306</v>
      </c>
      <c r="K165" s="85" t="s">
        <v>615</v>
      </c>
      <c r="L165" s="87">
        <v>24.75</v>
      </c>
      <c r="M165" s="94"/>
      <c r="N165" s="93"/>
      <c r="O165" s="85"/>
      <c r="Q165" s="94"/>
      <c r="R165" s="93"/>
      <c r="S165" s="85"/>
      <c r="U165" s="94"/>
      <c r="V165" s="93"/>
      <c r="W165" s="85"/>
      <c r="Y165" s="94"/>
      <c r="Z165" s="93"/>
      <c r="AA165" s="85"/>
      <c r="AC165" s="94"/>
      <c r="AD165" s="93"/>
      <c r="AE165" s="85"/>
    </row>
    <row r="166" spans="5:31" x14ac:dyDescent="0.35">
      <c r="E166" s="85">
        <v>2</v>
      </c>
      <c r="F166" s="93">
        <v>44985</v>
      </c>
      <c r="G166" s="85" t="s">
        <v>772</v>
      </c>
      <c r="H166" s="87">
        <v>28.14</v>
      </c>
      <c r="I166" s="94">
        <v>2</v>
      </c>
      <c r="J166" s="93">
        <v>45307</v>
      </c>
      <c r="K166" s="85" t="s">
        <v>2405</v>
      </c>
      <c r="L166" s="87">
        <v>45</v>
      </c>
      <c r="M166" s="94"/>
      <c r="N166" s="93"/>
      <c r="O166" s="85"/>
      <c r="Q166" s="94"/>
      <c r="R166" s="93"/>
      <c r="S166" s="85"/>
      <c r="U166" s="94"/>
      <c r="V166" s="93"/>
      <c r="W166" s="85"/>
      <c r="Y166" s="94"/>
      <c r="Z166" s="93"/>
      <c r="AA166" s="85"/>
      <c r="AC166" s="94"/>
      <c r="AD166" s="93"/>
      <c r="AE166" s="85"/>
    </row>
    <row r="167" spans="5:31" x14ac:dyDescent="0.35">
      <c r="E167" s="85">
        <v>2</v>
      </c>
      <c r="F167" s="93">
        <v>45016</v>
      </c>
      <c r="G167" s="85" t="s">
        <v>773</v>
      </c>
      <c r="H167" s="87">
        <f>33.74+0.18</f>
        <v>33.92</v>
      </c>
      <c r="I167" s="94">
        <v>2</v>
      </c>
      <c r="J167" s="93">
        <v>45303</v>
      </c>
      <c r="K167" s="85" t="s">
        <v>615</v>
      </c>
      <c r="L167" s="87">
        <v>2.6</v>
      </c>
      <c r="M167" s="94"/>
      <c r="N167" s="93"/>
      <c r="O167" s="85"/>
      <c r="Q167" s="94"/>
      <c r="R167" s="93"/>
      <c r="S167" s="85"/>
      <c r="U167" s="94"/>
      <c r="V167" s="93"/>
      <c r="W167" s="85"/>
      <c r="Y167" s="94"/>
      <c r="Z167" s="93"/>
      <c r="AA167" s="85"/>
      <c r="AC167" s="94"/>
      <c r="AD167" s="93"/>
      <c r="AE167" s="85"/>
    </row>
    <row r="168" spans="5:31" x14ac:dyDescent="0.35">
      <c r="E168" s="85">
        <v>2</v>
      </c>
      <c r="F168" s="93">
        <v>45016</v>
      </c>
      <c r="G168" s="85" t="s">
        <v>774</v>
      </c>
      <c r="H168" s="87">
        <v>10902.1</v>
      </c>
      <c r="I168" s="94">
        <v>2</v>
      </c>
      <c r="J168" s="93">
        <v>45299</v>
      </c>
      <c r="K168" s="85" t="s">
        <v>615</v>
      </c>
      <c r="L168" s="87">
        <v>68.78</v>
      </c>
      <c r="M168" s="94"/>
      <c r="N168" s="93"/>
      <c r="O168" s="85"/>
      <c r="Q168" s="94"/>
      <c r="R168" s="93"/>
      <c r="S168" s="85"/>
      <c r="U168" s="94"/>
      <c r="V168" s="93"/>
      <c r="W168" s="85"/>
      <c r="Y168" s="94"/>
      <c r="Z168" s="93"/>
      <c r="AA168" s="85"/>
      <c r="AC168" s="94"/>
      <c r="AD168" s="93"/>
      <c r="AE168" s="85"/>
    </row>
    <row r="169" spans="5:31" x14ac:dyDescent="0.35">
      <c r="E169" s="85">
        <v>2</v>
      </c>
      <c r="F169" s="93" t="s">
        <v>775</v>
      </c>
      <c r="G169" s="85" t="s">
        <v>776</v>
      </c>
      <c r="H169" s="87">
        <v>530</v>
      </c>
      <c r="I169" s="94">
        <v>2</v>
      </c>
      <c r="J169" s="93">
        <v>45273</v>
      </c>
      <c r="K169" s="85" t="s">
        <v>535</v>
      </c>
      <c r="L169" s="87">
        <v>4.17</v>
      </c>
      <c r="M169" s="94"/>
      <c r="N169" s="93"/>
      <c r="O169" s="85"/>
      <c r="Q169" s="94"/>
      <c r="R169" s="93"/>
      <c r="S169" s="85"/>
      <c r="U169" s="94"/>
      <c r="V169" s="93"/>
      <c r="W169" s="85"/>
      <c r="Y169" s="94"/>
      <c r="Z169" s="93"/>
      <c r="AA169" s="85"/>
      <c r="AC169" s="94"/>
      <c r="AD169" s="93"/>
      <c r="AE169" s="85"/>
    </row>
    <row r="170" spans="5:31" x14ac:dyDescent="0.35">
      <c r="E170" s="85">
        <v>2</v>
      </c>
      <c r="F170" s="93">
        <v>45014</v>
      </c>
      <c r="G170" s="85" t="s">
        <v>777</v>
      </c>
      <c r="H170" s="87">
        <v>593.97</v>
      </c>
      <c r="I170" s="94">
        <v>2</v>
      </c>
      <c r="J170" s="93">
        <v>45264</v>
      </c>
      <c r="K170" s="85" t="s">
        <v>2414</v>
      </c>
      <c r="L170" s="87">
        <v>8.32</v>
      </c>
      <c r="M170" s="94"/>
      <c r="N170" s="93"/>
      <c r="O170" s="85"/>
      <c r="Q170" s="94"/>
      <c r="R170" s="93"/>
      <c r="S170" s="85"/>
      <c r="U170" s="94"/>
      <c r="V170" s="93"/>
      <c r="W170" s="85"/>
      <c r="Y170" s="94"/>
      <c r="Z170" s="93"/>
      <c r="AA170" s="85"/>
      <c r="AC170" s="94"/>
      <c r="AD170" s="93"/>
      <c r="AE170" s="85"/>
    </row>
    <row r="171" spans="5:31" x14ac:dyDescent="0.35">
      <c r="E171" s="85">
        <v>2</v>
      </c>
      <c r="F171" s="93">
        <v>45000</v>
      </c>
      <c r="G171" s="85" t="s">
        <v>778</v>
      </c>
      <c r="H171" s="87">
        <v>186.05</v>
      </c>
      <c r="I171" s="94">
        <v>2</v>
      </c>
      <c r="J171" s="93">
        <v>45264</v>
      </c>
      <c r="K171" s="85" t="s">
        <v>2415</v>
      </c>
      <c r="L171" s="87">
        <v>24.96</v>
      </c>
      <c r="M171" s="94"/>
      <c r="N171" s="93"/>
      <c r="O171" s="85"/>
      <c r="Q171" s="94"/>
      <c r="R171" s="93"/>
      <c r="S171" s="85"/>
      <c r="U171" s="94"/>
      <c r="V171" s="93"/>
      <c r="W171" s="85"/>
      <c r="Y171" s="94"/>
      <c r="Z171" s="93"/>
      <c r="AA171" s="85"/>
      <c r="AC171" s="94"/>
      <c r="AD171" s="93"/>
      <c r="AE171" s="85"/>
    </row>
    <row r="172" spans="5:31" x14ac:dyDescent="0.35">
      <c r="I172" s="94">
        <v>2</v>
      </c>
      <c r="J172" s="93">
        <v>45308</v>
      </c>
      <c r="K172" s="85" t="s">
        <v>2534</v>
      </c>
      <c r="L172" s="87">
        <v>156.71</v>
      </c>
      <c r="M172" s="94"/>
      <c r="N172" s="93"/>
      <c r="O172" s="85"/>
      <c r="Q172" s="94"/>
      <c r="R172" s="93"/>
      <c r="S172" s="85"/>
      <c r="U172" s="94"/>
      <c r="V172" s="93"/>
      <c r="W172" s="85"/>
      <c r="Y172" s="94"/>
      <c r="Z172" s="93"/>
      <c r="AA172" s="85"/>
      <c r="AC172" s="94"/>
      <c r="AD172" s="93"/>
      <c r="AE172" s="85"/>
    </row>
    <row r="173" spans="5:31" x14ac:dyDescent="0.35">
      <c r="I173" s="94">
        <v>2</v>
      </c>
      <c r="J173" s="93">
        <v>45336</v>
      </c>
      <c r="K173" s="85" t="s">
        <v>1484</v>
      </c>
      <c r="L173" s="87">
        <v>53.56</v>
      </c>
      <c r="M173" s="94"/>
      <c r="N173" s="93"/>
      <c r="O173" s="85"/>
      <c r="Q173" s="94"/>
      <c r="R173" s="93"/>
      <c r="S173" s="85"/>
      <c r="U173" s="94"/>
      <c r="V173" s="93"/>
      <c r="W173" s="85"/>
      <c r="Y173" s="94"/>
      <c r="Z173" s="93"/>
      <c r="AA173" s="85"/>
      <c r="AC173" s="94"/>
      <c r="AD173" s="93"/>
      <c r="AE173" s="85"/>
    </row>
    <row r="174" spans="5:31" x14ac:dyDescent="0.35">
      <c r="I174" s="94">
        <v>2</v>
      </c>
      <c r="J174" s="93">
        <v>45336</v>
      </c>
      <c r="K174" s="85" t="s">
        <v>615</v>
      </c>
      <c r="L174" s="87">
        <v>57.35</v>
      </c>
      <c r="M174" s="94"/>
      <c r="N174" s="93"/>
      <c r="O174" s="85"/>
      <c r="Q174" s="94"/>
      <c r="R174" s="93"/>
      <c r="S174" s="85"/>
      <c r="U174" s="94"/>
      <c r="V174" s="93"/>
      <c r="W174" s="85"/>
      <c r="Y174" s="94"/>
      <c r="Z174" s="93"/>
      <c r="AA174" s="85"/>
      <c r="AC174" s="94"/>
      <c r="AD174" s="93"/>
      <c r="AE174" s="85"/>
    </row>
    <row r="175" spans="5:31" x14ac:dyDescent="0.35">
      <c r="I175" s="94">
        <v>2</v>
      </c>
      <c r="J175" s="93">
        <v>45336</v>
      </c>
      <c r="K175" s="85" t="s">
        <v>2536</v>
      </c>
      <c r="L175" s="87">
        <v>27.82</v>
      </c>
      <c r="M175" s="94"/>
      <c r="N175" s="93"/>
      <c r="O175" s="85"/>
      <c r="Q175" s="94"/>
      <c r="R175" s="93"/>
      <c r="S175" s="85"/>
      <c r="U175" s="94"/>
      <c r="V175" s="93"/>
      <c r="W175" s="85"/>
      <c r="Y175" s="94"/>
      <c r="Z175" s="93"/>
      <c r="AA175" s="85"/>
      <c r="AC175" s="94"/>
      <c r="AD175" s="93"/>
      <c r="AE175" s="85"/>
    </row>
    <row r="176" spans="5:31" x14ac:dyDescent="0.35">
      <c r="I176" s="94">
        <v>2</v>
      </c>
      <c r="J176" s="93">
        <v>45336</v>
      </c>
      <c r="K176" s="85" t="s">
        <v>600</v>
      </c>
      <c r="L176" s="87">
        <v>41.4</v>
      </c>
      <c r="M176" s="94"/>
      <c r="N176" s="93"/>
      <c r="O176" s="85"/>
      <c r="Q176" s="94"/>
      <c r="R176" s="93"/>
      <c r="S176" s="85"/>
      <c r="U176" s="94"/>
      <c r="V176" s="93"/>
      <c r="W176" s="85"/>
      <c r="Y176" s="94"/>
      <c r="Z176" s="93"/>
      <c r="AA176" s="85"/>
      <c r="AC176" s="94"/>
      <c r="AD176" s="93"/>
      <c r="AE176" s="85"/>
    </row>
    <row r="177" spans="7:31" x14ac:dyDescent="0.35">
      <c r="I177" s="94">
        <v>2</v>
      </c>
      <c r="J177" s="93">
        <v>45324</v>
      </c>
      <c r="K177" s="85" t="s">
        <v>2538</v>
      </c>
      <c r="L177" s="87">
        <v>270</v>
      </c>
      <c r="M177" s="94"/>
      <c r="N177" s="93"/>
      <c r="O177" s="85"/>
      <c r="Q177" s="94"/>
      <c r="R177" s="93"/>
      <c r="S177" s="85"/>
      <c r="U177" s="94"/>
      <c r="V177" s="93"/>
      <c r="W177" s="85"/>
      <c r="Y177" s="94"/>
      <c r="Z177" s="93"/>
      <c r="AA177" s="85"/>
      <c r="AC177" s="94"/>
      <c r="AD177" s="93"/>
      <c r="AE177" s="85"/>
    </row>
    <row r="178" spans="7:31" x14ac:dyDescent="0.35">
      <c r="I178" s="94">
        <v>2</v>
      </c>
      <c r="J178" s="93">
        <v>45343</v>
      </c>
      <c r="K178" s="85" t="s">
        <v>2540</v>
      </c>
      <c r="L178" s="87">
        <v>43.91</v>
      </c>
      <c r="M178" s="94"/>
      <c r="N178" s="93"/>
      <c r="O178" s="85"/>
      <c r="Q178" s="94"/>
      <c r="R178" s="93"/>
      <c r="S178" s="85"/>
      <c r="U178" s="94"/>
      <c r="V178" s="93"/>
      <c r="W178" s="85"/>
      <c r="Y178" s="94"/>
      <c r="Z178" s="93"/>
      <c r="AA178" s="85"/>
      <c r="AC178" s="94"/>
      <c r="AD178" s="93"/>
      <c r="AE178" s="85"/>
    </row>
    <row r="179" spans="7:31" x14ac:dyDescent="0.35">
      <c r="G179" s="85"/>
      <c r="H179" s="87"/>
      <c r="I179" s="94">
        <v>2</v>
      </c>
      <c r="J179" s="93">
        <v>45338</v>
      </c>
      <c r="K179" s="85" t="s">
        <v>2551</v>
      </c>
      <c r="L179" s="87">
        <v>24.92</v>
      </c>
      <c r="M179" s="94"/>
      <c r="N179" s="93"/>
      <c r="O179" s="85"/>
      <c r="Q179" s="94"/>
      <c r="R179" s="93"/>
      <c r="S179" s="85"/>
      <c r="U179" s="94"/>
      <c r="V179" s="93"/>
      <c r="W179" s="85"/>
      <c r="Y179" s="94"/>
      <c r="Z179" s="93"/>
      <c r="AA179" s="85"/>
      <c r="AC179" s="94"/>
      <c r="AD179" s="93"/>
      <c r="AE179" s="85"/>
    </row>
    <row r="180" spans="7:31" x14ac:dyDescent="0.35">
      <c r="G180" s="85"/>
      <c r="H180" s="87"/>
      <c r="I180" s="94">
        <v>2</v>
      </c>
      <c r="J180" s="93">
        <v>45328</v>
      </c>
      <c r="K180" s="85" t="s">
        <v>2556</v>
      </c>
      <c r="L180" s="87">
        <v>65.58</v>
      </c>
      <c r="M180" s="94"/>
      <c r="N180" s="93"/>
      <c r="O180" s="85"/>
      <c r="Q180" s="94"/>
      <c r="R180" s="93"/>
      <c r="S180" s="85"/>
      <c r="U180" s="94"/>
      <c r="V180" s="93"/>
      <c r="W180" s="85"/>
      <c r="Y180" s="94"/>
      <c r="Z180" s="93"/>
      <c r="AA180" s="85"/>
      <c r="AC180" s="94"/>
      <c r="AD180" s="93"/>
      <c r="AE180" s="85"/>
    </row>
    <row r="181" spans="7:31" x14ac:dyDescent="0.35">
      <c r="G181" s="85"/>
      <c r="H181" s="87"/>
      <c r="I181" s="94">
        <v>2</v>
      </c>
      <c r="J181" s="93">
        <v>45330</v>
      </c>
      <c r="K181" s="85" t="s">
        <v>2560</v>
      </c>
      <c r="L181" s="87">
        <v>265</v>
      </c>
      <c r="M181" s="94"/>
      <c r="N181" s="93"/>
      <c r="O181" s="85"/>
      <c r="Q181" s="94"/>
      <c r="R181" s="93"/>
      <c r="S181" s="85"/>
      <c r="U181" s="94"/>
      <c r="V181" s="93"/>
      <c r="W181" s="85"/>
      <c r="Y181" s="94"/>
      <c r="Z181" s="93"/>
      <c r="AA181" s="85"/>
      <c r="AC181" s="94"/>
      <c r="AD181" s="93"/>
      <c r="AE181" s="85"/>
    </row>
    <row r="182" spans="7:31" x14ac:dyDescent="0.35">
      <c r="G182" s="85"/>
      <c r="H182" s="87"/>
      <c r="I182" s="94">
        <v>2</v>
      </c>
      <c r="J182" s="93">
        <v>45330</v>
      </c>
      <c r="K182" s="85" t="s">
        <v>2559</v>
      </c>
      <c r="L182" s="87">
        <v>290</v>
      </c>
      <c r="M182" s="94"/>
      <c r="N182" s="93"/>
      <c r="O182" s="85"/>
      <c r="Q182" s="94"/>
      <c r="R182" s="93"/>
      <c r="S182" s="85"/>
      <c r="U182" s="94"/>
      <c r="V182" s="93"/>
      <c r="W182" s="85"/>
      <c r="Y182" s="94"/>
      <c r="Z182" s="93"/>
      <c r="AA182" s="85"/>
      <c r="AC182" s="94"/>
      <c r="AD182" s="93"/>
      <c r="AE182" s="85"/>
    </row>
    <row r="183" spans="7:31" x14ac:dyDescent="0.35">
      <c r="G183" s="85"/>
      <c r="H183" s="87"/>
      <c r="I183" s="94">
        <v>2</v>
      </c>
      <c r="J183" s="93">
        <v>45328</v>
      </c>
      <c r="K183" s="85" t="s">
        <v>615</v>
      </c>
      <c r="L183" s="87">
        <v>23.92</v>
      </c>
      <c r="M183" s="94"/>
      <c r="N183" s="93"/>
      <c r="O183" s="85"/>
      <c r="Q183" s="94"/>
      <c r="R183" s="93"/>
      <c r="S183" s="85"/>
      <c r="U183" s="94"/>
      <c r="V183" s="93"/>
      <c r="W183" s="85"/>
      <c r="Y183" s="94"/>
      <c r="Z183" s="93"/>
      <c r="AA183" s="85"/>
      <c r="AC183" s="94"/>
      <c r="AD183" s="93"/>
      <c r="AE183" s="85"/>
    </row>
    <row r="184" spans="7:31" x14ac:dyDescent="0.35">
      <c r="G184" s="85"/>
      <c r="H184" s="87"/>
      <c r="I184" s="94">
        <v>2</v>
      </c>
      <c r="J184" s="93">
        <v>45335</v>
      </c>
      <c r="K184" s="85" t="s">
        <v>2565</v>
      </c>
      <c r="L184" s="87">
        <v>2.99</v>
      </c>
      <c r="M184" s="94"/>
      <c r="N184" s="93"/>
      <c r="O184" s="85"/>
      <c r="Q184" s="94"/>
      <c r="R184" s="93"/>
      <c r="S184" s="85"/>
      <c r="U184" s="94"/>
      <c r="V184" s="93"/>
      <c r="W184" s="85"/>
      <c r="Y184" s="94"/>
      <c r="Z184" s="93"/>
      <c r="AA184" s="85"/>
      <c r="AC184" s="94"/>
      <c r="AD184" s="93"/>
      <c r="AE184" s="85"/>
    </row>
    <row r="185" spans="7:31" x14ac:dyDescent="0.35">
      <c r="G185" s="85"/>
      <c r="H185" s="87"/>
      <c r="I185" s="94">
        <v>2</v>
      </c>
      <c r="J185" s="93">
        <v>45335</v>
      </c>
      <c r="K185" s="85" t="s">
        <v>2566</v>
      </c>
      <c r="L185" s="87">
        <v>11.67</v>
      </c>
      <c r="M185" s="94"/>
      <c r="N185" s="93"/>
      <c r="O185" s="85"/>
      <c r="Q185" s="94"/>
      <c r="R185" s="93"/>
      <c r="S185" s="85"/>
      <c r="U185" s="94"/>
      <c r="V185" s="93"/>
      <c r="W185" s="85"/>
      <c r="Y185" s="94"/>
      <c r="Z185" s="93"/>
      <c r="AA185" s="85"/>
      <c r="AC185" s="94"/>
      <c r="AD185" s="93"/>
      <c r="AE185" s="85"/>
    </row>
    <row r="186" spans="7:31" x14ac:dyDescent="0.35">
      <c r="G186" s="85"/>
      <c r="H186" s="87"/>
      <c r="I186" s="94">
        <v>2</v>
      </c>
      <c r="J186" s="93">
        <v>45335</v>
      </c>
      <c r="K186" s="85" t="s">
        <v>2567</v>
      </c>
      <c r="L186" s="87">
        <v>9.2100000000000009</v>
      </c>
      <c r="M186" s="94"/>
      <c r="N186" s="93"/>
      <c r="O186" s="85"/>
      <c r="Q186" s="94"/>
      <c r="R186" s="93"/>
      <c r="S186" s="85"/>
      <c r="U186" s="94"/>
      <c r="V186" s="93"/>
      <c r="W186" s="85"/>
      <c r="Y186" s="94"/>
      <c r="Z186" s="93"/>
      <c r="AA186" s="85"/>
      <c r="AC186" s="94"/>
      <c r="AD186" s="93"/>
      <c r="AE186" s="85"/>
    </row>
    <row r="187" spans="7:31" x14ac:dyDescent="0.35">
      <c r="G187" s="85"/>
      <c r="H187" s="87"/>
      <c r="I187" s="94">
        <v>2</v>
      </c>
      <c r="J187" s="93">
        <v>45331</v>
      </c>
      <c r="K187" s="85" t="s">
        <v>2573</v>
      </c>
      <c r="L187" s="87">
        <v>24.08</v>
      </c>
      <c r="M187" s="94"/>
      <c r="N187" s="93"/>
      <c r="O187" s="85"/>
      <c r="Q187" s="94"/>
      <c r="R187" s="93"/>
      <c r="S187" s="85"/>
      <c r="U187" s="94"/>
      <c r="V187" s="93"/>
      <c r="W187" s="85"/>
      <c r="Y187" s="94"/>
      <c r="Z187" s="93"/>
      <c r="AA187" s="85"/>
      <c r="AC187" s="94"/>
      <c r="AD187" s="93"/>
      <c r="AE187" s="85"/>
    </row>
    <row r="188" spans="7:31" x14ac:dyDescent="0.35">
      <c r="G188" s="85"/>
      <c r="H188" s="87"/>
      <c r="I188" s="94">
        <v>2</v>
      </c>
      <c r="J188" s="93">
        <v>45342</v>
      </c>
      <c r="K188" s="85" t="s">
        <v>2574</v>
      </c>
      <c r="L188" s="87">
        <v>46.67</v>
      </c>
      <c r="M188" s="94"/>
      <c r="N188" s="93"/>
      <c r="O188" s="85"/>
      <c r="Q188" s="94"/>
      <c r="R188" s="93"/>
      <c r="S188" s="85"/>
      <c r="U188" s="94"/>
      <c r="V188" s="93"/>
      <c r="W188" s="85"/>
      <c r="Y188" s="94"/>
      <c r="Z188" s="93"/>
      <c r="AA188" s="85"/>
      <c r="AC188" s="94"/>
      <c r="AD188" s="93"/>
      <c r="AE188" s="85"/>
    </row>
    <row r="189" spans="7:31" x14ac:dyDescent="0.35">
      <c r="G189" s="85"/>
      <c r="H189" s="87"/>
      <c r="I189" s="94">
        <v>2</v>
      </c>
      <c r="J189" s="93">
        <v>45345</v>
      </c>
      <c r="K189" s="85" t="s">
        <v>2578</v>
      </c>
      <c r="L189" s="87">
        <v>53.79</v>
      </c>
      <c r="M189" s="94"/>
      <c r="N189" s="93"/>
      <c r="O189" s="85"/>
      <c r="Q189" s="94"/>
      <c r="R189" s="93"/>
      <c r="S189" s="85"/>
      <c r="U189" s="94"/>
      <c r="V189" s="93"/>
      <c r="W189" s="85"/>
      <c r="Y189" s="94"/>
      <c r="Z189" s="93"/>
      <c r="AA189" s="85"/>
      <c r="AC189" s="94"/>
      <c r="AD189" s="93"/>
      <c r="AE189" s="85"/>
    </row>
    <row r="190" spans="7:31" x14ac:dyDescent="0.35">
      <c r="G190" s="85"/>
      <c r="H190" s="87"/>
      <c r="I190" s="94">
        <v>2</v>
      </c>
      <c r="J190" s="93">
        <v>45341</v>
      </c>
      <c r="K190" s="85" t="s">
        <v>540</v>
      </c>
      <c r="L190" s="87">
        <v>60</v>
      </c>
      <c r="M190" s="94"/>
      <c r="N190" s="93"/>
      <c r="O190" s="85"/>
      <c r="Q190" s="94"/>
      <c r="R190" s="93"/>
      <c r="S190" s="85"/>
      <c r="U190" s="94"/>
      <c r="V190" s="93"/>
      <c r="W190" s="85"/>
      <c r="Y190" s="94"/>
      <c r="Z190" s="93"/>
      <c r="AA190" s="85"/>
      <c r="AC190" s="94"/>
      <c r="AD190" s="93"/>
      <c r="AE190" s="85"/>
    </row>
    <row r="191" spans="7:31" x14ac:dyDescent="0.35">
      <c r="G191" s="85"/>
      <c r="H191" s="87"/>
      <c r="I191" s="94">
        <v>2</v>
      </c>
      <c r="J191" s="93">
        <v>45338</v>
      </c>
      <c r="K191" s="85" t="s">
        <v>636</v>
      </c>
      <c r="L191" s="87">
        <v>2410</v>
      </c>
      <c r="M191" s="94"/>
      <c r="N191" s="93"/>
      <c r="O191" s="85"/>
      <c r="Q191" s="94"/>
      <c r="R191" s="93"/>
      <c r="S191" s="85"/>
      <c r="U191" s="94"/>
      <c r="V191" s="93"/>
      <c r="W191" s="85"/>
      <c r="Y191" s="94"/>
      <c r="Z191" s="93"/>
      <c r="AA191" s="85"/>
      <c r="AC191" s="94"/>
      <c r="AD191" s="93"/>
      <c r="AE191" s="85"/>
    </row>
    <row r="192" spans="7:31" x14ac:dyDescent="0.35">
      <c r="G192" s="85"/>
      <c r="H192" s="87"/>
      <c r="I192" s="94">
        <v>2</v>
      </c>
      <c r="J192" s="93">
        <v>45356</v>
      </c>
      <c r="K192" s="85" t="s">
        <v>2580</v>
      </c>
      <c r="L192" s="87">
        <f>L191/-2</f>
        <v>-1205</v>
      </c>
      <c r="M192" s="94"/>
      <c r="N192" s="93"/>
      <c r="O192" s="85"/>
      <c r="Q192" s="94"/>
      <c r="R192" s="93"/>
      <c r="S192" s="85"/>
      <c r="U192" s="94"/>
      <c r="V192" s="93"/>
      <c r="W192" s="85"/>
      <c r="Y192" s="94"/>
      <c r="Z192" s="93"/>
      <c r="AA192" s="85"/>
      <c r="AC192" s="94"/>
      <c r="AD192" s="93"/>
      <c r="AE192" s="85"/>
    </row>
    <row r="193" spans="7:31" x14ac:dyDescent="0.35">
      <c r="G193" s="85"/>
      <c r="H193" s="87"/>
      <c r="I193" s="94">
        <v>2</v>
      </c>
      <c r="J193" s="93">
        <v>45351</v>
      </c>
      <c r="K193" s="85" t="s">
        <v>615</v>
      </c>
      <c r="L193" s="87">
        <v>16.829999999999998</v>
      </c>
      <c r="M193" s="94"/>
      <c r="N193" s="93"/>
      <c r="O193" s="85"/>
      <c r="Q193" s="94"/>
      <c r="R193" s="93"/>
      <c r="S193" s="85"/>
      <c r="U193" s="94"/>
      <c r="V193" s="93"/>
      <c r="W193" s="85"/>
      <c r="Y193" s="94"/>
      <c r="Z193" s="93"/>
      <c r="AA193" s="85"/>
      <c r="AC193" s="94"/>
      <c r="AD193" s="93"/>
      <c r="AE193" s="85"/>
    </row>
    <row r="194" spans="7:31" x14ac:dyDescent="0.35">
      <c r="G194" s="85"/>
      <c r="H194" s="87"/>
      <c r="I194" s="94">
        <v>2</v>
      </c>
      <c r="J194" s="93">
        <v>45351</v>
      </c>
      <c r="K194" s="85" t="s">
        <v>2582</v>
      </c>
      <c r="L194" s="87">
        <v>394</v>
      </c>
      <c r="M194" s="94"/>
      <c r="N194" s="93"/>
      <c r="O194" s="85"/>
      <c r="Q194" s="94"/>
      <c r="R194" s="93"/>
      <c r="S194" s="85"/>
      <c r="U194" s="94"/>
      <c r="V194" s="93"/>
      <c r="W194" s="85"/>
      <c r="Y194" s="94"/>
      <c r="Z194" s="93"/>
      <c r="AA194" s="85"/>
      <c r="AC194" s="94"/>
      <c r="AD194" s="93"/>
      <c r="AE194" s="85"/>
    </row>
    <row r="195" spans="7:31" x14ac:dyDescent="0.35">
      <c r="G195" s="85"/>
      <c r="H195" s="87"/>
      <c r="I195" s="94">
        <v>2</v>
      </c>
      <c r="J195" s="93">
        <v>45345</v>
      </c>
      <c r="K195" s="85" t="s">
        <v>2586</v>
      </c>
      <c r="L195" s="87">
        <v>90</v>
      </c>
      <c r="M195" s="94"/>
      <c r="N195" s="93"/>
      <c r="O195" s="85"/>
      <c r="Q195" s="94"/>
      <c r="R195" s="93"/>
      <c r="S195" s="85"/>
      <c r="U195" s="94"/>
      <c r="V195" s="93"/>
      <c r="W195" s="85"/>
      <c r="Y195" s="94"/>
      <c r="Z195" s="93"/>
      <c r="AA195" s="85"/>
      <c r="AC195" s="94"/>
      <c r="AD195" s="93"/>
      <c r="AE195" s="85"/>
    </row>
    <row r="196" spans="7:31" x14ac:dyDescent="0.35">
      <c r="G196" s="85"/>
      <c r="H196" s="87"/>
      <c r="I196" s="94">
        <v>2</v>
      </c>
      <c r="J196" s="93">
        <v>45323</v>
      </c>
      <c r="K196" s="85" t="s">
        <v>2597</v>
      </c>
      <c r="L196" s="87">
        <v>18.98</v>
      </c>
      <c r="M196" s="94"/>
      <c r="N196" s="93"/>
      <c r="O196" s="85"/>
      <c r="Q196" s="94"/>
      <c r="R196" s="93"/>
      <c r="S196" s="85"/>
      <c r="U196" s="94"/>
      <c r="V196" s="93"/>
      <c r="W196" s="85"/>
      <c r="Y196" s="94"/>
      <c r="Z196" s="93"/>
      <c r="AA196" s="85"/>
      <c r="AC196" s="94"/>
      <c r="AD196" s="93"/>
      <c r="AE196" s="85"/>
    </row>
    <row r="197" spans="7:31" x14ac:dyDescent="0.35">
      <c r="G197" s="85"/>
      <c r="H197" s="87"/>
      <c r="I197" s="94">
        <v>2</v>
      </c>
      <c r="J197" s="93">
        <v>45335</v>
      </c>
      <c r="K197" s="85" t="s">
        <v>615</v>
      </c>
      <c r="L197" s="87">
        <v>28.32</v>
      </c>
      <c r="M197" s="94"/>
      <c r="N197" s="93"/>
      <c r="O197" s="85"/>
      <c r="Q197" s="94"/>
      <c r="R197" s="93"/>
      <c r="S197" s="85"/>
      <c r="U197" s="94"/>
      <c r="V197" s="93"/>
      <c r="W197" s="85"/>
      <c r="Y197" s="94"/>
      <c r="Z197" s="93"/>
      <c r="AA197" s="85"/>
      <c r="AC197" s="94"/>
      <c r="AD197" s="93"/>
      <c r="AE197" s="85"/>
    </row>
    <row r="198" spans="7:31" x14ac:dyDescent="0.35">
      <c r="G198" s="85"/>
      <c r="H198" s="87"/>
      <c r="I198" s="94">
        <v>2</v>
      </c>
      <c r="J198" s="93">
        <v>45336</v>
      </c>
      <c r="K198" s="85" t="s">
        <v>2602</v>
      </c>
      <c r="L198" s="87">
        <v>14.99</v>
      </c>
      <c r="M198" s="94"/>
      <c r="N198" s="93"/>
      <c r="O198" s="85"/>
      <c r="Q198" s="94"/>
      <c r="R198" s="93"/>
      <c r="S198" s="85"/>
      <c r="U198" s="94"/>
      <c r="V198" s="93"/>
      <c r="W198" s="85"/>
      <c r="Y198" s="94"/>
      <c r="Z198" s="93"/>
      <c r="AA198" s="85"/>
      <c r="AC198" s="94"/>
      <c r="AD198" s="93"/>
      <c r="AE198" s="85"/>
    </row>
    <row r="199" spans="7:31" x14ac:dyDescent="0.35">
      <c r="G199" s="85"/>
      <c r="H199" s="87"/>
      <c r="I199" s="94">
        <v>2</v>
      </c>
      <c r="J199" s="93">
        <v>45337</v>
      </c>
      <c r="K199" s="85" t="s">
        <v>2604</v>
      </c>
      <c r="L199" s="87">
        <v>11.49</v>
      </c>
      <c r="M199" s="94"/>
      <c r="N199" s="93"/>
      <c r="O199" s="85"/>
      <c r="Q199" s="94"/>
      <c r="R199" s="93"/>
      <c r="S199" s="85"/>
      <c r="U199" s="94"/>
      <c r="V199" s="93"/>
      <c r="W199" s="85"/>
      <c r="Y199" s="94"/>
      <c r="Z199" s="93"/>
      <c r="AA199" s="85"/>
      <c r="AC199" s="94"/>
      <c r="AD199" s="93"/>
      <c r="AE199" s="85"/>
    </row>
    <row r="200" spans="7:31" x14ac:dyDescent="0.35">
      <c r="G200" s="85"/>
      <c r="H200" s="87"/>
      <c r="I200" s="94">
        <v>2</v>
      </c>
      <c r="J200" s="93">
        <v>45300</v>
      </c>
      <c r="K200" s="85" t="s">
        <v>2606</v>
      </c>
      <c r="L200" s="87">
        <v>46.65</v>
      </c>
      <c r="M200" s="94"/>
      <c r="N200" s="93"/>
      <c r="O200" s="85"/>
      <c r="Q200" s="94"/>
      <c r="R200" s="93"/>
      <c r="S200" s="85"/>
      <c r="U200" s="94"/>
      <c r="V200" s="93"/>
      <c r="W200" s="85"/>
      <c r="Y200" s="94"/>
      <c r="Z200" s="93"/>
      <c r="AA200" s="85"/>
      <c r="AC200" s="94"/>
      <c r="AD200" s="93"/>
      <c r="AE200" s="85"/>
    </row>
    <row r="201" spans="7:31" x14ac:dyDescent="0.35">
      <c r="G201" s="85"/>
      <c r="H201" s="87"/>
      <c r="I201" s="94">
        <v>2</v>
      </c>
      <c r="J201" s="93">
        <v>45306</v>
      </c>
      <c r="K201" s="85" t="s">
        <v>2608</v>
      </c>
      <c r="L201" s="87">
        <v>-27.65</v>
      </c>
      <c r="M201" s="94"/>
      <c r="N201" s="93"/>
      <c r="O201" s="85"/>
      <c r="Q201" s="94"/>
      <c r="R201" s="93"/>
      <c r="S201" s="85"/>
      <c r="U201" s="94"/>
      <c r="V201" s="93"/>
      <c r="W201" s="85"/>
      <c r="Y201" s="94"/>
      <c r="Z201" s="93"/>
      <c r="AA201" s="85"/>
      <c r="AC201" s="94"/>
      <c r="AD201" s="93"/>
      <c r="AE201" s="85"/>
    </row>
    <row r="202" spans="7:31" x14ac:dyDescent="0.35">
      <c r="G202" s="85"/>
      <c r="H202" s="87"/>
      <c r="I202" s="94">
        <v>2</v>
      </c>
      <c r="J202" s="93">
        <v>45310</v>
      </c>
      <c r="K202" s="85" t="s">
        <v>2609</v>
      </c>
      <c r="L202" s="87">
        <v>13.74</v>
      </c>
      <c r="M202" s="94"/>
      <c r="N202" s="93"/>
      <c r="O202" s="85"/>
      <c r="Q202" s="94"/>
      <c r="R202" s="93"/>
      <c r="S202" s="85"/>
      <c r="U202" s="94"/>
      <c r="V202" s="93"/>
      <c r="W202" s="85"/>
      <c r="Y202" s="94"/>
      <c r="Z202" s="93"/>
      <c r="AA202" s="85"/>
      <c r="AC202" s="94"/>
      <c r="AD202" s="93"/>
      <c r="AE202" s="85"/>
    </row>
    <row r="203" spans="7:31" x14ac:dyDescent="0.35">
      <c r="G203" s="85"/>
      <c r="H203" s="87"/>
      <c r="I203" s="94">
        <v>2</v>
      </c>
      <c r="J203" s="93">
        <v>45316</v>
      </c>
      <c r="K203" s="85" t="s">
        <v>2610</v>
      </c>
      <c r="L203" s="87">
        <v>116.63</v>
      </c>
      <c r="M203" s="94"/>
      <c r="N203" s="93"/>
      <c r="O203" s="85"/>
      <c r="Q203" s="94"/>
      <c r="R203" s="93"/>
      <c r="S203" s="85"/>
      <c r="U203" s="94"/>
      <c r="V203" s="93"/>
      <c r="W203" s="85"/>
      <c r="Y203" s="94"/>
      <c r="Z203" s="93"/>
      <c r="AA203" s="85"/>
      <c r="AC203" s="94"/>
      <c r="AD203" s="93"/>
      <c r="AE203" s="85"/>
    </row>
    <row r="204" spans="7:31" x14ac:dyDescent="0.35">
      <c r="G204" s="85"/>
      <c r="H204" s="87"/>
      <c r="I204" s="94">
        <v>2</v>
      </c>
      <c r="J204" s="93">
        <v>45327</v>
      </c>
      <c r="K204" s="85" t="s">
        <v>2611</v>
      </c>
      <c r="L204" s="87">
        <v>8.66</v>
      </c>
      <c r="M204" s="94"/>
      <c r="N204" s="93"/>
      <c r="O204" s="85"/>
      <c r="Q204" s="94"/>
      <c r="R204" s="93"/>
      <c r="S204" s="85"/>
      <c r="U204" s="94"/>
      <c r="V204" s="93"/>
      <c r="W204" s="85"/>
      <c r="Y204" s="94"/>
      <c r="Z204" s="93"/>
      <c r="AA204" s="85"/>
      <c r="AC204" s="94"/>
      <c r="AD204" s="93"/>
      <c r="AE204" s="85"/>
    </row>
    <row r="205" spans="7:31" x14ac:dyDescent="0.35">
      <c r="G205" s="85"/>
      <c r="H205" s="87"/>
      <c r="I205" s="94">
        <v>2</v>
      </c>
      <c r="J205" s="93">
        <v>45321</v>
      </c>
      <c r="K205" s="85" t="s">
        <v>715</v>
      </c>
      <c r="L205" s="87">
        <v>6.67</v>
      </c>
      <c r="M205" s="94"/>
      <c r="N205" s="93"/>
      <c r="O205" s="85"/>
      <c r="Q205" s="94"/>
      <c r="R205" s="93"/>
      <c r="S205" s="85"/>
      <c r="U205" s="94"/>
      <c r="V205" s="93"/>
      <c r="W205" s="85"/>
      <c r="Y205" s="94"/>
      <c r="Z205" s="93"/>
      <c r="AA205" s="85"/>
      <c r="AC205" s="94"/>
      <c r="AD205" s="93"/>
      <c r="AE205" s="85"/>
    </row>
    <row r="206" spans="7:31" x14ac:dyDescent="0.35">
      <c r="G206" s="85"/>
      <c r="H206" s="87"/>
      <c r="I206" s="94">
        <v>2</v>
      </c>
      <c r="J206" s="93">
        <v>45302</v>
      </c>
      <c r="K206" s="85" t="s">
        <v>2618</v>
      </c>
      <c r="L206" s="87">
        <v>25.69</v>
      </c>
      <c r="M206" s="94"/>
      <c r="N206" s="93"/>
      <c r="O206" s="85"/>
      <c r="Q206" s="94"/>
      <c r="R206" s="93"/>
      <c r="S206" s="85"/>
      <c r="U206" s="94"/>
      <c r="V206" s="93"/>
      <c r="W206" s="85"/>
      <c r="Y206" s="94"/>
      <c r="Z206" s="93"/>
      <c r="AA206" s="85"/>
      <c r="AC206" s="94"/>
      <c r="AD206" s="93"/>
      <c r="AE206" s="85"/>
    </row>
    <row r="207" spans="7:31" x14ac:dyDescent="0.35">
      <c r="G207" s="85"/>
      <c r="H207" s="87"/>
      <c r="I207" s="94">
        <v>2</v>
      </c>
      <c r="J207" s="93">
        <v>45323</v>
      </c>
      <c r="K207" s="85" t="s">
        <v>715</v>
      </c>
      <c r="L207" s="87">
        <v>24.95</v>
      </c>
      <c r="M207" s="94"/>
      <c r="N207" s="93"/>
      <c r="O207" s="85"/>
      <c r="Q207" s="94"/>
      <c r="R207" s="93"/>
      <c r="S207" s="85"/>
      <c r="U207" s="94"/>
      <c r="V207" s="93"/>
      <c r="W207" s="85"/>
      <c r="Y207" s="94"/>
      <c r="Z207" s="93"/>
      <c r="AA207" s="85"/>
      <c r="AC207" s="94"/>
      <c r="AD207" s="93"/>
      <c r="AE207" s="85"/>
    </row>
    <row r="208" spans="7:31" x14ac:dyDescent="0.35">
      <c r="G208" s="85"/>
      <c r="H208" s="87"/>
      <c r="I208" s="94">
        <v>2</v>
      </c>
      <c r="J208" s="93">
        <v>45323</v>
      </c>
      <c r="K208" s="85" t="s">
        <v>2623</v>
      </c>
      <c r="L208" s="87">
        <v>8.32</v>
      </c>
      <c r="M208" s="94"/>
      <c r="N208" s="93"/>
      <c r="O208" s="85"/>
      <c r="Q208" s="94"/>
      <c r="R208" s="93"/>
      <c r="S208" s="85"/>
      <c r="U208" s="94"/>
      <c r="V208" s="93"/>
      <c r="W208" s="85"/>
      <c r="Y208" s="94"/>
      <c r="Z208" s="93"/>
      <c r="AA208" s="85"/>
      <c r="AC208" s="94"/>
      <c r="AD208" s="93"/>
      <c r="AE208" s="85"/>
    </row>
    <row r="209" spans="7:31" x14ac:dyDescent="0.35">
      <c r="G209" s="85"/>
      <c r="H209" s="87"/>
      <c r="I209" s="94">
        <v>2</v>
      </c>
      <c r="J209" s="93">
        <v>45323</v>
      </c>
      <c r="K209" s="85" t="s">
        <v>2624</v>
      </c>
      <c r="L209" s="87">
        <v>8.2899999999999991</v>
      </c>
      <c r="M209" s="94"/>
      <c r="N209" s="93"/>
      <c r="O209" s="85"/>
      <c r="Q209" s="94"/>
      <c r="R209" s="93"/>
      <c r="S209" s="85"/>
      <c r="U209" s="94"/>
      <c r="V209" s="93"/>
      <c r="W209" s="85"/>
      <c r="Y209" s="94"/>
      <c r="Z209" s="93"/>
      <c r="AA209" s="85"/>
      <c r="AC209" s="94"/>
      <c r="AD209" s="93"/>
      <c r="AE209" s="85"/>
    </row>
    <row r="210" spans="7:31" x14ac:dyDescent="0.35">
      <c r="G210" s="85"/>
      <c r="H210" s="87"/>
      <c r="I210" s="94">
        <v>2</v>
      </c>
      <c r="J210" s="93">
        <v>45349</v>
      </c>
      <c r="K210" s="85" t="s">
        <v>615</v>
      </c>
      <c r="L210" s="87">
        <v>22.55</v>
      </c>
      <c r="M210" s="94"/>
      <c r="N210" s="93"/>
      <c r="O210" s="85"/>
      <c r="Q210" s="94"/>
      <c r="R210" s="93"/>
      <c r="S210" s="85"/>
      <c r="U210" s="94"/>
      <c r="V210" s="93"/>
      <c r="W210" s="85"/>
      <c r="Y210" s="94"/>
      <c r="Z210" s="93"/>
      <c r="AA210" s="85"/>
      <c r="AC210" s="94"/>
      <c r="AD210" s="93"/>
      <c r="AE210" s="85"/>
    </row>
    <row r="211" spans="7:31" x14ac:dyDescent="0.35">
      <c r="G211" s="85"/>
      <c r="H211" s="87"/>
      <c r="I211" s="94">
        <v>6</v>
      </c>
      <c r="J211" s="93">
        <v>45342</v>
      </c>
      <c r="K211" s="85" t="s">
        <v>2632</v>
      </c>
      <c r="L211" s="87">
        <v>76.5</v>
      </c>
      <c r="M211" s="94"/>
      <c r="N211" s="93"/>
      <c r="O211" s="85"/>
      <c r="Q211" s="94"/>
      <c r="R211" s="93"/>
      <c r="S211" s="85"/>
      <c r="U211" s="94"/>
      <c r="V211" s="93"/>
      <c r="W211" s="85"/>
      <c r="Y211" s="94"/>
      <c r="Z211" s="93"/>
      <c r="AA211" s="85"/>
      <c r="AC211" s="94"/>
      <c r="AD211" s="93"/>
      <c r="AE211" s="85"/>
    </row>
    <row r="212" spans="7:31" x14ac:dyDescent="0.35">
      <c r="G212" s="85"/>
      <c r="H212" s="87"/>
      <c r="I212" s="94">
        <v>6</v>
      </c>
      <c r="J212" s="93">
        <v>45348</v>
      </c>
      <c r="K212" s="85" t="s">
        <v>725</v>
      </c>
      <c r="L212" s="87">
        <v>43.82</v>
      </c>
      <c r="M212" s="94"/>
      <c r="N212" s="93"/>
      <c r="O212" s="85"/>
      <c r="Q212" s="94"/>
      <c r="R212" s="93"/>
      <c r="S212" s="85"/>
      <c r="U212" s="94"/>
      <c r="V212" s="93"/>
      <c r="W212" s="85"/>
      <c r="Y212" s="94"/>
      <c r="Z212" s="93"/>
      <c r="AA212" s="85"/>
      <c r="AC212" s="94"/>
      <c r="AD212" s="93"/>
      <c r="AE212" s="85"/>
    </row>
    <row r="213" spans="7:31" x14ac:dyDescent="0.35">
      <c r="G213" s="85"/>
      <c r="H213" s="87"/>
      <c r="I213" s="94">
        <v>2</v>
      </c>
      <c r="J213" s="93">
        <v>45359</v>
      </c>
      <c r="K213" s="85" t="s">
        <v>595</v>
      </c>
      <c r="L213" s="87">
        <v>23.81</v>
      </c>
      <c r="M213" s="94"/>
      <c r="N213" s="93"/>
      <c r="O213" s="85"/>
      <c r="Q213" s="94"/>
      <c r="R213" s="93"/>
      <c r="S213" s="85"/>
      <c r="U213" s="94"/>
      <c r="V213" s="93"/>
      <c r="W213" s="85"/>
      <c r="Y213" s="94"/>
      <c r="Z213" s="93"/>
      <c r="AA213" s="85"/>
      <c r="AC213" s="94"/>
      <c r="AD213" s="93"/>
      <c r="AE213" s="85"/>
    </row>
    <row r="214" spans="7:31" x14ac:dyDescent="0.35">
      <c r="G214" s="85"/>
      <c r="H214" s="87"/>
      <c r="I214" s="94">
        <v>2</v>
      </c>
      <c r="J214" s="93">
        <v>45327</v>
      </c>
      <c r="K214" s="85" t="s">
        <v>715</v>
      </c>
      <c r="L214" s="87">
        <v>4.67</v>
      </c>
      <c r="M214" s="94"/>
      <c r="N214" s="93"/>
      <c r="O214" s="85"/>
      <c r="Q214" s="94"/>
      <c r="R214" s="93"/>
      <c r="S214" s="85"/>
      <c r="U214" s="94"/>
      <c r="V214" s="93"/>
      <c r="W214" s="85"/>
      <c r="Y214" s="94"/>
      <c r="Z214" s="93"/>
      <c r="AA214" s="85"/>
      <c r="AC214" s="94"/>
      <c r="AD214" s="93"/>
      <c r="AE214" s="85"/>
    </row>
    <row r="215" spans="7:31" x14ac:dyDescent="0.35">
      <c r="G215" s="85"/>
      <c r="H215" s="87"/>
      <c r="I215" s="94">
        <v>2</v>
      </c>
      <c r="J215" s="93">
        <v>45336</v>
      </c>
      <c r="K215" s="85" t="s">
        <v>2649</v>
      </c>
      <c r="L215" s="87">
        <v>19.920000000000002</v>
      </c>
      <c r="M215" s="94"/>
      <c r="N215" s="93"/>
      <c r="O215" s="85"/>
      <c r="Q215" s="94"/>
      <c r="R215" s="93"/>
      <c r="S215" s="85"/>
      <c r="U215" s="94"/>
      <c r="V215" s="93"/>
      <c r="W215" s="85"/>
      <c r="Y215" s="94"/>
      <c r="Z215" s="93"/>
      <c r="AA215" s="85"/>
      <c r="AC215" s="94"/>
      <c r="AD215" s="93"/>
      <c r="AE215" s="85"/>
    </row>
    <row r="216" spans="7:31" x14ac:dyDescent="0.35">
      <c r="G216" s="85"/>
      <c r="H216" s="87"/>
      <c r="I216" s="94">
        <v>2</v>
      </c>
      <c r="J216" s="93">
        <v>45337</v>
      </c>
      <c r="K216" s="85" t="s">
        <v>2651</v>
      </c>
      <c r="L216" s="87">
        <v>82.38</v>
      </c>
      <c r="M216" s="94"/>
      <c r="N216" s="93"/>
      <c r="O216" s="85"/>
      <c r="Q216" s="94"/>
      <c r="R216" s="93"/>
      <c r="S216" s="85"/>
      <c r="U216" s="94"/>
      <c r="V216" s="93"/>
      <c r="W216" s="85"/>
      <c r="Y216" s="94"/>
      <c r="Z216" s="93"/>
      <c r="AA216" s="85"/>
      <c r="AC216" s="94"/>
      <c r="AD216" s="93"/>
      <c r="AE216" s="85"/>
    </row>
    <row r="217" spans="7:31" x14ac:dyDescent="0.35">
      <c r="G217" s="85"/>
      <c r="H217" s="87"/>
      <c r="I217" s="94">
        <v>2</v>
      </c>
      <c r="J217" s="93">
        <v>45350</v>
      </c>
      <c r="K217" s="85" t="s">
        <v>2655</v>
      </c>
      <c r="L217" s="85">
        <v>19.98</v>
      </c>
      <c r="M217" s="94"/>
      <c r="N217" s="93"/>
      <c r="O217" s="85"/>
      <c r="Q217" s="94"/>
      <c r="R217" s="93"/>
      <c r="S217" s="85"/>
      <c r="U217" s="94"/>
      <c r="V217" s="93"/>
      <c r="W217" s="85"/>
      <c r="Y217" s="94"/>
      <c r="Z217" s="93"/>
      <c r="AA217" s="85"/>
      <c r="AC217" s="94"/>
      <c r="AD217" s="93"/>
      <c r="AE217" s="85"/>
    </row>
    <row r="218" spans="7:31" x14ac:dyDescent="0.35">
      <c r="G218" s="85"/>
      <c r="H218" s="87"/>
      <c r="I218" s="94">
        <v>2</v>
      </c>
      <c r="J218" s="93">
        <v>45328</v>
      </c>
      <c r="K218" s="85" t="s">
        <v>2655</v>
      </c>
      <c r="L218" s="87">
        <v>9.99</v>
      </c>
      <c r="M218" s="94"/>
      <c r="N218" s="93"/>
      <c r="O218" s="85"/>
      <c r="Q218" s="94"/>
      <c r="R218" s="93"/>
      <c r="S218" s="85"/>
      <c r="U218" s="94"/>
      <c r="V218" s="93"/>
      <c r="W218" s="85"/>
      <c r="Y218" s="94"/>
      <c r="Z218" s="93"/>
      <c r="AA218" s="85"/>
      <c r="AC218" s="94"/>
      <c r="AD218" s="93"/>
      <c r="AE218" s="85"/>
    </row>
    <row r="219" spans="7:31" x14ac:dyDescent="0.35">
      <c r="G219" s="85"/>
      <c r="H219" s="87"/>
      <c r="I219" s="94">
        <v>2</v>
      </c>
      <c r="J219" s="93">
        <v>45371</v>
      </c>
      <c r="K219" s="85" t="s">
        <v>2657</v>
      </c>
      <c r="L219" s="87">
        <v>7.5</v>
      </c>
      <c r="M219" s="94"/>
      <c r="N219" s="93"/>
      <c r="O219" s="85"/>
      <c r="Q219" s="94"/>
      <c r="R219" s="93"/>
      <c r="S219" s="85"/>
      <c r="U219" s="94"/>
      <c r="V219" s="93"/>
      <c r="W219" s="85"/>
      <c r="Y219" s="94"/>
      <c r="Z219" s="93"/>
      <c r="AA219" s="85"/>
      <c r="AC219" s="94"/>
      <c r="AD219" s="93"/>
      <c r="AE219" s="85"/>
    </row>
    <row r="220" spans="7:31" x14ac:dyDescent="0.35">
      <c r="G220" s="85"/>
      <c r="H220" s="87"/>
      <c r="I220" s="94">
        <v>2</v>
      </c>
      <c r="J220" s="93">
        <v>45373</v>
      </c>
      <c r="K220" s="85" t="s">
        <v>2658</v>
      </c>
      <c r="L220" s="87">
        <v>29.25</v>
      </c>
      <c r="M220" s="94"/>
      <c r="N220" s="93"/>
      <c r="O220" s="85"/>
      <c r="Q220" s="94"/>
      <c r="R220" s="93"/>
      <c r="S220" s="85"/>
      <c r="U220" s="94"/>
      <c r="V220" s="93"/>
      <c r="W220" s="85"/>
      <c r="Y220" s="94"/>
      <c r="Z220" s="93"/>
      <c r="AA220" s="85"/>
      <c r="AC220" s="94"/>
      <c r="AD220" s="93"/>
      <c r="AE220" s="85"/>
    </row>
    <row r="221" spans="7:31" x14ac:dyDescent="0.35">
      <c r="G221" s="85"/>
      <c r="H221" s="87"/>
      <c r="I221" s="94">
        <v>2</v>
      </c>
      <c r="J221" s="93">
        <v>45364</v>
      </c>
      <c r="K221" s="85" t="s">
        <v>615</v>
      </c>
      <c r="L221" s="87">
        <v>30.19</v>
      </c>
      <c r="M221" s="94"/>
      <c r="N221" s="93"/>
      <c r="O221" s="85"/>
      <c r="Q221" s="94"/>
      <c r="R221" s="93"/>
      <c r="S221" s="85"/>
      <c r="U221" s="94"/>
      <c r="V221" s="93"/>
      <c r="W221" s="85"/>
      <c r="Y221" s="94"/>
      <c r="Z221" s="93"/>
      <c r="AA221" s="85"/>
      <c r="AC221" s="94"/>
      <c r="AD221" s="93"/>
      <c r="AE221" s="85"/>
    </row>
    <row r="222" spans="7:31" x14ac:dyDescent="0.35">
      <c r="G222" s="85"/>
      <c r="H222" s="87"/>
      <c r="I222" s="94">
        <v>6</v>
      </c>
      <c r="J222" s="93">
        <v>45365</v>
      </c>
      <c r="K222" s="85" t="s">
        <v>2632</v>
      </c>
      <c r="L222" s="87">
        <v>153.5</v>
      </c>
      <c r="M222" s="94"/>
      <c r="N222" s="93"/>
      <c r="O222" s="85"/>
      <c r="Q222" s="94"/>
      <c r="R222" s="93"/>
      <c r="S222" s="85"/>
      <c r="U222" s="94"/>
      <c r="V222" s="93"/>
      <c r="W222" s="85"/>
      <c r="Y222" s="94"/>
      <c r="Z222" s="93"/>
      <c r="AA222" s="85"/>
      <c r="AC222" s="94"/>
      <c r="AD222" s="93"/>
      <c r="AE222" s="85"/>
    </row>
    <row r="223" spans="7:31" x14ac:dyDescent="0.35">
      <c r="G223" s="85"/>
      <c r="H223" s="87"/>
      <c r="I223" s="94">
        <v>2</v>
      </c>
      <c r="J223" s="93">
        <v>45370</v>
      </c>
      <c r="K223" s="85" t="s">
        <v>2662</v>
      </c>
      <c r="L223" s="87">
        <v>636</v>
      </c>
      <c r="M223" s="94"/>
      <c r="N223" s="93"/>
      <c r="O223" s="85"/>
      <c r="Q223" s="94"/>
      <c r="R223" s="93"/>
      <c r="S223" s="85"/>
      <c r="U223" s="94"/>
      <c r="V223" s="93"/>
      <c r="W223" s="85"/>
      <c r="Y223" s="94"/>
      <c r="Z223" s="93"/>
      <c r="AA223" s="85"/>
      <c r="AC223" s="94"/>
      <c r="AD223" s="93"/>
      <c r="AE223" s="85"/>
    </row>
    <row r="224" spans="7:31" x14ac:dyDescent="0.35">
      <c r="G224" s="85"/>
      <c r="H224" s="87"/>
      <c r="I224" s="94">
        <v>2</v>
      </c>
      <c r="J224" s="93">
        <v>45370</v>
      </c>
      <c r="K224" s="85" t="s">
        <v>2663</v>
      </c>
      <c r="L224" s="87">
        <v>696</v>
      </c>
      <c r="M224" s="94"/>
      <c r="N224" s="93"/>
      <c r="O224" s="85"/>
      <c r="Q224" s="94"/>
      <c r="R224" s="93"/>
      <c r="S224" s="85"/>
      <c r="U224" s="94"/>
      <c r="V224" s="93"/>
      <c r="W224" s="85"/>
      <c r="Y224" s="94"/>
      <c r="Z224" s="93"/>
      <c r="AA224" s="85"/>
      <c r="AC224" s="94"/>
      <c r="AD224" s="93"/>
      <c r="AE224" s="85"/>
    </row>
    <row r="225" spans="7:31" x14ac:dyDescent="0.35">
      <c r="G225" s="85"/>
      <c r="H225" s="87"/>
      <c r="I225" s="94">
        <v>2</v>
      </c>
      <c r="J225" s="93">
        <v>45373</v>
      </c>
      <c r="K225" s="85" t="s">
        <v>2664</v>
      </c>
      <c r="L225" s="87">
        <v>-16.66</v>
      </c>
      <c r="M225" s="94"/>
      <c r="N225" s="93"/>
      <c r="O225" s="85"/>
      <c r="Q225" s="94"/>
      <c r="R225" s="93"/>
      <c r="S225" s="85"/>
      <c r="U225" s="94"/>
      <c r="V225" s="93"/>
      <c r="W225" s="85"/>
      <c r="Y225" s="94"/>
      <c r="Z225" s="93"/>
      <c r="AA225" s="85"/>
      <c r="AC225" s="94"/>
      <c r="AD225" s="93"/>
      <c r="AE225" s="85"/>
    </row>
    <row r="226" spans="7:31" x14ac:dyDescent="0.35">
      <c r="G226" s="85"/>
      <c r="H226" s="87"/>
      <c r="I226" s="94">
        <v>2</v>
      </c>
      <c r="J226" s="93">
        <v>45257</v>
      </c>
      <c r="K226" s="85" t="s">
        <v>2707</v>
      </c>
      <c r="L226" s="87">
        <v>160</v>
      </c>
      <c r="M226" s="94"/>
      <c r="N226" s="93"/>
      <c r="O226" s="85"/>
      <c r="Q226" s="94"/>
      <c r="R226" s="93"/>
      <c r="S226" s="85"/>
      <c r="U226" s="94"/>
      <c r="V226" s="93"/>
      <c r="W226" s="85"/>
      <c r="Y226" s="94"/>
      <c r="Z226" s="93"/>
      <c r="AA226" s="85"/>
      <c r="AC226" s="94"/>
      <c r="AD226" s="93"/>
      <c r="AE226" s="85"/>
    </row>
    <row r="227" spans="7:31" x14ac:dyDescent="0.35">
      <c r="G227" s="85"/>
      <c r="H227" s="87"/>
      <c r="I227" s="94">
        <v>2</v>
      </c>
      <c r="J227" s="93">
        <v>45316</v>
      </c>
      <c r="K227" s="85" t="s">
        <v>2708</v>
      </c>
      <c r="L227" s="87">
        <v>47.23</v>
      </c>
      <c r="M227" s="94"/>
      <c r="N227" s="93"/>
      <c r="O227" s="85"/>
      <c r="Q227" s="94"/>
      <c r="R227" s="93"/>
      <c r="S227" s="85"/>
      <c r="U227" s="94"/>
      <c r="V227" s="93"/>
      <c r="W227" s="85"/>
      <c r="Y227" s="94"/>
      <c r="Z227" s="93"/>
      <c r="AA227" s="85"/>
      <c r="AC227" s="94"/>
      <c r="AD227" s="93"/>
      <c r="AE227" s="85"/>
    </row>
    <row r="228" spans="7:31" x14ac:dyDescent="0.35">
      <c r="G228" s="85"/>
      <c r="H228" s="87"/>
      <c r="I228" s="94">
        <v>2</v>
      </c>
      <c r="J228" s="93">
        <v>45317</v>
      </c>
      <c r="K228" s="85" t="s">
        <v>2709</v>
      </c>
      <c r="L228" s="87">
        <v>84</v>
      </c>
      <c r="M228" s="94"/>
      <c r="N228" s="93"/>
      <c r="O228" s="85"/>
      <c r="Q228" s="94"/>
      <c r="R228" s="93"/>
      <c r="S228" s="85"/>
      <c r="U228" s="94"/>
      <c r="V228" s="93"/>
      <c r="W228" s="85"/>
      <c r="Y228" s="94"/>
      <c r="Z228" s="93"/>
      <c r="AA228" s="85"/>
      <c r="AC228" s="94"/>
      <c r="AD228" s="93"/>
      <c r="AE228" s="85"/>
    </row>
    <row r="229" spans="7:31" x14ac:dyDescent="0.35">
      <c r="G229" s="85"/>
      <c r="H229" s="87"/>
      <c r="I229" s="94">
        <v>2</v>
      </c>
      <c r="J229" s="93">
        <v>45321</v>
      </c>
      <c r="K229" s="85" t="s">
        <v>2710</v>
      </c>
      <c r="L229" s="87">
        <v>6.5</v>
      </c>
      <c r="M229" s="94"/>
      <c r="N229" s="93"/>
      <c r="O229" s="85"/>
      <c r="Q229" s="94"/>
      <c r="R229" s="93"/>
      <c r="S229" s="85"/>
      <c r="U229" s="94"/>
      <c r="V229" s="93"/>
      <c r="W229" s="85"/>
      <c r="Y229" s="94"/>
      <c r="Z229" s="93"/>
      <c r="AA229" s="85"/>
      <c r="AC229" s="94"/>
      <c r="AD229" s="93"/>
      <c r="AE229" s="85"/>
    </row>
    <row r="230" spans="7:31" x14ac:dyDescent="0.35">
      <c r="G230" s="85"/>
      <c r="H230" s="87"/>
      <c r="I230" s="94">
        <v>2</v>
      </c>
      <c r="J230" s="93">
        <v>45359</v>
      </c>
      <c r="K230" s="85" t="s">
        <v>2538</v>
      </c>
      <c r="L230" s="87">
        <v>270</v>
      </c>
      <c r="M230" s="94"/>
      <c r="N230" s="93"/>
      <c r="O230" s="85"/>
      <c r="Q230" s="94"/>
      <c r="R230" s="93"/>
      <c r="S230" s="85"/>
      <c r="U230" s="94"/>
      <c r="V230" s="93"/>
      <c r="W230" s="85"/>
      <c r="Y230" s="94"/>
      <c r="Z230" s="93"/>
      <c r="AA230" s="85"/>
      <c r="AC230" s="94"/>
      <c r="AD230" s="93"/>
      <c r="AE230" s="85"/>
    </row>
    <row r="231" spans="7:31" x14ac:dyDescent="0.35">
      <c r="G231" s="85"/>
      <c r="H231" s="87"/>
      <c r="I231" s="94">
        <v>2</v>
      </c>
      <c r="J231" s="93">
        <v>45369</v>
      </c>
      <c r="K231" s="85" t="s">
        <v>2711</v>
      </c>
      <c r="L231" s="87">
        <v>45</v>
      </c>
      <c r="M231" s="94"/>
      <c r="N231" s="93"/>
      <c r="O231" s="85"/>
      <c r="Q231" s="94"/>
      <c r="R231" s="93"/>
      <c r="S231" s="85"/>
      <c r="U231" s="94"/>
      <c r="V231" s="93"/>
      <c r="W231" s="85"/>
      <c r="Y231" s="94"/>
      <c r="Z231" s="93"/>
      <c r="AA231" s="85"/>
      <c r="AC231" s="94"/>
      <c r="AD231" s="93"/>
      <c r="AE231" s="85"/>
    </row>
    <row r="232" spans="7:31" x14ac:dyDescent="0.35">
      <c r="G232" s="85"/>
      <c r="H232" s="87"/>
      <c r="I232" s="94">
        <v>6</v>
      </c>
      <c r="J232" s="93">
        <v>45352</v>
      </c>
      <c r="K232" s="85" t="s">
        <v>2717</v>
      </c>
      <c r="L232" s="87">
        <v>6090</v>
      </c>
      <c r="M232" s="94"/>
      <c r="N232" s="93"/>
      <c r="O232" s="85"/>
      <c r="Q232" s="94"/>
      <c r="R232" s="93"/>
      <c r="S232" s="85"/>
      <c r="U232" s="94"/>
      <c r="V232" s="93"/>
      <c r="W232" s="85"/>
      <c r="Y232" s="94"/>
      <c r="Z232" s="93"/>
      <c r="AA232" s="85"/>
      <c r="AC232" s="94"/>
      <c r="AD232" s="93"/>
      <c r="AE232" s="85"/>
    </row>
    <row r="233" spans="7:31" x14ac:dyDescent="0.35">
      <c r="G233" s="85"/>
      <c r="H233" s="87"/>
      <c r="I233" s="94">
        <v>6</v>
      </c>
      <c r="J233" s="93">
        <v>45358</v>
      </c>
      <c r="K233" s="85" t="s">
        <v>2718</v>
      </c>
      <c r="L233" s="87">
        <v>1630</v>
      </c>
      <c r="M233" s="94"/>
      <c r="N233" s="93"/>
      <c r="O233" s="85"/>
      <c r="Q233" s="94"/>
      <c r="R233" s="93"/>
      <c r="S233" s="85"/>
      <c r="U233" s="94"/>
      <c r="V233" s="93"/>
      <c r="W233" s="85"/>
      <c r="Y233" s="94"/>
      <c r="Z233" s="93"/>
      <c r="AA233" s="85"/>
      <c r="AC233" s="94"/>
      <c r="AD233" s="93"/>
      <c r="AE233" s="85"/>
    </row>
    <row r="234" spans="7:31" x14ac:dyDescent="0.35">
      <c r="G234" s="85"/>
      <c r="H234" s="87"/>
      <c r="I234" s="94">
        <v>5</v>
      </c>
      <c r="J234" s="93">
        <v>45347</v>
      </c>
      <c r="K234" s="85" t="s">
        <v>2719</v>
      </c>
      <c r="L234" s="87">
        <v>1725</v>
      </c>
      <c r="M234" s="94"/>
      <c r="N234" s="93"/>
      <c r="O234" s="85"/>
      <c r="Q234" s="94"/>
      <c r="R234" s="93"/>
      <c r="S234" s="85"/>
      <c r="U234" s="94"/>
      <c r="V234" s="93"/>
      <c r="W234" s="85"/>
      <c r="Y234" s="94"/>
      <c r="Z234" s="93"/>
      <c r="AA234" s="85"/>
      <c r="AC234" s="94"/>
      <c r="AD234" s="93"/>
      <c r="AE234" s="85"/>
    </row>
    <row r="235" spans="7:31" x14ac:dyDescent="0.35">
      <c r="G235" s="85"/>
      <c r="H235" s="87"/>
      <c r="I235" s="94">
        <v>2</v>
      </c>
      <c r="J235" s="93">
        <v>45376</v>
      </c>
      <c r="K235" s="85" t="s">
        <v>2734</v>
      </c>
      <c r="L235" s="87">
        <v>16.260000000000002</v>
      </c>
      <c r="M235" s="94"/>
      <c r="N235" s="93"/>
      <c r="O235" s="85"/>
      <c r="Q235" s="94"/>
      <c r="R235" s="93"/>
      <c r="S235" s="85"/>
      <c r="U235" s="94"/>
      <c r="V235" s="93"/>
      <c r="W235" s="85"/>
      <c r="Y235" s="94"/>
      <c r="Z235" s="93"/>
      <c r="AA235" s="85"/>
      <c r="AC235" s="94"/>
      <c r="AD235" s="93"/>
      <c r="AE235" s="85"/>
    </row>
    <row r="236" spans="7:31" x14ac:dyDescent="0.35">
      <c r="G236" s="85"/>
      <c r="H236" s="87"/>
      <c r="I236" s="94">
        <v>2</v>
      </c>
      <c r="J236" s="93">
        <v>45377</v>
      </c>
      <c r="K236" s="85" t="s">
        <v>2735</v>
      </c>
      <c r="L236" s="87">
        <v>44.42</v>
      </c>
      <c r="M236" s="94"/>
      <c r="N236" s="93"/>
      <c r="O236" s="85"/>
      <c r="Q236" s="94"/>
      <c r="R236" s="93"/>
      <c r="S236" s="85"/>
      <c r="U236" s="94"/>
      <c r="V236" s="93"/>
      <c r="W236" s="85"/>
      <c r="Y236" s="94"/>
      <c r="Z236" s="93"/>
      <c r="AA236" s="85"/>
      <c r="AC236" s="94"/>
      <c r="AD236" s="93"/>
      <c r="AE236" s="85"/>
    </row>
    <row r="237" spans="7:31" x14ac:dyDescent="0.35">
      <c r="G237" s="85"/>
      <c r="H237" s="87"/>
      <c r="I237" s="94">
        <v>2</v>
      </c>
      <c r="J237" s="93">
        <v>45365</v>
      </c>
      <c r="K237" s="85" t="s">
        <v>2741</v>
      </c>
      <c r="L237" s="87">
        <v>137.49</v>
      </c>
      <c r="M237" s="94"/>
      <c r="N237" s="93"/>
      <c r="O237" s="85"/>
      <c r="Q237" s="94"/>
      <c r="R237" s="93"/>
      <c r="S237" s="85"/>
      <c r="U237" s="94"/>
      <c r="V237" s="93"/>
      <c r="W237" s="85"/>
      <c r="Y237" s="94"/>
      <c r="Z237" s="93"/>
      <c r="AA237" s="85"/>
      <c r="AC237" s="94"/>
      <c r="AD237" s="93"/>
      <c r="AE237" s="85"/>
    </row>
    <row r="238" spans="7:31" x14ac:dyDescent="0.35">
      <c r="G238" s="85"/>
      <c r="H238" s="87"/>
      <c r="I238" s="94">
        <v>2</v>
      </c>
      <c r="J238" s="93">
        <v>45371</v>
      </c>
      <c r="K238" s="85" t="s">
        <v>2342</v>
      </c>
      <c r="L238" s="87">
        <v>73.97</v>
      </c>
      <c r="M238" s="94"/>
      <c r="N238" s="93"/>
      <c r="O238" s="85"/>
      <c r="Q238" s="94"/>
      <c r="R238" s="93"/>
      <c r="S238" s="85"/>
      <c r="U238" s="94"/>
      <c r="V238" s="93"/>
      <c r="W238" s="85"/>
      <c r="Y238" s="94"/>
      <c r="Z238" s="93"/>
      <c r="AA238" s="85"/>
      <c r="AC238" s="94"/>
      <c r="AD238" s="93"/>
      <c r="AE238" s="85"/>
    </row>
    <row r="239" spans="7:31" x14ac:dyDescent="0.35">
      <c r="G239" s="85"/>
      <c r="H239" s="87"/>
      <c r="I239" s="94">
        <v>2</v>
      </c>
      <c r="J239" s="93">
        <v>45371</v>
      </c>
      <c r="K239" s="85" t="s">
        <v>2136</v>
      </c>
      <c r="L239" s="87">
        <v>16.66</v>
      </c>
      <c r="M239" s="94"/>
      <c r="N239" s="93"/>
      <c r="O239" s="85"/>
      <c r="Q239" s="94"/>
      <c r="R239" s="93"/>
      <c r="S239" s="85"/>
      <c r="U239" s="94"/>
      <c r="V239" s="93"/>
      <c r="W239" s="85"/>
      <c r="Y239" s="94"/>
      <c r="Z239" s="93"/>
      <c r="AA239" s="85"/>
      <c r="AC239" s="94"/>
      <c r="AD239" s="93"/>
      <c r="AE239" s="85"/>
    </row>
    <row r="240" spans="7:31" x14ac:dyDescent="0.35">
      <c r="G240" s="85"/>
      <c r="H240" s="87"/>
      <c r="I240" s="94">
        <v>2</v>
      </c>
      <c r="J240" s="93">
        <v>45357</v>
      </c>
      <c r="K240" s="85" t="s">
        <v>2742</v>
      </c>
      <c r="L240" s="87">
        <v>20.239999999999998</v>
      </c>
      <c r="M240" s="94"/>
      <c r="N240" s="93"/>
      <c r="O240" s="85"/>
      <c r="Q240" s="94"/>
      <c r="R240" s="93"/>
      <c r="S240" s="85"/>
      <c r="U240" s="94"/>
      <c r="V240" s="93"/>
      <c r="W240" s="85"/>
      <c r="Y240" s="94"/>
      <c r="Z240" s="93"/>
      <c r="AA240" s="85"/>
      <c r="AC240" s="94"/>
      <c r="AD240" s="93"/>
      <c r="AE240" s="85"/>
    </row>
    <row r="241" spans="7:31" x14ac:dyDescent="0.35">
      <c r="G241" s="85"/>
      <c r="H241" s="87"/>
      <c r="I241" s="94">
        <v>2</v>
      </c>
      <c r="J241" s="93">
        <v>45364</v>
      </c>
      <c r="K241" s="85" t="s">
        <v>2743</v>
      </c>
      <c r="L241" s="87">
        <v>9.16</v>
      </c>
      <c r="M241" s="94"/>
      <c r="N241" s="93"/>
      <c r="O241" s="85"/>
      <c r="Q241" s="94"/>
      <c r="R241" s="93"/>
      <c r="S241" s="85"/>
      <c r="U241" s="94"/>
      <c r="V241" s="93"/>
      <c r="W241" s="85"/>
      <c r="Y241" s="94"/>
      <c r="Z241" s="93"/>
      <c r="AA241" s="85"/>
      <c r="AC241" s="94"/>
      <c r="AD241" s="93"/>
      <c r="AE241" s="85"/>
    </row>
    <row r="242" spans="7:31" x14ac:dyDescent="0.35">
      <c r="G242" s="85"/>
      <c r="H242" s="87"/>
      <c r="I242" s="94">
        <v>2</v>
      </c>
      <c r="J242" s="93">
        <v>45379</v>
      </c>
      <c r="K242" s="85" t="s">
        <v>2752</v>
      </c>
      <c r="L242" s="87">
        <v>26.85</v>
      </c>
      <c r="M242" s="94"/>
      <c r="N242" s="93"/>
      <c r="O242" s="85"/>
      <c r="Q242" s="94"/>
      <c r="R242" s="93"/>
      <c r="S242" s="85"/>
      <c r="U242" s="94"/>
      <c r="V242" s="93"/>
      <c r="W242" s="85"/>
      <c r="Y242" s="94"/>
      <c r="Z242" s="93"/>
      <c r="AA242" s="85"/>
      <c r="AC242" s="94"/>
      <c r="AD242" s="93"/>
      <c r="AE242" s="85"/>
    </row>
    <row r="243" spans="7:31" x14ac:dyDescent="0.35">
      <c r="G243" s="85"/>
      <c r="H243" s="87"/>
      <c r="I243" s="94">
        <v>2</v>
      </c>
      <c r="J243" s="93">
        <v>45379</v>
      </c>
      <c r="K243" s="85" t="s">
        <v>595</v>
      </c>
      <c r="L243" s="87">
        <v>39.39</v>
      </c>
      <c r="M243" s="94"/>
      <c r="N243" s="93"/>
      <c r="O243" s="85"/>
      <c r="Q243" s="94"/>
      <c r="R243" s="93"/>
      <c r="S243" s="85"/>
      <c r="U243" s="94"/>
      <c r="V243" s="93"/>
      <c r="W243" s="85"/>
      <c r="Y243" s="94"/>
      <c r="Z243" s="93"/>
      <c r="AA243" s="85"/>
      <c r="AC243" s="94"/>
      <c r="AD243" s="93"/>
      <c r="AE243" s="85"/>
    </row>
    <row r="244" spans="7:31" x14ac:dyDescent="0.35">
      <c r="G244" s="85"/>
      <c r="H244" s="87"/>
      <c r="I244" s="94">
        <v>2</v>
      </c>
      <c r="J244" s="93">
        <v>45372</v>
      </c>
      <c r="K244" s="85" t="s">
        <v>2773</v>
      </c>
      <c r="L244" s="87">
        <v>5.75</v>
      </c>
      <c r="M244" s="94"/>
      <c r="N244" s="93"/>
      <c r="O244" s="85"/>
      <c r="Q244" s="94"/>
      <c r="R244" s="93"/>
      <c r="S244" s="85"/>
      <c r="U244" s="94"/>
      <c r="V244" s="93"/>
      <c r="W244" s="85"/>
      <c r="Y244" s="94"/>
      <c r="Z244" s="93"/>
      <c r="AA244" s="85"/>
      <c r="AC244" s="94"/>
      <c r="AD244" s="93"/>
      <c r="AE244" s="85"/>
    </row>
    <row r="245" spans="7:31" x14ac:dyDescent="0.35">
      <c r="G245" s="85"/>
      <c r="H245" s="87"/>
      <c r="I245" s="94">
        <v>2</v>
      </c>
      <c r="J245" s="93">
        <v>45373</v>
      </c>
      <c r="K245" s="85" t="s">
        <v>615</v>
      </c>
      <c r="L245" s="87">
        <v>30.65</v>
      </c>
      <c r="M245" s="94"/>
      <c r="N245" s="93"/>
      <c r="O245" s="85"/>
      <c r="Q245" s="94"/>
      <c r="R245" s="93"/>
      <c r="S245" s="85"/>
      <c r="U245" s="94"/>
      <c r="V245" s="93"/>
      <c r="W245" s="85"/>
      <c r="Y245" s="94"/>
      <c r="Z245" s="93"/>
      <c r="AA245" s="85"/>
      <c r="AC245" s="94"/>
      <c r="AD245" s="93"/>
      <c r="AE245" s="85"/>
    </row>
    <row r="246" spans="7:31" x14ac:dyDescent="0.35">
      <c r="G246" s="85"/>
      <c r="H246" s="87"/>
      <c r="I246" s="94">
        <v>2</v>
      </c>
      <c r="J246" s="93">
        <v>45381</v>
      </c>
      <c r="K246" s="85" t="s">
        <v>615</v>
      </c>
      <c r="L246" s="87">
        <v>29.96</v>
      </c>
      <c r="M246" s="94"/>
      <c r="N246" s="93"/>
      <c r="O246" s="85"/>
      <c r="Q246" s="94"/>
      <c r="R246" s="93"/>
      <c r="S246" s="85"/>
      <c r="U246" s="94"/>
      <c r="V246" s="93"/>
      <c r="W246" s="85"/>
      <c r="Y246" s="94"/>
      <c r="Z246" s="93"/>
      <c r="AA246" s="85"/>
      <c r="AC246" s="94"/>
      <c r="AD246" s="93"/>
      <c r="AE246" s="85"/>
    </row>
    <row r="247" spans="7:31" x14ac:dyDescent="0.35">
      <c r="G247" s="85"/>
      <c r="H247" s="87"/>
      <c r="I247" s="94">
        <v>2</v>
      </c>
      <c r="J247" s="93">
        <v>45379</v>
      </c>
      <c r="K247" s="85" t="s">
        <v>2772</v>
      </c>
      <c r="L247" s="87">
        <v>19.86</v>
      </c>
      <c r="M247" s="94"/>
      <c r="N247" s="93"/>
      <c r="O247" s="85"/>
      <c r="Q247" s="94"/>
      <c r="R247" s="93"/>
      <c r="S247" s="85"/>
      <c r="U247" s="94"/>
      <c r="V247" s="93"/>
      <c r="W247" s="85"/>
      <c r="Y247" s="94"/>
      <c r="Z247" s="93"/>
      <c r="AA247" s="85"/>
      <c r="AC247" s="94"/>
      <c r="AD247" s="93"/>
      <c r="AE247" s="85"/>
    </row>
    <row r="248" spans="7:31" x14ac:dyDescent="0.35">
      <c r="G248" s="85"/>
      <c r="H248" s="87"/>
      <c r="I248" s="94">
        <v>2</v>
      </c>
      <c r="J248" s="93">
        <v>45378</v>
      </c>
      <c r="K248" s="85" t="s">
        <v>2774</v>
      </c>
      <c r="L248" s="87">
        <v>54.15</v>
      </c>
      <c r="M248" s="94"/>
      <c r="N248" s="93"/>
      <c r="O248" s="85"/>
      <c r="Q248" s="94"/>
      <c r="R248" s="93"/>
      <c r="S248" s="85"/>
      <c r="U248" s="94"/>
      <c r="V248" s="93"/>
      <c r="W248" s="85"/>
      <c r="Y248" s="94"/>
      <c r="Z248" s="93"/>
      <c r="AA248" s="85"/>
      <c r="AC248" s="94"/>
      <c r="AD248" s="93"/>
      <c r="AE248" s="85"/>
    </row>
    <row r="249" spans="7:31" x14ac:dyDescent="0.35">
      <c r="G249" s="85"/>
      <c r="H249" s="87"/>
      <c r="I249" s="94">
        <v>2</v>
      </c>
      <c r="J249" s="93" t="s">
        <v>775</v>
      </c>
      <c r="K249" s="85" t="s">
        <v>715</v>
      </c>
      <c r="L249" s="151">
        <v>18.329999999999998</v>
      </c>
      <c r="M249" s="94"/>
      <c r="N249" s="93"/>
      <c r="O249" s="85"/>
      <c r="Q249" s="94"/>
      <c r="R249" s="93"/>
      <c r="S249" s="85"/>
      <c r="U249" s="94"/>
      <c r="V249" s="93"/>
      <c r="W249" s="85"/>
      <c r="Y249" s="94"/>
      <c r="Z249" s="93"/>
      <c r="AA249" s="85"/>
      <c r="AC249" s="94"/>
      <c r="AD249" s="93"/>
      <c r="AE249" s="85"/>
    </row>
    <row r="250" spans="7:31" x14ac:dyDescent="0.35">
      <c r="G250" s="85"/>
      <c r="H250" s="87"/>
      <c r="I250" s="94">
        <v>2</v>
      </c>
      <c r="J250" s="93" t="s">
        <v>775</v>
      </c>
      <c r="K250" s="85" t="s">
        <v>3093</v>
      </c>
      <c r="L250" s="87">
        <v>111</v>
      </c>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x14ac:dyDescent="0.35">
      <c r="I1001" s="94"/>
      <c r="J1001" s="93"/>
      <c r="K1001" s="85"/>
      <c r="M1001" s="94"/>
      <c r="N1001" s="93"/>
      <c r="O1001" s="85"/>
    </row>
    <row r="1002" spans="7:31" x14ac:dyDescent="0.35">
      <c r="I1002" s="94"/>
      <c r="J1002" s="93"/>
      <c r="K1002" s="85"/>
    </row>
    <row r="1003" spans="7:31" x14ac:dyDescent="0.35">
      <c r="I1003" s="94"/>
      <c r="J1003" s="93"/>
      <c r="K1003" s="85"/>
    </row>
    <row r="1004" spans="7:31" x14ac:dyDescent="0.35">
      <c r="I1004" s="94"/>
      <c r="J1004" s="93"/>
      <c r="K1004" s="85"/>
    </row>
    <row r="1005" spans="7:31" x14ac:dyDescent="0.35">
      <c r="I1005" s="94"/>
      <c r="J1005" s="93"/>
      <c r="K1005" s="85"/>
    </row>
    <row r="1006" spans="7:31" x14ac:dyDescent="0.35">
      <c r="I1006" s="94"/>
      <c r="J1006" s="93"/>
      <c r="K1006" s="85"/>
    </row>
    <row r="1007" spans="7:31" x14ac:dyDescent="0.35">
      <c r="I1007" s="94"/>
      <c r="J1007" s="93"/>
      <c r="K1007" s="85"/>
    </row>
  </sheetData>
  <autoFilter ref="E15:M171" xr:uid="{00000000-0001-0000-0900-000000000000}"/>
  <conditionalFormatting sqref="A1:AGS119 A120:L121 Q120:AGS121 A122:M124 O122:AGS124 A125:AGS1048576">
    <cfRule type="expression" dxfId="95" priority="2">
      <formula>$A4="Spend to Date"</formula>
    </cfRule>
  </conditionalFormatting>
  <conditionalFormatting sqref="F12">
    <cfRule type="expression" dxfId="94" priority="3">
      <formula>$A4="spend to date"</formula>
    </cfRule>
  </conditionalFormatting>
  <conditionalFormatting sqref="A1:AG119 A120:L121 Q120:AG121 A122:M124 O122:AG124 A125:AG1048576">
    <cfRule type="expression" dxfId="93" priority="1">
      <formula>$A4="Spend to Date"</formula>
    </cfRule>
    <cfRule type="expression" priority="6" stopIfTrue="1">
      <formula>$A4="Spend to Date"</formula>
    </cfRule>
  </conditionalFormatting>
  <conditionalFormatting sqref="M120:P120 M121:N121 N122:N124">
    <cfRule type="expression" dxfId="92" priority="90">
      <formula>$A124="Spend to Date"</formula>
    </cfRule>
  </conditionalFormatting>
  <conditionalFormatting sqref="M120:P120 M121:N121 N122:N124">
    <cfRule type="expression" dxfId="91" priority="93">
      <formula>$A124="Spend to Date"</formula>
    </cfRule>
    <cfRule type="expression" priority="94" stopIfTrue="1">
      <formula>$A124="Spend to Date"</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G1000"/>
  <sheetViews>
    <sheetView zoomScale="68" zoomScaleNormal="100" workbookViewId="0">
      <pane xSplit="2" ySplit="1" topLeftCell="F2" activePane="bottomRight" state="frozen"/>
      <selection pane="topRight" activeCell="C1" sqref="C1"/>
      <selection pane="bottomLeft" activeCell="A2" sqref="A2"/>
      <selection pane="bottomRight" activeCell="M15" sqref="M15"/>
    </sheetView>
  </sheetViews>
  <sheetFormatPr defaultColWidth="8.81640625" defaultRowHeight="14.5" x14ac:dyDescent="0.35"/>
  <cols>
    <col min="1" max="1" width="27" style="86" customWidth="1"/>
    <col min="2" max="2" width="5.453125" style="85" bestFit="1" customWidth="1"/>
    <col min="3" max="3" width="5.453125" style="85" customWidth="1"/>
    <col min="4" max="4" width="10.453125" style="86" bestFit="1" customWidth="1"/>
    <col min="5" max="5" width="13.81640625" style="85" customWidth="1"/>
    <col min="6" max="6" width="19.54296875" style="87" customWidth="1"/>
    <col min="7" max="7" width="18.54296875" style="87" customWidth="1"/>
    <col min="8" max="8" width="13.453125" style="88" customWidth="1"/>
    <col min="9" max="9" width="13.81640625" style="89" bestFit="1" customWidth="1"/>
    <col min="10" max="10" width="19.54296875" style="87" bestFit="1" customWidth="1"/>
    <col min="11" max="11" width="32.81640625" style="87" bestFit="1" customWidth="1"/>
    <col min="12" max="12" width="17.81640625" style="87" bestFit="1" customWidth="1"/>
    <col min="13" max="13" width="13.81640625" style="89" bestFit="1" customWidth="1"/>
    <col min="14" max="14" width="13.81640625" style="87" customWidth="1"/>
    <col min="15" max="15" width="26" style="87" customWidth="1"/>
    <col min="16" max="16" width="24.4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33542.67</v>
      </c>
      <c r="F2" s="87">
        <f>SUM(F3:F3)</f>
        <v>80853</v>
      </c>
      <c r="I2" s="89">
        <f>SUM(I3:I3)</f>
        <v>0</v>
      </c>
      <c r="J2" s="87">
        <f>SUM(J3:J3)</f>
        <v>-1346.2700000000004</v>
      </c>
      <c r="M2" s="89">
        <f>SUM(M3:M3)</f>
        <v>35000</v>
      </c>
      <c r="N2" s="87">
        <f>SUM(N3:N3)</f>
        <v>20755</v>
      </c>
      <c r="Q2" s="89">
        <f>SUM(Q3:Q3)</f>
        <v>0</v>
      </c>
      <c r="R2" s="87">
        <f>SUM(R3:R3)</f>
        <v>0</v>
      </c>
      <c r="U2" s="89">
        <f>SUM(U3:U3)</f>
        <v>0</v>
      </c>
      <c r="V2" s="87">
        <f>SUM(V3:V3)</f>
        <v>0</v>
      </c>
      <c r="Y2" s="89">
        <f>SUM(Y3:Y3)</f>
        <v>0</v>
      </c>
      <c r="Z2" s="87">
        <f>SUM(Z3:Z3)</f>
        <v>0</v>
      </c>
      <c r="AC2" s="89">
        <f>SUM(AC3:AC3)</f>
        <v>0</v>
      </c>
      <c r="AD2" s="87">
        <f>SUM(AD3:AD3)</f>
        <v>0</v>
      </c>
    </row>
    <row r="3" spans="1:33" ht="101.5" x14ac:dyDescent="0.35">
      <c r="A3" s="86" t="s">
        <v>22</v>
      </c>
      <c r="B3" s="85">
        <v>1</v>
      </c>
      <c r="D3" s="86">
        <v>75324</v>
      </c>
      <c r="E3" s="87">
        <v>33542.67</v>
      </c>
      <c r="F3" s="87">
        <f>SUMIFS(H$13:H$999,E$13:E$999,1)</f>
        <v>80853</v>
      </c>
      <c r="G3" s="87">
        <f>D3+E3-F3+SUMIFS(E$7:E$7,$C$7:$C$7,$A3)-SUMIFS(F$7:F$7,$C$7:$C$7,$A3)</f>
        <v>28013.67</v>
      </c>
      <c r="I3" s="89">
        <v>0</v>
      </c>
      <c r="J3" s="87">
        <f>SUMIFS(L$13:L$999,I$13:I$999,1)</f>
        <v>-1346.2700000000004</v>
      </c>
      <c r="K3" s="87">
        <f>G3+I3-J3+SUMIFS(I$6:I$11,$C$6:$C$11,$A3)-SUMIFS(J$6:J$11,$C$6:$C$11,$A3)</f>
        <v>29359.94</v>
      </c>
      <c r="L3" s="86"/>
      <c r="M3" s="89">
        <v>35000</v>
      </c>
      <c r="N3" s="87">
        <f>SUMIFS(P$13:P$999,M$13:M$999,1)</f>
        <v>20755</v>
      </c>
      <c r="O3" s="87">
        <f>K3+M3-N3+SUMIFS(M$6:M$11,$C$6:$C$11,$A3)-SUMIFS(N$6:N$11,$C$6:$C$11,$A3)</f>
        <v>43604.94</v>
      </c>
      <c r="P3" s="86" t="s">
        <v>779</v>
      </c>
      <c r="R3" s="87">
        <f>SUMIFS(T$13:T$999,Q$13:Q$999,1)</f>
        <v>0</v>
      </c>
      <c r="S3" s="87">
        <f>O3+SUM(Q3:Q7)-SUM(R3:R7)</f>
        <v>43604.94</v>
      </c>
      <c r="V3" s="87">
        <f>SUMIFS(X$13:X$999,U$13:U$999,1)</f>
        <v>0</v>
      </c>
      <c r="W3" s="87">
        <f>S3+SUM(U3:U7)-SUM(V3:V7)</f>
        <v>43604.94</v>
      </c>
      <c r="Z3" s="87">
        <f>SUMIFS(AB$13:AB$999,Y$13:Y$999,1)</f>
        <v>0</v>
      </c>
      <c r="AA3" s="87">
        <f>W3+SUM(Y3:Y7)-SUM(Z3:Z7)</f>
        <v>43604.94</v>
      </c>
      <c r="AD3" s="87">
        <f>SUMIFS(AF$13:AF$999,AC$13:AC$999,1)</f>
        <v>0</v>
      </c>
      <c r="AE3" s="87">
        <f>AA3+SUM(AC3:AC7)-SUM(AD3:AD7)</f>
        <v>43604.94</v>
      </c>
      <c r="AG3" s="87">
        <v>500000</v>
      </c>
    </row>
    <row r="4" spans="1:33" s="90" customFormat="1" ht="58" x14ac:dyDescent="0.35">
      <c r="A4" s="84" t="s">
        <v>24</v>
      </c>
      <c r="B4" s="92">
        <v>2</v>
      </c>
      <c r="C4" s="92"/>
      <c r="D4" s="84">
        <v>0</v>
      </c>
      <c r="E4" s="90">
        <v>0</v>
      </c>
      <c r="F4" s="90">
        <f>SUMIFS(H$13:H$999,E$13:E$999,2)</f>
        <v>-50000</v>
      </c>
      <c r="G4" s="90">
        <f>D4+E4-F4+SUMIFS(E$7:E$7,$C$7:$C$7,$A4)-SUMIFS(F$7:F$7,$C$7:$C$7,$A4)</f>
        <v>50000</v>
      </c>
      <c r="H4" s="99"/>
      <c r="I4" s="91">
        <v>0</v>
      </c>
      <c r="J4" s="90">
        <f>SUMIFS(L$13:L$999,I$13:I$999,2)</f>
        <v>0</v>
      </c>
      <c r="K4" s="87">
        <f>G4+I4-J4+SUMIFS(I$6:I$11,$C$6:$C$11,$A4)-SUMIFS(J$6:J$11,$C$6:$C$11,$A4)</f>
        <v>50000</v>
      </c>
      <c r="L4" s="86"/>
      <c r="M4" s="89">
        <v>0</v>
      </c>
      <c r="N4" s="87">
        <f>SUMIFS(P$13:P$999,M$13:M$999,2)</f>
        <v>0</v>
      </c>
      <c r="O4" s="87">
        <f>K4+M4-N4+SUMIFS(M$6:M$11,$C$6:$C$11,$A4)-SUMIFS(N$6:N$11,$C$6:$C$11,$A4)</f>
        <v>50000</v>
      </c>
      <c r="P4" s="86" t="s">
        <v>2102</v>
      </c>
      <c r="Q4" s="91">
        <v>0</v>
      </c>
      <c r="R4" s="90">
        <f>SUMIFS(T$13:T$999,Q$13:Q$999,2)</f>
        <v>0</v>
      </c>
      <c r="S4" s="90">
        <f>O4+SUM(Q4:Q8)-SUM(R4:R8)</f>
        <v>50000</v>
      </c>
      <c r="U4" s="91">
        <v>0</v>
      </c>
      <c r="V4" s="90">
        <f>SUMIFS(X$13:X$999,U$13:U$999,2)</f>
        <v>0</v>
      </c>
      <c r="W4" s="90">
        <f>S4+SUM(U4:U8)-SUM(V4:V8)</f>
        <v>50000</v>
      </c>
      <c r="Y4" s="91">
        <v>0</v>
      </c>
      <c r="Z4" s="90">
        <f>SUMIFS(AB$13:AB$999,Y$13:Y$999,2)</f>
        <v>0</v>
      </c>
      <c r="AA4" s="90">
        <f>W4+SUM(Y4:Y8)-SUM(Z4:Z8)</f>
        <v>50000</v>
      </c>
      <c r="AC4" s="91">
        <v>0</v>
      </c>
      <c r="AD4" s="90">
        <f>SUMIFS(AF$13:AF$999,AC$13:AC$999,2)</f>
        <v>0</v>
      </c>
      <c r="AE4" s="90">
        <f>AA4+SUM(AC4:AC8)-SUM(AD4:AD8)</f>
        <v>50000</v>
      </c>
      <c r="AG4" s="90">
        <v>0</v>
      </c>
    </row>
    <row r="5" spans="1:33" x14ac:dyDescent="0.35">
      <c r="E5" s="87"/>
    </row>
    <row r="6" spans="1:33" x14ac:dyDescent="0.35">
      <c r="A6" s="84" t="s">
        <v>25</v>
      </c>
      <c r="D6" s="84"/>
      <c r="E6" s="87">
        <f>SUM(E7:E7)</f>
        <v>0</v>
      </c>
      <c r="F6" s="87">
        <f>SUM(F7:F7)</f>
        <v>0</v>
      </c>
      <c r="I6" s="89">
        <f>SUM(I7:I7)</f>
        <v>0</v>
      </c>
      <c r="J6" s="87">
        <f>SUM(J7:J7)</f>
        <v>0</v>
      </c>
      <c r="M6" s="89">
        <f>SUM(M7:M7)</f>
        <v>0</v>
      </c>
      <c r="N6" s="87">
        <f>$M$6</f>
        <v>0</v>
      </c>
      <c r="Q6" s="89">
        <f>SUM(Q7:Q7)</f>
        <v>0</v>
      </c>
      <c r="R6" s="87">
        <f>$Q$6</f>
        <v>0</v>
      </c>
      <c r="U6" s="89">
        <f>SUM(U7:U7)</f>
        <v>0</v>
      </c>
      <c r="V6" s="87">
        <f>$U$6</f>
        <v>0</v>
      </c>
      <c r="Y6" s="89">
        <f>SUM(Y7:Y7)</f>
        <v>0</v>
      </c>
      <c r="Z6" s="87">
        <f>$Y$6</f>
        <v>0</v>
      </c>
      <c r="AC6" s="89">
        <f>SUM(AC7:AC7)</f>
        <v>0</v>
      </c>
      <c r="AD6" s="87">
        <f>$AC$6</f>
        <v>0</v>
      </c>
    </row>
    <row r="7" spans="1:33" ht="15" customHeight="1" x14ac:dyDescent="0.35">
      <c r="A7" s="86" t="s">
        <v>25</v>
      </c>
      <c r="B7" s="92">
        <v>3</v>
      </c>
      <c r="C7" s="86" t="s">
        <v>22</v>
      </c>
      <c r="D7" s="84"/>
      <c r="E7" s="87">
        <v>0</v>
      </c>
      <c r="F7" s="87">
        <f>SUMIFS(H$13:H$999,E$13:E$999,$B7)</f>
        <v>0</v>
      </c>
      <c r="I7" s="89">
        <f>ROUNDUP((E7)*RPICurrent,0)</f>
        <v>0</v>
      </c>
      <c r="J7" s="87">
        <f>SUMIFS(L$13:L$999,I$13:I$999,$B7)</f>
        <v>0</v>
      </c>
      <c r="M7" s="89">
        <f>ROUNDUP((I7)*RPI,0)</f>
        <v>0</v>
      </c>
      <c r="N7" s="87">
        <f>$M$7</f>
        <v>0</v>
      </c>
      <c r="Q7" s="89">
        <f>ROUNDUP((M7)*RPI,0)</f>
        <v>0</v>
      </c>
      <c r="R7" s="87">
        <f>$Q$7</f>
        <v>0</v>
      </c>
      <c r="U7" s="89">
        <f>ROUNDUP((Q7)*RPI,0)</f>
        <v>0</v>
      </c>
      <c r="V7" s="87">
        <f>$U$7</f>
        <v>0</v>
      </c>
      <c r="Y7" s="89">
        <f>ROUNDUP((U7)*RPI,0)</f>
        <v>0</v>
      </c>
      <c r="Z7" s="87">
        <f>$Y$7</f>
        <v>0</v>
      </c>
      <c r="AC7" s="89">
        <f>ROUNDUP((Y7)*RPI,0)</f>
        <v>0</v>
      </c>
      <c r="AD7" s="87">
        <f>$AC$7</f>
        <v>0</v>
      </c>
    </row>
    <row r="8" spans="1:33" x14ac:dyDescent="0.35">
      <c r="E8" s="87"/>
    </row>
    <row r="9" spans="1:33" x14ac:dyDescent="0.35">
      <c r="E9" s="87"/>
    </row>
    <row r="10" spans="1:33" x14ac:dyDescent="0.35">
      <c r="E10" s="87"/>
    </row>
    <row r="11" spans="1:33" x14ac:dyDescent="0.35">
      <c r="A11" s="84" t="s">
        <v>487</v>
      </c>
      <c r="F11" s="93"/>
      <c r="G11" s="85"/>
      <c r="H11" s="87"/>
      <c r="I11" s="94"/>
      <c r="J11" s="93"/>
      <c r="K11" s="85"/>
      <c r="N11" s="93"/>
      <c r="O11" s="85"/>
      <c r="Q11" s="94"/>
      <c r="R11" s="93"/>
      <c r="S11" s="85"/>
      <c r="U11" s="94"/>
      <c r="V11" s="93"/>
      <c r="W11" s="85"/>
      <c r="Y11" s="94"/>
      <c r="Z11" s="93"/>
      <c r="AA11" s="85"/>
      <c r="AC11" s="94"/>
      <c r="AD11" s="93"/>
      <c r="AE11" s="85"/>
    </row>
    <row r="12" spans="1:33" x14ac:dyDescent="0.35">
      <c r="E12" s="85" t="s">
        <v>484</v>
      </c>
      <c r="F12" s="93" t="s">
        <v>488</v>
      </c>
      <c r="G12" s="85" t="s">
        <v>489</v>
      </c>
      <c r="H12" s="87" t="s">
        <v>475</v>
      </c>
      <c r="I12" s="85" t="s">
        <v>484</v>
      </c>
      <c r="J12" s="93" t="s">
        <v>488</v>
      </c>
      <c r="K12" s="85" t="s">
        <v>489</v>
      </c>
      <c r="L12" s="87" t="s">
        <v>475</v>
      </c>
      <c r="M12" s="85" t="s">
        <v>484</v>
      </c>
      <c r="N12" s="93" t="s">
        <v>488</v>
      </c>
      <c r="O12" s="85" t="s">
        <v>489</v>
      </c>
      <c r="P12" s="87" t="s">
        <v>475</v>
      </c>
      <c r="Q12" s="94"/>
      <c r="R12" s="93"/>
      <c r="S12" s="85"/>
      <c r="U12" s="94"/>
      <c r="V12" s="93"/>
      <c r="W12" s="85"/>
      <c r="Y12" s="94"/>
      <c r="Z12" s="93"/>
      <c r="AA12" s="85"/>
      <c r="AC12" s="94"/>
      <c r="AD12" s="93"/>
      <c r="AE12" s="85"/>
    </row>
    <row r="13" spans="1:33" x14ac:dyDescent="0.35">
      <c r="A13" s="85"/>
      <c r="D13" s="85"/>
      <c r="E13" s="85">
        <v>1</v>
      </c>
      <c r="F13" s="93" t="s">
        <v>1</v>
      </c>
      <c r="G13" s="85" t="s">
        <v>1</v>
      </c>
      <c r="H13" s="87">
        <v>-150000</v>
      </c>
      <c r="I13" s="94" t="s">
        <v>11</v>
      </c>
      <c r="J13" s="93">
        <v>45113</v>
      </c>
      <c r="K13" s="85" t="s">
        <v>780</v>
      </c>
      <c r="L13" s="87">
        <v>13978.5</v>
      </c>
      <c r="M13" s="94">
        <v>1</v>
      </c>
      <c r="N13" s="93">
        <v>45475</v>
      </c>
      <c r="O13" s="85" t="s">
        <v>781</v>
      </c>
      <c r="P13" s="87">
        <v>13230</v>
      </c>
      <c r="Q13" s="94"/>
      <c r="R13" s="93"/>
      <c r="S13" s="85"/>
      <c r="U13" s="94"/>
      <c r="V13" s="93"/>
      <c r="W13" s="85"/>
      <c r="Y13" s="94"/>
      <c r="Z13" s="93"/>
      <c r="AA13" s="85"/>
      <c r="AC13" s="94"/>
      <c r="AD13" s="93"/>
      <c r="AE13" s="85"/>
    </row>
    <row r="14" spans="1:33" x14ac:dyDescent="0.35">
      <c r="E14" s="85">
        <v>1</v>
      </c>
      <c r="F14" s="93" t="s">
        <v>491</v>
      </c>
      <c r="G14" s="85" t="s">
        <v>780</v>
      </c>
      <c r="H14" s="87">
        <v>16000</v>
      </c>
      <c r="I14" s="94">
        <v>1</v>
      </c>
      <c r="J14" s="93" t="s">
        <v>2385</v>
      </c>
      <c r="K14" s="85" t="s">
        <v>762</v>
      </c>
      <c r="L14" s="87">
        <v>-6000</v>
      </c>
      <c r="M14" s="94">
        <v>1</v>
      </c>
      <c r="N14" s="93">
        <v>45477</v>
      </c>
      <c r="O14" s="85" t="s">
        <v>3073</v>
      </c>
      <c r="P14" s="87">
        <v>10525</v>
      </c>
      <c r="Q14" s="94"/>
      <c r="R14" s="93"/>
      <c r="S14" s="85"/>
      <c r="U14" s="94"/>
      <c r="V14" s="93"/>
      <c r="W14" s="85"/>
      <c r="Y14" s="94"/>
      <c r="Z14" s="93"/>
      <c r="AA14" s="85"/>
      <c r="AC14" s="94"/>
      <c r="AD14" s="93"/>
      <c r="AE14" s="85"/>
    </row>
    <row r="15" spans="1:33" x14ac:dyDescent="0.35">
      <c r="E15" s="92">
        <v>2</v>
      </c>
      <c r="F15" s="97" t="s">
        <v>699</v>
      </c>
      <c r="G15" s="92" t="s">
        <v>782</v>
      </c>
      <c r="H15" s="90">
        <v>-50000</v>
      </c>
      <c r="I15" s="94">
        <v>1</v>
      </c>
      <c r="J15" s="93">
        <v>45113</v>
      </c>
      <c r="K15" s="85" t="s">
        <v>783</v>
      </c>
      <c r="L15" s="87">
        <v>-2021.5</v>
      </c>
      <c r="M15" s="94">
        <v>1</v>
      </c>
      <c r="N15" s="93">
        <v>45477</v>
      </c>
      <c r="O15" s="85" t="s">
        <v>3074</v>
      </c>
      <c r="P15" s="87">
        <v>-3000</v>
      </c>
      <c r="Q15" s="94"/>
      <c r="R15" s="93"/>
      <c r="S15" s="85"/>
      <c r="U15" s="94"/>
      <c r="V15" s="93"/>
      <c r="W15" s="85"/>
      <c r="Y15" s="94"/>
      <c r="Z15" s="93"/>
      <c r="AA15" s="85"/>
      <c r="AC15" s="94"/>
      <c r="AD15" s="93"/>
      <c r="AE15" s="85"/>
    </row>
    <row r="16" spans="1:33" x14ac:dyDescent="0.35">
      <c r="E16" s="92">
        <v>1</v>
      </c>
      <c r="F16" s="97" t="s">
        <v>784</v>
      </c>
      <c r="G16" s="92" t="s">
        <v>785</v>
      </c>
      <c r="H16" s="90">
        <v>6000</v>
      </c>
      <c r="I16" s="95">
        <v>1</v>
      </c>
      <c r="J16" s="96" t="s">
        <v>775</v>
      </c>
      <c r="K16" s="96" t="s">
        <v>2240</v>
      </c>
      <c r="L16" s="151">
        <v>2500</v>
      </c>
      <c r="M16" s="95"/>
      <c r="N16" s="93"/>
      <c r="O16" s="85"/>
      <c r="Q16" s="94"/>
      <c r="R16" s="93"/>
      <c r="S16" s="85"/>
      <c r="U16" s="94"/>
      <c r="V16" s="93"/>
      <c r="W16" s="85"/>
      <c r="Y16" s="94"/>
      <c r="Z16" s="93"/>
      <c r="AA16" s="85"/>
      <c r="AC16" s="94"/>
      <c r="AD16" s="93"/>
      <c r="AE16" s="85"/>
    </row>
    <row r="17" spans="4:31" x14ac:dyDescent="0.35">
      <c r="E17" s="92">
        <v>1</v>
      </c>
      <c r="F17" s="97" t="s">
        <v>784</v>
      </c>
      <c r="G17" s="92" t="s">
        <v>786</v>
      </c>
      <c r="H17" s="90">
        <v>26053</v>
      </c>
      <c r="I17" s="94">
        <v>1</v>
      </c>
      <c r="J17" s="93" t="s">
        <v>699</v>
      </c>
      <c r="K17" s="85" t="s">
        <v>3102</v>
      </c>
      <c r="L17" s="87">
        <v>4175.2299999999996</v>
      </c>
      <c r="M17" s="94"/>
      <c r="N17" s="93"/>
      <c r="O17" s="85"/>
      <c r="Q17" s="94"/>
      <c r="R17" s="93"/>
      <c r="S17" s="85"/>
      <c r="U17" s="94"/>
      <c r="V17" s="93"/>
      <c r="W17" s="85"/>
      <c r="Y17" s="94"/>
      <c r="Z17" s="93"/>
      <c r="AA17" s="85"/>
      <c r="AC17" s="94"/>
      <c r="AD17" s="93"/>
      <c r="AE17" s="85"/>
    </row>
    <row r="18" spans="4:31" x14ac:dyDescent="0.35">
      <c r="E18" s="92">
        <v>1</v>
      </c>
      <c r="F18" s="97" t="s">
        <v>784</v>
      </c>
      <c r="G18" s="92" t="s">
        <v>785</v>
      </c>
      <c r="H18" s="90">
        <v>48800</v>
      </c>
      <c r="I18" s="94"/>
      <c r="J18" s="93"/>
      <c r="K18" s="85"/>
      <c r="M18" s="94"/>
      <c r="N18" s="93"/>
      <c r="O18" s="85"/>
      <c r="Q18" s="94"/>
      <c r="R18" s="93"/>
      <c r="S18" s="85"/>
      <c r="U18" s="94"/>
      <c r="V18" s="93"/>
      <c r="W18" s="85"/>
      <c r="Y18" s="94"/>
      <c r="Z18" s="93"/>
      <c r="AA18" s="85"/>
      <c r="AC18" s="94"/>
      <c r="AD18" s="93"/>
      <c r="AE18" s="85"/>
    </row>
    <row r="19" spans="4:31" x14ac:dyDescent="0.35">
      <c r="E19" s="92">
        <v>1</v>
      </c>
      <c r="F19" s="97" t="s">
        <v>784</v>
      </c>
      <c r="G19" s="92" t="s">
        <v>787</v>
      </c>
      <c r="H19" s="90">
        <v>118000</v>
      </c>
      <c r="I19" s="94"/>
      <c r="J19" s="93"/>
      <c r="K19" s="85"/>
      <c r="M19" s="94"/>
      <c r="N19" s="93"/>
      <c r="O19" s="85"/>
      <c r="Q19" s="94"/>
      <c r="R19" s="93"/>
      <c r="S19" s="85"/>
      <c r="U19" s="94"/>
      <c r="V19" s="93"/>
      <c r="W19" s="85"/>
      <c r="Y19" s="94"/>
      <c r="Z19" s="93"/>
      <c r="AA19" s="85"/>
      <c r="AC19" s="94"/>
      <c r="AD19" s="93"/>
      <c r="AE19" s="85"/>
    </row>
    <row r="20" spans="4:31" x14ac:dyDescent="0.35">
      <c r="E20" s="92">
        <v>1</v>
      </c>
      <c r="F20" s="97" t="s">
        <v>784</v>
      </c>
      <c r="G20" s="92" t="s">
        <v>787</v>
      </c>
      <c r="H20" s="90">
        <v>10000</v>
      </c>
      <c r="I20" s="94"/>
      <c r="J20" s="93"/>
      <c r="K20" s="85"/>
      <c r="M20" s="94"/>
      <c r="N20" s="93"/>
      <c r="O20" s="85"/>
      <c r="Q20" s="94"/>
      <c r="R20" s="93"/>
      <c r="S20" s="85"/>
      <c r="U20" s="94"/>
      <c r="V20" s="93"/>
      <c r="W20" s="85"/>
      <c r="Y20" s="94"/>
      <c r="Z20" s="93"/>
      <c r="AA20" s="85"/>
      <c r="AC20" s="94"/>
      <c r="AD20" s="93"/>
      <c r="AE20" s="85"/>
    </row>
    <row r="21" spans="4:31" x14ac:dyDescent="0.35">
      <c r="D21" s="93" t="s">
        <v>2098</v>
      </c>
      <c r="E21" s="96">
        <v>1</v>
      </c>
      <c r="F21" s="96" t="s">
        <v>676</v>
      </c>
      <c r="G21" s="96" t="s">
        <v>762</v>
      </c>
      <c r="H21" s="87">
        <v>6000</v>
      </c>
      <c r="I21" s="94"/>
      <c r="J21" s="93"/>
      <c r="K21" s="85"/>
      <c r="M21" s="94"/>
      <c r="N21" s="93"/>
      <c r="O21" s="85"/>
      <c r="Q21" s="94"/>
      <c r="R21" s="93"/>
      <c r="S21" s="85"/>
      <c r="U21" s="94"/>
      <c r="V21" s="93"/>
      <c r="W21" s="85"/>
      <c r="Y21" s="94"/>
      <c r="Z21" s="93"/>
      <c r="AA21" s="85"/>
      <c r="AC21" s="94"/>
      <c r="AD21" s="93"/>
      <c r="AE21" s="85"/>
    </row>
    <row r="22" spans="4:31" x14ac:dyDescent="0.35">
      <c r="F22" s="93"/>
      <c r="G22" s="85"/>
      <c r="H22" s="87"/>
      <c r="I22" s="94"/>
      <c r="J22" s="93"/>
      <c r="K22" s="85"/>
      <c r="M22" s="94"/>
      <c r="N22" s="93"/>
      <c r="O22" s="85"/>
      <c r="Q22" s="94"/>
      <c r="R22" s="93"/>
      <c r="S22" s="85"/>
      <c r="U22" s="94"/>
      <c r="V22" s="93"/>
      <c r="W22" s="85"/>
      <c r="Y22" s="94"/>
      <c r="Z22" s="93"/>
      <c r="AA22" s="85"/>
      <c r="AC22" s="94"/>
      <c r="AD22" s="93"/>
      <c r="AE22" s="85"/>
    </row>
    <row r="23" spans="4:31" x14ac:dyDescent="0.35">
      <c r="F23" s="93"/>
      <c r="G23" s="85"/>
      <c r="H23" s="87"/>
      <c r="I23" s="95"/>
      <c r="J23" s="96"/>
      <c r="K23" s="96"/>
      <c r="L23" s="96"/>
      <c r="M23" s="95"/>
      <c r="N23" s="96"/>
      <c r="O23" s="85"/>
      <c r="Q23" s="94"/>
      <c r="R23" s="93"/>
      <c r="S23" s="85"/>
      <c r="U23" s="94"/>
      <c r="V23" s="93"/>
      <c r="W23" s="85"/>
      <c r="Y23" s="94"/>
      <c r="Z23" s="93"/>
      <c r="AA23" s="85"/>
      <c r="AC23" s="94"/>
      <c r="AD23" s="93"/>
      <c r="AE23" s="85"/>
    </row>
    <row r="24" spans="4:31" x14ac:dyDescent="0.35">
      <c r="F24" s="93"/>
      <c r="G24" s="85"/>
      <c r="H24" s="87"/>
      <c r="I24" s="95"/>
      <c r="J24" s="96"/>
      <c r="K24" s="96"/>
      <c r="L24" s="96"/>
      <c r="M24" s="95"/>
      <c r="N24" s="96"/>
      <c r="O24" s="85"/>
      <c r="Q24" s="94"/>
      <c r="R24" s="93"/>
      <c r="S24" s="85"/>
      <c r="U24" s="94"/>
      <c r="V24" s="93"/>
      <c r="W24" s="85"/>
      <c r="Y24" s="94"/>
      <c r="Z24" s="93"/>
      <c r="AA24" s="85"/>
      <c r="AC24" s="94"/>
      <c r="AD24" s="93"/>
      <c r="AE24" s="85"/>
    </row>
    <row r="25" spans="4:31" x14ac:dyDescent="0.35">
      <c r="F25" s="93"/>
      <c r="G25" s="85"/>
      <c r="H25" s="87"/>
      <c r="I25" s="95"/>
      <c r="J25" s="96"/>
      <c r="K25" s="96"/>
      <c r="L25" s="96"/>
      <c r="M25" s="95"/>
      <c r="N25" s="96"/>
      <c r="O25" s="85"/>
      <c r="Q25" s="94"/>
      <c r="R25" s="93"/>
      <c r="S25" s="85"/>
      <c r="U25" s="94"/>
      <c r="V25" s="93"/>
      <c r="W25" s="85"/>
      <c r="Y25" s="94"/>
      <c r="Z25" s="93"/>
      <c r="AA25" s="85"/>
      <c r="AC25" s="94"/>
      <c r="AD25" s="93"/>
      <c r="AE25" s="85"/>
    </row>
    <row r="26" spans="4:31" x14ac:dyDescent="0.35">
      <c r="F26" s="93"/>
      <c r="G26" s="85"/>
      <c r="H26" s="87"/>
      <c r="I26" s="95"/>
      <c r="J26" s="96"/>
      <c r="K26" s="96"/>
      <c r="L26" s="96"/>
      <c r="M26" s="95"/>
      <c r="N26" s="96"/>
      <c r="O26" s="85"/>
      <c r="Q26" s="94"/>
      <c r="R26" s="93"/>
      <c r="S26" s="85"/>
      <c r="U26" s="94"/>
      <c r="V26" s="93"/>
      <c r="W26" s="85"/>
      <c r="Y26" s="94"/>
      <c r="Z26" s="93"/>
      <c r="AA26" s="85"/>
      <c r="AC26" s="94"/>
      <c r="AD26" s="93"/>
      <c r="AE26" s="85"/>
    </row>
    <row r="27" spans="4:31" x14ac:dyDescent="0.35">
      <c r="F27" s="93"/>
      <c r="G27" s="85"/>
      <c r="H27" s="87"/>
      <c r="I27" s="94"/>
      <c r="J27" s="93"/>
      <c r="K27" s="85"/>
      <c r="M27" s="94"/>
      <c r="N27" s="93"/>
      <c r="O27" s="85"/>
      <c r="Q27" s="94"/>
      <c r="R27" s="93"/>
      <c r="S27" s="85"/>
      <c r="U27" s="94"/>
      <c r="V27" s="93"/>
      <c r="W27" s="85"/>
      <c r="Y27" s="94"/>
      <c r="Z27" s="93"/>
      <c r="AA27" s="85"/>
      <c r="AC27" s="94"/>
      <c r="AD27" s="93"/>
      <c r="AE27" s="85"/>
    </row>
    <row r="28" spans="4:31" x14ac:dyDescent="0.35">
      <c r="F28" s="93"/>
      <c r="G28" s="85"/>
      <c r="H28" s="87"/>
      <c r="I28" s="94"/>
      <c r="J28" s="93"/>
      <c r="K28" s="85"/>
      <c r="M28" s="94"/>
      <c r="N28" s="93"/>
      <c r="O28" s="85"/>
      <c r="Q28" s="94"/>
      <c r="R28" s="93"/>
      <c r="S28" s="85"/>
      <c r="U28" s="94"/>
      <c r="V28" s="93"/>
      <c r="W28" s="85"/>
      <c r="Y28" s="94"/>
      <c r="Z28" s="93"/>
      <c r="AA28" s="85"/>
      <c r="AC28" s="94"/>
      <c r="AD28" s="93"/>
      <c r="AE28" s="85"/>
    </row>
    <row r="29" spans="4:31" x14ac:dyDescent="0.35">
      <c r="F29" s="93"/>
      <c r="G29" s="85"/>
      <c r="H29" s="87"/>
      <c r="I29" s="94"/>
      <c r="J29" s="93"/>
      <c r="K29" s="85"/>
      <c r="M29" s="94"/>
      <c r="N29" s="93"/>
      <c r="O29" s="85"/>
      <c r="Q29" s="94"/>
      <c r="R29" s="93"/>
      <c r="S29" s="85"/>
      <c r="U29" s="94"/>
      <c r="V29" s="93"/>
      <c r="W29" s="85"/>
      <c r="Y29" s="94"/>
      <c r="Z29" s="93"/>
      <c r="AA29" s="85"/>
      <c r="AC29" s="94"/>
      <c r="AD29" s="93"/>
      <c r="AE29" s="85"/>
    </row>
    <row r="30" spans="4:31" x14ac:dyDescent="0.35">
      <c r="F30" s="93"/>
      <c r="G30" s="85"/>
      <c r="H30" s="87"/>
      <c r="I30" s="94"/>
      <c r="J30" s="93"/>
      <c r="K30" s="85"/>
      <c r="M30" s="94"/>
      <c r="N30" s="93"/>
      <c r="O30" s="85"/>
      <c r="Q30" s="94"/>
      <c r="R30" s="93"/>
      <c r="S30" s="85"/>
      <c r="U30" s="94"/>
      <c r="V30" s="93"/>
      <c r="W30" s="85"/>
      <c r="Y30" s="94"/>
      <c r="Z30" s="93"/>
      <c r="AA30" s="85"/>
      <c r="AC30" s="94"/>
      <c r="AD30" s="93"/>
      <c r="AE30" s="85"/>
    </row>
    <row r="31" spans="4:31" x14ac:dyDescent="0.35">
      <c r="F31" s="93"/>
      <c r="G31" s="85"/>
      <c r="H31" s="87"/>
      <c r="I31" s="94"/>
      <c r="J31" s="93"/>
      <c r="K31" s="85"/>
      <c r="M31" s="94"/>
      <c r="N31" s="93"/>
      <c r="O31" s="85"/>
      <c r="Q31" s="94"/>
      <c r="R31" s="93"/>
      <c r="S31" s="85"/>
      <c r="U31" s="94"/>
      <c r="V31" s="93"/>
      <c r="W31" s="85"/>
      <c r="Y31" s="94"/>
      <c r="Z31" s="93"/>
      <c r="AA31" s="85"/>
      <c r="AC31" s="94"/>
      <c r="AD31" s="93"/>
      <c r="AE31" s="85"/>
    </row>
    <row r="32" spans="4: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90" priority="1">
      <formula>$A4="Spend to Date"</formula>
    </cfRule>
    <cfRule type="expression" dxfId="89" priority="2">
      <formula>$A4="Spend to Date"</formula>
    </cfRule>
    <cfRule type="expression" dxfId="88" priority="3">
      <formula>$A4="Spend to Date"</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G1003"/>
  <sheetViews>
    <sheetView zoomScaleNormal="100" workbookViewId="0">
      <pane xSplit="2" ySplit="1" topLeftCell="F27" activePane="bottomRight" state="frozen"/>
      <selection pane="topRight" activeCell="C1" sqref="C1"/>
      <selection pane="bottomLeft" activeCell="A2" sqref="A2"/>
      <selection pane="bottomRight" activeCell="M62" sqref="M62"/>
    </sheetView>
  </sheetViews>
  <sheetFormatPr defaultColWidth="8.81640625" defaultRowHeight="14.5" x14ac:dyDescent="0.35"/>
  <cols>
    <col min="1" max="1" width="27" style="86" customWidth="1"/>
    <col min="2" max="2" width="5.453125" style="85" bestFit="1" customWidth="1"/>
    <col min="3" max="3" width="10.54296875" style="85" bestFit="1" customWidth="1"/>
    <col min="4" max="4" width="10.26953125" style="86" bestFit="1" customWidth="1"/>
    <col min="5" max="5" width="13.81640625" style="85" bestFit="1" customWidth="1"/>
    <col min="6" max="6" width="19.81640625" style="93" bestFit="1" customWidth="1"/>
    <col min="7" max="7" width="30" style="87" bestFit="1" customWidth="1"/>
    <col min="8" max="8" width="12.7265625" style="88" bestFit="1" customWidth="1"/>
    <col min="9" max="9" width="13.81640625" style="94" bestFit="1" customWidth="1"/>
    <col min="10" max="10" width="19.54296875" style="93" bestFit="1" customWidth="1"/>
    <col min="11" max="11" width="11" style="87" bestFit="1" customWidth="1"/>
    <col min="12" max="12" width="19.453125" style="87"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26</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788</v>
      </c>
    </row>
    <row r="2" spans="1:33" x14ac:dyDescent="0.35">
      <c r="A2" s="86" t="s">
        <v>10</v>
      </c>
      <c r="D2" s="87"/>
      <c r="E2" s="87">
        <f>SUM(E3:E6)</f>
        <v>0</v>
      </c>
      <c r="F2" s="87">
        <f>SUM(F3:F3)</f>
        <v>0</v>
      </c>
      <c r="I2" s="89">
        <f>SUM(I3:I6)</f>
        <v>0</v>
      </c>
      <c r="J2" s="87">
        <f>SUM(J3:J6)</f>
        <v>0</v>
      </c>
      <c r="M2" s="89">
        <f>SUM(M3:M6)</f>
        <v>-20000</v>
      </c>
      <c r="N2" s="87">
        <f>SUM(N3:N6)</f>
        <v>17184.25</v>
      </c>
      <c r="Q2" s="89">
        <f>SUM(Q3:Q6)</f>
        <v>0</v>
      </c>
      <c r="R2" s="87">
        <f>SUM(R3:R6)</f>
        <v>0</v>
      </c>
      <c r="U2" s="89">
        <f>SUM(U3:U6)</f>
        <v>0</v>
      </c>
      <c r="V2" s="87">
        <f>SUM(V3:V6)</f>
        <v>0</v>
      </c>
      <c r="Y2" s="89">
        <f>SUM(Y3:Y6)</f>
        <v>0</v>
      </c>
      <c r="Z2" s="87">
        <f>SUM(Z3:Z6)</f>
        <v>0</v>
      </c>
      <c r="AC2" s="89">
        <f>SUM(AC3:AC6)</f>
        <v>0</v>
      </c>
      <c r="AD2" s="87">
        <f>SUM(AD3:AD6)</f>
        <v>0</v>
      </c>
    </row>
    <row r="3" spans="1:33" x14ac:dyDescent="0.35">
      <c r="A3" s="86" t="s">
        <v>27</v>
      </c>
      <c r="B3" s="85">
        <v>1</v>
      </c>
      <c r="D3" s="86">
        <v>0</v>
      </c>
      <c r="E3" s="87">
        <v>0</v>
      </c>
      <c r="F3" s="87">
        <f>SUMIFS(H$26:H$1011,E$26:E$1011,$B3)</f>
        <v>0</v>
      </c>
      <c r="G3" s="87">
        <f>D3+E3-F3+SUMIFS(E$9:E$20,$C$9:$C$20,$A3)-SUMIFS(F$9:F$20,$C$9:$C$20,$A3)</f>
        <v>10302.700000000001</v>
      </c>
      <c r="I3" s="89"/>
      <c r="J3" s="87">
        <f>SUMIFS(L$26:L$1010,I$26:I$1010,$B3)</f>
        <v>0</v>
      </c>
      <c r="K3" s="87">
        <f>G3+I3-J3+SUMIFS(I$9:I$20,$C$9:$C$20,$A3)-SUMIFS(J$9:J$20,$C$9:$C$20,$A3)</f>
        <v>40080.39</v>
      </c>
      <c r="L3" s="86"/>
      <c r="M3" s="89">
        <v>-20000</v>
      </c>
      <c r="N3" s="87">
        <f>SUMIFS(P$26:P$1014,M$26:M$1014,$B3)</f>
        <v>17184.25</v>
      </c>
      <c r="O3" s="87">
        <f>K3+M3-N3+SUMIFS(M$9:M$20,$C$9:$C$20,$A3)-SUMIFS(N$9:N$20,$C$9:$C$20,$A3)</f>
        <v>8525.8500000000058</v>
      </c>
      <c r="R3" s="87">
        <f>SUMIFS(T$26:T$1011,Q$26:Q$1011,$B3)</f>
        <v>0</v>
      </c>
      <c r="S3" s="87">
        <f>O3+Q3-R3+SUMIFS(Q$9:Q$20,$C$9:$C$20,$A3)-SUMIFS(R$9:R$20,$C$9:$C$20,$A3)</f>
        <v>10585.850000000006</v>
      </c>
      <c r="V3" s="87">
        <f>SUMIFS(X$26:X$1011,U$26:U$1011,$B3)</f>
        <v>0</v>
      </c>
      <c r="W3" s="87">
        <f>S3+U3-V3+SUMIFS(U$9:U$20,$C$9:$C$20,$A3)-SUMIFS(V$9:V$20,$C$9:$C$20,$A3)</f>
        <v>12707.850000000006</v>
      </c>
      <c r="Z3" s="87">
        <f>SUMIFS(AB$26:AB$1011,Y$26:Y$1011,$B3)</f>
        <v>0</v>
      </c>
      <c r="AA3" s="87">
        <f>W3+Y3-Z3+SUMIFS(Y$9:Y$20,$C$9:$C$20,$A3)-SUMIFS(Z$9:Z$20,$C$9:$C$20,$A3)</f>
        <v>14893.850000000006</v>
      </c>
      <c r="AD3" s="87">
        <f>SUMIFS(AF$26:AF$1011,AC$26:AC$1011,$B3)</f>
        <v>0</v>
      </c>
      <c r="AE3" s="87">
        <f>AA3+AC3-AD3+SUMIFS(AC$9:AC$20,$C$9:$C$20,$A3)-SUMIFS(AD$9:AD$20,$C$9:$C$20,$A3)</f>
        <v>17145.850000000006</v>
      </c>
    </row>
    <row r="4" spans="1:33" x14ac:dyDescent="0.35">
      <c r="A4" s="86" t="s">
        <v>28</v>
      </c>
      <c r="B4" s="85">
        <v>2</v>
      </c>
      <c r="D4" s="86">
        <v>0</v>
      </c>
      <c r="E4" s="87">
        <v>0</v>
      </c>
      <c r="F4" s="87">
        <f>SUMIFS(H$26:H$1011,E$26:E$1011,$B4)</f>
        <v>0</v>
      </c>
      <c r="G4" s="87">
        <f>D4+E4-F4+SUMIFS(E$9:E$20,$C$9:$C$20,$A4)-SUMIFS(F$9:F$20,$C$9:$C$20,$A4)</f>
        <v>0</v>
      </c>
      <c r="I4" s="89"/>
      <c r="J4" s="87">
        <f>SUMIFS(L$26:L$1010,I$26:I$1010,$B4)</f>
        <v>0</v>
      </c>
      <c r="K4" s="87">
        <f>G4+I4-J4+SUMIFS(I$9:I$20,$C$9:$C$20,$A4)-SUMIFS(J$9:J$20,$C$9:$C$20,$A4)</f>
        <v>0</v>
      </c>
      <c r="L4" s="86"/>
      <c r="N4" s="87">
        <f>SUMIFS(P$26:P$1014,M$26:M$1014,$B4)</f>
        <v>0</v>
      </c>
      <c r="O4" s="87">
        <f>K4+M4-N4+SUMIFS(M$9:M$20,$C$9:$C$20,$A4)-SUMIFS(N$9:N$20,$C$9:$C$20,$A4)</f>
        <v>0</v>
      </c>
      <c r="R4" s="87">
        <f>SUMIFS(T$26:T$1011,Q$26:Q$1011,$B4)</f>
        <v>0</v>
      </c>
      <c r="S4" s="87">
        <f>O4+Q4-R4+SUMIFS(Q$9:Q$20,$C$9:$C$20,$A4)-SUMIFS(R$9:R$20,$C$9:$C$20,$A4)</f>
        <v>0</v>
      </c>
      <c r="V4" s="87">
        <f>SUMIFS(X$26:X$1011,U$26:U$1011,$B4)</f>
        <v>0</v>
      </c>
      <c r="W4" s="87">
        <f>S4+U4-V4+SUMIFS(U$9:U$20,$C$9:$C$20,$A4)-SUMIFS(V$9:V$20,$C$9:$C$20,$A4)</f>
        <v>0</v>
      </c>
      <c r="Z4" s="87">
        <f>SUMIFS(AB$26:AB$1011,Y$26:Y$1011,$B4)</f>
        <v>0</v>
      </c>
      <c r="AA4" s="87">
        <f>W4+Y4-Z4+SUMIFS(Y$9:Y$20,$C$9:$C$20,$A4)-SUMIFS(Z$9:Z$20,$C$9:$C$20,$A4)</f>
        <v>0</v>
      </c>
      <c r="AD4" s="87">
        <f>SUMIFS(AF$26:AF$1011,AC$26:AC$1011,$B4)</f>
        <v>0</v>
      </c>
      <c r="AE4" s="87">
        <f>AA4+AC4-AD4+SUMIFS(AC$9:AC$20,$C$9:$C$20,$A4)-SUMIFS(AD$9:AD$20,$C$9:$C$20,$A4)</f>
        <v>0</v>
      </c>
    </row>
    <row r="5" spans="1:33" x14ac:dyDescent="0.35">
      <c r="A5" s="86" t="s">
        <v>29</v>
      </c>
      <c r="B5" s="85">
        <v>3</v>
      </c>
      <c r="D5" s="86">
        <v>0</v>
      </c>
      <c r="E5" s="87">
        <v>0</v>
      </c>
      <c r="F5" s="87">
        <f>SUMIFS(H$26:H$1011,E$26:E$1011,$B5)</f>
        <v>0</v>
      </c>
      <c r="G5" s="87">
        <f>D5+E5-F5+SUMIFS(E$9:E$20,$C$9:$C$20,$A5)-SUMIFS(F$9:F$20,$C$9:$C$20,$A5)</f>
        <v>0</v>
      </c>
      <c r="I5" s="89"/>
      <c r="J5" s="87">
        <f>SUMIFS(L$26:L$1010,I$26:I$1010,$B5)</f>
        <v>0</v>
      </c>
      <c r="K5" s="87">
        <f>G5+I5-J5+SUMIFS(I$9:I$20,$C$9:$C$20,$A5)-SUMIFS(J$9:J$20,$C$9:$C$20,$A5)</f>
        <v>0</v>
      </c>
      <c r="L5" s="86"/>
      <c r="N5" s="87">
        <f>SUMIFS(P$26:P$1014,M$26:M$1014,$B5)</f>
        <v>0</v>
      </c>
      <c r="O5" s="87">
        <f>K5+M5-N5+SUMIFS(M$9:M$20,$C$9:$C$20,$A5)-SUMIFS(N$9:N$20,$C$9:$C$20,$A5)</f>
        <v>0</v>
      </c>
      <c r="R5" s="87">
        <f>SUMIFS(T$26:T$1011,Q$26:Q$1011,$B5)</f>
        <v>0</v>
      </c>
      <c r="S5" s="87">
        <f>O5+Q5-R5+SUMIFS(Q$9:Q$20,$C$9:$C$20,$A5)-SUMIFS(R$9:R$20,$C$9:$C$20,$A5)</f>
        <v>0</v>
      </c>
      <c r="V5" s="87">
        <f>SUMIFS(X$26:X$1011,U$26:U$1011,$B5)</f>
        <v>0</v>
      </c>
      <c r="W5" s="87">
        <f>S5+U5-V5+SUMIFS(U$9:U$20,$C$9:$C$20,$A5)-SUMIFS(V$9:V$20,$C$9:$C$20,$A5)</f>
        <v>0</v>
      </c>
      <c r="Z5" s="87">
        <f>SUMIFS(AB$26:AB$1011,Y$26:Y$1011,$B5)</f>
        <v>0</v>
      </c>
      <c r="AA5" s="87">
        <f>W5+Y5-Z5+SUMIFS(Y$9:Y$20,$C$9:$C$20,$A5)-SUMIFS(Z$9:Z$20,$C$9:$C$20,$A5)</f>
        <v>0</v>
      </c>
      <c r="AD5" s="87">
        <f>SUMIFS(AF$26:AF$1011,AC$26:AC$1011,$B5)</f>
        <v>0</v>
      </c>
      <c r="AE5" s="87">
        <f>AA5+AC5-AD5+SUMIFS(AC$9:AC$20,$C$9:$C$20,$A5)-SUMIFS(AD$9:AD$20,$C$9:$C$20,$A5)</f>
        <v>0</v>
      </c>
    </row>
    <row r="6" spans="1:33" x14ac:dyDescent="0.35">
      <c r="A6" s="86" t="s">
        <v>30</v>
      </c>
      <c r="B6" s="85">
        <v>4</v>
      </c>
      <c r="D6" s="86">
        <v>0</v>
      </c>
      <c r="E6" s="87">
        <v>0</v>
      </c>
      <c r="F6" s="87">
        <f>SUMIFS(H$26:H$1011,E$26:E$1011,$B6)</f>
        <v>0</v>
      </c>
      <c r="G6" s="87">
        <f>D6+E6-F6+SUMIFS(E$9:E$20,$C$9:$C$20,$A6)-SUMIFS(F$9:F$20,$C$9:$C$20,$A6)</f>
        <v>0</v>
      </c>
      <c r="I6" s="89"/>
      <c r="J6" s="87">
        <f>SUMIFS(L$26:L$1010,I$26:I$1010,$B6)</f>
        <v>0</v>
      </c>
      <c r="K6" s="87">
        <f>G6+I6-J6+SUMIFS(I$9:I$20,$C$9:$C$20,$A6)-SUMIFS(J$9:J$20,$C$9:$C$20,$A6)</f>
        <v>0</v>
      </c>
      <c r="L6" s="86"/>
      <c r="N6" s="87">
        <f>SUMIFS(P$26:P$1014,M$26:M$1014,$B6)</f>
        <v>0</v>
      </c>
      <c r="O6" s="87">
        <f>K6+M6-N6+SUMIFS(M$9:M$20,$C$9:$C$20,$A6)-SUMIFS(N$9:N$20,$C$9:$C$20,$A6)</f>
        <v>0</v>
      </c>
      <c r="R6" s="87">
        <f>SUMIFS(T$26:T$1011,Q$26:Q$1011,$B6)</f>
        <v>0</v>
      </c>
      <c r="S6" s="87">
        <f>O6+Q6-R6+SUMIFS(Q$9:Q$20,$C$9:$C$20,$A6)-SUMIFS(R$9:R$20,$C$9:$C$20,$A6)</f>
        <v>0</v>
      </c>
      <c r="V6" s="87">
        <f>SUMIFS(X$26:X$1011,U$26:U$1011,$B6)</f>
        <v>0</v>
      </c>
      <c r="W6" s="87">
        <f>S6+U6-V6+SUMIFS(U$9:U$20,$C$9:$C$20,$A6)-SUMIFS(V$9:V$20,$C$9:$C$20,$A6)</f>
        <v>0</v>
      </c>
      <c r="Z6" s="87">
        <f>SUMIFS(AB$26:AB$1011,Y$26:Y$1011,$B6)</f>
        <v>0</v>
      </c>
      <c r="AA6" s="87">
        <f>W6+Y6-Z6+SUMIFS(Y$9:Y$20,$C$9:$C$20,$A6)-SUMIFS(Z$9:Z$20,$C$9:$C$20,$A6)</f>
        <v>0</v>
      </c>
      <c r="AD6" s="87">
        <f>SUMIFS(AF$26:AF$1011,AC$26:AC$1011,$B6)</f>
        <v>0</v>
      </c>
      <c r="AE6" s="87">
        <f>AA6+AC6-AD6+SUMIFS(AC$9:AC$20,$C$9:$C$20,$A6)-SUMIFS(AD$9:AD$20,$C$9:$C$20,$A6)</f>
        <v>0</v>
      </c>
    </row>
    <row r="7" spans="1:33" x14ac:dyDescent="0.35">
      <c r="E7" s="87"/>
      <c r="F7" s="87"/>
      <c r="I7" s="89"/>
      <c r="J7" s="87"/>
    </row>
    <row r="8" spans="1:33" x14ac:dyDescent="0.35">
      <c r="A8" s="84" t="s">
        <v>31</v>
      </c>
      <c r="D8" s="84"/>
      <c r="E8" s="87">
        <f>SUM(E9:E20)</f>
        <v>20000</v>
      </c>
      <c r="F8" s="87">
        <f>SUM(F9:F20)</f>
        <v>9697.2999999999993</v>
      </c>
      <c r="I8" s="89">
        <f>SUM(I9:I20)</f>
        <v>34145</v>
      </c>
      <c r="J8" s="87">
        <f>SUM(J9:J20)</f>
        <v>4367.3100000000013</v>
      </c>
      <c r="M8" s="89">
        <f>SUM(M9:M20)</f>
        <v>40285</v>
      </c>
      <c r="N8" s="87">
        <f>SUM(N9:N20)</f>
        <v>34655.289999999994</v>
      </c>
      <c r="Q8" s="89">
        <f>SUM(Q9:Q20)</f>
        <v>41494</v>
      </c>
      <c r="R8" s="87">
        <f>$Q$8</f>
        <v>41494</v>
      </c>
      <c r="U8" s="89">
        <f>SUM(U9:U20)</f>
        <v>42742</v>
      </c>
      <c r="V8" s="87">
        <f>$U$8</f>
        <v>42742</v>
      </c>
      <c r="Y8" s="89">
        <f>SUM(Y9:Y20)</f>
        <v>44028</v>
      </c>
      <c r="Z8" s="87">
        <f>$Y$8</f>
        <v>44028</v>
      </c>
      <c r="AC8" s="89">
        <f>SUM(AC9:AC20)</f>
        <v>45354</v>
      </c>
      <c r="AD8" s="87">
        <f>$AC$8</f>
        <v>45354</v>
      </c>
    </row>
    <row r="9" spans="1:33" x14ac:dyDescent="0.35">
      <c r="A9" s="86" t="s">
        <v>27</v>
      </c>
      <c r="B9" s="85">
        <v>5</v>
      </c>
      <c r="C9" s="85" t="s">
        <v>27</v>
      </c>
      <c r="D9" s="84"/>
      <c r="E9" s="87">
        <v>20000</v>
      </c>
      <c r="F9" s="87">
        <f t="shared" ref="F9:F20" si="0">SUMIFS(H$26:H$1011,E$26:E$1011,$B9)</f>
        <v>1474.24</v>
      </c>
      <c r="G9" s="88"/>
      <c r="I9" s="89">
        <f>ROUNDUP((E9)*RPICurrent,0)-I11</f>
        <v>14572</v>
      </c>
      <c r="J9" s="87">
        <f t="shared" ref="J9:J20" si="1">SUMIFS(L$26:L$1010,I$26:I$1010,$B9)</f>
        <v>-14484.369999999999</v>
      </c>
      <c r="M9" s="89">
        <v>7500</v>
      </c>
      <c r="N9" s="87">
        <f t="shared" ref="N9:N20" si="2">SUMIFS(P$26:P$1013,M$26:M$1013,$B9)</f>
        <v>780.02</v>
      </c>
      <c r="Q9" s="89">
        <f t="shared" ref="Q9:Q20" si="3">ROUNDUP((M9)*RPI,0)</f>
        <v>7725</v>
      </c>
      <c r="R9" s="87">
        <f>$Q$9</f>
        <v>7725</v>
      </c>
      <c r="U9" s="89">
        <f t="shared" ref="U9:U20" si="4">ROUNDUP((Q9)*RPI,0)</f>
        <v>7957</v>
      </c>
      <c r="V9" s="87">
        <f>$U$9</f>
        <v>7957</v>
      </c>
      <c r="Y9" s="89">
        <f t="shared" ref="Y9:Y20" si="5">ROUNDUP((U9)*RPI,0)</f>
        <v>8196</v>
      </c>
      <c r="Z9" s="87">
        <f>$Y$9</f>
        <v>8196</v>
      </c>
      <c r="AC9" s="89">
        <f t="shared" ref="AC9:AC20" si="6">ROUNDUP((Y9)*RPI,0)</f>
        <v>8442</v>
      </c>
      <c r="AD9" s="87">
        <f>$AC$9</f>
        <v>8442</v>
      </c>
    </row>
    <row r="10" spans="1:33" x14ac:dyDescent="0.35">
      <c r="A10" s="86" t="s">
        <v>32</v>
      </c>
      <c r="B10" s="85">
        <v>6</v>
      </c>
      <c r="C10" s="85" t="s">
        <v>27</v>
      </c>
      <c r="D10" s="84"/>
      <c r="E10" s="87">
        <v>0</v>
      </c>
      <c r="F10" s="87">
        <f t="shared" si="0"/>
        <v>700</v>
      </c>
      <c r="G10" s="88"/>
      <c r="I10" s="89">
        <f t="shared" ref="I10:I16" si="7">ROUNDUP((E10)*RPICurrent,0)</f>
        <v>0</v>
      </c>
      <c r="J10" s="87">
        <f t="shared" si="1"/>
        <v>550</v>
      </c>
      <c r="M10" s="89">
        <v>1100</v>
      </c>
      <c r="N10" s="87">
        <f t="shared" si="2"/>
        <v>0</v>
      </c>
      <c r="Q10" s="89">
        <f t="shared" si="3"/>
        <v>1133</v>
      </c>
      <c r="R10" s="87">
        <f>$Q$10</f>
        <v>1133</v>
      </c>
      <c r="U10" s="89">
        <f t="shared" si="4"/>
        <v>1167</v>
      </c>
      <c r="V10" s="87">
        <f>$U$10</f>
        <v>1167</v>
      </c>
      <c r="Y10" s="89">
        <f t="shared" si="5"/>
        <v>1203</v>
      </c>
      <c r="Z10" s="87">
        <f>$Y$10</f>
        <v>1203</v>
      </c>
      <c r="AC10" s="89">
        <f t="shared" si="6"/>
        <v>1240</v>
      </c>
      <c r="AD10" s="87">
        <f>$AC$10</f>
        <v>1240</v>
      </c>
    </row>
    <row r="11" spans="1:33" x14ac:dyDescent="0.35">
      <c r="A11" s="86" t="s">
        <v>33</v>
      </c>
      <c r="B11" s="85">
        <v>7</v>
      </c>
      <c r="C11" s="85" t="s">
        <v>27</v>
      </c>
      <c r="D11" s="84"/>
      <c r="E11" s="87">
        <v>0</v>
      </c>
      <c r="F11" s="87">
        <f t="shared" si="0"/>
        <v>0</v>
      </c>
      <c r="G11" s="88"/>
      <c r="I11" s="89">
        <v>7128</v>
      </c>
      <c r="J11" s="87">
        <f t="shared" si="1"/>
        <v>7128</v>
      </c>
      <c r="M11" s="89">
        <v>9000</v>
      </c>
      <c r="N11" s="87">
        <f t="shared" si="2"/>
        <v>20883.099999999999</v>
      </c>
      <c r="Q11" s="89">
        <f t="shared" si="3"/>
        <v>9270</v>
      </c>
      <c r="R11" s="87">
        <f>$Q$11</f>
        <v>9270</v>
      </c>
      <c r="U11" s="89">
        <f t="shared" si="4"/>
        <v>9549</v>
      </c>
      <c r="V11" s="87">
        <f>$U$11</f>
        <v>9549</v>
      </c>
      <c r="Y11" s="89">
        <f t="shared" si="5"/>
        <v>9836</v>
      </c>
      <c r="Z11" s="87">
        <f>$Y$11</f>
        <v>9836</v>
      </c>
      <c r="AC11" s="89">
        <f t="shared" si="6"/>
        <v>10132</v>
      </c>
      <c r="AD11" s="87">
        <f>$AC$11</f>
        <v>10132</v>
      </c>
    </row>
    <row r="12" spans="1:33" x14ac:dyDescent="0.35">
      <c r="A12" s="86" t="s">
        <v>34</v>
      </c>
      <c r="B12" s="85">
        <v>8</v>
      </c>
      <c r="C12" s="85" t="s">
        <v>27</v>
      </c>
      <c r="D12" s="84"/>
      <c r="E12" s="87">
        <v>0</v>
      </c>
      <c r="F12" s="87">
        <f t="shared" si="0"/>
        <v>150</v>
      </c>
      <c r="G12" s="88"/>
      <c r="I12" s="89">
        <f t="shared" si="7"/>
        <v>0</v>
      </c>
      <c r="J12" s="87">
        <f t="shared" si="1"/>
        <v>613.04</v>
      </c>
      <c r="M12" s="89">
        <v>400</v>
      </c>
      <c r="N12" s="87">
        <f t="shared" si="2"/>
        <v>361.67</v>
      </c>
      <c r="Q12" s="89">
        <f t="shared" si="3"/>
        <v>412</v>
      </c>
      <c r="R12" s="87">
        <f>$Q$12</f>
        <v>412</v>
      </c>
      <c r="U12" s="89">
        <f t="shared" si="4"/>
        <v>425</v>
      </c>
      <c r="V12" s="87">
        <f>$U$12</f>
        <v>425</v>
      </c>
      <c r="Y12" s="89">
        <f t="shared" si="5"/>
        <v>438</v>
      </c>
      <c r="Z12" s="87">
        <f>$Y$12</f>
        <v>438</v>
      </c>
      <c r="AC12" s="89">
        <f t="shared" si="6"/>
        <v>452</v>
      </c>
      <c r="AD12" s="87">
        <f>$AC$12</f>
        <v>452</v>
      </c>
    </row>
    <row r="13" spans="1:33" x14ac:dyDescent="0.35">
      <c r="A13" s="86" t="s">
        <v>35</v>
      </c>
      <c r="B13" s="85">
        <v>9</v>
      </c>
      <c r="C13" s="85" t="s">
        <v>27</v>
      </c>
      <c r="D13" s="84"/>
      <c r="E13" s="87">
        <v>0</v>
      </c>
      <c r="F13" s="87">
        <f t="shared" si="0"/>
        <v>430</v>
      </c>
      <c r="G13" s="88"/>
      <c r="I13" s="89">
        <f t="shared" si="7"/>
        <v>0</v>
      </c>
      <c r="J13" s="87">
        <f t="shared" si="1"/>
        <v>0</v>
      </c>
      <c r="M13" s="89">
        <f>ROUNDUP((I13)*RPI,0)</f>
        <v>0</v>
      </c>
      <c r="N13" s="87">
        <f t="shared" si="2"/>
        <v>380</v>
      </c>
      <c r="Q13" s="89">
        <f t="shared" si="3"/>
        <v>0</v>
      </c>
      <c r="R13" s="87">
        <f>$Q$13</f>
        <v>0</v>
      </c>
      <c r="U13" s="89">
        <f t="shared" si="4"/>
        <v>0</v>
      </c>
      <c r="V13" s="87">
        <f>$U$13</f>
        <v>0</v>
      </c>
      <c r="Y13" s="89">
        <f t="shared" si="5"/>
        <v>0</v>
      </c>
      <c r="Z13" s="87">
        <f>$Y$13</f>
        <v>0</v>
      </c>
      <c r="AC13" s="89">
        <f t="shared" si="6"/>
        <v>0</v>
      </c>
      <c r="AD13" s="87">
        <f>$AC$13</f>
        <v>0</v>
      </c>
    </row>
    <row r="14" spans="1:33" x14ac:dyDescent="0.35">
      <c r="A14" s="86" t="s">
        <v>36</v>
      </c>
      <c r="B14" s="85">
        <v>10</v>
      </c>
      <c r="C14" s="85" t="s">
        <v>27</v>
      </c>
      <c r="D14" s="84"/>
      <c r="E14" s="87">
        <v>0</v>
      </c>
      <c r="F14" s="87">
        <f t="shared" si="0"/>
        <v>175</v>
      </c>
      <c r="G14" s="88"/>
      <c r="I14" s="89">
        <f t="shared" si="7"/>
        <v>0</v>
      </c>
      <c r="J14" s="87">
        <f t="shared" si="1"/>
        <v>2407.5</v>
      </c>
      <c r="M14" s="89">
        <v>13000</v>
      </c>
      <c r="N14" s="87">
        <f t="shared" si="2"/>
        <v>5006.49</v>
      </c>
      <c r="Q14" s="89">
        <f t="shared" si="3"/>
        <v>13390</v>
      </c>
      <c r="R14" s="87">
        <f>$Q$14</f>
        <v>13390</v>
      </c>
      <c r="U14" s="89">
        <f t="shared" si="4"/>
        <v>13792</v>
      </c>
      <c r="V14" s="87">
        <f>$U$14</f>
        <v>13792</v>
      </c>
      <c r="Y14" s="89">
        <f t="shared" si="5"/>
        <v>14206</v>
      </c>
      <c r="Z14" s="87">
        <f>$Y$14</f>
        <v>14206</v>
      </c>
      <c r="AC14" s="89">
        <f t="shared" si="6"/>
        <v>14633</v>
      </c>
      <c r="AD14" s="87">
        <f>$AC$14</f>
        <v>14633</v>
      </c>
    </row>
    <row r="15" spans="1:33" x14ac:dyDescent="0.35">
      <c r="A15" s="86" t="s">
        <v>37</v>
      </c>
      <c r="B15" s="85">
        <v>11</v>
      </c>
      <c r="C15" s="85" t="s">
        <v>27</v>
      </c>
      <c r="D15" s="84"/>
      <c r="E15" s="87">
        <v>0</v>
      </c>
      <c r="F15" s="87">
        <f t="shared" si="0"/>
        <v>0</v>
      </c>
      <c r="G15" s="88"/>
      <c r="I15" s="89">
        <f t="shared" si="7"/>
        <v>0</v>
      </c>
      <c r="J15" s="87">
        <f t="shared" si="1"/>
        <v>245</v>
      </c>
      <c r="M15" s="89">
        <v>500</v>
      </c>
      <c r="N15" s="87">
        <f t="shared" si="2"/>
        <v>250</v>
      </c>
      <c r="Q15" s="89">
        <f t="shared" si="3"/>
        <v>515</v>
      </c>
      <c r="R15" s="87">
        <f>$Q$15</f>
        <v>515</v>
      </c>
      <c r="U15" s="89">
        <f t="shared" si="4"/>
        <v>531</v>
      </c>
      <c r="V15" s="87">
        <f>$U$15</f>
        <v>531</v>
      </c>
      <c r="Y15" s="89">
        <f t="shared" si="5"/>
        <v>547</v>
      </c>
      <c r="Z15" s="87">
        <f>$Y$15</f>
        <v>547</v>
      </c>
      <c r="AC15" s="89">
        <f t="shared" si="6"/>
        <v>564</v>
      </c>
      <c r="AD15" s="87">
        <f>$AC$15</f>
        <v>564</v>
      </c>
    </row>
    <row r="16" spans="1:33" x14ac:dyDescent="0.35">
      <c r="A16" s="86" t="s">
        <v>38</v>
      </c>
      <c r="B16" s="85">
        <v>12</v>
      </c>
      <c r="C16" s="85" t="s">
        <v>27</v>
      </c>
      <c r="D16" s="84"/>
      <c r="E16" s="87">
        <v>0</v>
      </c>
      <c r="F16" s="87">
        <f t="shared" si="0"/>
        <v>0</v>
      </c>
      <c r="G16" s="88"/>
      <c r="I16" s="89">
        <f t="shared" si="7"/>
        <v>0</v>
      </c>
      <c r="J16" s="87">
        <f t="shared" si="1"/>
        <v>66.67</v>
      </c>
      <c r="M16" s="89">
        <v>120</v>
      </c>
      <c r="N16" s="87">
        <f t="shared" si="2"/>
        <v>280</v>
      </c>
      <c r="Q16" s="89">
        <f t="shared" si="3"/>
        <v>124</v>
      </c>
      <c r="R16" s="87">
        <f>$Q$16</f>
        <v>124</v>
      </c>
      <c r="U16" s="89">
        <f t="shared" si="4"/>
        <v>128</v>
      </c>
      <c r="V16" s="87">
        <f>$U$16</f>
        <v>128</v>
      </c>
      <c r="Y16" s="89">
        <f t="shared" si="5"/>
        <v>132</v>
      </c>
      <c r="Z16" s="87">
        <f>$Y$16</f>
        <v>132</v>
      </c>
      <c r="AC16" s="89">
        <f t="shared" si="6"/>
        <v>136</v>
      </c>
      <c r="AD16" s="87">
        <f>$AC$16</f>
        <v>136</v>
      </c>
    </row>
    <row r="17" spans="1:31" s="102" customFormat="1" x14ac:dyDescent="0.35">
      <c r="A17" s="100" t="s">
        <v>39</v>
      </c>
      <c r="B17" s="101">
        <v>13</v>
      </c>
      <c r="C17" s="101" t="s">
        <v>27</v>
      </c>
      <c r="D17" s="100"/>
      <c r="E17" s="102">
        <v>0</v>
      </c>
      <c r="F17" s="102">
        <f t="shared" si="0"/>
        <v>0</v>
      </c>
      <c r="G17" s="103"/>
      <c r="H17" s="103"/>
      <c r="I17" s="104">
        <f>E17*RPICurrent</f>
        <v>0</v>
      </c>
      <c r="J17" s="102">
        <f t="shared" si="1"/>
        <v>0</v>
      </c>
      <c r="M17" s="104">
        <f>ROUNDUP((I17)*RPI,0)</f>
        <v>0</v>
      </c>
      <c r="N17" s="87">
        <f t="shared" si="2"/>
        <v>0</v>
      </c>
      <c r="Q17" s="104">
        <f>ROUNDUP((M17)*RPI,0)</f>
        <v>0</v>
      </c>
      <c r="R17" s="102">
        <f>$Q$17</f>
        <v>0</v>
      </c>
      <c r="U17" s="104">
        <f>ROUNDUP((Q17)*RPI,0)</f>
        <v>0</v>
      </c>
      <c r="V17" s="102">
        <f>$U$17</f>
        <v>0</v>
      </c>
      <c r="Y17" s="104">
        <f>ROUNDUP((U17)*RPI,0)</f>
        <v>0</v>
      </c>
      <c r="Z17" s="102">
        <f>$Y$17</f>
        <v>0</v>
      </c>
      <c r="AC17" s="104">
        <f>ROUNDUP((Y17)*RPI,0)</f>
        <v>0</v>
      </c>
      <c r="AD17" s="102">
        <f>$AC$17</f>
        <v>0</v>
      </c>
    </row>
    <row r="18" spans="1:31" x14ac:dyDescent="0.35">
      <c r="A18" s="86" t="s">
        <v>40</v>
      </c>
      <c r="B18" s="85">
        <v>14</v>
      </c>
      <c r="C18" s="85" t="s">
        <v>27</v>
      </c>
      <c r="E18" s="87">
        <v>0</v>
      </c>
      <c r="F18" s="87">
        <f t="shared" si="0"/>
        <v>630</v>
      </c>
      <c r="G18" s="88"/>
      <c r="I18" s="89">
        <f>E18*RPICurrent</f>
        <v>0</v>
      </c>
      <c r="J18" s="87">
        <f t="shared" si="1"/>
        <v>0</v>
      </c>
      <c r="M18" s="89">
        <f>ROUNDUP((I18)*RPI,0)</f>
        <v>0</v>
      </c>
      <c r="N18" s="87">
        <f t="shared" si="2"/>
        <v>0</v>
      </c>
      <c r="P18" s="87" t="s">
        <v>2099</v>
      </c>
      <c r="Q18" s="89">
        <f>ROUNDUP((M18)*RPI,0)</f>
        <v>0</v>
      </c>
      <c r="R18" s="87">
        <f>$Q$18</f>
        <v>0</v>
      </c>
      <c r="U18" s="89">
        <f>ROUNDUP((Q18)*RPI,0)</f>
        <v>0</v>
      </c>
      <c r="V18" s="87">
        <f>$U$18</f>
        <v>0</v>
      </c>
      <c r="Y18" s="89">
        <f>ROUNDUP((U18)*RPI,0)</f>
        <v>0</v>
      </c>
      <c r="Z18" s="87">
        <f>$Y$18</f>
        <v>0</v>
      </c>
      <c r="AC18" s="89">
        <f>ROUNDUP((Y18)*RPI,0)</f>
        <v>0</v>
      </c>
      <c r="AD18" s="87">
        <f>$AC$18</f>
        <v>0</v>
      </c>
    </row>
    <row r="19" spans="1:31" x14ac:dyDescent="0.35">
      <c r="A19" s="86" t="s">
        <v>41</v>
      </c>
      <c r="B19" s="85">
        <v>15</v>
      </c>
      <c r="C19" s="85" t="s">
        <v>27</v>
      </c>
      <c r="E19" s="87">
        <v>0</v>
      </c>
      <c r="F19" s="87">
        <f t="shared" si="0"/>
        <v>1499</v>
      </c>
      <c r="G19" s="88"/>
      <c r="I19" s="89">
        <f>E19*RPICurrent</f>
        <v>0</v>
      </c>
      <c r="J19" s="87">
        <f t="shared" si="1"/>
        <v>1371</v>
      </c>
      <c r="M19" s="89">
        <v>2000</v>
      </c>
      <c r="N19" s="87">
        <f t="shared" si="2"/>
        <v>2400.6</v>
      </c>
      <c r="Q19" s="89">
        <f>ROUNDUP((M19)*RPI,0)</f>
        <v>2060</v>
      </c>
      <c r="R19" s="87">
        <f>$Q$18</f>
        <v>0</v>
      </c>
      <c r="U19" s="89">
        <f>ROUNDUP((Q19)*RPI,0)</f>
        <v>2122</v>
      </c>
      <c r="V19" s="87">
        <f>$U$18</f>
        <v>0</v>
      </c>
      <c r="Y19" s="89">
        <f>ROUNDUP((U19)*RPI,0)</f>
        <v>2186</v>
      </c>
      <c r="Z19" s="87">
        <f>$Y$18</f>
        <v>0</v>
      </c>
      <c r="AC19" s="89">
        <f>ROUNDUP((Y19)*RPI,0)</f>
        <v>2252</v>
      </c>
      <c r="AD19" s="87">
        <f>$AC$18</f>
        <v>0</v>
      </c>
    </row>
    <row r="20" spans="1:31" x14ac:dyDescent="0.35">
      <c r="A20" s="86" t="s">
        <v>42</v>
      </c>
      <c r="B20" s="85">
        <v>16</v>
      </c>
      <c r="C20" s="85" t="s">
        <v>27</v>
      </c>
      <c r="E20" s="87">
        <v>0</v>
      </c>
      <c r="F20" s="87">
        <f t="shared" si="0"/>
        <v>4639.0599999999995</v>
      </c>
      <c r="G20" s="88"/>
      <c r="I20" s="89">
        <f>9450+2995</f>
        <v>12445</v>
      </c>
      <c r="J20" s="87">
        <f t="shared" si="1"/>
        <v>6470.47</v>
      </c>
      <c r="M20" s="89">
        <v>6665</v>
      </c>
      <c r="N20" s="87">
        <f t="shared" si="2"/>
        <v>4313.41</v>
      </c>
      <c r="Q20" s="89">
        <f t="shared" si="3"/>
        <v>6865</v>
      </c>
      <c r="R20" s="87">
        <f>$Q$20</f>
        <v>6865</v>
      </c>
      <c r="U20" s="89">
        <f t="shared" si="4"/>
        <v>7071</v>
      </c>
      <c r="V20" s="87">
        <f>$U$20</f>
        <v>7071</v>
      </c>
      <c r="Y20" s="89">
        <f t="shared" si="5"/>
        <v>7284</v>
      </c>
      <c r="Z20" s="87">
        <f>$Y$20</f>
        <v>7284</v>
      </c>
      <c r="AC20" s="89">
        <f t="shared" si="6"/>
        <v>7503</v>
      </c>
      <c r="AD20" s="87">
        <f>$AC$20</f>
        <v>7503</v>
      </c>
    </row>
    <row r="21" spans="1:31" x14ac:dyDescent="0.35">
      <c r="E21" s="87"/>
      <c r="F21" s="87"/>
      <c r="I21" s="89"/>
      <c r="J21" s="87"/>
    </row>
    <row r="22" spans="1:31" x14ac:dyDescent="0.35">
      <c r="E22" s="87"/>
      <c r="F22" s="87"/>
      <c r="I22" s="89"/>
      <c r="J22" s="87"/>
    </row>
    <row r="23" spans="1:31" x14ac:dyDescent="0.35">
      <c r="E23" s="87"/>
      <c r="F23" s="87"/>
      <c r="I23" s="89"/>
      <c r="J23" s="87"/>
    </row>
    <row r="24" spans="1:31" x14ac:dyDescent="0.35">
      <c r="A24" s="84" t="s">
        <v>487</v>
      </c>
      <c r="G24" s="85"/>
      <c r="H24" s="87"/>
      <c r="K24" s="85"/>
      <c r="M24" s="94"/>
      <c r="N24" s="93"/>
      <c r="O24" s="85"/>
      <c r="Q24" s="94"/>
      <c r="R24" s="93"/>
      <c r="S24" s="85"/>
      <c r="U24" s="94"/>
      <c r="V24" s="93"/>
      <c r="W24" s="85"/>
      <c r="Y24" s="94"/>
      <c r="Z24" s="93"/>
      <c r="AA24" s="85"/>
      <c r="AC24" s="94"/>
      <c r="AD24" s="93"/>
      <c r="AE24" s="85"/>
    </row>
    <row r="25" spans="1:31" x14ac:dyDescent="0.35">
      <c r="E25" s="85" t="s">
        <v>484</v>
      </c>
      <c r="F25" s="93" t="s">
        <v>488</v>
      </c>
      <c r="G25" s="85" t="s">
        <v>489</v>
      </c>
      <c r="H25" s="87" t="s">
        <v>475</v>
      </c>
      <c r="I25" s="85" t="s">
        <v>484</v>
      </c>
      <c r="J25" s="93" t="s">
        <v>488</v>
      </c>
      <c r="K25" s="85" t="s">
        <v>489</v>
      </c>
      <c r="L25" s="87" t="s">
        <v>475</v>
      </c>
      <c r="M25" s="85" t="s">
        <v>484</v>
      </c>
      <c r="N25" s="93" t="s">
        <v>488</v>
      </c>
      <c r="O25" s="85" t="s">
        <v>489</v>
      </c>
      <c r="P25" s="87" t="s">
        <v>475</v>
      </c>
      <c r="Q25" s="94"/>
      <c r="R25" s="93"/>
      <c r="S25" s="85"/>
      <c r="U25" s="94"/>
      <c r="V25" s="93"/>
      <c r="W25" s="85"/>
      <c r="Y25" s="94"/>
      <c r="Z25" s="93"/>
      <c r="AA25" s="85"/>
      <c r="AC25" s="94"/>
      <c r="AD25" s="93"/>
      <c r="AE25" s="85"/>
    </row>
    <row r="26" spans="1:31" x14ac:dyDescent="0.35">
      <c r="A26" s="85"/>
      <c r="D26" s="85"/>
      <c r="E26" s="85">
        <v>5</v>
      </c>
      <c r="F26" s="93">
        <v>44655</v>
      </c>
      <c r="G26" s="85" t="s">
        <v>540</v>
      </c>
      <c r="H26" s="87">
        <v>400</v>
      </c>
      <c r="I26" s="94">
        <v>7</v>
      </c>
      <c r="J26" s="93" t="s">
        <v>790</v>
      </c>
      <c r="K26" s="85" t="s">
        <v>33</v>
      </c>
      <c r="L26" s="87">
        <v>7128</v>
      </c>
      <c r="M26" s="94">
        <v>15</v>
      </c>
      <c r="N26" s="93" t="s">
        <v>2802</v>
      </c>
      <c r="O26" s="93" t="s">
        <v>2549</v>
      </c>
      <c r="P26" s="148">
        <v>715</v>
      </c>
      <c r="Q26" s="94"/>
      <c r="R26" s="93"/>
      <c r="S26" s="85"/>
      <c r="U26" s="94"/>
      <c r="V26" s="93"/>
      <c r="W26" s="85"/>
      <c r="Y26" s="94"/>
      <c r="Z26" s="93"/>
      <c r="AA26" s="85"/>
      <c r="AC26" s="94"/>
      <c r="AD26" s="93"/>
      <c r="AE26" s="85"/>
    </row>
    <row r="27" spans="1:31" x14ac:dyDescent="0.35">
      <c r="E27" s="85">
        <v>8</v>
      </c>
      <c r="F27" s="93">
        <v>44599</v>
      </c>
      <c r="G27" s="85" t="s">
        <v>789</v>
      </c>
      <c r="H27" s="87">
        <v>66.67</v>
      </c>
      <c r="I27" s="94">
        <v>5</v>
      </c>
      <c r="J27" s="93" t="s">
        <v>790</v>
      </c>
      <c r="K27" s="85" t="s">
        <v>33</v>
      </c>
      <c r="L27" s="87">
        <f>641.49*12-L26</f>
        <v>569.88000000000011</v>
      </c>
      <c r="M27" s="94">
        <v>16</v>
      </c>
      <c r="N27" s="93" t="s">
        <v>2802</v>
      </c>
      <c r="O27" s="85" t="s">
        <v>2584</v>
      </c>
      <c r="P27" s="148">
        <v>2650</v>
      </c>
      <c r="Q27" s="94"/>
      <c r="R27" s="93"/>
      <c r="S27" s="85"/>
      <c r="U27" s="94"/>
      <c r="V27" s="93"/>
      <c r="W27" s="85"/>
      <c r="Y27" s="94"/>
      <c r="Z27" s="93"/>
      <c r="AA27" s="85"/>
      <c r="AC27" s="94"/>
      <c r="AD27" s="93"/>
      <c r="AE27" s="85"/>
    </row>
    <row r="28" spans="1:31" x14ac:dyDescent="0.35">
      <c r="E28" s="85">
        <v>15</v>
      </c>
      <c r="F28" s="93">
        <v>44663</v>
      </c>
      <c r="G28" s="85" t="s">
        <v>791</v>
      </c>
      <c r="H28" s="87">
        <v>58</v>
      </c>
      <c r="I28" s="94">
        <v>15</v>
      </c>
      <c r="J28" s="93">
        <v>45017</v>
      </c>
      <c r="K28" s="85" t="s">
        <v>793</v>
      </c>
      <c r="L28" s="87">
        <f>690+200+185</f>
        <v>1075</v>
      </c>
      <c r="M28" s="94">
        <v>15</v>
      </c>
      <c r="N28" s="93" t="s">
        <v>2802</v>
      </c>
      <c r="O28" s="85" t="s">
        <v>2865</v>
      </c>
      <c r="P28" s="148">
        <v>195</v>
      </c>
      <c r="Q28" s="94"/>
      <c r="R28" s="93"/>
      <c r="S28" s="85"/>
      <c r="U28" s="94"/>
      <c r="V28" s="93"/>
      <c r="W28" s="85"/>
      <c r="Y28" s="94"/>
      <c r="Z28" s="93"/>
      <c r="AA28" s="85"/>
      <c r="AC28" s="94"/>
      <c r="AD28" s="93"/>
      <c r="AE28" s="85"/>
    </row>
    <row r="29" spans="1:31" x14ac:dyDescent="0.35">
      <c r="E29" s="85">
        <v>10</v>
      </c>
      <c r="F29" s="93">
        <v>44679</v>
      </c>
      <c r="G29" s="85" t="s">
        <v>792</v>
      </c>
      <c r="H29" s="87">
        <v>175</v>
      </c>
      <c r="I29" s="94">
        <v>12</v>
      </c>
      <c r="J29" s="93">
        <v>45027</v>
      </c>
      <c r="K29" s="85" t="s">
        <v>795</v>
      </c>
      <c r="L29" s="87">
        <v>66.67</v>
      </c>
      <c r="M29" s="94">
        <v>15</v>
      </c>
      <c r="N29" s="93" t="s">
        <v>2802</v>
      </c>
      <c r="O29" s="85" t="s">
        <v>2866</v>
      </c>
      <c r="P29" s="148">
        <v>220</v>
      </c>
      <c r="Q29" s="94"/>
      <c r="R29" s="93"/>
      <c r="S29" s="85"/>
      <c r="U29" s="94"/>
      <c r="V29" s="93"/>
      <c r="W29" s="85"/>
      <c r="Y29" s="94"/>
      <c r="Z29" s="93"/>
      <c r="AA29" s="85"/>
      <c r="AC29" s="94"/>
      <c r="AD29" s="93"/>
      <c r="AE29" s="85"/>
    </row>
    <row r="30" spans="1:31" x14ac:dyDescent="0.35">
      <c r="E30" s="85">
        <v>5</v>
      </c>
      <c r="F30" s="93">
        <v>44712</v>
      </c>
      <c r="G30" s="85" t="s">
        <v>794</v>
      </c>
      <c r="H30" s="87">
        <v>100</v>
      </c>
      <c r="I30" s="94">
        <v>5</v>
      </c>
      <c r="J30" s="93">
        <v>45031</v>
      </c>
      <c r="K30" s="85" t="s">
        <v>797</v>
      </c>
      <c r="L30" s="87">
        <v>565</v>
      </c>
      <c r="M30" s="94">
        <v>15</v>
      </c>
      <c r="N30" s="93" t="s">
        <v>2802</v>
      </c>
      <c r="O30" s="85" t="s">
        <v>2867</v>
      </c>
      <c r="P30" s="148">
        <v>915.6</v>
      </c>
      <c r="Q30" s="94"/>
      <c r="R30" s="93"/>
      <c r="S30" s="85"/>
      <c r="U30" s="94"/>
      <c r="V30" s="93"/>
      <c r="W30" s="85"/>
      <c r="Y30" s="94"/>
      <c r="Z30" s="93"/>
      <c r="AA30" s="85"/>
      <c r="AC30" s="94"/>
      <c r="AD30" s="93"/>
      <c r="AE30" s="85"/>
    </row>
    <row r="31" spans="1:31" x14ac:dyDescent="0.35">
      <c r="E31" s="85">
        <v>9</v>
      </c>
      <c r="F31" s="93">
        <v>44704</v>
      </c>
      <c r="G31" s="85" t="s">
        <v>796</v>
      </c>
      <c r="H31" s="87">
        <v>205</v>
      </c>
      <c r="I31" s="94">
        <v>5</v>
      </c>
      <c r="J31" s="93">
        <v>45021</v>
      </c>
      <c r="K31" s="85" t="s">
        <v>799</v>
      </c>
      <c r="L31" s="87">
        <v>850</v>
      </c>
      <c r="M31" s="94">
        <v>1</v>
      </c>
      <c r="N31" s="93" t="s">
        <v>819</v>
      </c>
      <c r="O31" s="85" t="s">
        <v>30</v>
      </c>
      <c r="P31" s="87">
        <f>L41-SUMIF(M32:M90,1,P32:P90)</f>
        <v>13284.25</v>
      </c>
      <c r="Q31" s="94"/>
      <c r="R31" s="93"/>
      <c r="S31" s="85"/>
      <c r="U31" s="94"/>
      <c r="V31" s="93"/>
      <c r="W31" s="85"/>
      <c r="Y31" s="94"/>
      <c r="Z31" s="93"/>
      <c r="AA31" s="85"/>
      <c r="AC31" s="94"/>
      <c r="AD31" s="93"/>
      <c r="AE31" s="85"/>
    </row>
    <row r="32" spans="1:31" x14ac:dyDescent="0.35">
      <c r="E32" s="85">
        <v>9</v>
      </c>
      <c r="F32" s="93">
        <v>44722</v>
      </c>
      <c r="G32" s="85" t="s">
        <v>798</v>
      </c>
      <c r="H32" s="87">
        <v>225</v>
      </c>
      <c r="I32" s="94">
        <v>5</v>
      </c>
      <c r="J32" s="93">
        <v>45051</v>
      </c>
      <c r="K32" s="85" t="s">
        <v>800</v>
      </c>
      <c r="L32" s="87">
        <v>675</v>
      </c>
      <c r="M32" s="94" t="s">
        <v>775</v>
      </c>
      <c r="N32" s="93">
        <v>45387</v>
      </c>
      <c r="O32" s="85" t="s">
        <v>2781</v>
      </c>
      <c r="P32" s="87">
        <v>600</v>
      </c>
      <c r="Q32" s="94"/>
      <c r="R32" s="93"/>
      <c r="S32" s="85"/>
      <c r="U32" s="94"/>
      <c r="V32" s="93"/>
      <c r="W32" s="85"/>
      <c r="Y32" s="94"/>
      <c r="Z32" s="93"/>
      <c r="AA32" s="85"/>
      <c r="AC32" s="94"/>
      <c r="AD32" s="93"/>
      <c r="AE32" s="85"/>
    </row>
    <row r="33" spans="5:31" x14ac:dyDescent="0.35">
      <c r="E33" s="85">
        <v>5</v>
      </c>
      <c r="F33" s="93">
        <v>44737</v>
      </c>
      <c r="G33" s="85" t="s">
        <v>540</v>
      </c>
      <c r="H33" s="87">
        <v>215</v>
      </c>
      <c r="I33" s="94">
        <v>16</v>
      </c>
      <c r="J33" s="93">
        <v>45044</v>
      </c>
      <c r="K33" s="85" t="s">
        <v>802</v>
      </c>
      <c r="L33" s="87">
        <v>1365</v>
      </c>
      <c r="M33" s="93" t="s">
        <v>775</v>
      </c>
      <c r="O33" s="85" t="s">
        <v>2782</v>
      </c>
      <c r="P33" s="87">
        <v>161.69999999999999</v>
      </c>
      <c r="Q33" s="94"/>
      <c r="R33" s="93"/>
      <c r="S33" s="85"/>
      <c r="U33" s="94"/>
      <c r="V33" s="93"/>
      <c r="W33" s="85"/>
      <c r="Y33" s="94"/>
      <c r="Z33" s="93"/>
      <c r="AA33" s="85"/>
      <c r="AC33" s="94"/>
      <c r="AD33" s="93"/>
      <c r="AE33" s="85"/>
    </row>
    <row r="34" spans="5:31" x14ac:dyDescent="0.35">
      <c r="E34" s="85">
        <v>5</v>
      </c>
      <c r="F34" s="93">
        <v>44781</v>
      </c>
      <c r="G34" s="85" t="s">
        <v>801</v>
      </c>
      <c r="H34" s="87">
        <v>302.24</v>
      </c>
      <c r="I34" s="94">
        <v>8</v>
      </c>
      <c r="J34" s="93">
        <v>45063</v>
      </c>
      <c r="K34" s="85" t="s">
        <v>804</v>
      </c>
      <c r="L34" s="87">
        <v>117.21</v>
      </c>
      <c r="M34" s="93" t="s">
        <v>775</v>
      </c>
      <c r="O34" s="85" t="s">
        <v>2794</v>
      </c>
      <c r="P34" s="87">
        <v>8.32</v>
      </c>
      <c r="Q34" s="94"/>
      <c r="R34" s="93"/>
      <c r="S34" s="85"/>
      <c r="U34" s="94"/>
      <c r="V34" s="93"/>
      <c r="W34" s="85"/>
      <c r="Y34" s="94"/>
      <c r="Z34" s="93"/>
      <c r="AA34" s="85"/>
      <c r="AC34" s="94"/>
      <c r="AD34" s="93"/>
      <c r="AE34" s="85"/>
    </row>
    <row r="35" spans="5:31" x14ac:dyDescent="0.35">
      <c r="E35" s="85">
        <v>8</v>
      </c>
      <c r="F35" s="93">
        <v>44830</v>
      </c>
      <c r="G35" s="85" t="s">
        <v>803</v>
      </c>
      <c r="H35" s="87">
        <v>83.33</v>
      </c>
      <c r="I35" s="94">
        <v>5</v>
      </c>
      <c r="J35" s="93">
        <v>45090</v>
      </c>
      <c r="K35" s="85" t="s">
        <v>806</v>
      </c>
      <c r="L35" s="87">
        <v>40</v>
      </c>
      <c r="M35" s="94">
        <v>8</v>
      </c>
      <c r="N35" s="93">
        <v>45387</v>
      </c>
      <c r="O35" s="85" t="s">
        <v>2827</v>
      </c>
      <c r="P35" s="148">
        <v>66.67</v>
      </c>
      <c r="Q35" s="94"/>
      <c r="R35" s="93"/>
      <c r="S35" s="85"/>
      <c r="U35" s="94"/>
      <c r="V35" s="93"/>
      <c r="W35" s="85"/>
      <c r="Y35" s="94"/>
      <c r="Z35" s="93"/>
      <c r="AA35" s="85"/>
      <c r="AC35" s="94"/>
      <c r="AD35" s="93"/>
      <c r="AE35" s="85"/>
    </row>
    <row r="36" spans="5:31" x14ac:dyDescent="0.35">
      <c r="E36" s="85">
        <v>14</v>
      </c>
      <c r="F36" s="93">
        <v>44783</v>
      </c>
      <c r="G36" s="85" t="s">
        <v>805</v>
      </c>
      <c r="H36" s="87">
        <v>630</v>
      </c>
      <c r="I36" s="94">
        <v>6</v>
      </c>
      <c r="J36" s="93">
        <v>45120</v>
      </c>
      <c r="K36" s="85" t="s">
        <v>808</v>
      </c>
      <c r="L36" s="87">
        <v>550</v>
      </c>
      <c r="M36" s="94">
        <v>7</v>
      </c>
      <c r="N36" s="93">
        <v>45407</v>
      </c>
      <c r="O36" s="85" t="s">
        <v>2851</v>
      </c>
      <c r="P36" s="148">
        <v>673.56</v>
      </c>
      <c r="Q36" s="94"/>
      <c r="R36" s="93"/>
      <c r="S36" s="85"/>
      <c r="U36" s="94"/>
      <c r="V36" s="93"/>
      <c r="W36" s="85"/>
      <c r="Y36" s="94"/>
      <c r="Z36" s="93"/>
      <c r="AA36" s="85"/>
      <c r="AC36" s="94"/>
      <c r="AD36" s="93"/>
      <c r="AE36" s="85"/>
    </row>
    <row r="37" spans="5:31" x14ac:dyDescent="0.35">
      <c r="E37" s="85">
        <v>15</v>
      </c>
      <c r="F37" s="93">
        <v>44652</v>
      </c>
      <c r="G37" s="85" t="s">
        <v>807</v>
      </c>
      <c r="H37" s="87">
        <f>630+185+170</f>
        <v>985</v>
      </c>
      <c r="I37" s="94">
        <v>11</v>
      </c>
      <c r="J37" s="93">
        <v>45115</v>
      </c>
      <c r="K37" s="85" t="s">
        <v>810</v>
      </c>
      <c r="L37" s="87">
        <v>100</v>
      </c>
      <c r="M37" s="94">
        <v>1</v>
      </c>
      <c r="N37" s="93">
        <v>45406</v>
      </c>
      <c r="O37" s="85" t="s">
        <v>2853</v>
      </c>
      <c r="P37" s="148">
        <v>300</v>
      </c>
      <c r="Q37" s="94"/>
      <c r="R37" s="93"/>
      <c r="S37" s="85"/>
      <c r="U37" s="94"/>
      <c r="V37" s="93"/>
      <c r="W37" s="85"/>
      <c r="Y37" s="94"/>
      <c r="Z37" s="93"/>
      <c r="AA37" s="85"/>
      <c r="AC37" s="94"/>
      <c r="AD37" s="93"/>
      <c r="AE37" s="85"/>
    </row>
    <row r="38" spans="5:31" x14ac:dyDescent="0.35">
      <c r="E38" s="85">
        <v>16</v>
      </c>
      <c r="F38" s="93">
        <v>44952</v>
      </c>
      <c r="G38" s="85" t="s">
        <v>809</v>
      </c>
      <c r="H38" s="87">
        <v>1644.06</v>
      </c>
      <c r="I38" s="94">
        <v>11</v>
      </c>
      <c r="J38" s="93">
        <v>45127</v>
      </c>
      <c r="K38" s="85" t="s">
        <v>812</v>
      </c>
      <c r="L38" s="87">
        <v>145</v>
      </c>
      <c r="M38" s="94">
        <v>8</v>
      </c>
      <c r="N38" s="93">
        <v>45410</v>
      </c>
      <c r="O38" s="85" t="s">
        <v>2880</v>
      </c>
      <c r="P38" s="148">
        <v>295</v>
      </c>
      <c r="Q38" s="94"/>
      <c r="R38" s="93"/>
      <c r="S38" s="85"/>
      <c r="U38" s="94"/>
      <c r="V38" s="93"/>
      <c r="W38" s="85"/>
      <c r="Y38" s="94"/>
      <c r="Z38" s="93"/>
      <c r="AA38" s="85"/>
      <c r="AC38" s="94"/>
      <c r="AD38" s="93"/>
      <c r="AE38" s="85"/>
    </row>
    <row r="39" spans="5:31" x14ac:dyDescent="0.35">
      <c r="E39" s="85">
        <v>15</v>
      </c>
      <c r="F39" s="93">
        <v>44916</v>
      </c>
      <c r="G39" s="85" t="s">
        <v>811</v>
      </c>
      <c r="H39" s="87">
        <f>112+110+156</f>
        <v>378</v>
      </c>
      <c r="I39" s="94">
        <v>5</v>
      </c>
      <c r="J39" s="93" t="s">
        <v>814</v>
      </c>
      <c r="K39" s="85" t="s">
        <v>815</v>
      </c>
      <c r="L39" s="87">
        <v>-30000</v>
      </c>
      <c r="M39" s="94">
        <v>5</v>
      </c>
      <c r="N39" s="93">
        <v>45383</v>
      </c>
      <c r="O39" s="85" t="s">
        <v>2887</v>
      </c>
      <c r="P39" s="148">
        <v>687.5</v>
      </c>
      <c r="Q39" s="94"/>
      <c r="R39" s="93"/>
      <c r="S39" s="85"/>
      <c r="U39" s="94"/>
      <c r="V39" s="93"/>
      <c r="W39" s="85"/>
      <c r="Y39" s="94"/>
      <c r="Z39" s="93"/>
      <c r="AA39" s="85"/>
      <c r="AC39" s="94"/>
      <c r="AD39" s="93"/>
      <c r="AE39" s="85"/>
    </row>
    <row r="40" spans="5:31" x14ac:dyDescent="0.35">
      <c r="E40" s="85">
        <v>6</v>
      </c>
      <c r="F40" s="93">
        <v>44967</v>
      </c>
      <c r="G40" s="85" t="s">
        <v>813</v>
      </c>
      <c r="H40" s="87">
        <v>700</v>
      </c>
      <c r="I40" s="94">
        <v>15</v>
      </c>
      <c r="J40" s="93">
        <v>45146</v>
      </c>
      <c r="K40" s="85" t="s">
        <v>817</v>
      </c>
      <c r="L40" s="87">
        <v>109</v>
      </c>
      <c r="M40" s="94">
        <v>7</v>
      </c>
      <c r="N40" s="93" t="s">
        <v>790</v>
      </c>
      <c r="O40" s="85" t="s">
        <v>2897</v>
      </c>
      <c r="P40" s="87">
        <f>9*1548.3-SUMIF(M56:M200,7,P56:P200)</f>
        <v>12386.4</v>
      </c>
      <c r="Q40" s="94"/>
      <c r="R40" s="93"/>
      <c r="S40" s="85"/>
      <c r="U40" s="94"/>
      <c r="V40" s="93"/>
      <c r="W40" s="85"/>
      <c r="Y40" s="94"/>
      <c r="Z40" s="93"/>
      <c r="AA40" s="85"/>
      <c r="AC40" s="94"/>
      <c r="AD40" s="93"/>
      <c r="AE40" s="85"/>
    </row>
    <row r="41" spans="5:31" x14ac:dyDescent="0.35">
      <c r="E41" s="85">
        <v>15</v>
      </c>
      <c r="F41" s="93">
        <v>44980</v>
      </c>
      <c r="G41" s="85" t="s">
        <v>816</v>
      </c>
      <c r="H41" s="87">
        <v>78</v>
      </c>
      <c r="I41" s="94" t="s">
        <v>23</v>
      </c>
      <c r="J41" s="93" t="s">
        <v>819</v>
      </c>
      <c r="K41" s="85" t="s">
        <v>30</v>
      </c>
      <c r="L41" s="87">
        <f>30000-SUMIF(I42:I100,5,L42:L100)</f>
        <v>17184.25</v>
      </c>
      <c r="M41" s="94">
        <v>7</v>
      </c>
      <c r="N41" s="93">
        <v>45441</v>
      </c>
      <c r="O41" s="85" t="s">
        <v>2920</v>
      </c>
      <c r="P41" s="148">
        <v>673.56</v>
      </c>
      <c r="Q41" s="94"/>
      <c r="R41" s="93"/>
      <c r="S41" s="85"/>
      <c r="U41" s="94"/>
      <c r="V41" s="93"/>
      <c r="W41" s="85"/>
      <c r="Y41" s="94"/>
      <c r="Z41" s="93"/>
      <c r="AA41" s="85"/>
      <c r="AC41" s="94"/>
      <c r="AD41" s="93"/>
      <c r="AE41" s="85"/>
    </row>
    <row r="42" spans="5:31" x14ac:dyDescent="0.35">
      <c r="E42" s="85">
        <v>16</v>
      </c>
      <c r="F42" s="93">
        <v>44985</v>
      </c>
      <c r="G42" s="85" t="s">
        <v>818</v>
      </c>
      <c r="H42" s="87">
        <f>2500+495</f>
        <v>2995</v>
      </c>
      <c r="I42" s="94">
        <v>15</v>
      </c>
      <c r="J42" s="93">
        <v>45195</v>
      </c>
      <c r="K42" s="85" t="s">
        <v>817</v>
      </c>
      <c r="L42" s="87">
        <v>83</v>
      </c>
      <c r="M42" s="94">
        <v>15</v>
      </c>
      <c r="N42" s="93">
        <v>45453</v>
      </c>
      <c r="O42" s="85" t="s">
        <v>2972</v>
      </c>
      <c r="P42" s="148">
        <v>136</v>
      </c>
      <c r="Q42" s="94"/>
      <c r="R42" s="93"/>
      <c r="S42" s="85"/>
      <c r="U42" s="94"/>
      <c r="V42" s="93"/>
      <c r="W42" s="85"/>
      <c r="Y42" s="94"/>
      <c r="Z42" s="93"/>
      <c r="AA42" s="85"/>
      <c r="AC42" s="94"/>
      <c r="AD42" s="93"/>
      <c r="AE42" s="85"/>
    </row>
    <row r="43" spans="5:31" x14ac:dyDescent="0.35">
      <c r="E43" s="85">
        <v>5</v>
      </c>
      <c r="F43" s="93">
        <v>44999</v>
      </c>
      <c r="G43" s="85" t="s">
        <v>820</v>
      </c>
      <c r="H43" s="87">
        <v>457</v>
      </c>
      <c r="I43" s="94">
        <v>8</v>
      </c>
      <c r="J43" s="93">
        <v>45195</v>
      </c>
      <c r="K43" s="85" t="s">
        <v>821</v>
      </c>
      <c r="L43" s="87">
        <v>83.33</v>
      </c>
      <c r="M43" s="94">
        <v>1</v>
      </c>
      <c r="N43" s="93">
        <v>45450</v>
      </c>
      <c r="O43" s="85" t="s">
        <v>2949</v>
      </c>
      <c r="P43" s="148">
        <v>900</v>
      </c>
      <c r="Q43" s="94"/>
      <c r="R43" s="93"/>
      <c r="S43" s="85"/>
      <c r="U43" s="94"/>
      <c r="V43" s="93"/>
      <c r="W43" s="85"/>
      <c r="Y43" s="94"/>
      <c r="Z43" s="93"/>
      <c r="AA43" s="85"/>
      <c r="AC43" s="94"/>
      <c r="AD43" s="93"/>
      <c r="AE43" s="85"/>
    </row>
    <row r="44" spans="5:31" x14ac:dyDescent="0.35">
      <c r="G44" s="85"/>
      <c r="H44" s="87"/>
      <c r="I44" s="94">
        <v>10</v>
      </c>
      <c r="J44" s="93">
        <v>45100</v>
      </c>
      <c r="K44" s="85" t="s">
        <v>822</v>
      </c>
      <c r="L44" s="87">
        <v>228</v>
      </c>
      <c r="M44" s="94">
        <v>1</v>
      </c>
      <c r="N44" s="93">
        <v>45450</v>
      </c>
      <c r="O44" s="85" t="s">
        <v>2950</v>
      </c>
      <c r="P44" s="148">
        <v>1200</v>
      </c>
      <c r="Q44" s="94"/>
      <c r="R44" s="93"/>
      <c r="S44" s="85"/>
      <c r="U44" s="94"/>
      <c r="V44" s="93"/>
      <c r="W44" s="85"/>
      <c r="Y44" s="94"/>
      <c r="Z44" s="93"/>
      <c r="AA44" s="85"/>
      <c r="AC44" s="94"/>
      <c r="AD44" s="93"/>
      <c r="AE44" s="85"/>
    </row>
    <row r="45" spans="5:31" x14ac:dyDescent="0.35">
      <c r="G45" s="85"/>
      <c r="H45" s="87"/>
      <c r="I45" s="94">
        <v>5</v>
      </c>
      <c r="J45" s="93">
        <v>45183</v>
      </c>
      <c r="K45" s="85" t="s">
        <v>823</v>
      </c>
      <c r="L45" s="87">
        <v>800</v>
      </c>
      <c r="M45" s="94">
        <v>1</v>
      </c>
      <c r="N45" s="93">
        <v>45450</v>
      </c>
      <c r="O45" s="85" t="s">
        <v>2951</v>
      </c>
      <c r="P45" s="148">
        <v>900</v>
      </c>
      <c r="Q45" s="94"/>
      <c r="R45" s="93"/>
      <c r="S45" s="85"/>
      <c r="U45" s="94"/>
      <c r="V45" s="93"/>
      <c r="W45" s="85"/>
      <c r="Y45" s="94"/>
      <c r="Z45" s="93"/>
      <c r="AA45" s="85"/>
      <c r="AC45" s="94"/>
      <c r="AD45" s="93"/>
      <c r="AE45" s="85"/>
    </row>
    <row r="46" spans="5:31" x14ac:dyDescent="0.35">
      <c r="G46" s="85"/>
      <c r="H46" s="87"/>
      <c r="I46" s="94">
        <v>16</v>
      </c>
      <c r="J46" s="93">
        <v>45118</v>
      </c>
      <c r="K46" s="85" t="s">
        <v>824</v>
      </c>
      <c r="L46" s="87">
        <v>1644.06</v>
      </c>
      <c r="M46" s="94">
        <v>10</v>
      </c>
      <c r="N46" s="93">
        <v>45441</v>
      </c>
      <c r="O46" s="85" t="s">
        <v>36</v>
      </c>
      <c r="P46" s="148">
        <v>3526</v>
      </c>
      <c r="Q46" s="94"/>
      <c r="R46" s="93"/>
      <c r="S46" s="85"/>
      <c r="U46" s="94"/>
      <c r="V46" s="93"/>
      <c r="W46" s="85"/>
      <c r="Y46" s="94"/>
      <c r="Z46" s="93"/>
      <c r="AA46" s="85"/>
      <c r="AC46" s="94"/>
      <c r="AD46" s="93"/>
      <c r="AE46" s="85"/>
    </row>
    <row r="47" spans="5:31" x14ac:dyDescent="0.35">
      <c r="G47" s="85"/>
      <c r="H47" s="87"/>
      <c r="I47" s="94">
        <v>8</v>
      </c>
      <c r="J47" s="93">
        <v>45218</v>
      </c>
      <c r="K47" s="85" t="s">
        <v>2143</v>
      </c>
      <c r="L47" s="87">
        <v>412.5</v>
      </c>
      <c r="M47" s="94">
        <v>9</v>
      </c>
      <c r="N47" s="93">
        <v>45462</v>
      </c>
      <c r="O47" s="85" t="s">
        <v>2959</v>
      </c>
      <c r="P47" s="148">
        <v>140</v>
      </c>
      <c r="Q47" s="94"/>
      <c r="R47" s="93"/>
      <c r="S47" s="85"/>
      <c r="U47" s="94"/>
      <c r="V47" s="93"/>
      <c r="W47" s="85"/>
      <c r="Y47" s="94"/>
      <c r="Z47" s="93"/>
      <c r="AA47" s="85"/>
      <c r="AC47" s="94"/>
      <c r="AD47" s="93"/>
      <c r="AE47" s="85"/>
    </row>
    <row r="48" spans="5:31" x14ac:dyDescent="0.35">
      <c r="G48" s="85"/>
      <c r="H48" s="87"/>
      <c r="I48" s="94">
        <v>16</v>
      </c>
      <c r="J48" s="93">
        <v>45229</v>
      </c>
      <c r="K48" s="85" t="s">
        <v>2100</v>
      </c>
      <c r="L48" s="87">
        <v>1718.79</v>
      </c>
      <c r="M48" s="94">
        <v>10</v>
      </c>
      <c r="N48" s="93">
        <v>45457</v>
      </c>
      <c r="O48" s="85" t="s">
        <v>36</v>
      </c>
      <c r="P48" s="148">
        <v>1340.49</v>
      </c>
      <c r="Q48" s="94"/>
      <c r="R48" s="93"/>
      <c r="S48" s="85"/>
      <c r="U48" s="94"/>
      <c r="V48" s="93"/>
      <c r="W48" s="85"/>
      <c r="Y48" s="94"/>
      <c r="Z48" s="93"/>
      <c r="AA48" s="85"/>
      <c r="AC48" s="94"/>
      <c r="AD48" s="93"/>
      <c r="AE48" s="85"/>
    </row>
    <row r="49" spans="7:31" x14ac:dyDescent="0.35">
      <c r="G49" s="85"/>
      <c r="H49" s="87"/>
      <c r="I49" s="94">
        <v>5</v>
      </c>
      <c r="J49" s="93">
        <v>45226</v>
      </c>
      <c r="K49" s="85" t="s">
        <v>2144</v>
      </c>
      <c r="L49" s="87">
        <v>600</v>
      </c>
      <c r="M49" s="94">
        <v>15</v>
      </c>
      <c r="N49" s="93">
        <v>45453</v>
      </c>
      <c r="O49" s="85" t="s">
        <v>2973</v>
      </c>
      <c r="P49" s="148">
        <v>136</v>
      </c>
      <c r="Q49" s="94"/>
      <c r="R49" s="93"/>
      <c r="S49" s="85"/>
      <c r="U49" s="94"/>
      <c r="V49" s="93"/>
      <c r="W49" s="85"/>
      <c r="Y49" s="94"/>
      <c r="Z49" s="93"/>
      <c r="AA49" s="85"/>
      <c r="AC49" s="94"/>
      <c r="AD49" s="93"/>
      <c r="AE49" s="85"/>
    </row>
    <row r="50" spans="7:31" x14ac:dyDescent="0.35">
      <c r="G50" s="85"/>
      <c r="H50" s="87"/>
      <c r="I50" s="94">
        <v>5</v>
      </c>
      <c r="J50" s="93">
        <v>45215</v>
      </c>
      <c r="K50" s="85" t="s">
        <v>2145</v>
      </c>
      <c r="L50" s="87">
        <v>391.14</v>
      </c>
      <c r="M50" s="94">
        <v>7</v>
      </c>
      <c r="N50" s="93">
        <v>45468</v>
      </c>
      <c r="O50" s="85" t="s">
        <v>2977</v>
      </c>
      <c r="P50" s="148">
        <v>673.56</v>
      </c>
      <c r="Q50" s="94"/>
      <c r="R50" s="93"/>
      <c r="S50" s="85"/>
      <c r="U50" s="94"/>
      <c r="V50" s="93"/>
      <c r="W50" s="85"/>
      <c r="Y50" s="94"/>
      <c r="Z50" s="93"/>
      <c r="AA50" s="85"/>
      <c r="AC50" s="94"/>
      <c r="AD50" s="93"/>
      <c r="AE50" s="85"/>
    </row>
    <row r="51" spans="7:31" x14ac:dyDescent="0.35">
      <c r="G51" s="85"/>
      <c r="H51" s="87"/>
      <c r="I51" s="94">
        <v>16</v>
      </c>
      <c r="J51" s="93">
        <v>45296</v>
      </c>
      <c r="K51" s="85" t="s">
        <v>2101</v>
      </c>
      <c r="L51" s="87">
        <v>1742.62</v>
      </c>
      <c r="M51" s="94">
        <v>5</v>
      </c>
      <c r="N51" s="93">
        <v>45456</v>
      </c>
      <c r="O51" s="85" t="s">
        <v>3075</v>
      </c>
      <c r="P51" s="148">
        <v>92.52</v>
      </c>
      <c r="Q51" s="94"/>
      <c r="R51" s="93"/>
      <c r="S51" s="85"/>
      <c r="U51" s="94"/>
      <c r="V51" s="93"/>
      <c r="W51" s="85"/>
      <c r="Y51" s="94"/>
      <c r="Z51" s="93"/>
      <c r="AA51" s="85"/>
      <c r="AC51" s="94"/>
      <c r="AD51" s="93"/>
      <c r="AE51" s="85"/>
    </row>
    <row r="52" spans="7:31" x14ac:dyDescent="0.35">
      <c r="G52" s="85"/>
      <c r="H52" s="87"/>
      <c r="I52" s="94">
        <v>5</v>
      </c>
      <c r="J52" s="93">
        <v>45261</v>
      </c>
      <c r="K52" s="85" t="s">
        <v>2253</v>
      </c>
      <c r="L52" s="87">
        <v>386.48</v>
      </c>
      <c r="M52" s="94">
        <v>16</v>
      </c>
      <c r="N52" s="93">
        <v>45488</v>
      </c>
      <c r="O52" s="85" t="s">
        <v>3144</v>
      </c>
      <c r="P52" s="87">
        <v>1663.41</v>
      </c>
      <c r="Q52" s="94"/>
      <c r="R52" s="93"/>
      <c r="S52" s="85"/>
      <c r="U52" s="94"/>
      <c r="V52" s="93"/>
      <c r="W52" s="85"/>
      <c r="Y52" s="94"/>
      <c r="Z52" s="93"/>
      <c r="AA52" s="85"/>
      <c r="AC52" s="94"/>
      <c r="AD52" s="93"/>
      <c r="AE52" s="85"/>
    </row>
    <row r="53" spans="7:31" x14ac:dyDescent="0.35">
      <c r="G53" s="85"/>
      <c r="H53" s="87"/>
      <c r="I53" s="94">
        <v>15</v>
      </c>
      <c r="J53" s="93">
        <v>45268</v>
      </c>
      <c r="K53" s="85" t="s">
        <v>816</v>
      </c>
      <c r="L53" s="87">
        <v>104</v>
      </c>
      <c r="M53" s="94">
        <v>12</v>
      </c>
      <c r="N53" s="93">
        <v>45496</v>
      </c>
      <c r="O53" s="85" t="s">
        <v>3158</v>
      </c>
      <c r="P53" s="87">
        <v>140</v>
      </c>
      <c r="Q53" s="94"/>
      <c r="R53" s="93"/>
      <c r="S53" s="85"/>
      <c r="U53" s="94"/>
      <c r="V53" s="93"/>
      <c r="W53" s="85"/>
      <c r="Y53" s="94"/>
      <c r="Z53" s="93"/>
      <c r="AA53" s="85"/>
      <c r="AC53" s="94"/>
      <c r="AD53" s="93"/>
      <c r="AE53" s="85"/>
    </row>
    <row r="54" spans="7:31" x14ac:dyDescent="0.35">
      <c r="G54" s="85"/>
      <c r="H54" s="87"/>
      <c r="I54" s="94">
        <v>5</v>
      </c>
      <c r="J54" s="93">
        <v>45344</v>
      </c>
      <c r="K54" s="85" t="s">
        <v>2577</v>
      </c>
      <c r="L54" s="87">
        <v>500</v>
      </c>
      <c r="M54" s="94">
        <v>12</v>
      </c>
      <c r="N54" s="93">
        <v>45496</v>
      </c>
      <c r="O54" s="85" t="s">
        <v>3159</v>
      </c>
      <c r="P54" s="87">
        <v>140</v>
      </c>
      <c r="Q54" s="94"/>
      <c r="R54" s="93"/>
      <c r="S54" s="85"/>
      <c r="U54" s="94"/>
      <c r="V54" s="93"/>
      <c r="W54" s="85"/>
      <c r="Y54" s="94"/>
      <c r="Z54" s="93"/>
      <c r="AA54" s="85"/>
      <c r="AC54" s="94"/>
      <c r="AD54" s="93"/>
      <c r="AE54" s="85"/>
    </row>
    <row r="55" spans="7:31" x14ac:dyDescent="0.35">
      <c r="G55" s="85"/>
      <c r="H55" s="87"/>
      <c r="I55" s="94">
        <v>5</v>
      </c>
      <c r="J55" s="93">
        <v>45344</v>
      </c>
      <c r="K55" s="85" t="s">
        <v>2577</v>
      </c>
      <c r="L55" s="87">
        <v>600</v>
      </c>
      <c r="M55" s="94">
        <v>7</v>
      </c>
      <c r="N55" s="93">
        <v>45499</v>
      </c>
      <c r="O55" s="85" t="s">
        <v>3186</v>
      </c>
      <c r="P55" s="87">
        <v>4927.72</v>
      </c>
      <c r="Q55" s="94"/>
      <c r="R55" s="93"/>
      <c r="S55" s="85"/>
      <c r="U55" s="94"/>
      <c r="V55" s="93"/>
      <c r="W55" s="85"/>
      <c r="Y55" s="94"/>
      <c r="Z55" s="93"/>
      <c r="AA55" s="85"/>
      <c r="AC55" s="94"/>
      <c r="AD55" s="93"/>
      <c r="AE55" s="85"/>
    </row>
    <row r="56" spans="7:31" x14ac:dyDescent="0.35">
      <c r="G56" s="85"/>
      <c r="H56" s="87"/>
      <c r="I56" s="94" t="s">
        <v>1878</v>
      </c>
      <c r="J56" s="93">
        <v>45350</v>
      </c>
      <c r="K56" s="85" t="s">
        <v>2584</v>
      </c>
      <c r="L56" s="87">
        <v>2650</v>
      </c>
      <c r="M56" s="94">
        <v>7</v>
      </c>
      <c r="N56" s="93">
        <v>45499</v>
      </c>
      <c r="O56" s="85" t="s">
        <v>3187</v>
      </c>
      <c r="P56" s="87">
        <v>1548.3</v>
      </c>
      <c r="Q56" s="94"/>
      <c r="R56" s="93"/>
      <c r="S56" s="85"/>
      <c r="U56" s="94"/>
      <c r="V56" s="93"/>
      <c r="W56" s="85"/>
      <c r="Y56" s="94"/>
      <c r="Z56" s="93"/>
      <c r="AA56" s="85"/>
      <c r="AC56" s="94"/>
      <c r="AD56" s="93"/>
      <c r="AE56" s="85"/>
    </row>
    <row r="57" spans="7:31" x14ac:dyDescent="0.35">
      <c r="G57" s="85"/>
      <c r="H57" s="87"/>
      <c r="I57" s="94">
        <v>5</v>
      </c>
      <c r="J57" s="93">
        <v>45347</v>
      </c>
      <c r="K57" s="85" t="s">
        <v>2646</v>
      </c>
      <c r="L57" s="87">
        <v>29.98</v>
      </c>
      <c r="M57" s="94">
        <v>1</v>
      </c>
      <c r="N57" s="93">
        <v>45503</v>
      </c>
      <c r="O57" s="85" t="s">
        <v>3190</v>
      </c>
      <c r="P57" s="87">
        <v>600</v>
      </c>
      <c r="Q57" s="94"/>
      <c r="R57" s="93"/>
      <c r="S57" s="85"/>
      <c r="U57" s="94"/>
      <c r="V57" s="93"/>
      <c r="W57" s="85"/>
      <c r="Y57" s="94"/>
      <c r="Z57" s="93"/>
      <c r="AA57" s="85"/>
      <c r="AC57" s="94"/>
      <c r="AD57" s="93"/>
      <c r="AE57" s="85"/>
    </row>
    <row r="58" spans="7:31" x14ac:dyDescent="0.35">
      <c r="G58" s="85"/>
      <c r="H58" s="87"/>
      <c r="I58" s="94">
        <v>5</v>
      </c>
      <c r="J58" s="93">
        <v>45336</v>
      </c>
      <c r="K58" s="85" t="s">
        <v>2648</v>
      </c>
      <c r="L58" s="87">
        <v>7.49</v>
      </c>
      <c r="M58" s="94">
        <v>15</v>
      </c>
      <c r="N58" s="93">
        <v>45505</v>
      </c>
      <c r="O58" s="85" t="s">
        <v>816</v>
      </c>
      <c r="P58" s="87">
        <v>83</v>
      </c>
      <c r="Q58" s="94"/>
      <c r="R58" s="93"/>
      <c r="S58" s="85"/>
      <c r="U58" s="94"/>
      <c r="V58" s="93"/>
      <c r="W58" s="85"/>
      <c r="Y58" s="94"/>
      <c r="Z58" s="93"/>
      <c r="AA58" s="85"/>
      <c r="AC58" s="94"/>
      <c r="AD58" s="93"/>
      <c r="AE58" s="85"/>
    </row>
    <row r="59" spans="7:31" x14ac:dyDescent="0.35">
      <c r="G59" s="85"/>
      <c r="H59" s="87"/>
      <c r="I59" s="94">
        <v>5</v>
      </c>
      <c r="J59" s="93">
        <v>45347</v>
      </c>
      <c r="K59" s="85" t="s">
        <v>2652</v>
      </c>
      <c r="L59" s="87">
        <v>7.32</v>
      </c>
      <c r="M59" s="94">
        <v>9</v>
      </c>
      <c r="N59" s="93">
        <v>45504</v>
      </c>
      <c r="O59" s="85" t="s">
        <v>3193</v>
      </c>
      <c r="P59" s="87">
        <v>240</v>
      </c>
      <c r="Q59" s="94"/>
      <c r="R59" s="93"/>
      <c r="S59" s="85"/>
      <c r="U59" s="94"/>
      <c r="V59" s="93"/>
      <c r="W59" s="85"/>
      <c r="Y59" s="94"/>
      <c r="Z59" s="93"/>
      <c r="AA59" s="85"/>
      <c r="AC59" s="94"/>
      <c r="AD59" s="93"/>
      <c r="AE59" s="85"/>
    </row>
    <row r="60" spans="7:31" x14ac:dyDescent="0.35">
      <c r="G60" s="85"/>
      <c r="H60" s="87"/>
      <c r="I60" s="94">
        <v>5</v>
      </c>
      <c r="J60" s="93">
        <v>45329</v>
      </c>
      <c r="K60" s="85" t="s">
        <v>2656</v>
      </c>
      <c r="L60" s="87">
        <v>23.32</v>
      </c>
      <c r="M60" s="94">
        <v>10</v>
      </c>
      <c r="N60" s="93">
        <v>45505</v>
      </c>
      <c r="O60" s="85" t="s">
        <v>3200</v>
      </c>
      <c r="P60" s="87">
        <v>140</v>
      </c>
      <c r="Q60" s="94"/>
      <c r="R60" s="93"/>
      <c r="S60" s="85"/>
      <c r="U60" s="94"/>
      <c r="V60" s="93"/>
      <c r="W60" s="85"/>
      <c r="Y60" s="94"/>
      <c r="Z60" s="93"/>
      <c r="AA60" s="85"/>
      <c r="AC60" s="94"/>
      <c r="AD60" s="93"/>
      <c r="AE60" s="85"/>
    </row>
    <row r="61" spans="7:31" x14ac:dyDescent="0.35">
      <c r="G61" s="85"/>
      <c r="H61" s="87"/>
      <c r="I61" s="94">
        <v>10</v>
      </c>
      <c r="J61" s="93">
        <v>45356</v>
      </c>
      <c r="K61" s="85" t="s">
        <v>2682</v>
      </c>
      <c r="L61" s="87">
        <v>817</v>
      </c>
      <c r="M61" s="94">
        <v>11</v>
      </c>
      <c r="N61" s="93">
        <v>45505</v>
      </c>
      <c r="O61" s="85" t="s">
        <v>810</v>
      </c>
      <c r="P61" s="87">
        <v>250</v>
      </c>
      <c r="Q61" s="94"/>
      <c r="R61" s="93"/>
      <c r="S61" s="85"/>
      <c r="U61" s="94"/>
      <c r="V61" s="93"/>
      <c r="W61" s="85"/>
      <c r="Y61" s="94"/>
      <c r="Z61" s="93"/>
      <c r="AA61" s="85"/>
      <c r="AC61" s="94"/>
      <c r="AD61" s="93"/>
      <c r="AE61" s="85"/>
    </row>
    <row r="62" spans="7:31" x14ac:dyDescent="0.35">
      <c r="G62" s="85"/>
      <c r="H62" s="87"/>
      <c r="I62" s="94">
        <v>10</v>
      </c>
      <c r="J62" s="93">
        <v>45356</v>
      </c>
      <c r="K62" s="85" t="s">
        <v>2683</v>
      </c>
      <c r="L62" s="87">
        <v>332.5</v>
      </c>
      <c r="M62" s="94"/>
      <c r="N62" s="93"/>
      <c r="O62" s="85"/>
      <c r="Q62" s="94"/>
      <c r="R62" s="93"/>
      <c r="S62" s="85"/>
      <c r="U62" s="94"/>
      <c r="V62" s="93"/>
      <c r="W62" s="85"/>
      <c r="Y62" s="94"/>
      <c r="Z62" s="93"/>
      <c r="AA62" s="85"/>
      <c r="AC62" s="94"/>
      <c r="AD62" s="93"/>
      <c r="AE62" s="85"/>
    </row>
    <row r="63" spans="7:31" x14ac:dyDescent="0.35">
      <c r="G63" s="85"/>
      <c r="H63" s="87"/>
      <c r="I63" s="94">
        <v>10</v>
      </c>
      <c r="J63" s="93">
        <v>45358</v>
      </c>
      <c r="K63" s="85" t="s">
        <v>2684</v>
      </c>
      <c r="L63" s="87">
        <v>600</v>
      </c>
      <c r="M63" s="94"/>
      <c r="N63" s="93"/>
      <c r="O63" s="85"/>
      <c r="Q63" s="94"/>
      <c r="R63" s="93"/>
      <c r="S63" s="85"/>
      <c r="U63" s="94"/>
      <c r="V63" s="93"/>
      <c r="W63" s="85"/>
      <c r="Y63" s="94"/>
      <c r="Z63" s="93"/>
      <c r="AA63" s="85"/>
      <c r="AC63" s="94"/>
      <c r="AD63" s="93"/>
      <c r="AE63" s="85"/>
    </row>
    <row r="64" spans="7:31" x14ac:dyDescent="0.35">
      <c r="G64" s="85"/>
      <c r="H64" s="87"/>
      <c r="I64" s="94">
        <v>5</v>
      </c>
      <c r="J64" s="93">
        <v>45358</v>
      </c>
      <c r="K64" s="85" t="s">
        <v>2685</v>
      </c>
      <c r="L64" s="87">
        <v>1200</v>
      </c>
      <c r="M64" s="94"/>
      <c r="N64" s="93"/>
      <c r="O64" s="85"/>
      <c r="Q64" s="94"/>
      <c r="R64" s="93"/>
      <c r="S64" s="85"/>
      <c r="U64" s="94"/>
      <c r="V64" s="93"/>
      <c r="W64" s="85"/>
      <c r="Y64" s="94"/>
      <c r="Z64" s="93"/>
      <c r="AA64" s="85"/>
      <c r="AC64" s="94"/>
      <c r="AD64" s="93"/>
      <c r="AE64" s="85"/>
    </row>
    <row r="65" spans="7:31" x14ac:dyDescent="0.35">
      <c r="G65" s="85"/>
      <c r="H65" s="87"/>
      <c r="I65" s="94">
        <v>5</v>
      </c>
      <c r="J65" s="93">
        <v>45358</v>
      </c>
      <c r="K65" s="85" t="s">
        <v>2686</v>
      </c>
      <c r="L65" s="87">
        <v>1500</v>
      </c>
      <c r="M65" s="94"/>
      <c r="N65" s="93"/>
      <c r="O65" s="85"/>
      <c r="Q65" s="94"/>
      <c r="R65" s="93"/>
      <c r="S65" s="85"/>
      <c r="U65" s="94"/>
      <c r="V65" s="93"/>
      <c r="W65" s="85"/>
      <c r="Y65" s="94"/>
      <c r="Z65" s="93"/>
      <c r="AA65" s="85"/>
      <c r="AC65" s="94"/>
      <c r="AD65" s="93"/>
      <c r="AE65" s="85"/>
    </row>
    <row r="66" spans="7:31" x14ac:dyDescent="0.35">
      <c r="G66" s="85"/>
      <c r="H66" s="87"/>
      <c r="I66" s="94">
        <v>5</v>
      </c>
      <c r="J66" s="93">
        <v>45358</v>
      </c>
      <c r="K66" s="85" t="s">
        <v>2687</v>
      </c>
      <c r="L66" s="87">
        <v>1100</v>
      </c>
      <c r="M66" s="94"/>
      <c r="N66" s="93"/>
      <c r="O66" s="85"/>
      <c r="Q66" s="94"/>
      <c r="R66" s="93"/>
      <c r="S66" s="85"/>
      <c r="U66" s="94"/>
      <c r="V66" s="93"/>
      <c r="W66" s="85"/>
      <c r="Y66" s="94"/>
      <c r="Z66" s="93"/>
      <c r="AA66" s="85"/>
      <c r="AC66" s="94"/>
      <c r="AD66" s="93"/>
      <c r="AE66" s="85"/>
    </row>
    <row r="67" spans="7:31" x14ac:dyDescent="0.35">
      <c r="G67" s="85"/>
      <c r="H67" s="87"/>
      <c r="I67" s="94">
        <v>10</v>
      </c>
      <c r="J67" s="93">
        <v>45362</v>
      </c>
      <c r="K67" s="85" t="s">
        <v>2688</v>
      </c>
      <c r="L67" s="87">
        <v>430</v>
      </c>
      <c r="M67" s="94"/>
      <c r="N67" s="93"/>
      <c r="O67" s="85"/>
      <c r="Q67" s="94"/>
      <c r="R67" s="93"/>
      <c r="S67" s="85"/>
      <c r="U67" s="94"/>
      <c r="V67" s="93"/>
      <c r="W67" s="85"/>
      <c r="Y67" s="94"/>
      <c r="Z67" s="93"/>
      <c r="AA67" s="85"/>
      <c r="AC67" s="94"/>
      <c r="AD67" s="93"/>
      <c r="AE67" s="85"/>
    </row>
    <row r="68" spans="7:31" x14ac:dyDescent="0.35">
      <c r="G68" s="85"/>
      <c r="H68" s="87"/>
      <c r="I68" s="94">
        <v>5</v>
      </c>
      <c r="J68" s="93">
        <v>45378</v>
      </c>
      <c r="K68" s="85" t="s">
        <v>2744</v>
      </c>
      <c r="L68" s="87">
        <v>800</v>
      </c>
      <c r="M68" s="94"/>
      <c r="N68" s="93"/>
      <c r="O68" s="85"/>
      <c r="Q68" s="94"/>
      <c r="R68" s="93"/>
      <c r="S68" s="85"/>
      <c r="U68" s="94"/>
      <c r="V68" s="93"/>
      <c r="W68" s="85"/>
      <c r="Y68" s="94"/>
      <c r="Z68" s="93"/>
      <c r="AA68" s="85"/>
      <c r="AC68" s="94"/>
      <c r="AD68" s="93"/>
      <c r="AE68" s="85"/>
    </row>
    <row r="69" spans="7:31" x14ac:dyDescent="0.35">
      <c r="G69" s="85"/>
      <c r="H69" s="87"/>
      <c r="I69" s="94">
        <v>5</v>
      </c>
      <c r="J69" s="93">
        <v>45378</v>
      </c>
      <c r="K69" s="85" t="s">
        <v>2745</v>
      </c>
      <c r="L69" s="87">
        <v>500</v>
      </c>
      <c r="M69" s="94"/>
      <c r="N69" s="93"/>
      <c r="O69" s="85"/>
      <c r="Q69" s="94"/>
      <c r="R69" s="93"/>
      <c r="S69" s="85"/>
      <c r="U69" s="94"/>
      <c r="V69" s="93"/>
      <c r="W69" s="85"/>
      <c r="Y69" s="94"/>
      <c r="Z69" s="93"/>
      <c r="AA69" s="85"/>
      <c r="AC69" s="94"/>
      <c r="AD69" s="93"/>
      <c r="AE69" s="85"/>
    </row>
    <row r="70" spans="7:31" x14ac:dyDescent="0.35">
      <c r="G70" s="85"/>
      <c r="H70" s="87"/>
      <c r="I70" s="94">
        <v>5</v>
      </c>
      <c r="J70" s="93">
        <v>45378</v>
      </c>
      <c r="K70" s="85" t="s">
        <v>2746</v>
      </c>
      <c r="L70" s="87">
        <v>900</v>
      </c>
      <c r="M70" s="94"/>
      <c r="N70" s="93"/>
      <c r="O70" s="85"/>
      <c r="Q70" s="94"/>
      <c r="R70" s="93"/>
      <c r="S70" s="85"/>
      <c r="U70" s="94"/>
      <c r="V70" s="93"/>
      <c r="W70" s="85"/>
      <c r="Y70" s="94"/>
      <c r="Z70" s="93"/>
      <c r="AA70" s="85"/>
      <c r="AC70" s="94"/>
      <c r="AD70" s="93"/>
      <c r="AE70" s="85"/>
    </row>
    <row r="71" spans="7:31" x14ac:dyDescent="0.35">
      <c r="G71" s="85"/>
      <c r="H71" s="87"/>
      <c r="I71" s="94">
        <v>5</v>
      </c>
      <c r="J71" s="93">
        <v>45378</v>
      </c>
      <c r="K71" s="85" t="s">
        <v>2747</v>
      </c>
      <c r="L71" s="87">
        <v>600</v>
      </c>
      <c r="M71" s="94"/>
      <c r="N71" s="93"/>
      <c r="O71" s="85"/>
      <c r="Q71" s="94"/>
      <c r="R71" s="93"/>
      <c r="S71" s="85"/>
      <c r="U71" s="94"/>
      <c r="V71" s="93"/>
      <c r="W71" s="85"/>
      <c r="Y71" s="94"/>
      <c r="Z71" s="93"/>
      <c r="AA71" s="85"/>
      <c r="AC71" s="94"/>
      <c r="AD71" s="93"/>
      <c r="AE71" s="85"/>
    </row>
    <row r="72" spans="7:31" x14ac:dyDescent="0.35">
      <c r="G72" s="85"/>
      <c r="H72" s="87"/>
      <c r="I72" s="94">
        <v>5</v>
      </c>
      <c r="J72" s="93">
        <v>45378</v>
      </c>
      <c r="K72" s="85" t="s">
        <v>2748</v>
      </c>
      <c r="L72" s="87">
        <v>900</v>
      </c>
      <c r="M72" s="94"/>
      <c r="N72" s="93"/>
      <c r="O72" s="85"/>
      <c r="Q72" s="94"/>
      <c r="R72" s="93"/>
      <c r="S72" s="85"/>
      <c r="U72" s="94"/>
      <c r="V72" s="93"/>
      <c r="W72" s="85"/>
      <c r="Y72" s="94"/>
      <c r="Z72" s="93"/>
      <c r="AA72" s="85"/>
      <c r="AC72" s="94"/>
      <c r="AD72" s="93"/>
      <c r="AE72" s="85"/>
    </row>
    <row r="73" spans="7:31" x14ac:dyDescent="0.35">
      <c r="G73" s="85"/>
      <c r="H73" s="87"/>
      <c r="I73" s="94">
        <v>5</v>
      </c>
      <c r="J73" s="93" t="s">
        <v>775</v>
      </c>
      <c r="K73" s="85" t="s">
        <v>2781</v>
      </c>
      <c r="L73" s="151">
        <v>600</v>
      </c>
      <c r="M73" s="94"/>
      <c r="N73" s="93"/>
      <c r="O73" s="85"/>
      <c r="Q73" s="94"/>
      <c r="R73" s="93"/>
      <c r="S73" s="85"/>
      <c r="U73" s="94"/>
      <c r="V73" s="93"/>
      <c r="W73" s="85"/>
      <c r="Y73" s="94"/>
      <c r="Z73" s="93"/>
      <c r="AA73" s="85"/>
      <c r="AC73" s="94"/>
      <c r="AD73" s="93"/>
      <c r="AE73" s="85"/>
    </row>
    <row r="74" spans="7:31" x14ac:dyDescent="0.35">
      <c r="G74" s="85"/>
      <c r="H74" s="87"/>
      <c r="I74" s="94">
        <v>5</v>
      </c>
      <c r="J74" s="93" t="s">
        <v>775</v>
      </c>
      <c r="K74" s="85" t="s">
        <v>2782</v>
      </c>
      <c r="L74" s="151">
        <v>161.69999999999999</v>
      </c>
      <c r="M74" s="94"/>
      <c r="N74" s="93"/>
      <c r="O74" s="85"/>
      <c r="Q74" s="94"/>
      <c r="R74" s="93"/>
      <c r="S74" s="85"/>
      <c r="U74" s="94"/>
      <c r="V74" s="93"/>
      <c r="W74" s="85"/>
      <c r="Y74" s="94"/>
      <c r="Z74" s="93"/>
      <c r="AA74" s="85"/>
      <c r="AC74" s="94"/>
      <c r="AD74" s="93"/>
      <c r="AE74" s="85"/>
    </row>
    <row r="75" spans="7:31" x14ac:dyDescent="0.35">
      <c r="G75" s="85"/>
      <c r="H75" s="87"/>
      <c r="I75" s="94">
        <v>5</v>
      </c>
      <c r="J75" s="93" t="s">
        <v>775</v>
      </c>
      <c r="K75" s="85" t="s">
        <v>2794</v>
      </c>
      <c r="L75" s="151">
        <v>8.32</v>
      </c>
      <c r="M75" s="94"/>
      <c r="N75" s="93"/>
      <c r="O75" s="85"/>
      <c r="Q75" s="94"/>
      <c r="R75" s="93"/>
      <c r="S75" s="85"/>
      <c r="U75" s="94"/>
      <c r="V75" s="93"/>
      <c r="W75" s="85"/>
      <c r="Y75" s="94"/>
      <c r="Z75" s="93"/>
      <c r="AA75" s="85"/>
      <c r="AC75" s="94"/>
      <c r="AD75" s="93"/>
      <c r="AE75" s="85"/>
    </row>
    <row r="76" spans="7:31" x14ac:dyDescent="0.35">
      <c r="G76" s="85"/>
      <c r="H76" s="87"/>
      <c r="I76" s="94">
        <v>5</v>
      </c>
      <c r="J76" s="93">
        <v>45378</v>
      </c>
      <c r="K76" s="85" t="s">
        <v>2809</v>
      </c>
      <c r="L76" s="87">
        <v>600</v>
      </c>
      <c r="M76" s="94"/>
      <c r="N76" s="93"/>
      <c r="O76" s="85"/>
      <c r="Q76" s="94"/>
      <c r="R76" s="93"/>
      <c r="S76" s="85"/>
      <c r="U76" s="94"/>
      <c r="V76" s="93"/>
      <c r="W76" s="85"/>
      <c r="Y76" s="94"/>
      <c r="Z76" s="93"/>
      <c r="AA76" s="85"/>
      <c r="AC76" s="94"/>
      <c r="AD76" s="93"/>
      <c r="AE76" s="85"/>
    </row>
    <row r="77" spans="7:31" x14ac:dyDescent="0.35">
      <c r="G77" s="85"/>
      <c r="H77" s="87"/>
      <c r="I77" s="94">
        <v>5</v>
      </c>
      <c r="J77" s="93">
        <v>45378</v>
      </c>
      <c r="K77" s="85" t="s">
        <v>2812</v>
      </c>
      <c r="L77" s="87">
        <v>600</v>
      </c>
      <c r="M77" s="94"/>
      <c r="N77" s="93"/>
      <c r="O77" s="85"/>
      <c r="Q77" s="94"/>
      <c r="R77" s="93"/>
      <c r="S77" s="85"/>
      <c r="U77" s="94"/>
      <c r="V77" s="93"/>
      <c r="W77" s="85"/>
      <c r="Y77" s="94"/>
      <c r="Z77" s="93"/>
      <c r="AA77" s="85"/>
      <c r="AC77" s="94"/>
      <c r="AD77" s="93"/>
      <c r="AE77" s="85"/>
    </row>
    <row r="78" spans="7:31" x14ac:dyDescent="0.35">
      <c r="G78" s="85"/>
      <c r="H78" s="87"/>
      <c r="K78" s="85"/>
      <c r="M78" s="94"/>
      <c r="N78" s="93"/>
      <c r="O78" s="85"/>
      <c r="Q78" s="94"/>
      <c r="R78" s="93"/>
      <c r="S78" s="85"/>
      <c r="U78" s="94"/>
      <c r="V78" s="93"/>
      <c r="W78" s="85"/>
      <c r="Y78" s="94"/>
      <c r="Z78" s="93"/>
      <c r="AA78" s="85"/>
      <c r="AC78" s="94"/>
      <c r="AD78" s="93"/>
      <c r="AE78" s="85"/>
    </row>
    <row r="79" spans="7:31" x14ac:dyDescent="0.35">
      <c r="G79" s="85"/>
      <c r="H79" s="87"/>
      <c r="K79" s="85"/>
      <c r="M79" s="94"/>
      <c r="N79" s="93"/>
      <c r="O79" s="85"/>
      <c r="Q79" s="94"/>
      <c r="R79" s="93"/>
      <c r="S79" s="85"/>
      <c r="U79" s="94"/>
      <c r="V79" s="93"/>
      <c r="W79" s="85"/>
      <c r="Y79" s="94"/>
      <c r="Z79" s="93"/>
      <c r="AA79" s="85"/>
      <c r="AC79" s="94"/>
      <c r="AD79" s="93"/>
      <c r="AE79" s="85"/>
    </row>
    <row r="80" spans="7:31" x14ac:dyDescent="0.35">
      <c r="G80" s="85"/>
      <c r="H80" s="87"/>
      <c r="K80" s="85"/>
      <c r="M80" s="94"/>
      <c r="N80" s="93"/>
      <c r="O80" s="85"/>
      <c r="Q80" s="94"/>
      <c r="R80" s="93"/>
      <c r="S80" s="85"/>
      <c r="U80" s="94"/>
      <c r="V80" s="93"/>
      <c r="W80" s="85"/>
      <c r="Y80" s="94"/>
      <c r="Z80" s="93"/>
      <c r="AA80" s="85"/>
      <c r="AC80" s="94"/>
      <c r="AD80" s="93"/>
      <c r="AE80" s="85"/>
    </row>
    <row r="81" spans="7:31" x14ac:dyDescent="0.35">
      <c r="G81" s="85"/>
      <c r="H81" s="87"/>
      <c r="K81" s="85"/>
      <c r="M81" s="94"/>
      <c r="N81" s="93"/>
      <c r="O81" s="85"/>
      <c r="Q81" s="94"/>
      <c r="R81" s="93"/>
      <c r="S81" s="85"/>
      <c r="U81" s="94"/>
      <c r="V81" s="93"/>
      <c r="W81" s="85"/>
      <c r="Y81" s="94"/>
      <c r="Z81" s="93"/>
      <c r="AA81" s="85"/>
      <c r="AC81" s="94"/>
      <c r="AD81" s="93"/>
      <c r="AE81" s="85"/>
    </row>
    <row r="82" spans="7:31" x14ac:dyDescent="0.35">
      <c r="G82" s="85"/>
      <c r="H82" s="87"/>
      <c r="K82" s="85"/>
      <c r="M82" s="94"/>
      <c r="N82" s="93"/>
      <c r="O82" s="85"/>
      <c r="Q82" s="94"/>
      <c r="R82" s="93"/>
      <c r="S82" s="85"/>
      <c r="U82" s="94"/>
      <c r="V82" s="93"/>
      <c r="W82" s="85"/>
      <c r="Y82" s="94"/>
      <c r="Z82" s="93"/>
      <c r="AA82" s="85"/>
      <c r="AC82" s="94"/>
      <c r="AD82" s="93"/>
      <c r="AE82" s="85"/>
    </row>
    <row r="83" spans="7:31" x14ac:dyDescent="0.35">
      <c r="G83" s="85"/>
      <c r="H83" s="87"/>
      <c r="K83" s="85"/>
      <c r="M83" s="94"/>
      <c r="N83" s="93"/>
      <c r="O83" s="85"/>
      <c r="Q83" s="94"/>
      <c r="R83" s="93"/>
      <c r="S83" s="85"/>
      <c r="U83" s="94"/>
      <c r="V83" s="93"/>
      <c r="W83" s="85"/>
      <c r="Y83" s="94"/>
      <c r="Z83" s="93"/>
      <c r="AA83" s="85"/>
      <c r="AC83" s="94"/>
      <c r="AD83" s="93"/>
      <c r="AE83" s="85"/>
    </row>
    <row r="84" spans="7:31" x14ac:dyDescent="0.35">
      <c r="G84" s="85"/>
      <c r="H84" s="87"/>
      <c r="K84" s="85"/>
      <c r="M84" s="94"/>
      <c r="N84" s="93"/>
      <c r="O84" s="85"/>
      <c r="Q84" s="94"/>
      <c r="R84" s="93"/>
      <c r="S84" s="85"/>
      <c r="U84" s="94"/>
      <c r="V84" s="93"/>
      <c r="W84" s="85"/>
      <c r="Y84" s="94"/>
      <c r="Z84" s="93"/>
      <c r="AA84" s="85"/>
      <c r="AC84" s="94"/>
      <c r="AD84" s="93"/>
      <c r="AE84" s="85"/>
    </row>
    <row r="85" spans="7:31" x14ac:dyDescent="0.35">
      <c r="G85" s="85"/>
      <c r="H85" s="87"/>
      <c r="K85" s="85"/>
      <c r="M85" s="94"/>
      <c r="N85" s="93"/>
      <c r="O85" s="85"/>
      <c r="Q85" s="94"/>
      <c r="R85" s="93"/>
      <c r="S85" s="85"/>
      <c r="U85" s="94"/>
      <c r="V85" s="93"/>
      <c r="W85" s="85"/>
      <c r="Y85" s="94"/>
      <c r="Z85" s="93"/>
      <c r="AA85" s="85"/>
      <c r="AC85" s="94"/>
      <c r="AD85" s="93"/>
      <c r="AE85" s="85"/>
    </row>
    <row r="86" spans="7:31" x14ac:dyDescent="0.35">
      <c r="G86" s="85"/>
      <c r="H86" s="87"/>
      <c r="K86" s="85"/>
      <c r="M86" s="94"/>
      <c r="N86" s="93"/>
      <c r="O86" s="85"/>
      <c r="Q86" s="94"/>
      <c r="R86" s="93"/>
      <c r="S86" s="85"/>
      <c r="U86" s="94"/>
      <c r="V86" s="93"/>
      <c r="W86" s="85"/>
      <c r="Y86" s="94"/>
      <c r="Z86" s="93"/>
      <c r="AA86" s="85"/>
      <c r="AC86" s="94"/>
      <c r="AD86" s="93"/>
      <c r="AE86" s="85"/>
    </row>
    <row r="87" spans="7:31" x14ac:dyDescent="0.35">
      <c r="G87" s="85"/>
      <c r="H87" s="87"/>
      <c r="K87" s="85"/>
      <c r="M87" s="94"/>
      <c r="N87" s="93"/>
      <c r="O87" s="85"/>
      <c r="Q87" s="94"/>
      <c r="R87" s="93"/>
      <c r="S87" s="85"/>
      <c r="U87" s="94"/>
      <c r="V87" s="93"/>
      <c r="W87" s="85"/>
      <c r="Y87" s="94"/>
      <c r="Z87" s="93"/>
      <c r="AA87" s="85"/>
      <c r="AC87" s="94"/>
      <c r="AD87" s="93"/>
      <c r="AE87" s="85"/>
    </row>
    <row r="88" spans="7:31" x14ac:dyDescent="0.35">
      <c r="G88" s="85"/>
      <c r="H88" s="87"/>
      <c r="K88" s="85"/>
      <c r="M88" s="94"/>
      <c r="N88" s="93"/>
      <c r="O88" s="85"/>
      <c r="Q88" s="94"/>
      <c r="R88" s="93"/>
      <c r="S88" s="85"/>
      <c r="U88" s="94"/>
      <c r="V88" s="93"/>
      <c r="W88" s="85"/>
      <c r="Y88" s="94"/>
      <c r="Z88" s="93"/>
      <c r="AA88" s="85"/>
      <c r="AC88" s="94"/>
      <c r="AD88" s="93"/>
      <c r="AE88" s="85"/>
    </row>
    <row r="89" spans="7:31" x14ac:dyDescent="0.35">
      <c r="G89" s="85"/>
      <c r="H89" s="87"/>
      <c r="K89" s="85"/>
      <c r="M89" s="94"/>
      <c r="N89" s="93"/>
      <c r="O89" s="85"/>
      <c r="Q89" s="94"/>
      <c r="R89" s="93"/>
      <c r="S89" s="85"/>
      <c r="U89" s="94"/>
      <c r="V89" s="93"/>
      <c r="W89" s="85"/>
      <c r="Y89" s="94"/>
      <c r="Z89" s="93"/>
      <c r="AA89" s="85"/>
      <c r="AC89" s="94"/>
      <c r="AD89" s="93"/>
      <c r="AE89" s="85"/>
    </row>
    <row r="90" spans="7:31" x14ac:dyDescent="0.35">
      <c r="G90" s="85"/>
      <c r="H90" s="87"/>
      <c r="K90" s="85"/>
      <c r="M90" s="94"/>
      <c r="N90" s="93"/>
      <c r="O90" s="85"/>
      <c r="Q90" s="94"/>
      <c r="R90" s="93"/>
      <c r="S90" s="85"/>
      <c r="U90" s="94"/>
      <c r="V90" s="93"/>
      <c r="W90" s="85"/>
      <c r="Y90" s="94"/>
      <c r="Z90" s="93"/>
      <c r="AA90" s="85"/>
      <c r="AC90" s="94"/>
      <c r="AD90" s="93"/>
      <c r="AE90" s="85"/>
    </row>
    <row r="91" spans="7:31" x14ac:dyDescent="0.35">
      <c r="G91" s="85"/>
      <c r="H91" s="87"/>
      <c r="K91" s="85"/>
      <c r="M91" s="94"/>
      <c r="N91" s="93"/>
      <c r="O91" s="85"/>
      <c r="Q91" s="94"/>
      <c r="R91" s="93"/>
      <c r="S91" s="85"/>
      <c r="U91" s="94"/>
      <c r="V91" s="93"/>
      <c r="W91" s="85"/>
      <c r="Y91" s="94"/>
      <c r="Z91" s="93"/>
      <c r="AA91" s="85"/>
      <c r="AC91" s="94"/>
      <c r="AD91" s="93"/>
      <c r="AE91" s="85"/>
    </row>
    <row r="92" spans="7:31" x14ac:dyDescent="0.35">
      <c r="G92" s="85"/>
      <c r="H92" s="87"/>
      <c r="K92" s="85"/>
      <c r="M92" s="94"/>
      <c r="N92" s="93"/>
      <c r="O92" s="85"/>
      <c r="Q92" s="94"/>
      <c r="R92" s="93"/>
      <c r="S92" s="85"/>
      <c r="U92" s="94"/>
      <c r="V92" s="93"/>
      <c r="W92" s="85"/>
      <c r="Y92" s="94"/>
      <c r="Z92" s="93"/>
      <c r="AA92" s="85"/>
      <c r="AC92" s="94"/>
      <c r="AD92" s="93"/>
      <c r="AE92" s="85"/>
    </row>
    <row r="93" spans="7:31" x14ac:dyDescent="0.35">
      <c r="G93" s="85"/>
      <c r="H93" s="87"/>
      <c r="K93" s="85"/>
      <c r="M93" s="94"/>
      <c r="N93" s="93"/>
      <c r="O93" s="85"/>
      <c r="Q93" s="94"/>
      <c r="R93" s="93"/>
      <c r="S93" s="85"/>
      <c r="U93" s="94"/>
      <c r="V93" s="93"/>
      <c r="W93" s="85"/>
      <c r="Y93" s="94"/>
      <c r="Z93" s="93"/>
      <c r="AA93" s="85"/>
      <c r="AC93" s="94"/>
      <c r="AD93" s="93"/>
      <c r="AE93" s="85"/>
    </row>
    <row r="94" spans="7:31" x14ac:dyDescent="0.35">
      <c r="G94" s="85"/>
      <c r="H94" s="87"/>
      <c r="K94" s="85"/>
      <c r="M94" s="94"/>
      <c r="N94" s="93"/>
      <c r="O94" s="85"/>
      <c r="Q94" s="94"/>
      <c r="R94" s="93"/>
      <c r="S94" s="85"/>
      <c r="U94" s="94"/>
      <c r="V94" s="93"/>
      <c r="W94" s="85"/>
      <c r="Y94" s="94"/>
      <c r="Z94" s="93"/>
      <c r="AA94" s="85"/>
      <c r="AC94" s="94"/>
      <c r="AD94" s="93"/>
      <c r="AE94" s="85"/>
    </row>
    <row r="95" spans="7:31" x14ac:dyDescent="0.35">
      <c r="G95" s="85"/>
      <c r="H95" s="87"/>
      <c r="K95" s="85"/>
      <c r="M95" s="94"/>
      <c r="N95" s="93"/>
      <c r="O95" s="85"/>
      <c r="Q95" s="94"/>
      <c r="R95" s="93"/>
      <c r="S95" s="85"/>
      <c r="U95" s="94"/>
      <c r="V95" s="93"/>
      <c r="W95" s="85"/>
      <c r="Y95" s="94"/>
      <c r="Z95" s="93"/>
      <c r="AA95" s="85"/>
      <c r="AC95" s="94"/>
      <c r="AD95" s="93"/>
      <c r="AE95" s="85"/>
    </row>
    <row r="96" spans="7:31" x14ac:dyDescent="0.35">
      <c r="G96" s="85"/>
      <c r="H96" s="87"/>
      <c r="K96" s="85"/>
      <c r="M96" s="94"/>
      <c r="N96" s="93"/>
      <c r="O96" s="85"/>
      <c r="Q96" s="94"/>
      <c r="R96" s="93"/>
      <c r="S96" s="85"/>
      <c r="U96" s="94"/>
      <c r="V96" s="93"/>
      <c r="W96" s="85"/>
      <c r="Y96" s="94"/>
      <c r="Z96" s="93"/>
      <c r="AA96" s="85"/>
      <c r="AC96" s="94"/>
      <c r="AD96" s="93"/>
      <c r="AE96" s="85"/>
    </row>
    <row r="97" spans="7:31" x14ac:dyDescent="0.35">
      <c r="G97" s="85"/>
      <c r="H97" s="87"/>
      <c r="K97" s="85"/>
      <c r="M97" s="94"/>
      <c r="N97" s="93"/>
      <c r="O97" s="85"/>
      <c r="Q97" s="94"/>
      <c r="R97" s="93"/>
      <c r="S97" s="85"/>
      <c r="U97" s="94"/>
      <c r="V97" s="93"/>
      <c r="W97" s="85"/>
      <c r="Y97" s="94"/>
      <c r="Z97" s="93"/>
      <c r="AA97" s="85"/>
      <c r="AC97" s="94"/>
      <c r="AD97" s="93"/>
      <c r="AE97" s="85"/>
    </row>
    <row r="98" spans="7:31" x14ac:dyDescent="0.35">
      <c r="G98" s="85"/>
      <c r="H98" s="87"/>
      <c r="K98" s="85"/>
      <c r="M98" s="94"/>
      <c r="N98" s="93"/>
      <c r="O98" s="85"/>
      <c r="Q98" s="94"/>
      <c r="R98" s="93"/>
      <c r="S98" s="85"/>
      <c r="U98" s="94"/>
      <c r="V98" s="93"/>
      <c r="W98" s="85"/>
      <c r="Y98" s="94"/>
      <c r="Z98" s="93"/>
      <c r="AA98" s="85"/>
      <c r="AC98" s="94"/>
      <c r="AD98" s="93"/>
      <c r="AE98" s="85"/>
    </row>
    <row r="99" spans="7:31" x14ac:dyDescent="0.35">
      <c r="G99" s="85"/>
      <c r="H99" s="87"/>
      <c r="K99" s="85"/>
      <c r="M99" s="94"/>
      <c r="N99" s="93"/>
      <c r="O99" s="85"/>
      <c r="Q99" s="94"/>
      <c r="R99" s="93"/>
      <c r="S99" s="85"/>
      <c r="U99" s="94"/>
      <c r="V99" s="93"/>
      <c r="W99" s="85"/>
      <c r="Y99" s="94"/>
      <c r="Z99" s="93"/>
      <c r="AA99" s="85"/>
      <c r="AC99" s="94"/>
      <c r="AD99" s="93"/>
      <c r="AE99" s="85"/>
    </row>
    <row r="100" spans="7:31" x14ac:dyDescent="0.35">
      <c r="G100" s="85"/>
      <c r="H100" s="87"/>
      <c r="K100" s="85"/>
      <c r="M100" s="94"/>
      <c r="N100" s="93"/>
      <c r="O100" s="85"/>
      <c r="Q100" s="94"/>
      <c r="R100" s="93"/>
      <c r="S100" s="85"/>
      <c r="U100" s="94"/>
      <c r="V100" s="93"/>
      <c r="W100" s="85"/>
      <c r="Y100" s="94"/>
      <c r="Z100" s="93"/>
      <c r="AA100" s="85"/>
      <c r="AC100" s="94"/>
      <c r="AD100" s="93"/>
      <c r="AE100" s="85"/>
    </row>
    <row r="101" spans="7:31" x14ac:dyDescent="0.35">
      <c r="G101" s="85"/>
      <c r="H101" s="87"/>
      <c r="K101" s="85"/>
      <c r="M101" s="94"/>
      <c r="N101" s="93"/>
      <c r="O101" s="85"/>
      <c r="Q101" s="94"/>
      <c r="R101" s="93"/>
      <c r="S101" s="85"/>
      <c r="U101" s="94"/>
      <c r="V101" s="93"/>
      <c r="W101" s="85"/>
      <c r="Y101" s="94"/>
      <c r="Z101" s="93"/>
      <c r="AA101" s="85"/>
      <c r="AC101" s="94"/>
      <c r="AD101" s="93"/>
      <c r="AE101" s="85"/>
    </row>
    <row r="102" spans="7:31" x14ac:dyDescent="0.35">
      <c r="G102" s="85"/>
      <c r="H102" s="87"/>
      <c r="K102" s="85"/>
      <c r="M102" s="94"/>
      <c r="N102" s="93"/>
      <c r="O102" s="85"/>
      <c r="Q102" s="94"/>
      <c r="R102" s="93"/>
      <c r="S102" s="85"/>
      <c r="U102" s="94"/>
      <c r="V102" s="93"/>
      <c r="W102" s="85"/>
      <c r="Y102" s="94"/>
      <c r="Z102" s="93"/>
      <c r="AA102" s="85"/>
      <c r="AC102" s="94"/>
      <c r="AD102" s="93"/>
      <c r="AE102" s="85"/>
    </row>
    <row r="103" spans="7:31" x14ac:dyDescent="0.35">
      <c r="G103" s="85"/>
      <c r="H103" s="87"/>
      <c r="K103" s="85"/>
      <c r="M103" s="94"/>
      <c r="N103" s="93"/>
      <c r="O103" s="85"/>
      <c r="Q103" s="94"/>
      <c r="R103" s="93"/>
      <c r="S103" s="85"/>
      <c r="U103" s="94"/>
      <c r="V103" s="93"/>
      <c r="W103" s="85"/>
      <c r="Y103" s="94"/>
      <c r="Z103" s="93"/>
      <c r="AA103" s="85"/>
      <c r="AC103" s="94"/>
      <c r="AD103" s="93"/>
      <c r="AE103" s="85"/>
    </row>
    <row r="104" spans="7:31" x14ac:dyDescent="0.35">
      <c r="G104" s="85"/>
      <c r="H104" s="87"/>
      <c r="K104" s="85"/>
      <c r="M104" s="94"/>
      <c r="N104" s="93"/>
      <c r="O104" s="85"/>
      <c r="Q104" s="94"/>
      <c r="R104" s="93"/>
      <c r="S104" s="85"/>
      <c r="U104" s="94"/>
      <c r="V104" s="93"/>
      <c r="W104" s="85"/>
      <c r="Y104" s="94"/>
      <c r="Z104" s="93"/>
      <c r="AA104" s="85"/>
      <c r="AC104" s="94"/>
      <c r="AD104" s="93"/>
      <c r="AE104" s="85"/>
    </row>
    <row r="105" spans="7:31" x14ac:dyDescent="0.35">
      <c r="G105" s="85"/>
      <c r="H105" s="87"/>
      <c r="K105" s="85"/>
      <c r="M105" s="94"/>
      <c r="N105" s="93"/>
      <c r="O105" s="85"/>
      <c r="Q105" s="94"/>
      <c r="R105" s="93"/>
      <c r="S105" s="85"/>
      <c r="U105" s="94"/>
      <c r="V105" s="93"/>
      <c r="W105" s="85"/>
      <c r="Y105" s="94"/>
      <c r="Z105" s="93"/>
      <c r="AA105" s="85"/>
      <c r="AC105" s="94"/>
      <c r="AD105" s="93"/>
      <c r="AE105" s="85"/>
    </row>
    <row r="106" spans="7:31" x14ac:dyDescent="0.35">
      <c r="G106" s="85"/>
      <c r="H106" s="87"/>
      <c r="K106" s="85"/>
      <c r="M106" s="94"/>
      <c r="N106" s="93"/>
      <c r="O106" s="85"/>
      <c r="Q106" s="94"/>
      <c r="R106" s="93"/>
      <c r="S106" s="85"/>
      <c r="U106" s="94"/>
      <c r="V106" s="93"/>
      <c r="W106" s="85"/>
      <c r="Y106" s="94"/>
      <c r="Z106" s="93"/>
      <c r="AA106" s="85"/>
      <c r="AC106" s="94"/>
      <c r="AD106" s="93"/>
      <c r="AE106" s="85"/>
    </row>
    <row r="107" spans="7:31" x14ac:dyDescent="0.35">
      <c r="G107" s="85"/>
      <c r="H107" s="87"/>
      <c r="K107" s="85"/>
      <c r="M107" s="94"/>
      <c r="N107" s="93"/>
      <c r="O107" s="85"/>
      <c r="Q107" s="94"/>
      <c r="R107" s="93"/>
      <c r="S107" s="85"/>
      <c r="U107" s="94"/>
      <c r="V107" s="93"/>
      <c r="W107" s="85"/>
      <c r="Y107" s="94"/>
      <c r="Z107" s="93"/>
      <c r="AA107" s="85"/>
      <c r="AC107" s="94"/>
      <c r="AD107" s="93"/>
      <c r="AE107" s="85"/>
    </row>
    <row r="108" spans="7:31" x14ac:dyDescent="0.35">
      <c r="G108" s="85"/>
      <c r="H108" s="87"/>
      <c r="K108" s="85"/>
      <c r="M108" s="94"/>
      <c r="N108" s="93"/>
      <c r="O108" s="85"/>
      <c r="Q108" s="94"/>
      <c r="R108" s="93"/>
      <c r="S108" s="85"/>
      <c r="U108" s="94"/>
      <c r="V108" s="93"/>
      <c r="W108" s="85"/>
      <c r="Y108" s="94"/>
      <c r="Z108" s="93"/>
      <c r="AA108" s="85"/>
      <c r="AC108" s="94"/>
      <c r="AD108" s="93"/>
      <c r="AE108" s="85"/>
    </row>
    <row r="109" spans="7:31" x14ac:dyDescent="0.35">
      <c r="G109" s="85"/>
      <c r="H109" s="87"/>
      <c r="K109" s="85"/>
      <c r="M109" s="94"/>
      <c r="N109" s="93"/>
      <c r="O109" s="85"/>
      <c r="Q109" s="94"/>
      <c r="R109" s="93"/>
      <c r="S109" s="85"/>
      <c r="U109" s="94"/>
      <c r="V109" s="93"/>
      <c r="W109" s="85"/>
      <c r="Y109" s="94"/>
      <c r="Z109" s="93"/>
      <c r="AA109" s="85"/>
      <c r="AC109" s="94"/>
      <c r="AD109" s="93"/>
      <c r="AE109" s="85"/>
    </row>
    <row r="110" spans="7:31" x14ac:dyDescent="0.35">
      <c r="G110" s="85"/>
      <c r="H110" s="87"/>
      <c r="K110" s="85"/>
      <c r="M110" s="94"/>
      <c r="N110" s="93"/>
      <c r="O110" s="85"/>
      <c r="Q110" s="94"/>
      <c r="R110" s="93"/>
      <c r="S110" s="85"/>
      <c r="U110" s="94"/>
      <c r="V110" s="93"/>
      <c r="W110" s="85"/>
      <c r="Y110" s="94"/>
      <c r="Z110" s="93"/>
      <c r="AA110" s="85"/>
      <c r="AC110" s="94"/>
      <c r="AD110" s="93"/>
      <c r="AE110" s="85"/>
    </row>
    <row r="111" spans="7:31" x14ac:dyDescent="0.35">
      <c r="G111" s="85"/>
      <c r="H111" s="87"/>
      <c r="K111" s="85"/>
      <c r="M111" s="94"/>
      <c r="N111" s="93"/>
      <c r="O111" s="85"/>
      <c r="Q111" s="94"/>
      <c r="R111" s="93"/>
      <c r="S111" s="85"/>
      <c r="U111" s="94"/>
      <c r="V111" s="93"/>
      <c r="W111" s="85"/>
      <c r="Y111" s="94"/>
      <c r="Z111" s="93"/>
      <c r="AA111" s="85"/>
      <c r="AC111" s="94"/>
      <c r="AD111" s="93"/>
      <c r="AE111" s="85"/>
    </row>
    <row r="112" spans="7:31" x14ac:dyDescent="0.35">
      <c r="G112" s="85"/>
      <c r="H112" s="87"/>
      <c r="K112" s="85"/>
      <c r="M112" s="94"/>
      <c r="N112" s="93"/>
      <c r="O112" s="85"/>
      <c r="Q112" s="94"/>
      <c r="R112" s="93"/>
      <c r="S112" s="85"/>
      <c r="U112" s="94"/>
      <c r="V112" s="93"/>
      <c r="W112" s="85"/>
      <c r="Y112" s="94"/>
      <c r="Z112" s="93"/>
      <c r="AA112" s="85"/>
      <c r="AC112" s="94"/>
      <c r="AD112" s="93"/>
      <c r="AE112" s="85"/>
    </row>
    <row r="113" spans="7:31" x14ac:dyDescent="0.35">
      <c r="G113" s="85"/>
      <c r="H113" s="87"/>
      <c r="K113" s="85"/>
      <c r="M113" s="94"/>
      <c r="N113" s="93"/>
      <c r="O113" s="85"/>
      <c r="Q113" s="94"/>
      <c r="R113" s="93"/>
      <c r="S113" s="85"/>
      <c r="U113" s="94"/>
      <c r="V113" s="93"/>
      <c r="W113" s="85"/>
      <c r="Y113" s="94"/>
      <c r="Z113" s="93"/>
      <c r="AA113" s="85"/>
      <c r="AC113" s="94"/>
      <c r="AD113" s="93"/>
      <c r="AE113" s="85"/>
    </row>
    <row r="114" spans="7:31" x14ac:dyDescent="0.35">
      <c r="G114" s="85"/>
      <c r="H114" s="87"/>
      <c r="K114" s="85"/>
      <c r="M114" s="94"/>
      <c r="N114" s="93"/>
      <c r="O114" s="85"/>
      <c r="Q114" s="94"/>
      <c r="R114" s="93"/>
      <c r="S114" s="85"/>
      <c r="U114" s="94"/>
      <c r="V114" s="93"/>
      <c r="W114" s="85"/>
      <c r="Y114" s="94"/>
      <c r="Z114" s="93"/>
      <c r="AA114" s="85"/>
      <c r="AC114" s="94"/>
      <c r="AD114" s="93"/>
      <c r="AE114" s="85"/>
    </row>
    <row r="115" spans="7:31" x14ac:dyDescent="0.35">
      <c r="G115" s="85"/>
      <c r="H115" s="87"/>
      <c r="K115" s="85"/>
      <c r="M115" s="94"/>
      <c r="N115" s="93"/>
      <c r="O115" s="85"/>
      <c r="Q115" s="94"/>
      <c r="R115" s="93"/>
      <c r="S115" s="85"/>
      <c r="U115" s="94"/>
      <c r="V115" s="93"/>
      <c r="W115" s="85"/>
      <c r="Y115" s="94"/>
      <c r="Z115" s="93"/>
      <c r="AA115" s="85"/>
      <c r="AC115" s="94"/>
      <c r="AD115" s="93"/>
      <c r="AE115" s="85"/>
    </row>
    <row r="116" spans="7:31" x14ac:dyDescent="0.35">
      <c r="G116" s="85"/>
      <c r="H116" s="87"/>
      <c r="K116" s="85"/>
      <c r="M116" s="94"/>
      <c r="N116" s="93"/>
      <c r="O116" s="85"/>
      <c r="Q116" s="94"/>
      <c r="R116" s="93"/>
      <c r="S116" s="85"/>
      <c r="U116" s="94"/>
      <c r="V116" s="93"/>
      <c r="W116" s="85"/>
      <c r="Y116" s="94"/>
      <c r="Z116" s="93"/>
      <c r="AA116" s="85"/>
      <c r="AC116" s="94"/>
      <c r="AD116" s="93"/>
      <c r="AE116" s="85"/>
    </row>
    <row r="117" spans="7:31" x14ac:dyDescent="0.35">
      <c r="G117" s="85"/>
      <c r="H117" s="87"/>
      <c r="K117" s="85"/>
      <c r="M117" s="94"/>
      <c r="N117" s="93"/>
      <c r="O117" s="85"/>
      <c r="Q117" s="94"/>
      <c r="R117" s="93"/>
      <c r="S117" s="85"/>
      <c r="U117" s="94"/>
      <c r="V117" s="93"/>
      <c r="W117" s="85"/>
      <c r="Y117" s="94"/>
      <c r="Z117" s="93"/>
      <c r="AA117" s="85"/>
      <c r="AC117" s="94"/>
      <c r="AD117" s="93"/>
      <c r="AE117" s="85"/>
    </row>
    <row r="118" spans="7:31" x14ac:dyDescent="0.35">
      <c r="G118" s="85"/>
      <c r="H118" s="87"/>
      <c r="K118" s="85"/>
      <c r="M118" s="94"/>
      <c r="N118" s="93"/>
      <c r="O118" s="85"/>
      <c r="Q118" s="94"/>
      <c r="R118" s="93"/>
      <c r="S118" s="85"/>
      <c r="U118" s="94"/>
      <c r="V118" s="93"/>
      <c r="W118" s="85"/>
      <c r="Y118" s="94"/>
      <c r="Z118" s="93"/>
      <c r="AA118" s="85"/>
      <c r="AC118" s="94"/>
      <c r="AD118" s="93"/>
      <c r="AE118" s="85"/>
    </row>
    <row r="119" spans="7:31" x14ac:dyDescent="0.35">
      <c r="G119" s="85"/>
      <c r="H119" s="87"/>
      <c r="K119" s="85"/>
      <c r="M119" s="94"/>
      <c r="N119" s="93"/>
      <c r="O119" s="85"/>
      <c r="Q119" s="94"/>
      <c r="R119" s="93"/>
      <c r="S119" s="85"/>
      <c r="U119" s="94"/>
      <c r="V119" s="93"/>
      <c r="W119" s="85"/>
      <c r="Y119" s="94"/>
      <c r="Z119" s="93"/>
      <c r="AA119" s="85"/>
      <c r="AC119" s="94"/>
      <c r="AD119" s="93"/>
      <c r="AE119" s="85"/>
    </row>
    <row r="120" spans="7:31" x14ac:dyDescent="0.35">
      <c r="G120" s="85"/>
      <c r="H120" s="87"/>
      <c r="K120" s="85"/>
      <c r="M120" s="94"/>
      <c r="N120" s="93"/>
      <c r="O120" s="85"/>
      <c r="Q120" s="94"/>
      <c r="R120" s="93"/>
      <c r="S120" s="85"/>
      <c r="U120" s="94"/>
      <c r="V120" s="93"/>
      <c r="W120" s="85"/>
      <c r="Y120" s="94"/>
      <c r="Z120" s="93"/>
      <c r="AA120" s="85"/>
      <c r="AC120" s="94"/>
      <c r="AD120" s="93"/>
      <c r="AE120" s="85"/>
    </row>
    <row r="121" spans="7:31" x14ac:dyDescent="0.35">
      <c r="G121" s="85"/>
      <c r="H121" s="87"/>
      <c r="K121" s="85"/>
      <c r="M121" s="94"/>
      <c r="N121" s="93"/>
      <c r="O121" s="85"/>
      <c r="Q121" s="94"/>
      <c r="R121" s="93"/>
      <c r="S121" s="85"/>
      <c r="U121" s="94"/>
      <c r="V121" s="93"/>
      <c r="W121" s="85"/>
      <c r="Y121" s="94"/>
      <c r="Z121" s="93"/>
      <c r="AA121" s="85"/>
      <c r="AC121" s="94"/>
      <c r="AD121" s="93"/>
      <c r="AE121" s="85"/>
    </row>
    <row r="122" spans="7:31" x14ac:dyDescent="0.35">
      <c r="G122" s="85"/>
      <c r="H122" s="87"/>
      <c r="K122" s="85"/>
      <c r="M122" s="94"/>
      <c r="N122" s="93"/>
      <c r="O122" s="85"/>
      <c r="Q122" s="94"/>
      <c r="R122" s="93"/>
      <c r="S122" s="85"/>
      <c r="U122" s="94"/>
      <c r="V122" s="93"/>
      <c r="W122" s="85"/>
      <c r="Y122" s="94"/>
      <c r="Z122" s="93"/>
      <c r="AA122" s="85"/>
      <c r="AC122" s="94"/>
      <c r="AD122" s="93"/>
      <c r="AE122" s="85"/>
    </row>
    <row r="123" spans="7:31" x14ac:dyDescent="0.35">
      <c r="G123" s="85"/>
      <c r="H123" s="87"/>
      <c r="K123" s="85"/>
      <c r="M123" s="94"/>
      <c r="N123" s="93"/>
      <c r="O123" s="85"/>
      <c r="Q123" s="94"/>
      <c r="R123" s="93"/>
      <c r="S123" s="85"/>
      <c r="U123" s="94"/>
      <c r="V123" s="93"/>
      <c r="W123" s="85"/>
      <c r="Y123" s="94"/>
      <c r="Z123" s="93"/>
      <c r="AA123" s="85"/>
      <c r="AC123" s="94"/>
      <c r="AD123" s="93"/>
      <c r="AE123" s="85"/>
    </row>
    <row r="124" spans="7:31" x14ac:dyDescent="0.35">
      <c r="G124" s="85"/>
      <c r="H124" s="87"/>
      <c r="K124" s="85"/>
      <c r="M124" s="94"/>
      <c r="N124" s="93"/>
      <c r="O124" s="85"/>
      <c r="Q124" s="94"/>
      <c r="R124" s="93"/>
      <c r="S124" s="85"/>
      <c r="U124" s="94"/>
      <c r="V124" s="93"/>
      <c r="W124" s="85"/>
      <c r="Y124" s="94"/>
      <c r="Z124" s="93"/>
      <c r="AA124" s="85"/>
      <c r="AC124" s="94"/>
      <c r="AD124" s="93"/>
      <c r="AE124" s="85"/>
    </row>
    <row r="125" spans="7:31" x14ac:dyDescent="0.35">
      <c r="G125" s="85"/>
      <c r="H125" s="87"/>
      <c r="K125" s="85"/>
      <c r="M125" s="94"/>
      <c r="N125" s="93"/>
      <c r="O125" s="85"/>
      <c r="Q125" s="94"/>
      <c r="R125" s="93"/>
      <c r="S125" s="85"/>
      <c r="U125" s="94"/>
      <c r="V125" s="93"/>
      <c r="W125" s="85"/>
      <c r="Y125" s="94"/>
      <c r="Z125" s="93"/>
      <c r="AA125" s="85"/>
      <c r="AC125" s="94"/>
      <c r="AD125" s="93"/>
      <c r="AE125" s="85"/>
    </row>
    <row r="126" spans="7:31" x14ac:dyDescent="0.35">
      <c r="G126" s="85"/>
      <c r="H126" s="87"/>
      <c r="K126" s="85"/>
      <c r="M126" s="94"/>
      <c r="N126" s="93"/>
      <c r="O126" s="85"/>
      <c r="Q126" s="94"/>
      <c r="R126" s="93"/>
      <c r="S126" s="85"/>
      <c r="U126" s="94"/>
      <c r="V126" s="93"/>
      <c r="W126" s="85"/>
      <c r="Y126" s="94"/>
      <c r="Z126" s="93"/>
      <c r="AA126" s="85"/>
      <c r="AC126" s="94"/>
      <c r="AD126" s="93"/>
      <c r="AE126" s="85"/>
    </row>
    <row r="127" spans="7:31" x14ac:dyDescent="0.35">
      <c r="G127" s="85"/>
      <c r="H127" s="87"/>
      <c r="K127" s="85"/>
      <c r="M127" s="94"/>
      <c r="N127" s="93"/>
      <c r="O127" s="85"/>
      <c r="Q127" s="94"/>
      <c r="R127" s="93"/>
      <c r="S127" s="85"/>
      <c r="U127" s="94"/>
      <c r="V127" s="93"/>
      <c r="W127" s="85"/>
      <c r="Y127" s="94"/>
      <c r="Z127" s="93"/>
      <c r="AA127" s="85"/>
      <c r="AC127" s="94"/>
      <c r="AD127" s="93"/>
      <c r="AE127" s="85"/>
    </row>
    <row r="128" spans="7:31" x14ac:dyDescent="0.35">
      <c r="G128" s="85"/>
      <c r="H128" s="87"/>
      <c r="K128" s="85"/>
      <c r="M128" s="94"/>
      <c r="N128" s="93"/>
      <c r="O128" s="85"/>
      <c r="Q128" s="94"/>
      <c r="R128" s="93"/>
      <c r="S128" s="85"/>
      <c r="U128" s="94"/>
      <c r="V128" s="93"/>
      <c r="W128" s="85"/>
      <c r="Y128" s="94"/>
      <c r="Z128" s="93"/>
      <c r="AA128" s="85"/>
      <c r="AC128" s="94"/>
      <c r="AD128" s="93"/>
      <c r="AE128" s="85"/>
    </row>
    <row r="129" spans="7:31" x14ac:dyDescent="0.35">
      <c r="G129" s="85"/>
      <c r="H129" s="87"/>
      <c r="K129" s="85"/>
      <c r="M129" s="94"/>
      <c r="N129" s="93"/>
      <c r="O129" s="85"/>
      <c r="Q129" s="94"/>
      <c r="R129" s="93"/>
      <c r="S129" s="85"/>
      <c r="U129" s="94"/>
      <c r="V129" s="93"/>
      <c r="W129" s="85"/>
      <c r="Y129" s="94"/>
      <c r="Z129" s="93"/>
      <c r="AA129" s="85"/>
      <c r="AC129" s="94"/>
      <c r="AD129" s="93"/>
      <c r="AE129" s="85"/>
    </row>
    <row r="130" spans="7:31" x14ac:dyDescent="0.35">
      <c r="G130" s="85"/>
      <c r="H130" s="87"/>
      <c r="K130" s="85"/>
      <c r="M130" s="94"/>
      <c r="N130" s="93"/>
      <c r="O130" s="85"/>
      <c r="Q130" s="94"/>
      <c r="R130" s="93"/>
      <c r="S130" s="85"/>
      <c r="U130" s="94"/>
      <c r="V130" s="93"/>
      <c r="W130" s="85"/>
      <c r="Y130" s="94"/>
      <c r="Z130" s="93"/>
      <c r="AA130" s="85"/>
      <c r="AC130" s="94"/>
      <c r="AD130" s="93"/>
      <c r="AE130" s="85"/>
    </row>
    <row r="131" spans="7:31" x14ac:dyDescent="0.35">
      <c r="G131" s="85"/>
      <c r="H131" s="87"/>
      <c r="K131" s="85"/>
      <c r="M131" s="94"/>
      <c r="N131" s="93"/>
      <c r="O131" s="85"/>
      <c r="Q131" s="94"/>
      <c r="R131" s="93"/>
      <c r="S131" s="85"/>
      <c r="U131" s="94"/>
      <c r="V131" s="93"/>
      <c r="W131" s="85"/>
      <c r="Y131" s="94"/>
      <c r="Z131" s="93"/>
      <c r="AA131" s="85"/>
      <c r="AC131" s="94"/>
      <c r="AD131" s="93"/>
      <c r="AE131" s="85"/>
    </row>
    <row r="132" spans="7:31" x14ac:dyDescent="0.35">
      <c r="G132" s="85"/>
      <c r="H132" s="87"/>
      <c r="K132" s="85"/>
      <c r="M132" s="94"/>
      <c r="N132" s="93"/>
      <c r="O132" s="85"/>
      <c r="Q132" s="94"/>
      <c r="R132" s="93"/>
      <c r="S132" s="85"/>
      <c r="U132" s="94"/>
      <c r="V132" s="93"/>
      <c r="W132" s="85"/>
      <c r="Y132" s="94"/>
      <c r="Z132" s="93"/>
      <c r="AA132" s="85"/>
      <c r="AC132" s="94"/>
      <c r="AD132" s="93"/>
      <c r="AE132" s="85"/>
    </row>
    <row r="133" spans="7:31" x14ac:dyDescent="0.35">
      <c r="G133" s="85"/>
      <c r="H133" s="87"/>
      <c r="K133" s="85"/>
      <c r="M133" s="94"/>
      <c r="N133" s="93"/>
      <c r="O133" s="85"/>
      <c r="Q133" s="94"/>
      <c r="R133" s="93"/>
      <c r="S133" s="85"/>
      <c r="U133" s="94"/>
      <c r="V133" s="93"/>
      <c r="W133" s="85"/>
      <c r="Y133" s="94"/>
      <c r="Z133" s="93"/>
      <c r="AA133" s="85"/>
      <c r="AC133" s="94"/>
      <c r="AD133" s="93"/>
      <c r="AE133" s="85"/>
    </row>
    <row r="134" spans="7:31" x14ac:dyDescent="0.35">
      <c r="G134" s="85"/>
      <c r="H134" s="87"/>
      <c r="K134" s="85"/>
      <c r="M134" s="94"/>
      <c r="N134" s="93"/>
      <c r="O134" s="85"/>
      <c r="Q134" s="94"/>
      <c r="R134" s="93"/>
      <c r="S134" s="85"/>
      <c r="U134" s="94"/>
      <c r="V134" s="93"/>
      <c r="W134" s="85"/>
      <c r="Y134" s="94"/>
      <c r="Z134" s="93"/>
      <c r="AA134" s="85"/>
      <c r="AC134" s="94"/>
      <c r="AD134" s="93"/>
      <c r="AE134" s="85"/>
    </row>
    <row r="135" spans="7:31" x14ac:dyDescent="0.35">
      <c r="G135" s="85"/>
      <c r="H135" s="87"/>
      <c r="K135" s="85"/>
      <c r="M135" s="94"/>
      <c r="N135" s="93"/>
      <c r="O135" s="85"/>
      <c r="Q135" s="94"/>
      <c r="R135" s="93"/>
      <c r="S135" s="85"/>
      <c r="U135" s="94"/>
      <c r="V135" s="93"/>
      <c r="W135" s="85"/>
      <c r="Y135" s="94"/>
      <c r="Z135" s="93"/>
      <c r="AA135" s="85"/>
      <c r="AC135" s="94"/>
      <c r="AD135" s="93"/>
      <c r="AE135" s="85"/>
    </row>
    <row r="136" spans="7:31" x14ac:dyDescent="0.35">
      <c r="G136" s="85"/>
      <c r="H136" s="87"/>
      <c r="K136" s="85"/>
      <c r="M136" s="94"/>
      <c r="N136" s="93"/>
      <c r="O136" s="85"/>
      <c r="Q136" s="94"/>
      <c r="R136" s="93"/>
      <c r="S136" s="85"/>
      <c r="U136" s="94"/>
      <c r="V136" s="93"/>
      <c r="W136" s="85"/>
      <c r="Y136" s="94"/>
      <c r="Z136" s="93"/>
      <c r="AA136" s="85"/>
      <c r="AC136" s="94"/>
      <c r="AD136" s="93"/>
      <c r="AE136" s="85"/>
    </row>
    <row r="137" spans="7:31" x14ac:dyDescent="0.35">
      <c r="G137" s="85"/>
      <c r="H137" s="87"/>
      <c r="K137" s="85"/>
      <c r="M137" s="94"/>
      <c r="N137" s="93"/>
      <c r="O137" s="85"/>
      <c r="Q137" s="94"/>
      <c r="R137" s="93"/>
      <c r="S137" s="85"/>
      <c r="U137" s="94"/>
      <c r="V137" s="93"/>
      <c r="W137" s="85"/>
      <c r="Y137" s="94"/>
      <c r="Z137" s="93"/>
      <c r="AA137" s="85"/>
      <c r="AC137" s="94"/>
      <c r="AD137" s="93"/>
      <c r="AE137" s="85"/>
    </row>
    <row r="138" spans="7:31" x14ac:dyDescent="0.35">
      <c r="G138" s="85"/>
      <c r="H138" s="87"/>
      <c r="K138" s="85"/>
      <c r="M138" s="94"/>
      <c r="N138" s="93"/>
      <c r="O138" s="85"/>
      <c r="Q138" s="94"/>
      <c r="R138" s="93"/>
      <c r="S138" s="85"/>
      <c r="U138" s="94"/>
      <c r="V138" s="93"/>
      <c r="W138" s="85"/>
      <c r="Y138" s="94"/>
      <c r="Z138" s="93"/>
      <c r="AA138" s="85"/>
      <c r="AC138" s="94"/>
      <c r="AD138" s="93"/>
      <c r="AE138" s="85"/>
    </row>
    <row r="139" spans="7:31" x14ac:dyDescent="0.35">
      <c r="G139" s="85"/>
      <c r="H139" s="87"/>
      <c r="K139" s="85"/>
      <c r="M139" s="94"/>
      <c r="N139" s="93"/>
      <c r="O139" s="85"/>
      <c r="Q139" s="94"/>
      <c r="R139" s="93"/>
      <c r="S139" s="85"/>
      <c r="U139" s="94"/>
      <c r="V139" s="93"/>
      <c r="W139" s="85"/>
      <c r="Y139" s="94"/>
      <c r="Z139" s="93"/>
      <c r="AA139" s="85"/>
      <c r="AC139" s="94"/>
      <c r="AD139" s="93"/>
      <c r="AE139" s="85"/>
    </row>
    <row r="140" spans="7:31" x14ac:dyDescent="0.35">
      <c r="G140" s="85"/>
      <c r="H140" s="87"/>
      <c r="K140" s="85"/>
      <c r="M140" s="94"/>
      <c r="N140" s="93"/>
      <c r="O140" s="85"/>
      <c r="Q140" s="94"/>
      <c r="R140" s="93"/>
      <c r="S140" s="85"/>
      <c r="U140" s="94"/>
      <c r="V140" s="93"/>
      <c r="W140" s="85"/>
      <c r="Y140" s="94"/>
      <c r="Z140" s="93"/>
      <c r="AA140" s="85"/>
      <c r="AC140" s="94"/>
      <c r="AD140" s="93"/>
      <c r="AE140" s="85"/>
    </row>
    <row r="141" spans="7:31" x14ac:dyDescent="0.35">
      <c r="G141" s="85"/>
      <c r="H141" s="87"/>
      <c r="K141" s="85"/>
      <c r="M141" s="94"/>
      <c r="N141" s="93"/>
      <c r="O141" s="85"/>
      <c r="Q141" s="94"/>
      <c r="R141" s="93"/>
      <c r="S141" s="85"/>
      <c r="U141" s="94"/>
      <c r="V141" s="93"/>
      <c r="W141" s="85"/>
      <c r="Y141" s="94"/>
      <c r="Z141" s="93"/>
      <c r="AA141" s="85"/>
      <c r="AC141" s="94"/>
      <c r="AD141" s="93"/>
      <c r="AE141" s="85"/>
    </row>
    <row r="142" spans="7:31" x14ac:dyDescent="0.35">
      <c r="G142" s="85"/>
      <c r="H142" s="87"/>
      <c r="K142" s="85"/>
      <c r="M142" s="94"/>
      <c r="N142" s="93"/>
      <c r="O142" s="85"/>
      <c r="Q142" s="94"/>
      <c r="R142" s="93"/>
      <c r="S142" s="85"/>
      <c r="U142" s="94"/>
      <c r="V142" s="93"/>
      <c r="W142" s="85"/>
      <c r="Y142" s="94"/>
      <c r="Z142" s="93"/>
      <c r="AA142" s="85"/>
      <c r="AC142" s="94"/>
      <c r="AD142" s="93"/>
      <c r="AE142" s="85"/>
    </row>
    <row r="143" spans="7:31" x14ac:dyDescent="0.35">
      <c r="G143" s="85"/>
      <c r="H143" s="87"/>
      <c r="K143" s="85"/>
      <c r="M143" s="94"/>
      <c r="N143" s="93"/>
      <c r="O143" s="85"/>
      <c r="Q143" s="94"/>
      <c r="R143" s="93"/>
      <c r="S143" s="85"/>
      <c r="U143" s="94"/>
      <c r="V143" s="93"/>
      <c r="W143" s="85"/>
      <c r="Y143" s="94"/>
      <c r="Z143" s="93"/>
      <c r="AA143" s="85"/>
      <c r="AC143" s="94"/>
      <c r="AD143" s="93"/>
      <c r="AE143" s="85"/>
    </row>
    <row r="144" spans="7:31" x14ac:dyDescent="0.35">
      <c r="G144" s="85"/>
      <c r="H144" s="87"/>
      <c r="K144" s="85"/>
      <c r="M144" s="94"/>
      <c r="N144" s="93"/>
      <c r="O144" s="85"/>
      <c r="Q144" s="94"/>
      <c r="R144" s="93"/>
      <c r="S144" s="85"/>
      <c r="U144" s="94"/>
      <c r="V144" s="93"/>
      <c r="W144" s="85"/>
      <c r="Y144" s="94"/>
      <c r="Z144" s="93"/>
      <c r="AA144" s="85"/>
      <c r="AC144" s="94"/>
      <c r="AD144" s="93"/>
      <c r="AE144" s="85"/>
    </row>
    <row r="145" spans="7:31" x14ac:dyDescent="0.35">
      <c r="G145" s="85"/>
      <c r="H145" s="87"/>
      <c r="K145" s="85"/>
      <c r="M145" s="94"/>
      <c r="N145" s="93"/>
      <c r="O145" s="85"/>
      <c r="Q145" s="94"/>
      <c r="R145" s="93"/>
      <c r="S145" s="85"/>
      <c r="U145" s="94"/>
      <c r="V145" s="93"/>
      <c r="W145" s="85"/>
      <c r="Y145" s="94"/>
      <c r="Z145" s="93"/>
      <c r="AA145" s="85"/>
      <c r="AC145" s="94"/>
      <c r="AD145" s="93"/>
      <c r="AE145" s="85"/>
    </row>
    <row r="146" spans="7:31" x14ac:dyDescent="0.35">
      <c r="G146" s="85"/>
      <c r="H146" s="87"/>
      <c r="K146" s="85"/>
      <c r="M146" s="94"/>
      <c r="N146" s="93"/>
      <c r="O146" s="85"/>
      <c r="Q146" s="94"/>
      <c r="R146" s="93"/>
      <c r="S146" s="85"/>
      <c r="U146" s="94"/>
      <c r="V146" s="93"/>
      <c r="W146" s="85"/>
      <c r="Y146" s="94"/>
      <c r="Z146" s="93"/>
      <c r="AA146" s="85"/>
      <c r="AC146" s="94"/>
      <c r="AD146" s="93"/>
      <c r="AE146" s="85"/>
    </row>
    <row r="147" spans="7:31" x14ac:dyDescent="0.35">
      <c r="G147" s="85"/>
      <c r="H147" s="87"/>
      <c r="K147" s="85"/>
      <c r="M147" s="94"/>
      <c r="N147" s="93"/>
      <c r="O147" s="85"/>
      <c r="Q147" s="94"/>
      <c r="R147" s="93"/>
      <c r="S147" s="85"/>
      <c r="U147" s="94"/>
      <c r="V147" s="93"/>
      <c r="W147" s="85"/>
      <c r="Y147" s="94"/>
      <c r="Z147" s="93"/>
      <c r="AA147" s="85"/>
      <c r="AC147" s="94"/>
      <c r="AD147" s="93"/>
      <c r="AE147" s="85"/>
    </row>
    <row r="148" spans="7:31" x14ac:dyDescent="0.35">
      <c r="G148" s="85"/>
      <c r="H148" s="87"/>
      <c r="K148" s="85"/>
      <c r="M148" s="94"/>
      <c r="N148" s="93"/>
      <c r="O148" s="85"/>
      <c r="Q148" s="94"/>
      <c r="R148" s="93"/>
      <c r="S148" s="85"/>
      <c r="U148" s="94"/>
      <c r="V148" s="93"/>
      <c r="W148" s="85"/>
      <c r="Y148" s="94"/>
      <c r="Z148" s="93"/>
      <c r="AA148" s="85"/>
      <c r="AC148" s="94"/>
      <c r="AD148" s="93"/>
      <c r="AE148" s="85"/>
    </row>
    <row r="149" spans="7:31" x14ac:dyDescent="0.35">
      <c r="G149" s="85"/>
      <c r="H149" s="87"/>
      <c r="K149" s="85"/>
      <c r="M149" s="94"/>
      <c r="N149" s="93"/>
      <c r="O149" s="85"/>
      <c r="Q149" s="94"/>
      <c r="R149" s="93"/>
      <c r="S149" s="85"/>
      <c r="U149" s="94"/>
      <c r="V149" s="93"/>
      <c r="W149" s="85"/>
      <c r="Y149" s="94"/>
      <c r="Z149" s="93"/>
      <c r="AA149" s="85"/>
      <c r="AC149" s="94"/>
      <c r="AD149" s="93"/>
      <c r="AE149" s="85"/>
    </row>
    <row r="150" spans="7:31" x14ac:dyDescent="0.35">
      <c r="G150" s="85"/>
      <c r="H150" s="87"/>
      <c r="K150" s="85"/>
      <c r="M150" s="94"/>
      <c r="N150" s="93"/>
      <c r="O150" s="85"/>
      <c r="Q150" s="94"/>
      <c r="R150" s="93"/>
      <c r="S150" s="85"/>
      <c r="U150" s="94"/>
      <c r="V150" s="93"/>
      <c r="W150" s="85"/>
      <c r="Y150" s="94"/>
      <c r="Z150" s="93"/>
      <c r="AA150" s="85"/>
      <c r="AC150" s="94"/>
      <c r="AD150" s="93"/>
      <c r="AE150" s="85"/>
    </row>
    <row r="151" spans="7:31" x14ac:dyDescent="0.35">
      <c r="G151" s="85"/>
      <c r="H151" s="87"/>
      <c r="K151" s="85"/>
      <c r="M151" s="94"/>
      <c r="N151" s="93"/>
      <c r="O151" s="85"/>
      <c r="Q151" s="94"/>
      <c r="R151" s="93"/>
      <c r="S151" s="85"/>
      <c r="U151" s="94"/>
      <c r="V151" s="93"/>
      <c r="W151" s="85"/>
      <c r="Y151" s="94"/>
      <c r="Z151" s="93"/>
      <c r="AA151" s="85"/>
      <c r="AC151" s="94"/>
      <c r="AD151" s="93"/>
      <c r="AE151" s="85"/>
    </row>
    <row r="152" spans="7:31" x14ac:dyDescent="0.35">
      <c r="G152" s="85"/>
      <c r="H152" s="87"/>
      <c r="K152" s="85"/>
      <c r="M152" s="94"/>
      <c r="N152" s="93"/>
      <c r="O152" s="85"/>
      <c r="Q152" s="94"/>
      <c r="R152" s="93"/>
      <c r="S152" s="85"/>
      <c r="U152" s="94"/>
      <c r="V152" s="93"/>
      <c r="W152" s="85"/>
      <c r="Y152" s="94"/>
      <c r="Z152" s="93"/>
      <c r="AA152" s="85"/>
      <c r="AC152" s="94"/>
      <c r="AD152" s="93"/>
      <c r="AE152" s="85"/>
    </row>
    <row r="153" spans="7:31" x14ac:dyDescent="0.35">
      <c r="G153" s="85"/>
      <c r="H153" s="87"/>
      <c r="K153" s="85"/>
      <c r="M153" s="94"/>
      <c r="N153" s="93"/>
      <c r="O153" s="85"/>
      <c r="Q153" s="94"/>
      <c r="R153" s="93"/>
      <c r="S153" s="85"/>
      <c r="U153" s="94"/>
      <c r="V153" s="93"/>
      <c r="W153" s="85"/>
      <c r="Y153" s="94"/>
      <c r="Z153" s="93"/>
      <c r="AA153" s="85"/>
      <c r="AC153" s="94"/>
      <c r="AD153" s="93"/>
      <c r="AE153" s="85"/>
    </row>
    <row r="154" spans="7:31" x14ac:dyDescent="0.35">
      <c r="G154" s="85"/>
      <c r="H154" s="87"/>
      <c r="K154" s="85"/>
      <c r="M154" s="94"/>
      <c r="N154" s="93"/>
      <c r="O154" s="85"/>
      <c r="Q154" s="94"/>
      <c r="R154" s="93"/>
      <c r="S154" s="85"/>
      <c r="U154" s="94"/>
      <c r="V154" s="93"/>
      <c r="W154" s="85"/>
      <c r="Y154" s="94"/>
      <c r="Z154" s="93"/>
      <c r="AA154" s="85"/>
      <c r="AC154" s="94"/>
      <c r="AD154" s="93"/>
      <c r="AE154" s="85"/>
    </row>
    <row r="155" spans="7:31" x14ac:dyDescent="0.35">
      <c r="G155" s="85"/>
      <c r="H155" s="87"/>
      <c r="K155" s="85"/>
      <c r="M155" s="94"/>
      <c r="N155" s="93"/>
      <c r="O155" s="85"/>
      <c r="Q155" s="94"/>
      <c r="R155" s="93"/>
      <c r="S155" s="85"/>
      <c r="U155" s="94"/>
      <c r="V155" s="93"/>
      <c r="W155" s="85"/>
      <c r="Y155" s="94"/>
      <c r="Z155" s="93"/>
      <c r="AA155" s="85"/>
      <c r="AC155" s="94"/>
      <c r="AD155" s="93"/>
      <c r="AE155" s="85"/>
    </row>
    <row r="156" spans="7:31" x14ac:dyDescent="0.35">
      <c r="G156" s="85"/>
      <c r="H156" s="87"/>
      <c r="K156" s="85"/>
      <c r="M156" s="94"/>
      <c r="N156" s="93"/>
      <c r="O156" s="85"/>
      <c r="Q156" s="94"/>
      <c r="R156" s="93"/>
      <c r="S156" s="85"/>
      <c r="U156" s="94"/>
      <c r="V156" s="93"/>
      <c r="W156" s="85"/>
      <c r="Y156" s="94"/>
      <c r="Z156" s="93"/>
      <c r="AA156" s="85"/>
      <c r="AC156" s="94"/>
      <c r="AD156" s="93"/>
      <c r="AE156" s="85"/>
    </row>
    <row r="157" spans="7:31" x14ac:dyDescent="0.35">
      <c r="G157" s="85"/>
      <c r="H157" s="87"/>
      <c r="K157" s="85"/>
      <c r="M157" s="94"/>
      <c r="N157" s="93"/>
      <c r="O157" s="85"/>
      <c r="Q157" s="94"/>
      <c r="R157" s="93"/>
      <c r="S157" s="85"/>
      <c r="U157" s="94"/>
      <c r="V157" s="93"/>
      <c r="W157" s="85"/>
      <c r="Y157" s="94"/>
      <c r="Z157" s="93"/>
      <c r="AA157" s="85"/>
      <c r="AC157" s="94"/>
      <c r="AD157" s="93"/>
      <c r="AE157" s="85"/>
    </row>
    <row r="158" spans="7:31" x14ac:dyDescent="0.35">
      <c r="G158" s="85"/>
      <c r="H158" s="87"/>
      <c r="K158" s="85"/>
      <c r="M158" s="94"/>
      <c r="N158" s="93"/>
      <c r="O158" s="85"/>
      <c r="Q158" s="94"/>
      <c r="R158" s="93"/>
      <c r="S158" s="85"/>
      <c r="U158" s="94"/>
      <c r="V158" s="93"/>
      <c r="W158" s="85"/>
      <c r="Y158" s="94"/>
      <c r="Z158" s="93"/>
      <c r="AA158" s="85"/>
      <c r="AC158" s="94"/>
      <c r="AD158" s="93"/>
      <c r="AE158" s="85"/>
    </row>
    <row r="159" spans="7:31" x14ac:dyDescent="0.35">
      <c r="G159" s="85"/>
      <c r="H159" s="87"/>
      <c r="K159" s="85"/>
      <c r="M159" s="94"/>
      <c r="N159" s="93"/>
      <c r="O159" s="85"/>
      <c r="Q159" s="94"/>
      <c r="R159" s="93"/>
      <c r="S159" s="85"/>
      <c r="U159" s="94"/>
      <c r="V159" s="93"/>
      <c r="W159" s="85"/>
      <c r="Y159" s="94"/>
      <c r="Z159" s="93"/>
      <c r="AA159" s="85"/>
      <c r="AC159" s="94"/>
      <c r="AD159" s="93"/>
      <c r="AE159" s="85"/>
    </row>
    <row r="160" spans="7:31" x14ac:dyDescent="0.35">
      <c r="G160" s="85"/>
      <c r="H160" s="87"/>
      <c r="K160" s="85"/>
      <c r="M160" s="94"/>
      <c r="N160" s="93"/>
      <c r="O160" s="85"/>
      <c r="Q160" s="94"/>
      <c r="R160" s="93"/>
      <c r="S160" s="85"/>
      <c r="U160" s="94"/>
      <c r="V160" s="93"/>
      <c r="W160" s="85"/>
      <c r="Y160" s="94"/>
      <c r="Z160" s="93"/>
      <c r="AA160" s="85"/>
      <c r="AC160" s="94"/>
      <c r="AD160" s="93"/>
      <c r="AE160" s="85"/>
    </row>
    <row r="161" spans="7:31" x14ac:dyDescent="0.35">
      <c r="G161" s="85"/>
      <c r="H161" s="87"/>
      <c r="K161" s="85"/>
      <c r="M161" s="94"/>
      <c r="N161" s="93"/>
      <c r="O161" s="85"/>
      <c r="Q161" s="94"/>
      <c r="R161" s="93"/>
      <c r="S161" s="85"/>
      <c r="U161" s="94"/>
      <c r="V161" s="93"/>
      <c r="W161" s="85"/>
      <c r="Y161" s="94"/>
      <c r="Z161" s="93"/>
      <c r="AA161" s="85"/>
      <c r="AC161" s="94"/>
      <c r="AD161" s="93"/>
      <c r="AE161" s="85"/>
    </row>
    <row r="162" spans="7:31" x14ac:dyDescent="0.35">
      <c r="G162" s="85"/>
      <c r="H162" s="87"/>
      <c r="K162" s="85"/>
      <c r="M162" s="94"/>
      <c r="N162" s="93"/>
      <c r="O162" s="85"/>
      <c r="Q162" s="94"/>
      <c r="R162" s="93"/>
      <c r="S162" s="85"/>
      <c r="U162" s="94"/>
      <c r="V162" s="93"/>
      <c r="W162" s="85"/>
      <c r="Y162" s="94"/>
      <c r="Z162" s="93"/>
      <c r="AA162" s="85"/>
      <c r="AC162" s="94"/>
      <c r="AD162" s="93"/>
      <c r="AE162" s="85"/>
    </row>
    <row r="163" spans="7:31" x14ac:dyDescent="0.35">
      <c r="G163" s="85"/>
      <c r="H163" s="87"/>
      <c r="K163" s="85"/>
      <c r="M163" s="94"/>
      <c r="N163" s="93"/>
      <c r="O163" s="85"/>
      <c r="Q163" s="94"/>
      <c r="R163" s="93"/>
      <c r="S163" s="85"/>
      <c r="U163" s="94"/>
      <c r="V163" s="93"/>
      <c r="W163" s="85"/>
      <c r="Y163" s="94"/>
      <c r="Z163" s="93"/>
      <c r="AA163" s="85"/>
      <c r="AC163" s="94"/>
      <c r="AD163" s="93"/>
      <c r="AE163" s="85"/>
    </row>
    <row r="164" spans="7:31" x14ac:dyDescent="0.35">
      <c r="G164" s="85"/>
      <c r="H164" s="87"/>
      <c r="K164" s="85"/>
      <c r="M164" s="94"/>
      <c r="N164" s="93"/>
      <c r="O164" s="85"/>
      <c r="Q164" s="94"/>
      <c r="R164" s="93"/>
      <c r="S164" s="85"/>
      <c r="U164" s="94"/>
      <c r="V164" s="93"/>
      <c r="W164" s="85"/>
      <c r="Y164" s="94"/>
      <c r="Z164" s="93"/>
      <c r="AA164" s="85"/>
      <c r="AC164" s="94"/>
      <c r="AD164" s="93"/>
      <c r="AE164" s="85"/>
    </row>
    <row r="165" spans="7:31" x14ac:dyDescent="0.35">
      <c r="G165" s="85"/>
      <c r="H165" s="87"/>
      <c r="K165" s="85"/>
      <c r="M165" s="94"/>
      <c r="N165" s="93"/>
      <c r="O165" s="85"/>
      <c r="Q165" s="94"/>
      <c r="R165" s="93"/>
      <c r="S165" s="85"/>
      <c r="U165" s="94"/>
      <c r="V165" s="93"/>
      <c r="W165" s="85"/>
      <c r="Y165" s="94"/>
      <c r="Z165" s="93"/>
      <c r="AA165" s="85"/>
      <c r="AC165" s="94"/>
      <c r="AD165" s="93"/>
      <c r="AE165" s="85"/>
    </row>
    <row r="166" spans="7:31" x14ac:dyDescent="0.35">
      <c r="G166" s="85"/>
      <c r="H166" s="87"/>
      <c r="K166" s="85"/>
      <c r="M166" s="94"/>
      <c r="N166" s="93"/>
      <c r="O166" s="85"/>
      <c r="Q166" s="94"/>
      <c r="R166" s="93"/>
      <c r="S166" s="85"/>
      <c r="U166" s="94"/>
      <c r="V166" s="93"/>
      <c r="W166" s="85"/>
      <c r="Y166" s="94"/>
      <c r="Z166" s="93"/>
      <c r="AA166" s="85"/>
      <c r="AC166" s="94"/>
      <c r="AD166" s="93"/>
      <c r="AE166" s="85"/>
    </row>
    <row r="167" spans="7:31" x14ac:dyDescent="0.35">
      <c r="G167" s="85"/>
      <c r="H167" s="87"/>
      <c r="K167" s="85"/>
      <c r="M167" s="94"/>
      <c r="N167" s="93"/>
      <c r="O167" s="85"/>
      <c r="Q167" s="94"/>
      <c r="R167" s="93"/>
      <c r="S167" s="85"/>
      <c r="U167" s="94"/>
      <c r="V167" s="93"/>
      <c r="W167" s="85"/>
      <c r="Y167" s="94"/>
      <c r="Z167" s="93"/>
      <c r="AA167" s="85"/>
      <c r="AC167" s="94"/>
      <c r="AD167" s="93"/>
      <c r="AE167" s="85"/>
    </row>
    <row r="168" spans="7:31" x14ac:dyDescent="0.35">
      <c r="G168" s="85"/>
      <c r="H168" s="87"/>
      <c r="K168" s="85"/>
      <c r="M168" s="94"/>
      <c r="N168" s="93"/>
      <c r="O168" s="85"/>
      <c r="Q168" s="94"/>
      <c r="R168" s="93"/>
      <c r="S168" s="85"/>
      <c r="U168" s="94"/>
      <c r="V168" s="93"/>
      <c r="W168" s="85"/>
      <c r="Y168" s="94"/>
      <c r="Z168" s="93"/>
      <c r="AA168" s="85"/>
      <c r="AC168" s="94"/>
      <c r="AD168" s="93"/>
      <c r="AE168" s="85"/>
    </row>
    <row r="169" spans="7:31" x14ac:dyDescent="0.35">
      <c r="G169" s="85"/>
      <c r="H169" s="87"/>
      <c r="K169" s="85"/>
      <c r="M169" s="94"/>
      <c r="N169" s="93"/>
      <c r="O169" s="85"/>
      <c r="Q169" s="94"/>
      <c r="R169" s="93"/>
      <c r="S169" s="85"/>
      <c r="U169" s="94"/>
      <c r="V169" s="93"/>
      <c r="W169" s="85"/>
      <c r="Y169" s="94"/>
      <c r="Z169" s="93"/>
      <c r="AA169" s="85"/>
      <c r="AC169" s="94"/>
      <c r="AD169" s="93"/>
      <c r="AE169" s="85"/>
    </row>
    <row r="170" spans="7:31" x14ac:dyDescent="0.35">
      <c r="G170" s="85"/>
      <c r="H170" s="87"/>
      <c r="K170" s="85"/>
      <c r="M170" s="94"/>
      <c r="N170" s="93"/>
      <c r="O170" s="85"/>
      <c r="Q170" s="94"/>
      <c r="R170" s="93"/>
      <c r="S170" s="85"/>
      <c r="U170" s="94"/>
      <c r="V170" s="93"/>
      <c r="W170" s="85"/>
      <c r="Y170" s="94"/>
      <c r="Z170" s="93"/>
      <c r="AA170" s="85"/>
      <c r="AC170" s="94"/>
      <c r="AD170" s="93"/>
      <c r="AE170" s="85"/>
    </row>
    <row r="171" spans="7:31" x14ac:dyDescent="0.35">
      <c r="G171" s="85"/>
      <c r="H171" s="87"/>
      <c r="K171" s="85"/>
      <c r="M171" s="94"/>
      <c r="N171" s="93"/>
      <c r="O171" s="85"/>
      <c r="Q171" s="94"/>
      <c r="R171" s="93"/>
      <c r="S171" s="85"/>
      <c r="U171" s="94"/>
      <c r="V171" s="93"/>
      <c r="W171" s="85"/>
      <c r="Y171" s="94"/>
      <c r="Z171" s="93"/>
      <c r="AA171" s="85"/>
      <c r="AC171" s="94"/>
      <c r="AD171" s="93"/>
      <c r="AE171" s="85"/>
    </row>
    <row r="172" spans="7:31" x14ac:dyDescent="0.35">
      <c r="G172" s="85"/>
      <c r="H172" s="87"/>
      <c r="K172" s="85"/>
      <c r="M172" s="94"/>
      <c r="N172" s="93"/>
      <c r="O172" s="85"/>
      <c r="Q172" s="94"/>
      <c r="R172" s="93"/>
      <c r="S172" s="85"/>
      <c r="U172" s="94"/>
      <c r="V172" s="93"/>
      <c r="W172" s="85"/>
      <c r="Y172" s="94"/>
      <c r="Z172" s="93"/>
      <c r="AA172" s="85"/>
      <c r="AC172" s="94"/>
      <c r="AD172" s="93"/>
      <c r="AE172" s="85"/>
    </row>
    <row r="173" spans="7:31" x14ac:dyDescent="0.35">
      <c r="G173" s="85"/>
      <c r="H173" s="87"/>
      <c r="K173" s="85"/>
      <c r="M173" s="94"/>
      <c r="N173" s="93"/>
      <c r="O173" s="85"/>
      <c r="Q173" s="94"/>
      <c r="R173" s="93"/>
      <c r="S173" s="85"/>
      <c r="U173" s="94"/>
      <c r="V173" s="93"/>
      <c r="W173" s="85"/>
      <c r="Y173" s="94"/>
      <c r="Z173" s="93"/>
      <c r="AA173" s="85"/>
      <c r="AC173" s="94"/>
      <c r="AD173" s="93"/>
      <c r="AE173" s="85"/>
    </row>
    <row r="174" spans="7:31" x14ac:dyDescent="0.35">
      <c r="G174" s="85"/>
      <c r="H174" s="87"/>
      <c r="K174" s="85"/>
      <c r="M174" s="94"/>
      <c r="N174" s="93"/>
      <c r="O174" s="85"/>
      <c r="Q174" s="94"/>
      <c r="R174" s="93"/>
      <c r="S174" s="85"/>
      <c r="U174" s="94"/>
      <c r="V174" s="93"/>
      <c r="W174" s="85"/>
      <c r="Y174" s="94"/>
      <c r="Z174" s="93"/>
      <c r="AA174" s="85"/>
      <c r="AC174" s="94"/>
      <c r="AD174" s="93"/>
      <c r="AE174" s="85"/>
    </row>
    <row r="175" spans="7:31" x14ac:dyDescent="0.35">
      <c r="G175" s="85"/>
      <c r="H175" s="87"/>
      <c r="K175" s="85"/>
      <c r="M175" s="94"/>
      <c r="N175" s="93"/>
      <c r="O175" s="85"/>
      <c r="Q175" s="94"/>
      <c r="R175" s="93"/>
      <c r="S175" s="85"/>
      <c r="U175" s="94"/>
      <c r="V175" s="93"/>
      <c r="W175" s="85"/>
      <c r="Y175" s="94"/>
      <c r="Z175" s="93"/>
      <c r="AA175" s="85"/>
      <c r="AC175" s="94"/>
      <c r="AD175" s="93"/>
      <c r="AE175" s="85"/>
    </row>
    <row r="176" spans="7:31" x14ac:dyDescent="0.35">
      <c r="G176" s="85"/>
      <c r="H176" s="87"/>
      <c r="K176" s="85"/>
      <c r="M176" s="94"/>
      <c r="N176" s="93"/>
      <c r="O176" s="85"/>
      <c r="Q176" s="94"/>
      <c r="R176" s="93"/>
      <c r="S176" s="85"/>
      <c r="U176" s="94"/>
      <c r="V176" s="93"/>
      <c r="W176" s="85"/>
      <c r="Y176" s="94"/>
      <c r="Z176" s="93"/>
      <c r="AA176" s="85"/>
      <c r="AC176" s="94"/>
      <c r="AD176" s="93"/>
      <c r="AE176" s="85"/>
    </row>
    <row r="177" spans="7:31" x14ac:dyDescent="0.35">
      <c r="G177" s="85"/>
      <c r="H177" s="87"/>
      <c r="K177" s="85"/>
      <c r="M177" s="94"/>
      <c r="N177" s="93"/>
      <c r="O177" s="85"/>
      <c r="Q177" s="94"/>
      <c r="R177" s="93"/>
      <c r="S177" s="85"/>
      <c r="U177" s="94"/>
      <c r="V177" s="93"/>
      <c r="W177" s="85"/>
      <c r="Y177" s="94"/>
      <c r="Z177" s="93"/>
      <c r="AA177" s="85"/>
      <c r="AC177" s="94"/>
      <c r="AD177" s="93"/>
      <c r="AE177" s="85"/>
    </row>
    <row r="178" spans="7:31" x14ac:dyDescent="0.35">
      <c r="G178" s="85"/>
      <c r="H178" s="87"/>
      <c r="K178" s="85"/>
      <c r="M178" s="94"/>
      <c r="N178" s="93"/>
      <c r="O178" s="85"/>
      <c r="Q178" s="94"/>
      <c r="R178" s="93"/>
      <c r="S178" s="85"/>
      <c r="U178" s="94"/>
      <c r="V178" s="93"/>
      <c r="W178" s="85"/>
      <c r="Y178" s="94"/>
      <c r="Z178" s="93"/>
      <c r="AA178" s="85"/>
      <c r="AC178" s="94"/>
      <c r="AD178" s="93"/>
      <c r="AE178" s="85"/>
    </row>
    <row r="179" spans="7:31" x14ac:dyDescent="0.35">
      <c r="G179" s="85"/>
      <c r="H179" s="87"/>
      <c r="K179" s="85"/>
      <c r="M179" s="94"/>
      <c r="N179" s="93"/>
      <c r="O179" s="85"/>
      <c r="Q179" s="94"/>
      <c r="R179" s="93"/>
      <c r="S179" s="85"/>
      <c r="U179" s="94"/>
      <c r="V179" s="93"/>
      <c r="W179" s="85"/>
      <c r="Y179" s="94"/>
      <c r="Z179" s="93"/>
      <c r="AA179" s="85"/>
      <c r="AC179" s="94"/>
      <c r="AD179" s="93"/>
      <c r="AE179" s="85"/>
    </row>
    <row r="180" spans="7:31" x14ac:dyDescent="0.35">
      <c r="G180" s="85"/>
      <c r="H180" s="87"/>
      <c r="K180" s="85"/>
      <c r="M180" s="94"/>
      <c r="N180" s="93"/>
      <c r="O180" s="85"/>
      <c r="Q180" s="94"/>
      <c r="R180" s="93"/>
      <c r="S180" s="85"/>
      <c r="U180" s="94"/>
      <c r="V180" s="93"/>
      <c r="W180" s="85"/>
      <c r="Y180" s="94"/>
      <c r="Z180" s="93"/>
      <c r="AA180" s="85"/>
      <c r="AC180" s="94"/>
      <c r="AD180" s="93"/>
      <c r="AE180" s="85"/>
    </row>
    <row r="181" spans="7:31" x14ac:dyDescent="0.35">
      <c r="G181" s="85"/>
      <c r="H181" s="87"/>
      <c r="K181" s="85"/>
      <c r="M181" s="94"/>
      <c r="N181" s="93"/>
      <c r="O181" s="85"/>
      <c r="Q181" s="94"/>
      <c r="R181" s="93"/>
      <c r="S181" s="85"/>
      <c r="U181" s="94"/>
      <c r="V181" s="93"/>
      <c r="W181" s="85"/>
      <c r="Y181" s="94"/>
      <c r="Z181" s="93"/>
      <c r="AA181" s="85"/>
      <c r="AC181" s="94"/>
      <c r="AD181" s="93"/>
      <c r="AE181" s="85"/>
    </row>
    <row r="182" spans="7:31" x14ac:dyDescent="0.35">
      <c r="G182" s="85"/>
      <c r="H182" s="87"/>
      <c r="K182" s="85"/>
      <c r="M182" s="94"/>
      <c r="N182" s="93"/>
      <c r="O182" s="85"/>
      <c r="Q182" s="94"/>
      <c r="R182" s="93"/>
      <c r="S182" s="85"/>
      <c r="U182" s="94"/>
      <c r="V182" s="93"/>
      <c r="W182" s="85"/>
      <c r="Y182" s="94"/>
      <c r="Z182" s="93"/>
      <c r="AA182" s="85"/>
      <c r="AC182" s="94"/>
      <c r="AD182" s="93"/>
      <c r="AE182" s="85"/>
    </row>
    <row r="183" spans="7:31" x14ac:dyDescent="0.35">
      <c r="G183" s="85"/>
      <c r="H183" s="87"/>
      <c r="K183" s="85"/>
      <c r="M183" s="94"/>
      <c r="N183" s="93"/>
      <c r="O183" s="85"/>
      <c r="Q183" s="94"/>
      <c r="R183" s="93"/>
      <c r="S183" s="85"/>
      <c r="U183" s="94"/>
      <c r="V183" s="93"/>
      <c r="W183" s="85"/>
      <c r="Y183" s="94"/>
      <c r="Z183" s="93"/>
      <c r="AA183" s="85"/>
      <c r="AC183" s="94"/>
      <c r="AD183" s="93"/>
      <c r="AE183" s="85"/>
    </row>
    <row r="184" spans="7:31" x14ac:dyDescent="0.35">
      <c r="G184" s="85"/>
      <c r="H184" s="87"/>
      <c r="K184" s="85"/>
      <c r="M184" s="94"/>
      <c r="N184" s="93"/>
      <c r="O184" s="85"/>
      <c r="Q184" s="94"/>
      <c r="R184" s="93"/>
      <c r="S184" s="85"/>
      <c r="U184" s="94"/>
      <c r="V184" s="93"/>
      <c r="W184" s="85"/>
      <c r="Y184" s="94"/>
      <c r="Z184" s="93"/>
      <c r="AA184" s="85"/>
      <c r="AC184" s="94"/>
      <c r="AD184" s="93"/>
      <c r="AE184" s="85"/>
    </row>
    <row r="185" spans="7:31" x14ac:dyDescent="0.35">
      <c r="G185" s="85"/>
      <c r="H185" s="87"/>
      <c r="K185" s="85"/>
      <c r="M185" s="94"/>
      <c r="N185" s="93"/>
      <c r="O185" s="85"/>
      <c r="Q185" s="94"/>
      <c r="R185" s="93"/>
      <c r="S185" s="85"/>
      <c r="U185" s="94"/>
      <c r="V185" s="93"/>
      <c r="W185" s="85"/>
      <c r="Y185" s="94"/>
      <c r="Z185" s="93"/>
      <c r="AA185" s="85"/>
      <c r="AC185" s="94"/>
      <c r="AD185" s="93"/>
      <c r="AE185" s="85"/>
    </row>
    <row r="186" spans="7:31" x14ac:dyDescent="0.35">
      <c r="G186" s="85"/>
      <c r="H186" s="87"/>
      <c r="K186" s="85"/>
      <c r="M186" s="94"/>
      <c r="N186" s="93"/>
      <c r="O186" s="85"/>
      <c r="Q186" s="94"/>
      <c r="R186" s="93"/>
      <c r="S186" s="85"/>
      <c r="U186" s="94"/>
      <c r="V186" s="93"/>
      <c r="W186" s="85"/>
      <c r="Y186" s="94"/>
      <c r="Z186" s="93"/>
      <c r="AA186" s="85"/>
      <c r="AC186" s="94"/>
      <c r="AD186" s="93"/>
      <c r="AE186" s="85"/>
    </row>
    <row r="187" spans="7:31" x14ac:dyDescent="0.35">
      <c r="G187" s="85"/>
      <c r="H187" s="87"/>
      <c r="K187" s="85"/>
      <c r="M187" s="94"/>
      <c r="N187" s="93"/>
      <c r="O187" s="85"/>
      <c r="Q187" s="94"/>
      <c r="R187" s="93"/>
      <c r="S187" s="85"/>
      <c r="U187" s="94"/>
      <c r="V187" s="93"/>
      <c r="W187" s="85"/>
      <c r="Y187" s="94"/>
      <c r="Z187" s="93"/>
      <c r="AA187" s="85"/>
      <c r="AC187" s="94"/>
      <c r="AD187" s="93"/>
      <c r="AE187" s="85"/>
    </row>
    <row r="188" spans="7:31" x14ac:dyDescent="0.35">
      <c r="G188" s="85"/>
      <c r="H188" s="87"/>
      <c r="K188" s="85"/>
      <c r="M188" s="94"/>
      <c r="N188" s="93"/>
      <c r="O188" s="85"/>
      <c r="Q188" s="94"/>
      <c r="R188" s="93"/>
      <c r="S188" s="85"/>
      <c r="U188" s="94"/>
      <c r="V188" s="93"/>
      <c r="W188" s="85"/>
      <c r="Y188" s="94"/>
      <c r="Z188" s="93"/>
      <c r="AA188" s="85"/>
      <c r="AC188" s="94"/>
      <c r="AD188" s="93"/>
      <c r="AE188" s="85"/>
    </row>
    <row r="189" spans="7:31" x14ac:dyDescent="0.35">
      <c r="G189" s="85"/>
      <c r="H189" s="87"/>
      <c r="K189" s="85"/>
      <c r="M189" s="94"/>
      <c r="N189" s="93"/>
      <c r="O189" s="85"/>
      <c r="Q189" s="94"/>
      <c r="R189" s="93"/>
      <c r="S189" s="85"/>
      <c r="U189" s="94"/>
      <c r="V189" s="93"/>
      <c r="W189" s="85"/>
      <c r="Y189" s="94"/>
      <c r="Z189" s="93"/>
      <c r="AA189" s="85"/>
      <c r="AC189" s="94"/>
      <c r="AD189" s="93"/>
      <c r="AE189" s="85"/>
    </row>
    <row r="190" spans="7:31" x14ac:dyDescent="0.35">
      <c r="G190" s="85"/>
      <c r="H190" s="87"/>
      <c r="K190" s="85"/>
      <c r="M190" s="94"/>
      <c r="N190" s="93"/>
      <c r="O190" s="85"/>
      <c r="Q190" s="94"/>
      <c r="R190" s="93"/>
      <c r="S190" s="85"/>
      <c r="U190" s="94"/>
      <c r="V190" s="93"/>
      <c r="W190" s="85"/>
      <c r="Y190" s="94"/>
      <c r="Z190" s="93"/>
      <c r="AA190" s="85"/>
      <c r="AC190" s="94"/>
      <c r="AD190" s="93"/>
      <c r="AE190" s="85"/>
    </row>
    <row r="191" spans="7:31" x14ac:dyDescent="0.35">
      <c r="G191" s="85"/>
      <c r="H191" s="87"/>
      <c r="K191" s="85"/>
      <c r="M191" s="94"/>
      <c r="N191" s="93"/>
      <c r="O191" s="85"/>
      <c r="Q191" s="94"/>
      <c r="R191" s="93"/>
      <c r="S191" s="85"/>
      <c r="U191" s="94"/>
      <c r="V191" s="93"/>
      <c r="W191" s="85"/>
      <c r="Y191" s="94"/>
      <c r="Z191" s="93"/>
      <c r="AA191" s="85"/>
      <c r="AC191" s="94"/>
      <c r="AD191" s="93"/>
      <c r="AE191" s="85"/>
    </row>
    <row r="192" spans="7:31" x14ac:dyDescent="0.35">
      <c r="G192" s="85"/>
      <c r="H192" s="87"/>
      <c r="K192" s="85"/>
      <c r="M192" s="94"/>
      <c r="N192" s="93"/>
      <c r="O192" s="85"/>
      <c r="Q192" s="94"/>
      <c r="R192" s="93"/>
      <c r="S192" s="85"/>
      <c r="U192" s="94"/>
      <c r="V192" s="93"/>
      <c r="W192" s="85"/>
      <c r="Y192" s="94"/>
      <c r="Z192" s="93"/>
      <c r="AA192" s="85"/>
      <c r="AC192" s="94"/>
      <c r="AD192" s="93"/>
      <c r="AE192" s="85"/>
    </row>
    <row r="193" spans="7:31" x14ac:dyDescent="0.35">
      <c r="G193" s="85"/>
      <c r="H193" s="87"/>
      <c r="K193" s="85"/>
      <c r="M193" s="94"/>
      <c r="N193" s="93"/>
      <c r="O193" s="85"/>
      <c r="Q193" s="94"/>
      <c r="R193" s="93"/>
      <c r="S193" s="85"/>
      <c r="U193" s="94"/>
      <c r="V193" s="93"/>
      <c r="W193" s="85"/>
      <c r="Y193" s="94"/>
      <c r="Z193" s="93"/>
      <c r="AA193" s="85"/>
      <c r="AC193" s="94"/>
      <c r="AD193" s="93"/>
      <c r="AE193" s="85"/>
    </row>
    <row r="194" spans="7:31" x14ac:dyDescent="0.35">
      <c r="G194" s="85"/>
      <c r="H194" s="87"/>
      <c r="K194" s="85"/>
      <c r="M194" s="94"/>
      <c r="N194" s="93"/>
      <c r="O194" s="85"/>
      <c r="Q194" s="94"/>
      <c r="R194" s="93"/>
      <c r="S194" s="85"/>
      <c r="U194" s="94"/>
      <c r="V194" s="93"/>
      <c r="W194" s="85"/>
      <c r="Y194" s="94"/>
      <c r="Z194" s="93"/>
      <c r="AA194" s="85"/>
      <c r="AC194" s="94"/>
      <c r="AD194" s="93"/>
      <c r="AE194" s="85"/>
    </row>
    <row r="195" spans="7:31" x14ac:dyDescent="0.35">
      <c r="G195" s="85"/>
      <c r="H195" s="87"/>
      <c r="K195" s="85"/>
      <c r="M195" s="94"/>
      <c r="N195" s="93"/>
      <c r="O195" s="85"/>
      <c r="Q195" s="94"/>
      <c r="R195" s="93"/>
      <c r="S195" s="85"/>
      <c r="U195" s="94"/>
      <c r="V195" s="93"/>
      <c r="W195" s="85"/>
      <c r="Y195" s="94"/>
      <c r="Z195" s="93"/>
      <c r="AA195" s="85"/>
      <c r="AC195" s="94"/>
      <c r="AD195" s="93"/>
      <c r="AE195" s="85"/>
    </row>
    <row r="196" spans="7:31" x14ac:dyDescent="0.35">
      <c r="G196" s="85"/>
      <c r="H196" s="87"/>
      <c r="K196" s="85"/>
      <c r="M196" s="94"/>
      <c r="N196" s="93"/>
      <c r="O196" s="85"/>
      <c r="Q196" s="94"/>
      <c r="R196" s="93"/>
      <c r="S196" s="85"/>
      <c r="U196" s="94"/>
      <c r="V196" s="93"/>
      <c r="W196" s="85"/>
      <c r="Y196" s="94"/>
      <c r="Z196" s="93"/>
      <c r="AA196" s="85"/>
      <c r="AC196" s="94"/>
      <c r="AD196" s="93"/>
      <c r="AE196" s="85"/>
    </row>
    <row r="197" spans="7:31" x14ac:dyDescent="0.35">
      <c r="G197" s="85"/>
      <c r="H197" s="87"/>
      <c r="K197" s="85"/>
      <c r="M197" s="94"/>
      <c r="N197" s="93"/>
      <c r="O197" s="85"/>
      <c r="Q197" s="94"/>
      <c r="R197" s="93"/>
      <c r="S197" s="85"/>
      <c r="U197" s="94"/>
      <c r="V197" s="93"/>
      <c r="W197" s="85"/>
      <c r="Y197" s="94"/>
      <c r="Z197" s="93"/>
      <c r="AA197" s="85"/>
      <c r="AC197" s="94"/>
      <c r="AD197" s="93"/>
      <c r="AE197" s="85"/>
    </row>
    <row r="198" spans="7:31" x14ac:dyDescent="0.35">
      <c r="G198" s="85"/>
      <c r="H198" s="87"/>
      <c r="K198" s="85"/>
      <c r="M198" s="94"/>
      <c r="N198" s="93"/>
      <c r="O198" s="85"/>
      <c r="Q198" s="94"/>
      <c r="R198" s="93"/>
      <c r="S198" s="85"/>
      <c r="U198" s="94"/>
      <c r="V198" s="93"/>
      <c r="W198" s="85"/>
      <c r="Y198" s="94"/>
      <c r="Z198" s="93"/>
      <c r="AA198" s="85"/>
      <c r="AC198" s="94"/>
      <c r="AD198" s="93"/>
      <c r="AE198" s="85"/>
    </row>
    <row r="199" spans="7:31" x14ac:dyDescent="0.35">
      <c r="G199" s="85"/>
      <c r="H199" s="87"/>
      <c r="K199" s="85"/>
      <c r="M199" s="94"/>
      <c r="N199" s="93"/>
      <c r="O199" s="85"/>
      <c r="Q199" s="94"/>
      <c r="R199" s="93"/>
      <c r="S199" s="85"/>
      <c r="U199" s="94"/>
      <c r="V199" s="93"/>
      <c r="W199" s="85"/>
      <c r="Y199" s="94"/>
      <c r="Z199" s="93"/>
      <c r="AA199" s="85"/>
      <c r="AC199" s="94"/>
      <c r="AD199" s="93"/>
      <c r="AE199" s="85"/>
    </row>
    <row r="200" spans="7:31" x14ac:dyDescent="0.35">
      <c r="G200" s="85"/>
      <c r="H200" s="87"/>
      <c r="K200" s="85"/>
      <c r="M200" s="94"/>
      <c r="N200" s="93"/>
      <c r="O200" s="85"/>
      <c r="Q200" s="94"/>
      <c r="R200" s="93"/>
      <c r="S200" s="85"/>
      <c r="U200" s="94"/>
      <c r="V200" s="93"/>
      <c r="W200" s="85"/>
      <c r="Y200" s="94"/>
      <c r="Z200" s="93"/>
      <c r="AA200" s="85"/>
      <c r="AC200" s="94"/>
      <c r="AD200" s="93"/>
      <c r="AE200" s="85"/>
    </row>
    <row r="201" spans="7:31" x14ac:dyDescent="0.35">
      <c r="G201" s="85"/>
      <c r="H201" s="87"/>
      <c r="K201" s="85"/>
      <c r="M201" s="94"/>
      <c r="N201" s="93"/>
      <c r="O201" s="85"/>
      <c r="Q201" s="94"/>
      <c r="R201" s="93"/>
      <c r="S201" s="85"/>
      <c r="U201" s="94"/>
      <c r="V201" s="93"/>
      <c r="W201" s="85"/>
      <c r="Y201" s="94"/>
      <c r="Z201" s="93"/>
      <c r="AA201" s="85"/>
      <c r="AC201" s="94"/>
      <c r="AD201" s="93"/>
      <c r="AE201" s="85"/>
    </row>
    <row r="202" spans="7:31" x14ac:dyDescent="0.35">
      <c r="G202" s="85"/>
      <c r="H202" s="87"/>
      <c r="K202" s="85"/>
      <c r="M202" s="94"/>
      <c r="N202" s="93"/>
      <c r="O202" s="85"/>
      <c r="Q202" s="94"/>
      <c r="R202" s="93"/>
      <c r="S202" s="85"/>
      <c r="U202" s="94"/>
      <c r="V202" s="93"/>
      <c r="W202" s="85"/>
      <c r="Y202" s="94"/>
      <c r="Z202" s="93"/>
      <c r="AA202" s="85"/>
      <c r="AC202" s="94"/>
      <c r="AD202" s="93"/>
      <c r="AE202" s="85"/>
    </row>
    <row r="203" spans="7:31" x14ac:dyDescent="0.35">
      <c r="G203" s="85"/>
      <c r="H203" s="87"/>
      <c r="K203" s="85"/>
      <c r="M203" s="94"/>
      <c r="N203" s="93"/>
      <c r="O203" s="85"/>
      <c r="Q203" s="94"/>
      <c r="R203" s="93"/>
      <c r="S203" s="85"/>
      <c r="U203" s="94"/>
      <c r="V203" s="93"/>
      <c r="W203" s="85"/>
      <c r="Y203" s="94"/>
      <c r="Z203" s="93"/>
      <c r="AA203" s="85"/>
      <c r="AC203" s="94"/>
      <c r="AD203" s="93"/>
      <c r="AE203" s="85"/>
    </row>
    <row r="204" spans="7:31" x14ac:dyDescent="0.35">
      <c r="G204" s="85"/>
      <c r="H204" s="87"/>
      <c r="K204" s="85"/>
      <c r="M204" s="94"/>
      <c r="N204" s="93"/>
      <c r="O204" s="85"/>
      <c r="Q204" s="94"/>
      <c r="R204" s="93"/>
      <c r="S204" s="85"/>
      <c r="U204" s="94"/>
      <c r="V204" s="93"/>
      <c r="W204" s="85"/>
      <c r="Y204" s="94"/>
      <c r="Z204" s="93"/>
      <c r="AA204" s="85"/>
      <c r="AC204" s="94"/>
      <c r="AD204" s="93"/>
      <c r="AE204" s="85"/>
    </row>
    <row r="205" spans="7:31" x14ac:dyDescent="0.35">
      <c r="G205" s="85"/>
      <c r="H205" s="87"/>
      <c r="K205" s="85"/>
      <c r="M205" s="94"/>
      <c r="N205" s="93"/>
      <c r="O205" s="85"/>
      <c r="Q205" s="94"/>
      <c r="R205" s="93"/>
      <c r="S205" s="85"/>
      <c r="U205" s="94"/>
      <c r="V205" s="93"/>
      <c r="W205" s="85"/>
      <c r="Y205" s="94"/>
      <c r="Z205" s="93"/>
      <c r="AA205" s="85"/>
      <c r="AC205" s="94"/>
      <c r="AD205" s="93"/>
      <c r="AE205" s="85"/>
    </row>
    <row r="206" spans="7:31" x14ac:dyDescent="0.35">
      <c r="G206" s="85"/>
      <c r="H206" s="87"/>
      <c r="K206" s="85"/>
      <c r="M206" s="94"/>
      <c r="N206" s="93"/>
      <c r="O206" s="85"/>
      <c r="Q206" s="94"/>
      <c r="R206" s="93"/>
      <c r="S206" s="85"/>
      <c r="U206" s="94"/>
      <c r="V206" s="93"/>
      <c r="W206" s="85"/>
      <c r="Y206" s="94"/>
      <c r="Z206" s="93"/>
      <c r="AA206" s="85"/>
      <c r="AC206" s="94"/>
      <c r="AD206" s="93"/>
      <c r="AE206" s="85"/>
    </row>
    <row r="207" spans="7:31" x14ac:dyDescent="0.35">
      <c r="G207" s="85"/>
      <c r="H207" s="87"/>
      <c r="K207" s="85"/>
      <c r="M207" s="94"/>
      <c r="N207" s="93"/>
      <c r="O207" s="85"/>
      <c r="Q207" s="94"/>
      <c r="R207" s="93"/>
      <c r="S207" s="85"/>
      <c r="U207" s="94"/>
      <c r="V207" s="93"/>
      <c r="W207" s="85"/>
      <c r="Y207" s="94"/>
      <c r="Z207" s="93"/>
      <c r="AA207" s="85"/>
      <c r="AC207" s="94"/>
      <c r="AD207" s="93"/>
      <c r="AE207" s="85"/>
    </row>
    <row r="208" spans="7:31" x14ac:dyDescent="0.35">
      <c r="G208" s="85"/>
      <c r="H208" s="87"/>
      <c r="K208" s="85"/>
      <c r="M208" s="94"/>
      <c r="N208" s="93"/>
      <c r="O208" s="85"/>
      <c r="Q208" s="94"/>
      <c r="R208" s="93"/>
      <c r="S208" s="85"/>
      <c r="U208" s="94"/>
      <c r="V208" s="93"/>
      <c r="W208" s="85"/>
      <c r="Y208" s="94"/>
      <c r="Z208" s="93"/>
      <c r="AA208" s="85"/>
      <c r="AC208" s="94"/>
      <c r="AD208" s="93"/>
      <c r="AE208" s="85"/>
    </row>
    <row r="209" spans="7:31" x14ac:dyDescent="0.35">
      <c r="G209" s="85"/>
      <c r="H209" s="87"/>
      <c r="K209" s="85"/>
      <c r="M209" s="94"/>
      <c r="N209" s="93"/>
      <c r="O209" s="85"/>
      <c r="Q209" s="94"/>
      <c r="R209" s="93"/>
      <c r="S209" s="85"/>
      <c r="U209" s="94"/>
      <c r="V209" s="93"/>
      <c r="W209" s="85"/>
      <c r="Y209" s="94"/>
      <c r="Z209" s="93"/>
      <c r="AA209" s="85"/>
      <c r="AC209" s="94"/>
      <c r="AD209" s="93"/>
      <c r="AE209" s="85"/>
    </row>
    <row r="210" spans="7:31" x14ac:dyDescent="0.35">
      <c r="G210" s="85"/>
      <c r="H210" s="87"/>
      <c r="K210" s="85"/>
      <c r="M210" s="94"/>
      <c r="N210" s="93"/>
      <c r="O210" s="85"/>
      <c r="Q210" s="94"/>
      <c r="R210" s="93"/>
      <c r="S210" s="85"/>
      <c r="U210" s="94"/>
      <c r="V210" s="93"/>
      <c r="W210" s="85"/>
      <c r="Y210" s="94"/>
      <c r="Z210" s="93"/>
      <c r="AA210" s="85"/>
      <c r="AC210" s="94"/>
      <c r="AD210" s="93"/>
      <c r="AE210" s="85"/>
    </row>
    <row r="211" spans="7:31" x14ac:dyDescent="0.35">
      <c r="G211" s="85"/>
      <c r="H211" s="87"/>
      <c r="K211" s="85"/>
      <c r="M211" s="94"/>
      <c r="N211" s="93"/>
      <c r="O211" s="85"/>
      <c r="Q211" s="94"/>
      <c r="R211" s="93"/>
      <c r="S211" s="85"/>
      <c r="U211" s="94"/>
      <c r="V211" s="93"/>
      <c r="W211" s="85"/>
      <c r="Y211" s="94"/>
      <c r="Z211" s="93"/>
      <c r="AA211" s="85"/>
      <c r="AC211" s="94"/>
      <c r="AD211" s="93"/>
      <c r="AE211" s="85"/>
    </row>
    <row r="212" spans="7:31" x14ac:dyDescent="0.35">
      <c r="G212" s="85"/>
      <c r="H212" s="87"/>
      <c r="K212" s="85"/>
      <c r="M212" s="94"/>
      <c r="N212" s="93"/>
      <c r="O212" s="85"/>
      <c r="Q212" s="94"/>
      <c r="R212" s="93"/>
      <c r="S212" s="85"/>
      <c r="U212" s="94"/>
      <c r="V212" s="93"/>
      <c r="W212" s="85"/>
      <c r="Y212" s="94"/>
      <c r="Z212" s="93"/>
      <c r="AA212" s="85"/>
      <c r="AC212" s="94"/>
      <c r="AD212" s="93"/>
      <c r="AE212" s="85"/>
    </row>
    <row r="213" spans="7:31" x14ac:dyDescent="0.35">
      <c r="G213" s="85"/>
      <c r="H213" s="87"/>
      <c r="K213" s="85"/>
      <c r="M213" s="94"/>
      <c r="N213" s="93"/>
      <c r="O213" s="85"/>
      <c r="Q213" s="94"/>
      <c r="R213" s="93"/>
      <c r="S213" s="85"/>
      <c r="U213" s="94"/>
      <c r="V213" s="93"/>
      <c r="W213" s="85"/>
      <c r="Y213" s="94"/>
      <c r="Z213" s="93"/>
      <c r="AA213" s="85"/>
      <c r="AC213" s="94"/>
      <c r="AD213" s="93"/>
      <c r="AE213" s="85"/>
    </row>
    <row r="214" spans="7:31" x14ac:dyDescent="0.35">
      <c r="G214" s="85"/>
      <c r="H214" s="87"/>
      <c r="K214" s="85"/>
      <c r="M214" s="94"/>
      <c r="N214" s="93"/>
      <c r="O214" s="85"/>
      <c r="Q214" s="94"/>
      <c r="R214" s="93"/>
      <c r="S214" s="85"/>
      <c r="U214" s="94"/>
      <c r="V214" s="93"/>
      <c r="W214" s="85"/>
      <c r="Y214" s="94"/>
      <c r="Z214" s="93"/>
      <c r="AA214" s="85"/>
      <c r="AC214" s="94"/>
      <c r="AD214" s="93"/>
      <c r="AE214" s="85"/>
    </row>
    <row r="215" spans="7:31" x14ac:dyDescent="0.35">
      <c r="G215" s="85"/>
      <c r="H215" s="87"/>
      <c r="K215" s="85"/>
      <c r="M215" s="94"/>
      <c r="N215" s="93"/>
      <c r="O215" s="85"/>
      <c r="Q215" s="94"/>
      <c r="R215" s="93"/>
      <c r="S215" s="85"/>
      <c r="U215" s="94"/>
      <c r="V215" s="93"/>
      <c r="W215" s="85"/>
      <c r="Y215" s="94"/>
      <c r="Z215" s="93"/>
      <c r="AA215" s="85"/>
      <c r="AC215" s="94"/>
      <c r="AD215" s="93"/>
      <c r="AE215" s="85"/>
    </row>
    <row r="216" spans="7:31" x14ac:dyDescent="0.35">
      <c r="G216" s="85"/>
      <c r="H216" s="87"/>
      <c r="K216" s="85"/>
      <c r="M216" s="94"/>
      <c r="N216" s="93"/>
      <c r="O216" s="85"/>
      <c r="Q216" s="94"/>
      <c r="R216" s="93"/>
      <c r="S216" s="85"/>
      <c r="U216" s="94"/>
      <c r="V216" s="93"/>
      <c r="W216" s="85"/>
      <c r="Y216" s="94"/>
      <c r="Z216" s="93"/>
      <c r="AA216" s="85"/>
      <c r="AC216" s="94"/>
      <c r="AD216" s="93"/>
      <c r="AE216" s="85"/>
    </row>
    <row r="217" spans="7:31" x14ac:dyDescent="0.35">
      <c r="G217" s="85"/>
      <c r="H217" s="87"/>
      <c r="K217" s="85"/>
      <c r="M217" s="94"/>
      <c r="N217" s="93"/>
      <c r="O217" s="85"/>
      <c r="Q217" s="94"/>
      <c r="R217" s="93"/>
      <c r="S217" s="85"/>
      <c r="U217" s="94"/>
      <c r="V217" s="93"/>
      <c r="W217" s="85"/>
      <c r="Y217" s="94"/>
      <c r="Z217" s="93"/>
      <c r="AA217" s="85"/>
      <c r="AC217" s="94"/>
      <c r="AD217" s="93"/>
      <c r="AE217" s="85"/>
    </row>
    <row r="218" spans="7:31" x14ac:dyDescent="0.35">
      <c r="G218" s="85"/>
      <c r="H218" s="87"/>
      <c r="K218" s="85"/>
      <c r="M218" s="94"/>
      <c r="N218" s="93"/>
      <c r="O218" s="85"/>
      <c r="Q218" s="94"/>
      <c r="R218" s="93"/>
      <c r="S218" s="85"/>
      <c r="U218" s="94"/>
      <c r="V218" s="93"/>
      <c r="W218" s="85"/>
      <c r="Y218" s="94"/>
      <c r="Z218" s="93"/>
      <c r="AA218" s="85"/>
      <c r="AC218" s="94"/>
      <c r="AD218" s="93"/>
      <c r="AE218" s="85"/>
    </row>
    <row r="219" spans="7:31" x14ac:dyDescent="0.35">
      <c r="G219" s="85"/>
      <c r="H219" s="87"/>
      <c r="K219" s="85"/>
      <c r="M219" s="94"/>
      <c r="N219" s="93"/>
      <c r="O219" s="85"/>
      <c r="Q219" s="94"/>
      <c r="R219" s="93"/>
      <c r="S219" s="85"/>
      <c r="U219" s="94"/>
      <c r="V219" s="93"/>
      <c r="W219" s="85"/>
      <c r="Y219" s="94"/>
      <c r="Z219" s="93"/>
      <c r="AA219" s="85"/>
      <c r="AC219" s="94"/>
      <c r="AD219" s="93"/>
      <c r="AE219" s="85"/>
    </row>
    <row r="220" spans="7:31" x14ac:dyDescent="0.35">
      <c r="G220" s="85"/>
      <c r="H220" s="87"/>
      <c r="K220" s="85"/>
      <c r="M220" s="94"/>
      <c r="N220" s="93"/>
      <c r="O220" s="85"/>
      <c r="Q220" s="94"/>
      <c r="R220" s="93"/>
      <c r="S220" s="85"/>
      <c r="U220" s="94"/>
      <c r="V220" s="93"/>
      <c r="W220" s="85"/>
      <c r="Y220" s="94"/>
      <c r="Z220" s="93"/>
      <c r="AA220" s="85"/>
      <c r="AC220" s="94"/>
      <c r="AD220" s="93"/>
      <c r="AE220" s="85"/>
    </row>
    <row r="221" spans="7:31" x14ac:dyDescent="0.35">
      <c r="G221" s="85"/>
      <c r="H221" s="87"/>
      <c r="K221" s="85"/>
      <c r="M221" s="94"/>
      <c r="N221" s="93"/>
      <c r="O221" s="85"/>
      <c r="Q221" s="94"/>
      <c r="R221" s="93"/>
      <c r="S221" s="85"/>
      <c r="U221" s="94"/>
      <c r="V221" s="93"/>
      <c r="W221" s="85"/>
      <c r="Y221" s="94"/>
      <c r="Z221" s="93"/>
      <c r="AA221" s="85"/>
      <c r="AC221" s="94"/>
      <c r="AD221" s="93"/>
      <c r="AE221" s="85"/>
    </row>
    <row r="222" spans="7:31" x14ac:dyDescent="0.35">
      <c r="G222" s="85"/>
      <c r="H222" s="87"/>
      <c r="K222" s="85"/>
      <c r="M222" s="94"/>
      <c r="N222" s="93"/>
      <c r="O222" s="85"/>
      <c r="Q222" s="94"/>
      <c r="R222" s="93"/>
      <c r="S222" s="85"/>
      <c r="U222" s="94"/>
      <c r="V222" s="93"/>
      <c r="W222" s="85"/>
      <c r="Y222" s="94"/>
      <c r="Z222" s="93"/>
      <c r="AA222" s="85"/>
      <c r="AC222" s="94"/>
      <c r="AD222" s="93"/>
      <c r="AE222" s="85"/>
    </row>
    <row r="223" spans="7:31" x14ac:dyDescent="0.35">
      <c r="G223" s="85"/>
      <c r="H223" s="87"/>
      <c r="K223" s="85"/>
      <c r="M223" s="94"/>
      <c r="N223" s="93"/>
      <c r="O223" s="85"/>
      <c r="Q223" s="94"/>
      <c r="R223" s="93"/>
      <c r="S223" s="85"/>
      <c r="U223" s="94"/>
      <c r="V223" s="93"/>
      <c r="W223" s="85"/>
      <c r="Y223" s="94"/>
      <c r="Z223" s="93"/>
      <c r="AA223" s="85"/>
      <c r="AC223" s="94"/>
      <c r="AD223" s="93"/>
      <c r="AE223" s="85"/>
    </row>
    <row r="224" spans="7:31" x14ac:dyDescent="0.35">
      <c r="G224" s="85"/>
      <c r="H224" s="87"/>
      <c r="K224" s="85"/>
      <c r="M224" s="94"/>
      <c r="N224" s="93"/>
      <c r="O224" s="85"/>
      <c r="Q224" s="94"/>
      <c r="R224" s="93"/>
      <c r="S224" s="85"/>
      <c r="U224" s="94"/>
      <c r="V224" s="93"/>
      <c r="W224" s="85"/>
      <c r="Y224" s="94"/>
      <c r="Z224" s="93"/>
      <c r="AA224" s="85"/>
      <c r="AC224" s="94"/>
      <c r="AD224" s="93"/>
      <c r="AE224" s="85"/>
    </row>
    <row r="225" spans="7:31" x14ac:dyDescent="0.35">
      <c r="G225" s="85"/>
      <c r="H225" s="87"/>
      <c r="K225" s="85"/>
      <c r="M225" s="94"/>
      <c r="N225" s="93"/>
      <c r="O225" s="85"/>
      <c r="Q225" s="94"/>
      <c r="R225" s="93"/>
      <c r="S225" s="85"/>
      <c r="U225" s="94"/>
      <c r="V225" s="93"/>
      <c r="W225" s="85"/>
      <c r="Y225" s="94"/>
      <c r="Z225" s="93"/>
      <c r="AA225" s="85"/>
      <c r="AC225" s="94"/>
      <c r="AD225" s="93"/>
      <c r="AE225" s="85"/>
    </row>
    <row r="226" spans="7:31" x14ac:dyDescent="0.35">
      <c r="G226" s="85"/>
      <c r="H226" s="87"/>
      <c r="K226" s="85"/>
      <c r="M226" s="94"/>
      <c r="N226" s="93"/>
      <c r="O226" s="85"/>
      <c r="Q226" s="94"/>
      <c r="R226" s="93"/>
      <c r="S226" s="85"/>
      <c r="U226" s="94"/>
      <c r="V226" s="93"/>
      <c r="W226" s="85"/>
      <c r="Y226" s="94"/>
      <c r="Z226" s="93"/>
      <c r="AA226" s="85"/>
      <c r="AC226" s="94"/>
      <c r="AD226" s="93"/>
      <c r="AE226" s="85"/>
    </row>
    <row r="227" spans="7:31" x14ac:dyDescent="0.35">
      <c r="G227" s="85"/>
      <c r="H227" s="87"/>
      <c r="K227" s="85"/>
      <c r="M227" s="94"/>
      <c r="N227" s="93"/>
      <c r="O227" s="85"/>
      <c r="Q227" s="94"/>
      <c r="R227" s="93"/>
      <c r="S227" s="85"/>
      <c r="U227" s="94"/>
      <c r="V227" s="93"/>
      <c r="W227" s="85"/>
      <c r="Y227" s="94"/>
      <c r="Z227" s="93"/>
      <c r="AA227" s="85"/>
      <c r="AC227" s="94"/>
      <c r="AD227" s="93"/>
      <c r="AE227" s="85"/>
    </row>
    <row r="228" spans="7:31" x14ac:dyDescent="0.35">
      <c r="G228" s="85"/>
      <c r="H228" s="87"/>
      <c r="K228" s="85"/>
      <c r="M228" s="94"/>
      <c r="N228" s="93"/>
      <c r="O228" s="85"/>
      <c r="Q228" s="94"/>
      <c r="R228" s="93"/>
      <c r="S228" s="85"/>
      <c r="U228" s="94"/>
      <c r="V228" s="93"/>
      <c r="W228" s="85"/>
      <c r="Y228" s="94"/>
      <c r="Z228" s="93"/>
      <c r="AA228" s="85"/>
      <c r="AC228" s="94"/>
      <c r="AD228" s="93"/>
      <c r="AE228" s="85"/>
    </row>
    <row r="229" spans="7:31" x14ac:dyDescent="0.35">
      <c r="G229" s="85"/>
      <c r="H229" s="87"/>
      <c r="K229" s="85"/>
      <c r="M229" s="94"/>
      <c r="N229" s="93"/>
      <c r="O229" s="85"/>
      <c r="Q229" s="94"/>
      <c r="R229" s="93"/>
      <c r="S229" s="85"/>
      <c r="U229" s="94"/>
      <c r="V229" s="93"/>
      <c r="W229" s="85"/>
      <c r="Y229" s="94"/>
      <c r="Z229" s="93"/>
      <c r="AA229" s="85"/>
      <c r="AC229" s="94"/>
      <c r="AD229" s="93"/>
      <c r="AE229" s="85"/>
    </row>
    <row r="230" spans="7:31" x14ac:dyDescent="0.35">
      <c r="G230" s="85"/>
      <c r="H230" s="87"/>
      <c r="K230" s="85"/>
      <c r="M230" s="94"/>
      <c r="N230" s="93"/>
      <c r="O230" s="85"/>
      <c r="Q230" s="94"/>
      <c r="R230" s="93"/>
      <c r="S230" s="85"/>
      <c r="U230" s="94"/>
      <c r="V230" s="93"/>
      <c r="W230" s="85"/>
      <c r="Y230" s="94"/>
      <c r="Z230" s="93"/>
      <c r="AA230" s="85"/>
      <c r="AC230" s="94"/>
      <c r="AD230" s="93"/>
      <c r="AE230" s="85"/>
    </row>
    <row r="231" spans="7:31" x14ac:dyDescent="0.35">
      <c r="G231" s="85"/>
      <c r="H231" s="87"/>
      <c r="K231" s="85"/>
      <c r="M231" s="94"/>
      <c r="N231" s="93"/>
      <c r="O231" s="85"/>
      <c r="Q231" s="94"/>
      <c r="R231" s="93"/>
      <c r="S231" s="85"/>
      <c r="U231" s="94"/>
      <c r="V231" s="93"/>
      <c r="W231" s="85"/>
      <c r="Y231" s="94"/>
      <c r="Z231" s="93"/>
      <c r="AA231" s="85"/>
      <c r="AC231" s="94"/>
      <c r="AD231" s="93"/>
      <c r="AE231" s="85"/>
    </row>
    <row r="232" spans="7:31" x14ac:dyDescent="0.35">
      <c r="G232" s="85"/>
      <c r="H232" s="87"/>
      <c r="K232" s="85"/>
      <c r="M232" s="94"/>
      <c r="N232" s="93"/>
      <c r="O232" s="85"/>
      <c r="Q232" s="94"/>
      <c r="R232" s="93"/>
      <c r="S232" s="85"/>
      <c r="U232" s="94"/>
      <c r="V232" s="93"/>
      <c r="W232" s="85"/>
      <c r="Y232" s="94"/>
      <c r="Z232" s="93"/>
      <c r="AA232" s="85"/>
      <c r="AC232" s="94"/>
      <c r="AD232" s="93"/>
      <c r="AE232" s="85"/>
    </row>
    <row r="233" spans="7:31" x14ac:dyDescent="0.35">
      <c r="G233" s="85"/>
      <c r="H233" s="87"/>
      <c r="K233" s="85"/>
      <c r="M233" s="94"/>
      <c r="N233" s="93"/>
      <c r="O233" s="85"/>
      <c r="Q233" s="94"/>
      <c r="R233" s="93"/>
      <c r="S233" s="85"/>
      <c r="U233" s="94"/>
      <c r="V233" s="93"/>
      <c r="W233" s="85"/>
      <c r="Y233" s="94"/>
      <c r="Z233" s="93"/>
      <c r="AA233" s="85"/>
      <c r="AC233" s="94"/>
      <c r="AD233" s="93"/>
      <c r="AE233" s="85"/>
    </row>
    <row r="234" spans="7:31" x14ac:dyDescent="0.35">
      <c r="G234" s="85"/>
      <c r="H234" s="87"/>
      <c r="K234" s="85"/>
      <c r="M234" s="94"/>
      <c r="N234" s="93"/>
      <c r="O234" s="85"/>
      <c r="Q234" s="94"/>
      <c r="R234" s="93"/>
      <c r="S234" s="85"/>
      <c r="U234" s="94"/>
      <c r="V234" s="93"/>
      <c r="W234" s="85"/>
      <c r="Y234" s="94"/>
      <c r="Z234" s="93"/>
      <c r="AA234" s="85"/>
      <c r="AC234" s="94"/>
      <c r="AD234" s="93"/>
      <c r="AE234" s="85"/>
    </row>
    <row r="235" spans="7:31" x14ac:dyDescent="0.35">
      <c r="G235" s="85"/>
      <c r="H235" s="87"/>
      <c r="K235" s="85"/>
      <c r="M235" s="94"/>
      <c r="N235" s="93"/>
      <c r="O235" s="85"/>
      <c r="Q235" s="94"/>
      <c r="R235" s="93"/>
      <c r="S235" s="85"/>
      <c r="U235" s="94"/>
      <c r="V235" s="93"/>
      <c r="W235" s="85"/>
      <c r="Y235" s="94"/>
      <c r="Z235" s="93"/>
      <c r="AA235" s="85"/>
      <c r="AC235" s="94"/>
      <c r="AD235" s="93"/>
      <c r="AE235" s="85"/>
    </row>
    <row r="236" spans="7:31" x14ac:dyDescent="0.35">
      <c r="G236" s="85"/>
      <c r="H236" s="87"/>
      <c r="K236" s="85"/>
      <c r="M236" s="94"/>
      <c r="N236" s="93"/>
      <c r="O236" s="85"/>
      <c r="Q236" s="94"/>
      <c r="R236" s="93"/>
      <c r="S236" s="85"/>
      <c r="U236" s="94"/>
      <c r="V236" s="93"/>
      <c r="W236" s="85"/>
      <c r="Y236" s="94"/>
      <c r="Z236" s="93"/>
      <c r="AA236" s="85"/>
      <c r="AC236" s="94"/>
      <c r="AD236" s="93"/>
      <c r="AE236" s="85"/>
    </row>
    <row r="237" spans="7:31" x14ac:dyDescent="0.35">
      <c r="G237" s="85"/>
      <c r="H237" s="87"/>
      <c r="K237" s="85"/>
      <c r="M237" s="94"/>
      <c r="N237" s="93"/>
      <c r="O237" s="85"/>
      <c r="Q237" s="94"/>
      <c r="R237" s="93"/>
      <c r="S237" s="85"/>
      <c r="U237" s="94"/>
      <c r="V237" s="93"/>
      <c r="W237" s="85"/>
      <c r="Y237" s="94"/>
      <c r="Z237" s="93"/>
      <c r="AA237" s="85"/>
      <c r="AC237" s="94"/>
      <c r="AD237" s="93"/>
      <c r="AE237" s="85"/>
    </row>
    <row r="238" spans="7:31" x14ac:dyDescent="0.35">
      <c r="G238" s="85"/>
      <c r="H238" s="87"/>
      <c r="K238" s="85"/>
      <c r="M238" s="94"/>
      <c r="N238" s="93"/>
      <c r="O238" s="85"/>
      <c r="Q238" s="94"/>
      <c r="R238" s="93"/>
      <c r="S238" s="85"/>
      <c r="U238" s="94"/>
      <c r="V238" s="93"/>
      <c r="W238" s="85"/>
      <c r="Y238" s="94"/>
      <c r="Z238" s="93"/>
      <c r="AA238" s="85"/>
      <c r="AC238" s="94"/>
      <c r="AD238" s="93"/>
      <c r="AE238" s="85"/>
    </row>
    <row r="239" spans="7:31" x14ac:dyDescent="0.35">
      <c r="G239" s="85"/>
      <c r="H239" s="87"/>
      <c r="K239" s="85"/>
      <c r="M239" s="94"/>
      <c r="N239" s="93"/>
      <c r="O239" s="85"/>
      <c r="Q239" s="94"/>
      <c r="R239" s="93"/>
      <c r="S239" s="85"/>
      <c r="U239" s="94"/>
      <c r="V239" s="93"/>
      <c r="W239" s="85"/>
      <c r="Y239" s="94"/>
      <c r="Z239" s="93"/>
      <c r="AA239" s="85"/>
      <c r="AC239" s="94"/>
      <c r="AD239" s="93"/>
      <c r="AE239" s="85"/>
    </row>
    <row r="240" spans="7:31" x14ac:dyDescent="0.35">
      <c r="G240" s="85"/>
      <c r="H240" s="87"/>
      <c r="K240" s="85"/>
      <c r="M240" s="94"/>
      <c r="N240" s="93"/>
      <c r="O240" s="85"/>
      <c r="Q240" s="94"/>
      <c r="R240" s="93"/>
      <c r="S240" s="85"/>
      <c r="U240" s="94"/>
      <c r="V240" s="93"/>
      <c r="W240" s="85"/>
      <c r="Y240" s="94"/>
      <c r="Z240" s="93"/>
      <c r="AA240" s="85"/>
      <c r="AC240" s="94"/>
      <c r="AD240" s="93"/>
      <c r="AE240" s="85"/>
    </row>
    <row r="241" spans="7:31" x14ac:dyDescent="0.35">
      <c r="G241" s="85"/>
      <c r="H241" s="87"/>
      <c r="K241" s="85"/>
      <c r="M241" s="94"/>
      <c r="N241" s="93"/>
      <c r="O241" s="85"/>
      <c r="Q241" s="94"/>
      <c r="R241" s="93"/>
      <c r="S241" s="85"/>
      <c r="U241" s="94"/>
      <c r="V241" s="93"/>
      <c r="W241" s="85"/>
      <c r="Y241" s="94"/>
      <c r="Z241" s="93"/>
      <c r="AA241" s="85"/>
      <c r="AC241" s="94"/>
      <c r="AD241" s="93"/>
      <c r="AE241" s="85"/>
    </row>
    <row r="242" spans="7:31" x14ac:dyDescent="0.35">
      <c r="G242" s="85"/>
      <c r="H242" s="87"/>
      <c r="K242" s="85"/>
      <c r="M242" s="94"/>
      <c r="N242" s="93"/>
      <c r="O242" s="85"/>
      <c r="Q242" s="94"/>
      <c r="R242" s="93"/>
      <c r="S242" s="85"/>
      <c r="U242" s="94"/>
      <c r="V242" s="93"/>
      <c r="W242" s="85"/>
      <c r="Y242" s="94"/>
      <c r="Z242" s="93"/>
      <c r="AA242" s="85"/>
      <c r="AC242" s="94"/>
      <c r="AD242" s="93"/>
      <c r="AE242" s="85"/>
    </row>
    <row r="243" spans="7:31" x14ac:dyDescent="0.35">
      <c r="G243" s="85"/>
      <c r="H243" s="87"/>
      <c r="K243" s="85"/>
      <c r="M243" s="94"/>
      <c r="N243" s="93"/>
      <c r="O243" s="85"/>
      <c r="Q243" s="94"/>
      <c r="R243" s="93"/>
      <c r="S243" s="85"/>
      <c r="U243" s="94"/>
      <c r="V243" s="93"/>
      <c r="W243" s="85"/>
      <c r="Y243" s="94"/>
      <c r="Z243" s="93"/>
      <c r="AA243" s="85"/>
      <c r="AC243" s="94"/>
      <c r="AD243" s="93"/>
      <c r="AE243" s="85"/>
    </row>
    <row r="244" spans="7:31" x14ac:dyDescent="0.35">
      <c r="G244" s="85"/>
      <c r="H244" s="87"/>
      <c r="K244" s="85"/>
      <c r="M244" s="94"/>
      <c r="N244" s="93"/>
      <c r="O244" s="85"/>
      <c r="Q244" s="94"/>
      <c r="R244" s="93"/>
      <c r="S244" s="85"/>
      <c r="U244" s="94"/>
      <c r="V244" s="93"/>
      <c r="W244" s="85"/>
      <c r="Y244" s="94"/>
      <c r="Z244" s="93"/>
      <c r="AA244" s="85"/>
      <c r="AC244" s="94"/>
      <c r="AD244" s="93"/>
      <c r="AE244" s="85"/>
    </row>
    <row r="245" spans="7:31" x14ac:dyDescent="0.35">
      <c r="G245" s="85"/>
      <c r="H245" s="87"/>
      <c r="K245" s="85"/>
      <c r="M245" s="94"/>
      <c r="N245" s="93"/>
      <c r="O245" s="85"/>
      <c r="Q245" s="94"/>
      <c r="R245" s="93"/>
      <c r="S245" s="85"/>
      <c r="U245" s="94"/>
      <c r="V245" s="93"/>
      <c r="W245" s="85"/>
      <c r="Y245" s="94"/>
      <c r="Z245" s="93"/>
      <c r="AA245" s="85"/>
      <c r="AC245" s="94"/>
      <c r="AD245" s="93"/>
      <c r="AE245" s="85"/>
    </row>
    <row r="246" spans="7:31" x14ac:dyDescent="0.35">
      <c r="G246" s="85"/>
      <c r="H246" s="87"/>
      <c r="K246" s="85"/>
      <c r="M246" s="94"/>
      <c r="N246" s="93"/>
      <c r="O246" s="85"/>
      <c r="Q246" s="94"/>
      <c r="R246" s="93"/>
      <c r="S246" s="85"/>
      <c r="U246" s="94"/>
      <c r="V246" s="93"/>
      <c r="W246" s="85"/>
      <c r="Y246" s="94"/>
      <c r="Z246" s="93"/>
      <c r="AA246" s="85"/>
      <c r="AC246" s="94"/>
      <c r="AD246" s="93"/>
      <c r="AE246" s="85"/>
    </row>
    <row r="247" spans="7:31" x14ac:dyDescent="0.35">
      <c r="G247" s="85"/>
      <c r="H247" s="87"/>
      <c r="K247" s="85"/>
      <c r="M247" s="94"/>
      <c r="N247" s="93"/>
      <c r="O247" s="85"/>
      <c r="Q247" s="94"/>
      <c r="R247" s="93"/>
      <c r="S247" s="85"/>
      <c r="U247" s="94"/>
      <c r="V247" s="93"/>
      <c r="W247" s="85"/>
      <c r="Y247" s="94"/>
      <c r="Z247" s="93"/>
      <c r="AA247" s="85"/>
      <c r="AC247" s="94"/>
      <c r="AD247" s="93"/>
      <c r="AE247" s="85"/>
    </row>
    <row r="248" spans="7:31" x14ac:dyDescent="0.35">
      <c r="G248" s="85"/>
      <c r="H248" s="87"/>
      <c r="K248" s="85"/>
      <c r="M248" s="94"/>
      <c r="N248" s="93"/>
      <c r="O248" s="85"/>
      <c r="Q248" s="94"/>
      <c r="R248" s="93"/>
      <c r="S248" s="85"/>
      <c r="U248" s="94"/>
      <c r="V248" s="93"/>
      <c r="W248" s="85"/>
      <c r="Y248" s="94"/>
      <c r="Z248" s="93"/>
      <c r="AA248" s="85"/>
      <c r="AC248" s="94"/>
      <c r="AD248" s="93"/>
      <c r="AE248" s="85"/>
    </row>
    <row r="249" spans="7:31" x14ac:dyDescent="0.35">
      <c r="G249" s="85"/>
      <c r="H249" s="87"/>
      <c r="K249" s="85"/>
      <c r="M249" s="94"/>
      <c r="N249" s="93"/>
      <c r="O249" s="85"/>
      <c r="Q249" s="94"/>
      <c r="R249" s="93"/>
      <c r="S249" s="85"/>
      <c r="U249" s="94"/>
      <c r="V249" s="93"/>
      <c r="W249" s="85"/>
      <c r="Y249" s="94"/>
      <c r="Z249" s="93"/>
      <c r="AA249" s="85"/>
      <c r="AC249" s="94"/>
      <c r="AD249" s="93"/>
      <c r="AE249" s="85"/>
    </row>
    <row r="250" spans="7:31" x14ac:dyDescent="0.35">
      <c r="G250" s="85"/>
      <c r="H250" s="87"/>
      <c r="K250" s="85"/>
      <c r="M250" s="94"/>
      <c r="N250" s="93"/>
      <c r="O250" s="85"/>
      <c r="Q250" s="94"/>
      <c r="R250" s="93"/>
      <c r="S250" s="85"/>
      <c r="U250" s="94"/>
      <c r="V250" s="93"/>
      <c r="W250" s="85"/>
      <c r="Y250" s="94"/>
      <c r="Z250" s="93"/>
      <c r="AA250" s="85"/>
      <c r="AC250" s="94"/>
      <c r="AD250" s="93"/>
      <c r="AE250" s="85"/>
    </row>
    <row r="251" spans="7:31" x14ac:dyDescent="0.35">
      <c r="G251" s="85"/>
      <c r="H251" s="87"/>
      <c r="K251" s="85"/>
      <c r="M251" s="94"/>
      <c r="N251" s="93"/>
      <c r="O251" s="85"/>
      <c r="Q251" s="94"/>
      <c r="R251" s="93"/>
      <c r="S251" s="85"/>
      <c r="U251" s="94"/>
      <c r="V251" s="93"/>
      <c r="W251" s="85"/>
      <c r="Y251" s="94"/>
      <c r="Z251" s="93"/>
      <c r="AA251" s="85"/>
      <c r="AC251" s="94"/>
      <c r="AD251" s="93"/>
      <c r="AE251" s="85"/>
    </row>
    <row r="252" spans="7:31" x14ac:dyDescent="0.35">
      <c r="G252" s="85"/>
      <c r="H252" s="87"/>
      <c r="K252" s="85"/>
      <c r="M252" s="94"/>
      <c r="N252" s="93"/>
      <c r="O252" s="85"/>
      <c r="Q252" s="94"/>
      <c r="R252" s="93"/>
      <c r="S252" s="85"/>
      <c r="U252" s="94"/>
      <c r="V252" s="93"/>
      <c r="W252" s="85"/>
      <c r="Y252" s="94"/>
      <c r="Z252" s="93"/>
      <c r="AA252" s="85"/>
      <c r="AC252" s="94"/>
      <c r="AD252" s="93"/>
      <c r="AE252" s="85"/>
    </row>
    <row r="253" spans="7:31" x14ac:dyDescent="0.35">
      <c r="G253" s="85"/>
      <c r="H253" s="87"/>
      <c r="K253" s="85"/>
      <c r="M253" s="94"/>
      <c r="N253" s="93"/>
      <c r="O253" s="85"/>
      <c r="Q253" s="94"/>
      <c r="R253" s="93"/>
      <c r="S253" s="85"/>
      <c r="U253" s="94"/>
      <c r="V253" s="93"/>
      <c r="W253" s="85"/>
      <c r="Y253" s="94"/>
      <c r="Z253" s="93"/>
      <c r="AA253" s="85"/>
      <c r="AC253" s="94"/>
      <c r="AD253" s="93"/>
      <c r="AE253" s="85"/>
    </row>
    <row r="254" spans="7:31" x14ac:dyDescent="0.35">
      <c r="G254" s="85"/>
      <c r="H254" s="87"/>
      <c r="K254" s="85"/>
      <c r="M254" s="94"/>
      <c r="N254" s="93"/>
      <c r="O254" s="85"/>
      <c r="Q254" s="94"/>
      <c r="R254" s="93"/>
      <c r="S254" s="85"/>
      <c r="U254" s="94"/>
      <c r="V254" s="93"/>
      <c r="W254" s="85"/>
      <c r="Y254" s="94"/>
      <c r="Z254" s="93"/>
      <c r="AA254" s="85"/>
      <c r="AC254" s="94"/>
      <c r="AD254" s="93"/>
      <c r="AE254" s="85"/>
    </row>
    <row r="255" spans="7:31" x14ac:dyDescent="0.35">
      <c r="G255" s="85"/>
      <c r="H255" s="87"/>
      <c r="K255" s="85"/>
      <c r="M255" s="94"/>
      <c r="N255" s="93"/>
      <c r="O255" s="85"/>
      <c r="Q255" s="94"/>
      <c r="R255" s="93"/>
      <c r="S255" s="85"/>
      <c r="U255" s="94"/>
      <c r="V255" s="93"/>
      <c r="W255" s="85"/>
      <c r="Y255" s="94"/>
      <c r="Z255" s="93"/>
      <c r="AA255" s="85"/>
      <c r="AC255" s="94"/>
      <c r="AD255" s="93"/>
      <c r="AE255" s="85"/>
    </row>
    <row r="256" spans="7:31" x14ac:dyDescent="0.35">
      <c r="G256" s="85"/>
      <c r="H256" s="87"/>
      <c r="K256" s="85"/>
      <c r="M256" s="94"/>
      <c r="N256" s="93"/>
      <c r="O256" s="85"/>
      <c r="Q256" s="94"/>
      <c r="R256" s="93"/>
      <c r="S256" s="85"/>
      <c r="U256" s="94"/>
      <c r="V256" s="93"/>
      <c r="W256" s="85"/>
      <c r="Y256" s="94"/>
      <c r="Z256" s="93"/>
      <c r="AA256" s="85"/>
      <c r="AC256" s="94"/>
      <c r="AD256" s="93"/>
      <c r="AE256" s="85"/>
    </row>
    <row r="257" spans="7:31" x14ac:dyDescent="0.35">
      <c r="G257" s="85"/>
      <c r="H257" s="87"/>
      <c r="K257" s="85"/>
      <c r="M257" s="94"/>
      <c r="N257" s="93"/>
      <c r="O257" s="85"/>
      <c r="Q257" s="94"/>
      <c r="R257" s="93"/>
      <c r="S257" s="85"/>
      <c r="U257" s="94"/>
      <c r="V257" s="93"/>
      <c r="W257" s="85"/>
      <c r="Y257" s="94"/>
      <c r="Z257" s="93"/>
      <c r="AA257" s="85"/>
      <c r="AC257" s="94"/>
      <c r="AD257" s="93"/>
      <c r="AE257" s="85"/>
    </row>
    <row r="258" spans="7:31" x14ac:dyDescent="0.35">
      <c r="G258" s="85"/>
      <c r="H258" s="87"/>
      <c r="K258" s="85"/>
      <c r="M258" s="94"/>
      <c r="N258" s="93"/>
      <c r="O258" s="85"/>
      <c r="Q258" s="94"/>
      <c r="R258" s="93"/>
      <c r="S258" s="85"/>
      <c r="U258" s="94"/>
      <c r="V258" s="93"/>
      <c r="W258" s="85"/>
      <c r="Y258" s="94"/>
      <c r="Z258" s="93"/>
      <c r="AA258" s="85"/>
      <c r="AC258" s="94"/>
      <c r="AD258" s="93"/>
      <c r="AE258" s="85"/>
    </row>
    <row r="259" spans="7:31" x14ac:dyDescent="0.35">
      <c r="G259" s="85"/>
      <c r="H259" s="87"/>
      <c r="K259" s="85"/>
      <c r="M259" s="94"/>
      <c r="N259" s="93"/>
      <c r="O259" s="85"/>
      <c r="Q259" s="94"/>
      <c r="R259" s="93"/>
      <c r="S259" s="85"/>
      <c r="U259" s="94"/>
      <c r="V259" s="93"/>
      <c r="W259" s="85"/>
      <c r="Y259" s="94"/>
      <c r="Z259" s="93"/>
      <c r="AA259" s="85"/>
      <c r="AC259" s="94"/>
      <c r="AD259" s="93"/>
      <c r="AE259" s="85"/>
    </row>
    <row r="260" spans="7:31" x14ac:dyDescent="0.35">
      <c r="G260" s="85"/>
      <c r="H260" s="87"/>
      <c r="K260" s="85"/>
      <c r="M260" s="94"/>
      <c r="N260" s="93"/>
      <c r="O260" s="85"/>
      <c r="Q260" s="94"/>
      <c r="R260" s="93"/>
      <c r="S260" s="85"/>
      <c r="U260" s="94"/>
      <c r="V260" s="93"/>
      <c r="W260" s="85"/>
      <c r="Y260" s="94"/>
      <c r="Z260" s="93"/>
      <c r="AA260" s="85"/>
      <c r="AC260" s="94"/>
      <c r="AD260" s="93"/>
      <c r="AE260" s="85"/>
    </row>
    <row r="261" spans="7:31" x14ac:dyDescent="0.35">
      <c r="G261" s="85"/>
      <c r="H261" s="87"/>
      <c r="K261" s="85"/>
      <c r="M261" s="94"/>
      <c r="N261" s="93"/>
      <c r="O261" s="85"/>
      <c r="Q261" s="94"/>
      <c r="R261" s="93"/>
      <c r="S261" s="85"/>
      <c r="U261" s="94"/>
      <c r="V261" s="93"/>
      <c r="W261" s="85"/>
      <c r="Y261" s="94"/>
      <c r="Z261" s="93"/>
      <c r="AA261" s="85"/>
      <c r="AC261" s="94"/>
      <c r="AD261" s="93"/>
      <c r="AE261" s="85"/>
    </row>
    <row r="262" spans="7:31" x14ac:dyDescent="0.35">
      <c r="G262" s="85"/>
      <c r="H262" s="87"/>
      <c r="K262" s="85"/>
      <c r="M262" s="94"/>
      <c r="N262" s="93"/>
      <c r="O262" s="85"/>
      <c r="Q262" s="94"/>
      <c r="R262" s="93"/>
      <c r="S262" s="85"/>
      <c r="U262" s="94"/>
      <c r="V262" s="93"/>
      <c r="W262" s="85"/>
      <c r="Y262" s="94"/>
      <c r="Z262" s="93"/>
      <c r="AA262" s="85"/>
      <c r="AC262" s="94"/>
      <c r="AD262" s="93"/>
      <c r="AE262" s="85"/>
    </row>
    <row r="263" spans="7:31" x14ac:dyDescent="0.35">
      <c r="G263" s="85"/>
      <c r="H263" s="87"/>
      <c r="K263" s="85"/>
      <c r="M263" s="94"/>
      <c r="N263" s="93"/>
      <c r="O263" s="85"/>
      <c r="Q263" s="94"/>
      <c r="R263" s="93"/>
      <c r="S263" s="85"/>
      <c r="U263" s="94"/>
      <c r="V263" s="93"/>
      <c r="W263" s="85"/>
      <c r="Y263" s="94"/>
      <c r="Z263" s="93"/>
      <c r="AA263" s="85"/>
      <c r="AC263" s="94"/>
      <c r="AD263" s="93"/>
      <c r="AE263" s="85"/>
    </row>
    <row r="264" spans="7:31" x14ac:dyDescent="0.35">
      <c r="G264" s="85"/>
      <c r="H264" s="87"/>
      <c r="K264" s="85"/>
      <c r="M264" s="94"/>
      <c r="N264" s="93"/>
      <c r="O264" s="85"/>
      <c r="Q264" s="94"/>
      <c r="R264" s="93"/>
      <c r="S264" s="85"/>
      <c r="U264" s="94"/>
      <c r="V264" s="93"/>
      <c r="W264" s="85"/>
      <c r="Y264" s="94"/>
      <c r="Z264" s="93"/>
      <c r="AA264" s="85"/>
      <c r="AC264" s="94"/>
      <c r="AD264" s="93"/>
      <c r="AE264" s="85"/>
    </row>
    <row r="265" spans="7:31" x14ac:dyDescent="0.35">
      <c r="G265" s="85"/>
      <c r="H265" s="87"/>
      <c r="K265" s="85"/>
      <c r="M265" s="94"/>
      <c r="N265" s="93"/>
      <c r="O265" s="85"/>
      <c r="Q265" s="94"/>
      <c r="R265" s="93"/>
      <c r="S265" s="85"/>
      <c r="U265" s="94"/>
      <c r="V265" s="93"/>
      <c r="W265" s="85"/>
      <c r="Y265" s="94"/>
      <c r="Z265" s="93"/>
      <c r="AA265" s="85"/>
      <c r="AC265" s="94"/>
      <c r="AD265" s="93"/>
      <c r="AE265" s="85"/>
    </row>
    <row r="266" spans="7:31" x14ac:dyDescent="0.35">
      <c r="G266" s="85"/>
      <c r="H266" s="87"/>
      <c r="K266" s="85"/>
      <c r="M266" s="94"/>
      <c r="N266" s="93"/>
      <c r="O266" s="85"/>
      <c r="Q266" s="94"/>
      <c r="R266" s="93"/>
      <c r="S266" s="85"/>
      <c r="U266" s="94"/>
      <c r="V266" s="93"/>
      <c r="W266" s="85"/>
      <c r="Y266" s="94"/>
      <c r="Z266" s="93"/>
      <c r="AA266" s="85"/>
      <c r="AC266" s="94"/>
      <c r="AD266" s="93"/>
      <c r="AE266" s="85"/>
    </row>
    <row r="267" spans="7:31" x14ac:dyDescent="0.35">
      <c r="G267" s="85"/>
      <c r="H267" s="87"/>
      <c r="K267" s="85"/>
      <c r="M267" s="94"/>
      <c r="N267" s="93"/>
      <c r="O267" s="85"/>
      <c r="Q267" s="94"/>
      <c r="R267" s="93"/>
      <c r="S267" s="85"/>
      <c r="U267" s="94"/>
      <c r="V267" s="93"/>
      <c r="W267" s="85"/>
      <c r="Y267" s="94"/>
      <c r="Z267" s="93"/>
      <c r="AA267" s="85"/>
      <c r="AC267" s="94"/>
      <c r="AD267" s="93"/>
      <c r="AE267" s="85"/>
    </row>
    <row r="268" spans="7:31" x14ac:dyDescent="0.35">
      <c r="G268" s="85"/>
      <c r="H268" s="87"/>
      <c r="K268" s="85"/>
      <c r="M268" s="94"/>
      <c r="N268" s="93"/>
      <c r="O268" s="85"/>
      <c r="Q268" s="94"/>
      <c r="R268" s="93"/>
      <c r="S268" s="85"/>
      <c r="U268" s="94"/>
      <c r="V268" s="93"/>
      <c r="W268" s="85"/>
      <c r="Y268" s="94"/>
      <c r="Z268" s="93"/>
      <c r="AA268" s="85"/>
      <c r="AC268" s="94"/>
      <c r="AD268" s="93"/>
      <c r="AE268" s="85"/>
    </row>
    <row r="269" spans="7:31" x14ac:dyDescent="0.35">
      <c r="G269" s="85"/>
      <c r="H269" s="87"/>
      <c r="K269" s="85"/>
      <c r="M269" s="94"/>
      <c r="N269" s="93"/>
      <c r="O269" s="85"/>
      <c r="Q269" s="94"/>
      <c r="R269" s="93"/>
      <c r="S269" s="85"/>
      <c r="U269" s="94"/>
      <c r="V269" s="93"/>
      <c r="W269" s="85"/>
      <c r="Y269" s="94"/>
      <c r="Z269" s="93"/>
      <c r="AA269" s="85"/>
      <c r="AC269" s="94"/>
      <c r="AD269" s="93"/>
      <c r="AE269" s="85"/>
    </row>
    <row r="270" spans="7:31" x14ac:dyDescent="0.35">
      <c r="G270" s="85"/>
      <c r="H270" s="87"/>
      <c r="K270" s="85"/>
      <c r="M270" s="94"/>
      <c r="N270" s="93"/>
      <c r="O270" s="85"/>
      <c r="Q270" s="94"/>
      <c r="R270" s="93"/>
      <c r="S270" s="85"/>
      <c r="U270" s="94"/>
      <c r="V270" s="93"/>
      <c r="W270" s="85"/>
      <c r="Y270" s="94"/>
      <c r="Z270" s="93"/>
      <c r="AA270" s="85"/>
      <c r="AC270" s="94"/>
      <c r="AD270" s="93"/>
      <c r="AE270" s="85"/>
    </row>
    <row r="271" spans="7:31" x14ac:dyDescent="0.35">
      <c r="G271" s="85"/>
      <c r="H271" s="87"/>
      <c r="K271" s="85"/>
      <c r="M271" s="94"/>
      <c r="N271" s="93"/>
      <c r="O271" s="85"/>
      <c r="Q271" s="94"/>
      <c r="R271" s="93"/>
      <c r="S271" s="85"/>
      <c r="U271" s="94"/>
      <c r="V271" s="93"/>
      <c r="W271" s="85"/>
      <c r="Y271" s="94"/>
      <c r="Z271" s="93"/>
      <c r="AA271" s="85"/>
      <c r="AC271" s="94"/>
      <c r="AD271" s="93"/>
      <c r="AE271" s="85"/>
    </row>
    <row r="272" spans="7:31" x14ac:dyDescent="0.35">
      <c r="G272" s="85"/>
      <c r="H272" s="87"/>
      <c r="K272" s="85"/>
      <c r="M272" s="94"/>
      <c r="N272" s="93"/>
      <c r="O272" s="85"/>
      <c r="Q272" s="94"/>
      <c r="R272" s="93"/>
      <c r="S272" s="85"/>
      <c r="U272" s="94"/>
      <c r="V272" s="93"/>
      <c r="W272" s="85"/>
      <c r="Y272" s="94"/>
      <c r="Z272" s="93"/>
      <c r="AA272" s="85"/>
      <c r="AC272" s="94"/>
      <c r="AD272" s="93"/>
      <c r="AE272" s="85"/>
    </row>
    <row r="273" spans="7:31" x14ac:dyDescent="0.35">
      <c r="G273" s="85"/>
      <c r="H273" s="87"/>
      <c r="K273" s="85"/>
      <c r="M273" s="94"/>
      <c r="N273" s="93"/>
      <c r="O273" s="85"/>
      <c r="Q273" s="94"/>
      <c r="R273" s="93"/>
      <c r="S273" s="85"/>
      <c r="U273" s="94"/>
      <c r="V273" s="93"/>
      <c r="W273" s="85"/>
      <c r="Y273" s="94"/>
      <c r="Z273" s="93"/>
      <c r="AA273" s="85"/>
      <c r="AC273" s="94"/>
      <c r="AD273" s="93"/>
      <c r="AE273" s="85"/>
    </row>
    <row r="274" spans="7:31" x14ac:dyDescent="0.35">
      <c r="G274" s="85"/>
      <c r="H274" s="87"/>
      <c r="K274" s="85"/>
      <c r="M274" s="94"/>
      <c r="N274" s="93"/>
      <c r="O274" s="85"/>
      <c r="Q274" s="94"/>
      <c r="R274" s="93"/>
      <c r="S274" s="85"/>
      <c r="U274" s="94"/>
      <c r="V274" s="93"/>
      <c r="W274" s="85"/>
      <c r="Y274" s="94"/>
      <c r="Z274" s="93"/>
      <c r="AA274" s="85"/>
      <c r="AC274" s="94"/>
      <c r="AD274" s="93"/>
      <c r="AE274" s="85"/>
    </row>
    <row r="275" spans="7:31" x14ac:dyDescent="0.35">
      <c r="G275" s="85"/>
      <c r="H275" s="87"/>
      <c r="K275" s="85"/>
      <c r="M275" s="94"/>
      <c r="N275" s="93"/>
      <c r="O275" s="85"/>
      <c r="Q275" s="94"/>
      <c r="R275" s="93"/>
      <c r="S275" s="85"/>
      <c r="U275" s="94"/>
      <c r="V275" s="93"/>
      <c r="W275" s="85"/>
      <c r="Y275" s="94"/>
      <c r="Z275" s="93"/>
      <c r="AA275" s="85"/>
      <c r="AC275" s="94"/>
      <c r="AD275" s="93"/>
      <c r="AE275" s="85"/>
    </row>
    <row r="276" spans="7:31" x14ac:dyDescent="0.35">
      <c r="G276" s="85"/>
      <c r="H276" s="87"/>
      <c r="K276" s="85"/>
      <c r="M276" s="94"/>
      <c r="N276" s="93"/>
      <c r="O276" s="85"/>
      <c r="Q276" s="94"/>
      <c r="R276" s="93"/>
      <c r="S276" s="85"/>
      <c r="U276" s="94"/>
      <c r="V276" s="93"/>
      <c r="W276" s="85"/>
      <c r="Y276" s="94"/>
      <c r="Z276" s="93"/>
      <c r="AA276" s="85"/>
      <c r="AC276" s="94"/>
      <c r="AD276" s="93"/>
      <c r="AE276" s="85"/>
    </row>
    <row r="277" spans="7:31" x14ac:dyDescent="0.35">
      <c r="G277" s="85"/>
      <c r="H277" s="87"/>
      <c r="K277" s="85"/>
      <c r="M277" s="94"/>
      <c r="N277" s="93"/>
      <c r="O277" s="85"/>
      <c r="Q277" s="94"/>
      <c r="R277" s="93"/>
      <c r="S277" s="85"/>
      <c r="U277" s="94"/>
      <c r="V277" s="93"/>
      <c r="W277" s="85"/>
      <c r="Y277" s="94"/>
      <c r="Z277" s="93"/>
      <c r="AA277" s="85"/>
      <c r="AC277" s="94"/>
      <c r="AD277" s="93"/>
      <c r="AE277" s="85"/>
    </row>
    <row r="278" spans="7:31" x14ac:dyDescent="0.35">
      <c r="G278" s="85"/>
      <c r="H278" s="87"/>
      <c r="K278" s="85"/>
      <c r="M278" s="94"/>
      <c r="N278" s="93"/>
      <c r="O278" s="85"/>
      <c r="Q278" s="94"/>
      <c r="R278" s="93"/>
      <c r="S278" s="85"/>
      <c r="U278" s="94"/>
      <c r="V278" s="93"/>
      <c r="W278" s="85"/>
      <c r="Y278" s="94"/>
      <c r="Z278" s="93"/>
      <c r="AA278" s="85"/>
      <c r="AC278" s="94"/>
      <c r="AD278" s="93"/>
      <c r="AE278" s="85"/>
    </row>
    <row r="279" spans="7:31" x14ac:dyDescent="0.35">
      <c r="G279" s="85"/>
      <c r="H279" s="87"/>
      <c r="K279" s="85"/>
      <c r="M279" s="94"/>
      <c r="N279" s="93"/>
      <c r="O279" s="85"/>
      <c r="Q279" s="94"/>
      <c r="R279" s="93"/>
      <c r="S279" s="85"/>
      <c r="U279" s="94"/>
      <c r="V279" s="93"/>
      <c r="W279" s="85"/>
      <c r="Y279" s="94"/>
      <c r="Z279" s="93"/>
      <c r="AA279" s="85"/>
      <c r="AC279" s="94"/>
      <c r="AD279" s="93"/>
      <c r="AE279" s="85"/>
    </row>
    <row r="280" spans="7:31" x14ac:dyDescent="0.35">
      <c r="G280" s="85"/>
      <c r="H280" s="87"/>
      <c r="K280" s="85"/>
      <c r="M280" s="94"/>
      <c r="N280" s="93"/>
      <c r="O280" s="85"/>
      <c r="Q280" s="94"/>
      <c r="R280" s="93"/>
      <c r="S280" s="85"/>
      <c r="U280" s="94"/>
      <c r="V280" s="93"/>
      <c r="W280" s="85"/>
      <c r="Y280" s="94"/>
      <c r="Z280" s="93"/>
      <c r="AA280" s="85"/>
      <c r="AC280" s="94"/>
      <c r="AD280" s="93"/>
      <c r="AE280" s="85"/>
    </row>
    <row r="281" spans="7:31" x14ac:dyDescent="0.35">
      <c r="G281" s="85"/>
      <c r="H281" s="87"/>
      <c r="K281" s="85"/>
      <c r="M281" s="94"/>
      <c r="N281" s="93"/>
      <c r="O281" s="85"/>
      <c r="Q281" s="94"/>
      <c r="R281" s="93"/>
      <c r="S281" s="85"/>
      <c r="U281" s="94"/>
      <c r="V281" s="93"/>
      <c r="W281" s="85"/>
      <c r="Y281" s="94"/>
      <c r="Z281" s="93"/>
      <c r="AA281" s="85"/>
      <c r="AC281" s="94"/>
      <c r="AD281" s="93"/>
      <c r="AE281" s="85"/>
    </row>
    <row r="282" spans="7:31" x14ac:dyDescent="0.35">
      <c r="G282" s="85"/>
      <c r="H282" s="87"/>
      <c r="K282" s="85"/>
      <c r="M282" s="94"/>
      <c r="N282" s="93"/>
      <c r="O282" s="85"/>
      <c r="Q282" s="94"/>
      <c r="R282" s="93"/>
      <c r="S282" s="85"/>
      <c r="U282" s="94"/>
      <c r="V282" s="93"/>
      <c r="W282" s="85"/>
      <c r="Y282" s="94"/>
      <c r="Z282" s="93"/>
      <c r="AA282" s="85"/>
      <c r="AC282" s="94"/>
      <c r="AD282" s="93"/>
      <c r="AE282" s="85"/>
    </row>
    <row r="283" spans="7:31" x14ac:dyDescent="0.35">
      <c r="G283" s="85"/>
      <c r="H283" s="87"/>
      <c r="K283" s="85"/>
      <c r="M283" s="94"/>
      <c r="N283" s="93"/>
      <c r="O283" s="85"/>
      <c r="Q283" s="94"/>
      <c r="R283" s="93"/>
      <c r="S283" s="85"/>
      <c r="U283" s="94"/>
      <c r="V283" s="93"/>
      <c r="W283" s="85"/>
      <c r="Y283" s="94"/>
      <c r="Z283" s="93"/>
      <c r="AA283" s="85"/>
      <c r="AC283" s="94"/>
      <c r="AD283" s="93"/>
      <c r="AE283" s="85"/>
    </row>
    <row r="284" spans="7:31" x14ac:dyDescent="0.35">
      <c r="G284" s="85"/>
      <c r="H284" s="87"/>
      <c r="K284" s="85"/>
      <c r="M284" s="94"/>
      <c r="N284" s="93"/>
      <c r="O284" s="85"/>
      <c r="Q284" s="94"/>
      <c r="R284" s="93"/>
      <c r="S284" s="85"/>
      <c r="U284" s="94"/>
      <c r="V284" s="93"/>
      <c r="W284" s="85"/>
      <c r="Y284" s="94"/>
      <c r="Z284" s="93"/>
      <c r="AA284" s="85"/>
      <c r="AC284" s="94"/>
      <c r="AD284" s="93"/>
      <c r="AE284" s="85"/>
    </row>
    <row r="285" spans="7:31" x14ac:dyDescent="0.35">
      <c r="G285" s="85"/>
      <c r="H285" s="87"/>
      <c r="K285" s="85"/>
      <c r="M285" s="94"/>
      <c r="N285" s="93"/>
      <c r="O285" s="85"/>
      <c r="Q285" s="94"/>
      <c r="R285" s="93"/>
      <c r="S285" s="85"/>
      <c r="U285" s="94"/>
      <c r="V285" s="93"/>
      <c r="W285" s="85"/>
      <c r="Y285" s="94"/>
      <c r="Z285" s="93"/>
      <c r="AA285" s="85"/>
      <c r="AC285" s="94"/>
      <c r="AD285" s="93"/>
      <c r="AE285" s="85"/>
    </row>
    <row r="286" spans="7:31" x14ac:dyDescent="0.35">
      <c r="G286" s="85"/>
      <c r="H286" s="87"/>
      <c r="K286" s="85"/>
      <c r="M286" s="94"/>
      <c r="N286" s="93"/>
      <c r="O286" s="85"/>
      <c r="Q286" s="94"/>
      <c r="R286" s="93"/>
      <c r="S286" s="85"/>
      <c r="U286" s="94"/>
      <c r="V286" s="93"/>
      <c r="W286" s="85"/>
      <c r="Y286" s="94"/>
      <c r="Z286" s="93"/>
      <c r="AA286" s="85"/>
      <c r="AC286" s="94"/>
      <c r="AD286" s="93"/>
      <c r="AE286" s="85"/>
    </row>
    <row r="287" spans="7:31" x14ac:dyDescent="0.35">
      <c r="G287" s="85"/>
      <c r="H287" s="87"/>
      <c r="K287" s="85"/>
      <c r="M287" s="94"/>
      <c r="N287" s="93"/>
      <c r="O287" s="85"/>
      <c r="Q287" s="94"/>
      <c r="R287" s="93"/>
      <c r="S287" s="85"/>
      <c r="U287" s="94"/>
      <c r="V287" s="93"/>
      <c r="W287" s="85"/>
      <c r="Y287" s="94"/>
      <c r="Z287" s="93"/>
      <c r="AA287" s="85"/>
      <c r="AC287" s="94"/>
      <c r="AD287" s="93"/>
      <c r="AE287" s="85"/>
    </row>
    <row r="288" spans="7:31" x14ac:dyDescent="0.35">
      <c r="G288" s="85"/>
      <c r="H288" s="87"/>
      <c r="K288" s="85"/>
      <c r="M288" s="94"/>
      <c r="N288" s="93"/>
      <c r="O288" s="85"/>
      <c r="Q288" s="94"/>
      <c r="R288" s="93"/>
      <c r="S288" s="85"/>
      <c r="U288" s="94"/>
      <c r="V288" s="93"/>
      <c r="W288" s="85"/>
      <c r="Y288" s="94"/>
      <c r="Z288" s="93"/>
      <c r="AA288" s="85"/>
      <c r="AC288" s="94"/>
      <c r="AD288" s="93"/>
      <c r="AE288" s="85"/>
    </row>
    <row r="289" spans="7:31" x14ac:dyDescent="0.35">
      <c r="G289" s="85"/>
      <c r="H289" s="87"/>
      <c r="K289" s="85"/>
      <c r="M289" s="94"/>
      <c r="N289" s="93"/>
      <c r="O289" s="85"/>
      <c r="Q289" s="94"/>
      <c r="R289" s="93"/>
      <c r="S289" s="85"/>
      <c r="U289" s="94"/>
      <c r="V289" s="93"/>
      <c r="W289" s="85"/>
      <c r="Y289" s="94"/>
      <c r="Z289" s="93"/>
      <c r="AA289" s="85"/>
      <c r="AC289" s="94"/>
      <c r="AD289" s="93"/>
      <c r="AE289" s="85"/>
    </row>
    <row r="290" spans="7:31" x14ac:dyDescent="0.35">
      <c r="G290" s="85"/>
      <c r="H290" s="87"/>
      <c r="K290" s="85"/>
      <c r="M290" s="94"/>
      <c r="N290" s="93"/>
      <c r="O290" s="85"/>
      <c r="Q290" s="94"/>
      <c r="R290" s="93"/>
      <c r="S290" s="85"/>
      <c r="U290" s="94"/>
      <c r="V290" s="93"/>
      <c r="W290" s="85"/>
      <c r="Y290" s="94"/>
      <c r="Z290" s="93"/>
      <c r="AA290" s="85"/>
      <c r="AC290" s="94"/>
      <c r="AD290" s="93"/>
      <c r="AE290" s="85"/>
    </row>
    <row r="291" spans="7:31" x14ac:dyDescent="0.35">
      <c r="G291" s="85"/>
      <c r="H291" s="87"/>
      <c r="K291" s="85"/>
      <c r="M291" s="94"/>
      <c r="N291" s="93"/>
      <c r="O291" s="85"/>
      <c r="Q291" s="94"/>
      <c r="R291" s="93"/>
      <c r="S291" s="85"/>
      <c r="U291" s="94"/>
      <c r="V291" s="93"/>
      <c r="W291" s="85"/>
      <c r="Y291" s="94"/>
      <c r="Z291" s="93"/>
      <c r="AA291" s="85"/>
      <c r="AC291" s="94"/>
      <c r="AD291" s="93"/>
      <c r="AE291" s="85"/>
    </row>
    <row r="292" spans="7:31" x14ac:dyDescent="0.35">
      <c r="G292" s="85"/>
      <c r="H292" s="87"/>
      <c r="K292" s="85"/>
      <c r="M292" s="94"/>
      <c r="N292" s="93"/>
      <c r="O292" s="85"/>
      <c r="Q292" s="94"/>
      <c r="R292" s="93"/>
      <c r="S292" s="85"/>
      <c r="U292" s="94"/>
      <c r="V292" s="93"/>
      <c r="W292" s="85"/>
      <c r="Y292" s="94"/>
      <c r="Z292" s="93"/>
      <c r="AA292" s="85"/>
      <c r="AC292" s="94"/>
      <c r="AD292" s="93"/>
      <c r="AE292" s="85"/>
    </row>
    <row r="293" spans="7:31" x14ac:dyDescent="0.35">
      <c r="G293" s="85"/>
      <c r="H293" s="87"/>
      <c r="K293" s="85"/>
      <c r="M293" s="94"/>
      <c r="N293" s="93"/>
      <c r="O293" s="85"/>
      <c r="Q293" s="94"/>
      <c r="R293" s="93"/>
      <c r="S293" s="85"/>
      <c r="U293" s="94"/>
      <c r="V293" s="93"/>
      <c r="W293" s="85"/>
      <c r="Y293" s="94"/>
      <c r="Z293" s="93"/>
      <c r="AA293" s="85"/>
      <c r="AC293" s="94"/>
      <c r="AD293" s="93"/>
      <c r="AE293" s="85"/>
    </row>
    <row r="294" spans="7:31" x14ac:dyDescent="0.35">
      <c r="G294" s="85"/>
      <c r="H294" s="87"/>
      <c r="K294" s="85"/>
      <c r="M294" s="94"/>
      <c r="N294" s="93"/>
      <c r="O294" s="85"/>
      <c r="Q294" s="94"/>
      <c r="R294" s="93"/>
      <c r="S294" s="85"/>
      <c r="U294" s="94"/>
      <c r="V294" s="93"/>
      <c r="W294" s="85"/>
      <c r="Y294" s="94"/>
      <c r="Z294" s="93"/>
      <c r="AA294" s="85"/>
      <c r="AC294" s="94"/>
      <c r="AD294" s="93"/>
      <c r="AE294" s="85"/>
    </row>
    <row r="295" spans="7:31" x14ac:dyDescent="0.35">
      <c r="G295" s="85"/>
      <c r="H295" s="87"/>
      <c r="K295" s="85"/>
      <c r="M295" s="94"/>
      <c r="N295" s="93"/>
      <c r="O295" s="85"/>
      <c r="Q295" s="94"/>
      <c r="R295" s="93"/>
      <c r="S295" s="85"/>
      <c r="U295" s="94"/>
      <c r="V295" s="93"/>
      <c r="W295" s="85"/>
      <c r="Y295" s="94"/>
      <c r="Z295" s="93"/>
      <c r="AA295" s="85"/>
      <c r="AC295" s="94"/>
      <c r="AD295" s="93"/>
      <c r="AE295" s="85"/>
    </row>
    <row r="296" spans="7:31" x14ac:dyDescent="0.35">
      <c r="G296" s="85"/>
      <c r="H296" s="87"/>
      <c r="K296" s="85"/>
      <c r="M296" s="94"/>
      <c r="N296" s="93"/>
      <c r="O296" s="85"/>
      <c r="Q296" s="94"/>
      <c r="R296" s="93"/>
      <c r="S296" s="85"/>
      <c r="U296" s="94"/>
      <c r="V296" s="93"/>
      <c r="W296" s="85"/>
      <c r="Y296" s="94"/>
      <c r="Z296" s="93"/>
      <c r="AA296" s="85"/>
      <c r="AC296" s="94"/>
      <c r="AD296" s="93"/>
      <c r="AE296" s="85"/>
    </row>
    <row r="297" spans="7:31" x14ac:dyDescent="0.35">
      <c r="G297" s="85"/>
      <c r="H297" s="87"/>
      <c r="K297" s="85"/>
      <c r="M297" s="94"/>
      <c r="N297" s="93"/>
      <c r="O297" s="85"/>
      <c r="Q297" s="94"/>
      <c r="R297" s="93"/>
      <c r="S297" s="85"/>
      <c r="U297" s="94"/>
      <c r="V297" s="93"/>
      <c r="W297" s="85"/>
      <c r="Y297" s="94"/>
      <c r="Z297" s="93"/>
      <c r="AA297" s="85"/>
      <c r="AC297" s="94"/>
      <c r="AD297" s="93"/>
      <c r="AE297" s="85"/>
    </row>
    <row r="298" spans="7:31" x14ac:dyDescent="0.35">
      <c r="G298" s="85"/>
      <c r="H298" s="87"/>
      <c r="K298" s="85"/>
      <c r="M298" s="94"/>
      <c r="N298" s="93"/>
      <c r="O298" s="85"/>
      <c r="Q298" s="94"/>
      <c r="R298" s="93"/>
      <c r="S298" s="85"/>
      <c r="U298" s="94"/>
      <c r="V298" s="93"/>
      <c r="W298" s="85"/>
      <c r="Y298" s="94"/>
      <c r="Z298" s="93"/>
      <c r="AA298" s="85"/>
      <c r="AC298" s="94"/>
      <c r="AD298" s="93"/>
      <c r="AE298" s="85"/>
    </row>
    <row r="299" spans="7:31" x14ac:dyDescent="0.35">
      <c r="G299" s="85"/>
      <c r="H299" s="87"/>
      <c r="K299" s="85"/>
      <c r="M299" s="94"/>
      <c r="N299" s="93"/>
      <c r="O299" s="85"/>
      <c r="Q299" s="94"/>
      <c r="R299" s="93"/>
      <c r="S299" s="85"/>
      <c r="U299" s="94"/>
      <c r="V299" s="93"/>
      <c r="W299" s="85"/>
      <c r="Y299" s="94"/>
      <c r="Z299" s="93"/>
      <c r="AA299" s="85"/>
      <c r="AC299" s="94"/>
      <c r="AD299" s="93"/>
      <c r="AE299" s="85"/>
    </row>
    <row r="300" spans="7:31" x14ac:dyDescent="0.35">
      <c r="G300" s="85"/>
      <c r="H300" s="87"/>
      <c r="K300" s="85"/>
      <c r="M300" s="94"/>
      <c r="N300" s="93"/>
      <c r="O300" s="85"/>
      <c r="Q300" s="94"/>
      <c r="R300" s="93"/>
      <c r="S300" s="85"/>
      <c r="U300" s="94"/>
      <c r="V300" s="93"/>
      <c r="W300" s="85"/>
      <c r="Y300" s="94"/>
      <c r="Z300" s="93"/>
      <c r="AA300" s="85"/>
      <c r="AC300" s="94"/>
      <c r="AD300" s="93"/>
      <c r="AE300" s="85"/>
    </row>
    <row r="301" spans="7:31" x14ac:dyDescent="0.35">
      <c r="G301" s="85"/>
      <c r="H301" s="87"/>
      <c r="K301" s="85"/>
      <c r="M301" s="94"/>
      <c r="N301" s="93"/>
      <c r="O301" s="85"/>
      <c r="Q301" s="94"/>
      <c r="R301" s="93"/>
      <c r="S301" s="85"/>
      <c r="U301" s="94"/>
      <c r="V301" s="93"/>
      <c r="W301" s="85"/>
      <c r="Y301" s="94"/>
      <c r="Z301" s="93"/>
      <c r="AA301" s="85"/>
      <c r="AC301" s="94"/>
      <c r="AD301" s="93"/>
      <c r="AE301" s="85"/>
    </row>
    <row r="302" spans="7:31" x14ac:dyDescent="0.35">
      <c r="G302" s="85"/>
      <c r="H302" s="87"/>
      <c r="K302" s="85"/>
      <c r="M302" s="94"/>
      <c r="N302" s="93"/>
      <c r="O302" s="85"/>
      <c r="Q302" s="94"/>
      <c r="R302" s="93"/>
      <c r="S302" s="85"/>
      <c r="U302" s="94"/>
      <c r="V302" s="93"/>
      <c r="W302" s="85"/>
      <c r="Y302" s="94"/>
      <c r="Z302" s="93"/>
      <c r="AA302" s="85"/>
      <c r="AC302" s="94"/>
      <c r="AD302" s="93"/>
      <c r="AE302" s="85"/>
    </row>
    <row r="303" spans="7:31" x14ac:dyDescent="0.35">
      <c r="G303" s="85"/>
      <c r="H303" s="87"/>
      <c r="K303" s="85"/>
      <c r="M303" s="94"/>
      <c r="N303" s="93"/>
      <c r="O303" s="85"/>
      <c r="Q303" s="94"/>
      <c r="R303" s="93"/>
      <c r="S303" s="85"/>
      <c r="U303" s="94"/>
      <c r="V303" s="93"/>
      <c r="W303" s="85"/>
      <c r="Y303" s="94"/>
      <c r="Z303" s="93"/>
      <c r="AA303" s="85"/>
      <c r="AC303" s="94"/>
      <c r="AD303" s="93"/>
      <c r="AE303" s="85"/>
    </row>
    <row r="304" spans="7:31" x14ac:dyDescent="0.35">
      <c r="G304" s="85"/>
      <c r="H304" s="87"/>
      <c r="K304" s="85"/>
      <c r="M304" s="94"/>
      <c r="N304" s="93"/>
      <c r="O304" s="85"/>
      <c r="Q304" s="94"/>
      <c r="R304" s="93"/>
      <c r="S304" s="85"/>
      <c r="U304" s="94"/>
      <c r="V304" s="93"/>
      <c r="W304" s="85"/>
      <c r="Y304" s="94"/>
      <c r="Z304" s="93"/>
      <c r="AA304" s="85"/>
      <c r="AC304" s="94"/>
      <c r="AD304" s="93"/>
      <c r="AE304" s="85"/>
    </row>
    <row r="305" spans="7:31" x14ac:dyDescent="0.35">
      <c r="G305" s="85"/>
      <c r="H305" s="87"/>
      <c r="K305" s="85"/>
      <c r="M305" s="94"/>
      <c r="N305" s="93"/>
      <c r="O305" s="85"/>
      <c r="Q305" s="94"/>
      <c r="R305" s="93"/>
      <c r="S305" s="85"/>
      <c r="U305" s="94"/>
      <c r="V305" s="93"/>
      <c r="W305" s="85"/>
      <c r="Y305" s="94"/>
      <c r="Z305" s="93"/>
      <c r="AA305" s="85"/>
      <c r="AC305" s="94"/>
      <c r="AD305" s="93"/>
      <c r="AE305" s="85"/>
    </row>
    <row r="306" spans="7:31" x14ac:dyDescent="0.35">
      <c r="G306" s="85"/>
      <c r="H306" s="87"/>
      <c r="K306" s="85"/>
      <c r="M306" s="94"/>
      <c r="N306" s="93"/>
      <c r="O306" s="85"/>
      <c r="Q306" s="94"/>
      <c r="R306" s="93"/>
      <c r="S306" s="85"/>
      <c r="U306" s="94"/>
      <c r="V306" s="93"/>
      <c r="W306" s="85"/>
      <c r="Y306" s="94"/>
      <c r="Z306" s="93"/>
      <c r="AA306" s="85"/>
      <c r="AC306" s="94"/>
      <c r="AD306" s="93"/>
      <c r="AE306" s="85"/>
    </row>
    <row r="307" spans="7:31" x14ac:dyDescent="0.35">
      <c r="G307" s="85"/>
      <c r="H307" s="87"/>
      <c r="K307" s="85"/>
      <c r="M307" s="94"/>
      <c r="N307" s="93"/>
      <c r="O307" s="85"/>
      <c r="Q307" s="94"/>
      <c r="R307" s="93"/>
      <c r="S307" s="85"/>
      <c r="U307" s="94"/>
      <c r="V307" s="93"/>
      <c r="W307" s="85"/>
      <c r="Y307" s="94"/>
      <c r="Z307" s="93"/>
      <c r="AA307" s="85"/>
      <c r="AC307" s="94"/>
      <c r="AD307" s="93"/>
      <c r="AE307" s="85"/>
    </row>
    <row r="308" spans="7:31" x14ac:dyDescent="0.35">
      <c r="G308" s="85"/>
      <c r="H308" s="87"/>
      <c r="K308" s="85"/>
      <c r="M308" s="94"/>
      <c r="N308" s="93"/>
      <c r="O308" s="85"/>
      <c r="Q308" s="94"/>
      <c r="R308" s="93"/>
      <c r="S308" s="85"/>
      <c r="U308" s="94"/>
      <c r="V308" s="93"/>
      <c r="W308" s="85"/>
      <c r="Y308" s="94"/>
      <c r="Z308" s="93"/>
      <c r="AA308" s="85"/>
      <c r="AC308" s="94"/>
      <c r="AD308" s="93"/>
      <c r="AE308" s="85"/>
    </row>
    <row r="309" spans="7:31" x14ac:dyDescent="0.35">
      <c r="G309" s="85"/>
      <c r="H309" s="87"/>
      <c r="K309" s="85"/>
      <c r="M309" s="94"/>
      <c r="N309" s="93"/>
      <c r="O309" s="85"/>
      <c r="Q309" s="94"/>
      <c r="R309" s="93"/>
      <c r="S309" s="85"/>
      <c r="U309" s="94"/>
      <c r="V309" s="93"/>
      <c r="W309" s="85"/>
      <c r="Y309" s="94"/>
      <c r="Z309" s="93"/>
      <c r="AA309" s="85"/>
      <c r="AC309" s="94"/>
      <c r="AD309" s="93"/>
      <c r="AE309" s="85"/>
    </row>
    <row r="310" spans="7:31" x14ac:dyDescent="0.35">
      <c r="G310" s="85"/>
      <c r="H310" s="87"/>
      <c r="K310" s="85"/>
      <c r="M310" s="94"/>
      <c r="N310" s="93"/>
      <c r="O310" s="85"/>
      <c r="Q310" s="94"/>
      <c r="R310" s="93"/>
      <c r="S310" s="85"/>
      <c r="U310" s="94"/>
      <c r="V310" s="93"/>
      <c r="W310" s="85"/>
      <c r="Y310" s="94"/>
      <c r="Z310" s="93"/>
      <c r="AA310" s="85"/>
      <c r="AC310" s="94"/>
      <c r="AD310" s="93"/>
      <c r="AE310" s="85"/>
    </row>
    <row r="311" spans="7:31" x14ac:dyDescent="0.35">
      <c r="G311" s="85"/>
      <c r="H311" s="87"/>
      <c r="K311" s="85"/>
      <c r="M311" s="94"/>
      <c r="N311" s="93"/>
      <c r="O311" s="85"/>
      <c r="Q311" s="94"/>
      <c r="R311" s="93"/>
      <c r="S311" s="85"/>
      <c r="U311" s="94"/>
      <c r="V311" s="93"/>
      <c r="W311" s="85"/>
      <c r="Y311" s="94"/>
      <c r="Z311" s="93"/>
      <c r="AA311" s="85"/>
      <c r="AC311" s="94"/>
      <c r="AD311" s="93"/>
      <c r="AE311" s="85"/>
    </row>
    <row r="312" spans="7:31" x14ac:dyDescent="0.35">
      <c r="G312" s="85"/>
      <c r="H312" s="87"/>
      <c r="K312" s="85"/>
      <c r="M312" s="94"/>
      <c r="N312" s="93"/>
      <c r="O312" s="85"/>
      <c r="Q312" s="94"/>
      <c r="R312" s="93"/>
      <c r="S312" s="85"/>
      <c r="U312" s="94"/>
      <c r="V312" s="93"/>
      <c r="W312" s="85"/>
      <c r="Y312" s="94"/>
      <c r="Z312" s="93"/>
      <c r="AA312" s="85"/>
      <c r="AC312" s="94"/>
      <c r="AD312" s="93"/>
      <c r="AE312" s="85"/>
    </row>
    <row r="313" spans="7:31" x14ac:dyDescent="0.35">
      <c r="G313" s="85"/>
      <c r="H313" s="87"/>
      <c r="K313" s="85"/>
      <c r="M313" s="94"/>
      <c r="N313" s="93"/>
      <c r="O313" s="85"/>
      <c r="Q313" s="94"/>
      <c r="R313" s="93"/>
      <c r="S313" s="85"/>
      <c r="U313" s="94"/>
      <c r="V313" s="93"/>
      <c r="W313" s="85"/>
      <c r="Y313" s="94"/>
      <c r="Z313" s="93"/>
      <c r="AA313" s="85"/>
      <c r="AC313" s="94"/>
      <c r="AD313" s="93"/>
      <c r="AE313" s="85"/>
    </row>
    <row r="314" spans="7:31" x14ac:dyDescent="0.35">
      <c r="G314" s="85"/>
      <c r="H314" s="87"/>
      <c r="K314" s="85"/>
      <c r="M314" s="94"/>
      <c r="N314" s="93"/>
      <c r="O314" s="85"/>
      <c r="Q314" s="94"/>
      <c r="R314" s="93"/>
      <c r="S314" s="85"/>
      <c r="U314" s="94"/>
      <c r="V314" s="93"/>
      <c r="W314" s="85"/>
      <c r="Y314" s="94"/>
      <c r="Z314" s="93"/>
      <c r="AA314" s="85"/>
      <c r="AC314" s="94"/>
      <c r="AD314" s="93"/>
      <c r="AE314" s="85"/>
    </row>
    <row r="315" spans="7:31" x14ac:dyDescent="0.35">
      <c r="G315" s="85"/>
      <c r="H315" s="87"/>
      <c r="K315" s="85"/>
      <c r="M315" s="94"/>
      <c r="N315" s="93"/>
      <c r="O315" s="85"/>
      <c r="Q315" s="94"/>
      <c r="R315" s="93"/>
      <c r="S315" s="85"/>
      <c r="U315" s="94"/>
      <c r="V315" s="93"/>
      <c r="W315" s="85"/>
      <c r="Y315" s="94"/>
      <c r="Z315" s="93"/>
      <c r="AA315" s="85"/>
      <c r="AC315" s="94"/>
      <c r="AD315" s="93"/>
      <c r="AE315" s="85"/>
    </row>
    <row r="316" spans="7:31" x14ac:dyDescent="0.35">
      <c r="G316" s="85"/>
      <c r="H316" s="87"/>
      <c r="K316" s="85"/>
      <c r="M316" s="94"/>
      <c r="N316" s="93"/>
      <c r="O316" s="85"/>
      <c r="Q316" s="94"/>
      <c r="R316" s="93"/>
      <c r="S316" s="85"/>
      <c r="U316" s="94"/>
      <c r="V316" s="93"/>
      <c r="W316" s="85"/>
      <c r="Y316" s="94"/>
      <c r="Z316" s="93"/>
      <c r="AA316" s="85"/>
      <c r="AC316" s="94"/>
      <c r="AD316" s="93"/>
      <c r="AE316" s="85"/>
    </row>
    <row r="317" spans="7:31" x14ac:dyDescent="0.35">
      <c r="G317" s="85"/>
      <c r="H317" s="87"/>
      <c r="K317" s="85"/>
      <c r="M317" s="94"/>
      <c r="N317" s="93"/>
      <c r="O317" s="85"/>
      <c r="Q317" s="94"/>
      <c r="R317" s="93"/>
      <c r="S317" s="85"/>
      <c r="U317" s="94"/>
      <c r="V317" s="93"/>
      <c r="W317" s="85"/>
      <c r="Y317" s="94"/>
      <c r="Z317" s="93"/>
      <c r="AA317" s="85"/>
      <c r="AC317" s="94"/>
      <c r="AD317" s="93"/>
      <c r="AE317" s="85"/>
    </row>
    <row r="318" spans="7:31" x14ac:dyDescent="0.35">
      <c r="G318" s="85"/>
      <c r="H318" s="87"/>
      <c r="K318" s="85"/>
      <c r="M318" s="94"/>
      <c r="N318" s="93"/>
      <c r="O318" s="85"/>
      <c r="Q318" s="94"/>
      <c r="R318" s="93"/>
      <c r="S318" s="85"/>
      <c r="U318" s="94"/>
      <c r="V318" s="93"/>
      <c r="W318" s="85"/>
      <c r="Y318" s="94"/>
      <c r="Z318" s="93"/>
      <c r="AA318" s="85"/>
      <c r="AC318" s="94"/>
      <c r="AD318" s="93"/>
      <c r="AE318" s="85"/>
    </row>
    <row r="319" spans="7:31" x14ac:dyDescent="0.35">
      <c r="G319" s="85"/>
      <c r="H319" s="87"/>
      <c r="K319" s="85"/>
      <c r="M319" s="94"/>
      <c r="N319" s="93"/>
      <c r="O319" s="85"/>
      <c r="Q319" s="94"/>
      <c r="R319" s="93"/>
      <c r="S319" s="85"/>
      <c r="U319" s="94"/>
      <c r="V319" s="93"/>
      <c r="W319" s="85"/>
      <c r="Y319" s="94"/>
      <c r="Z319" s="93"/>
      <c r="AA319" s="85"/>
      <c r="AC319" s="94"/>
      <c r="AD319" s="93"/>
      <c r="AE319" s="85"/>
    </row>
    <row r="320" spans="7:31" x14ac:dyDescent="0.35">
      <c r="G320" s="85"/>
      <c r="H320" s="87"/>
      <c r="K320" s="85"/>
      <c r="M320" s="94"/>
      <c r="N320" s="93"/>
      <c r="O320" s="85"/>
      <c r="Q320" s="94"/>
      <c r="R320" s="93"/>
      <c r="S320" s="85"/>
      <c r="U320" s="94"/>
      <c r="V320" s="93"/>
      <c r="W320" s="85"/>
      <c r="Y320" s="94"/>
      <c r="Z320" s="93"/>
      <c r="AA320" s="85"/>
      <c r="AC320" s="94"/>
      <c r="AD320" s="93"/>
      <c r="AE320" s="85"/>
    </row>
    <row r="321" spans="7:31" x14ac:dyDescent="0.35">
      <c r="G321" s="85"/>
      <c r="H321" s="87"/>
      <c r="K321" s="85"/>
      <c r="M321" s="94"/>
      <c r="N321" s="93"/>
      <c r="O321" s="85"/>
      <c r="Q321" s="94"/>
      <c r="R321" s="93"/>
      <c r="S321" s="85"/>
      <c r="U321" s="94"/>
      <c r="V321" s="93"/>
      <c r="W321" s="85"/>
      <c r="Y321" s="94"/>
      <c r="Z321" s="93"/>
      <c r="AA321" s="85"/>
      <c r="AC321" s="94"/>
      <c r="AD321" s="93"/>
      <c r="AE321" s="85"/>
    </row>
    <row r="322" spans="7:31" x14ac:dyDescent="0.35">
      <c r="G322" s="85"/>
      <c r="H322" s="87"/>
      <c r="K322" s="85"/>
      <c r="M322" s="94"/>
      <c r="N322" s="93"/>
      <c r="O322" s="85"/>
      <c r="Q322" s="94"/>
      <c r="R322" s="93"/>
      <c r="S322" s="85"/>
      <c r="U322" s="94"/>
      <c r="V322" s="93"/>
      <c r="W322" s="85"/>
      <c r="Y322" s="94"/>
      <c r="Z322" s="93"/>
      <c r="AA322" s="85"/>
      <c r="AC322" s="94"/>
      <c r="AD322" s="93"/>
      <c r="AE322" s="85"/>
    </row>
    <row r="323" spans="7:31" x14ac:dyDescent="0.35">
      <c r="G323" s="85"/>
      <c r="H323" s="87"/>
      <c r="K323" s="85"/>
      <c r="M323" s="94"/>
      <c r="N323" s="93"/>
      <c r="O323" s="85"/>
      <c r="Q323" s="94"/>
      <c r="R323" s="93"/>
      <c r="S323" s="85"/>
      <c r="U323" s="94"/>
      <c r="V323" s="93"/>
      <c r="W323" s="85"/>
      <c r="Y323" s="94"/>
      <c r="Z323" s="93"/>
      <c r="AA323" s="85"/>
      <c r="AC323" s="94"/>
      <c r="AD323" s="93"/>
      <c r="AE323" s="85"/>
    </row>
    <row r="324" spans="7:31" x14ac:dyDescent="0.35">
      <c r="G324" s="85"/>
      <c r="H324" s="87"/>
      <c r="K324" s="85"/>
      <c r="M324" s="94"/>
      <c r="N324" s="93"/>
      <c r="O324" s="85"/>
      <c r="Q324" s="94"/>
      <c r="R324" s="93"/>
      <c r="S324" s="85"/>
      <c r="U324" s="94"/>
      <c r="V324" s="93"/>
      <c r="W324" s="85"/>
      <c r="Y324" s="94"/>
      <c r="Z324" s="93"/>
      <c r="AA324" s="85"/>
      <c r="AC324" s="94"/>
      <c r="AD324" s="93"/>
      <c r="AE324" s="85"/>
    </row>
    <row r="325" spans="7:31" x14ac:dyDescent="0.35">
      <c r="G325" s="85"/>
      <c r="H325" s="87"/>
      <c r="K325" s="85"/>
      <c r="M325" s="94"/>
      <c r="N325" s="93"/>
      <c r="O325" s="85"/>
      <c r="Q325" s="94"/>
      <c r="R325" s="93"/>
      <c r="S325" s="85"/>
      <c r="U325" s="94"/>
      <c r="V325" s="93"/>
      <c r="W325" s="85"/>
      <c r="Y325" s="94"/>
      <c r="Z325" s="93"/>
      <c r="AA325" s="85"/>
      <c r="AC325" s="94"/>
      <c r="AD325" s="93"/>
      <c r="AE325" s="85"/>
    </row>
    <row r="326" spans="7:31" x14ac:dyDescent="0.35">
      <c r="G326" s="85"/>
      <c r="H326" s="87"/>
      <c r="K326" s="85"/>
      <c r="M326" s="94"/>
      <c r="N326" s="93"/>
      <c r="O326" s="85"/>
      <c r="Q326" s="94"/>
      <c r="R326" s="93"/>
      <c r="S326" s="85"/>
      <c r="U326" s="94"/>
      <c r="V326" s="93"/>
      <c r="W326" s="85"/>
      <c r="Y326" s="94"/>
      <c r="Z326" s="93"/>
      <c r="AA326" s="85"/>
      <c r="AC326" s="94"/>
      <c r="AD326" s="93"/>
      <c r="AE326" s="85"/>
    </row>
    <row r="327" spans="7:31" x14ac:dyDescent="0.35">
      <c r="G327" s="85"/>
      <c r="H327" s="87"/>
      <c r="K327" s="85"/>
      <c r="M327" s="94"/>
      <c r="N327" s="93"/>
      <c r="O327" s="85"/>
      <c r="Q327" s="94"/>
      <c r="R327" s="93"/>
      <c r="S327" s="85"/>
      <c r="U327" s="94"/>
      <c r="V327" s="93"/>
      <c r="W327" s="85"/>
      <c r="Y327" s="94"/>
      <c r="Z327" s="93"/>
      <c r="AA327" s="85"/>
      <c r="AC327" s="94"/>
      <c r="AD327" s="93"/>
      <c r="AE327" s="85"/>
    </row>
    <row r="328" spans="7:31" x14ac:dyDescent="0.35">
      <c r="G328" s="85"/>
      <c r="H328" s="87"/>
      <c r="K328" s="85"/>
      <c r="M328" s="94"/>
      <c r="N328" s="93"/>
      <c r="O328" s="85"/>
      <c r="Q328" s="94"/>
      <c r="R328" s="93"/>
      <c r="S328" s="85"/>
      <c r="U328" s="94"/>
      <c r="V328" s="93"/>
      <c r="W328" s="85"/>
      <c r="Y328" s="94"/>
      <c r="Z328" s="93"/>
      <c r="AA328" s="85"/>
      <c r="AC328" s="94"/>
      <c r="AD328" s="93"/>
      <c r="AE328" s="85"/>
    </row>
    <row r="329" spans="7:31" x14ac:dyDescent="0.35">
      <c r="G329" s="85"/>
      <c r="H329" s="87"/>
      <c r="K329" s="85"/>
      <c r="M329" s="94"/>
      <c r="N329" s="93"/>
      <c r="O329" s="85"/>
      <c r="Q329" s="94"/>
      <c r="R329" s="93"/>
      <c r="S329" s="85"/>
      <c r="U329" s="94"/>
      <c r="V329" s="93"/>
      <c r="W329" s="85"/>
      <c r="Y329" s="94"/>
      <c r="Z329" s="93"/>
      <c r="AA329" s="85"/>
      <c r="AC329" s="94"/>
      <c r="AD329" s="93"/>
      <c r="AE329" s="85"/>
    </row>
    <row r="330" spans="7:31" x14ac:dyDescent="0.35">
      <c r="G330" s="85"/>
      <c r="H330" s="87"/>
      <c r="K330" s="85"/>
      <c r="M330" s="94"/>
      <c r="N330" s="93"/>
      <c r="O330" s="85"/>
      <c r="Q330" s="94"/>
      <c r="R330" s="93"/>
      <c r="S330" s="85"/>
      <c r="U330" s="94"/>
      <c r="V330" s="93"/>
      <c r="W330" s="85"/>
      <c r="Y330" s="94"/>
      <c r="Z330" s="93"/>
      <c r="AA330" s="85"/>
      <c r="AC330" s="94"/>
      <c r="AD330" s="93"/>
      <c r="AE330" s="85"/>
    </row>
    <row r="331" spans="7:31" x14ac:dyDescent="0.35">
      <c r="G331" s="85"/>
      <c r="H331" s="87"/>
      <c r="K331" s="85"/>
      <c r="M331" s="94"/>
      <c r="N331" s="93"/>
      <c r="O331" s="85"/>
      <c r="Q331" s="94"/>
      <c r="R331" s="93"/>
      <c r="S331" s="85"/>
      <c r="U331" s="94"/>
      <c r="V331" s="93"/>
      <c r="W331" s="85"/>
      <c r="Y331" s="94"/>
      <c r="Z331" s="93"/>
      <c r="AA331" s="85"/>
      <c r="AC331" s="94"/>
      <c r="AD331" s="93"/>
      <c r="AE331" s="85"/>
    </row>
    <row r="332" spans="7:31" x14ac:dyDescent="0.35">
      <c r="G332" s="85"/>
      <c r="H332" s="87"/>
      <c r="K332" s="85"/>
      <c r="M332" s="94"/>
      <c r="N332" s="93"/>
      <c r="O332" s="85"/>
      <c r="Q332" s="94"/>
      <c r="R332" s="93"/>
      <c r="S332" s="85"/>
      <c r="U332" s="94"/>
      <c r="V332" s="93"/>
      <c r="W332" s="85"/>
      <c r="Y332" s="94"/>
      <c r="Z332" s="93"/>
      <c r="AA332" s="85"/>
      <c r="AC332" s="94"/>
      <c r="AD332" s="93"/>
      <c r="AE332" s="85"/>
    </row>
    <row r="333" spans="7:31" x14ac:dyDescent="0.35">
      <c r="G333" s="85"/>
      <c r="H333" s="87"/>
      <c r="K333" s="85"/>
      <c r="M333" s="94"/>
      <c r="N333" s="93"/>
      <c r="O333" s="85"/>
      <c r="Q333" s="94"/>
      <c r="R333" s="93"/>
      <c r="S333" s="85"/>
      <c r="U333" s="94"/>
      <c r="V333" s="93"/>
      <c r="W333" s="85"/>
      <c r="Y333" s="94"/>
      <c r="Z333" s="93"/>
      <c r="AA333" s="85"/>
      <c r="AC333" s="94"/>
      <c r="AD333" s="93"/>
      <c r="AE333" s="85"/>
    </row>
    <row r="334" spans="7:31" x14ac:dyDescent="0.35">
      <c r="G334" s="85"/>
      <c r="H334" s="87"/>
      <c r="K334" s="85"/>
      <c r="M334" s="94"/>
      <c r="N334" s="93"/>
      <c r="O334" s="85"/>
      <c r="Q334" s="94"/>
      <c r="R334" s="93"/>
      <c r="S334" s="85"/>
      <c r="U334" s="94"/>
      <c r="V334" s="93"/>
      <c r="W334" s="85"/>
      <c r="Y334" s="94"/>
      <c r="Z334" s="93"/>
      <c r="AA334" s="85"/>
      <c r="AC334" s="94"/>
      <c r="AD334" s="93"/>
      <c r="AE334" s="85"/>
    </row>
    <row r="335" spans="7:31" x14ac:dyDescent="0.35">
      <c r="G335" s="85"/>
      <c r="H335" s="87"/>
      <c r="K335" s="85"/>
      <c r="M335" s="94"/>
      <c r="N335" s="93"/>
      <c r="O335" s="85"/>
      <c r="Q335" s="94"/>
      <c r="R335" s="93"/>
      <c r="S335" s="85"/>
      <c r="U335" s="94"/>
      <c r="V335" s="93"/>
      <c r="W335" s="85"/>
      <c r="Y335" s="94"/>
      <c r="Z335" s="93"/>
      <c r="AA335" s="85"/>
      <c r="AC335" s="94"/>
      <c r="AD335" s="93"/>
      <c r="AE335" s="85"/>
    </row>
    <row r="336" spans="7:31" x14ac:dyDescent="0.35">
      <c r="G336" s="85"/>
      <c r="H336" s="87"/>
      <c r="K336" s="85"/>
      <c r="M336" s="94"/>
      <c r="N336" s="93"/>
      <c r="O336" s="85"/>
      <c r="Q336" s="94"/>
      <c r="R336" s="93"/>
      <c r="S336" s="85"/>
      <c r="U336" s="94"/>
      <c r="V336" s="93"/>
      <c r="W336" s="85"/>
      <c r="Y336" s="94"/>
      <c r="Z336" s="93"/>
      <c r="AA336" s="85"/>
      <c r="AC336" s="94"/>
      <c r="AD336" s="93"/>
      <c r="AE336" s="85"/>
    </row>
    <row r="337" spans="7:31" x14ac:dyDescent="0.35">
      <c r="G337" s="85"/>
      <c r="H337" s="87"/>
      <c r="K337" s="85"/>
      <c r="M337" s="94"/>
      <c r="N337" s="93"/>
      <c r="O337" s="85"/>
      <c r="Q337" s="94"/>
      <c r="R337" s="93"/>
      <c r="S337" s="85"/>
      <c r="U337" s="94"/>
      <c r="V337" s="93"/>
      <c r="W337" s="85"/>
      <c r="Y337" s="94"/>
      <c r="Z337" s="93"/>
      <c r="AA337" s="85"/>
      <c r="AC337" s="94"/>
      <c r="AD337" s="93"/>
      <c r="AE337" s="85"/>
    </row>
    <row r="338" spans="7:31" x14ac:dyDescent="0.35">
      <c r="G338" s="85"/>
      <c r="H338" s="87"/>
      <c r="K338" s="85"/>
      <c r="M338" s="94"/>
      <c r="N338" s="93"/>
      <c r="O338" s="85"/>
      <c r="Q338" s="94"/>
      <c r="R338" s="93"/>
      <c r="S338" s="85"/>
      <c r="U338" s="94"/>
      <c r="V338" s="93"/>
      <c r="W338" s="85"/>
      <c r="Y338" s="94"/>
      <c r="Z338" s="93"/>
      <c r="AA338" s="85"/>
      <c r="AC338" s="94"/>
      <c r="AD338" s="93"/>
      <c r="AE338" s="85"/>
    </row>
    <row r="339" spans="7:31" x14ac:dyDescent="0.35">
      <c r="G339" s="85"/>
      <c r="H339" s="87"/>
      <c r="K339" s="85"/>
      <c r="M339" s="94"/>
      <c r="N339" s="93"/>
      <c r="O339" s="85"/>
      <c r="Q339" s="94"/>
      <c r="R339" s="93"/>
      <c r="S339" s="85"/>
      <c r="U339" s="94"/>
      <c r="V339" s="93"/>
      <c r="W339" s="85"/>
      <c r="Y339" s="94"/>
      <c r="Z339" s="93"/>
      <c r="AA339" s="85"/>
      <c r="AC339" s="94"/>
      <c r="AD339" s="93"/>
      <c r="AE339" s="85"/>
    </row>
    <row r="340" spans="7:31" x14ac:dyDescent="0.35">
      <c r="G340" s="85"/>
      <c r="H340" s="87"/>
      <c r="K340" s="85"/>
      <c r="M340" s="94"/>
      <c r="N340" s="93"/>
      <c r="O340" s="85"/>
      <c r="Q340" s="94"/>
      <c r="R340" s="93"/>
      <c r="S340" s="85"/>
      <c r="U340" s="94"/>
      <c r="V340" s="93"/>
      <c r="W340" s="85"/>
      <c r="Y340" s="94"/>
      <c r="Z340" s="93"/>
      <c r="AA340" s="85"/>
      <c r="AC340" s="94"/>
      <c r="AD340" s="93"/>
      <c r="AE340" s="85"/>
    </row>
    <row r="341" spans="7:31" x14ac:dyDescent="0.35">
      <c r="G341" s="85"/>
      <c r="H341" s="87"/>
      <c r="K341" s="85"/>
      <c r="M341" s="94"/>
      <c r="N341" s="93"/>
      <c r="O341" s="85"/>
      <c r="Q341" s="94"/>
      <c r="R341" s="93"/>
      <c r="S341" s="85"/>
      <c r="U341" s="94"/>
      <c r="V341" s="93"/>
      <c r="W341" s="85"/>
      <c r="Y341" s="94"/>
      <c r="Z341" s="93"/>
      <c r="AA341" s="85"/>
      <c r="AC341" s="94"/>
      <c r="AD341" s="93"/>
      <c r="AE341" s="85"/>
    </row>
    <row r="342" spans="7:31" x14ac:dyDescent="0.35">
      <c r="G342" s="85"/>
      <c r="H342" s="87"/>
      <c r="K342" s="85"/>
      <c r="M342" s="94"/>
      <c r="N342" s="93"/>
      <c r="O342" s="85"/>
      <c r="Q342" s="94"/>
      <c r="R342" s="93"/>
      <c r="S342" s="85"/>
      <c r="U342" s="94"/>
      <c r="V342" s="93"/>
      <c r="W342" s="85"/>
      <c r="Y342" s="94"/>
      <c r="Z342" s="93"/>
      <c r="AA342" s="85"/>
      <c r="AC342" s="94"/>
      <c r="AD342" s="93"/>
      <c r="AE342" s="85"/>
    </row>
    <row r="343" spans="7:31" x14ac:dyDescent="0.35">
      <c r="G343" s="85"/>
      <c r="H343" s="87"/>
      <c r="K343" s="85"/>
      <c r="M343" s="94"/>
      <c r="N343" s="93"/>
      <c r="O343" s="85"/>
      <c r="Q343" s="94"/>
      <c r="R343" s="93"/>
      <c r="S343" s="85"/>
      <c r="U343" s="94"/>
      <c r="V343" s="93"/>
      <c r="W343" s="85"/>
      <c r="Y343" s="94"/>
      <c r="Z343" s="93"/>
      <c r="AA343" s="85"/>
      <c r="AC343" s="94"/>
      <c r="AD343" s="93"/>
      <c r="AE343" s="85"/>
    </row>
    <row r="344" spans="7:31" x14ac:dyDescent="0.35">
      <c r="G344" s="85"/>
      <c r="H344" s="87"/>
      <c r="K344" s="85"/>
      <c r="M344" s="94"/>
      <c r="N344" s="93"/>
      <c r="O344" s="85"/>
      <c r="Q344" s="94"/>
      <c r="R344" s="93"/>
      <c r="S344" s="85"/>
      <c r="U344" s="94"/>
      <c r="V344" s="93"/>
      <c r="W344" s="85"/>
      <c r="Y344" s="94"/>
      <c r="Z344" s="93"/>
      <c r="AA344" s="85"/>
      <c r="AC344" s="94"/>
      <c r="AD344" s="93"/>
      <c r="AE344" s="85"/>
    </row>
    <row r="345" spans="7:31" x14ac:dyDescent="0.35">
      <c r="G345" s="85"/>
      <c r="H345" s="87"/>
      <c r="K345" s="85"/>
      <c r="M345" s="94"/>
      <c r="N345" s="93"/>
      <c r="O345" s="85"/>
      <c r="Q345" s="94"/>
      <c r="R345" s="93"/>
      <c r="S345" s="85"/>
      <c r="U345" s="94"/>
      <c r="V345" s="93"/>
      <c r="W345" s="85"/>
      <c r="Y345" s="94"/>
      <c r="Z345" s="93"/>
      <c r="AA345" s="85"/>
      <c r="AC345" s="94"/>
      <c r="AD345" s="93"/>
      <c r="AE345" s="85"/>
    </row>
    <row r="346" spans="7:31" x14ac:dyDescent="0.35">
      <c r="G346" s="85"/>
      <c r="H346" s="87"/>
      <c r="K346" s="85"/>
      <c r="M346" s="94"/>
      <c r="N346" s="93"/>
      <c r="O346" s="85"/>
      <c r="Q346" s="94"/>
      <c r="R346" s="93"/>
      <c r="S346" s="85"/>
      <c r="U346" s="94"/>
      <c r="V346" s="93"/>
      <c r="W346" s="85"/>
      <c r="Y346" s="94"/>
      <c r="Z346" s="93"/>
      <c r="AA346" s="85"/>
      <c r="AC346" s="94"/>
      <c r="AD346" s="93"/>
      <c r="AE346" s="85"/>
    </row>
    <row r="347" spans="7:31" x14ac:dyDescent="0.35">
      <c r="G347" s="85"/>
      <c r="H347" s="87"/>
      <c r="K347" s="85"/>
      <c r="M347" s="94"/>
      <c r="N347" s="93"/>
      <c r="O347" s="85"/>
      <c r="Q347" s="94"/>
      <c r="R347" s="93"/>
      <c r="S347" s="85"/>
      <c r="U347" s="94"/>
      <c r="V347" s="93"/>
      <c r="W347" s="85"/>
      <c r="Y347" s="94"/>
      <c r="Z347" s="93"/>
      <c r="AA347" s="85"/>
      <c r="AC347" s="94"/>
      <c r="AD347" s="93"/>
      <c r="AE347" s="85"/>
    </row>
    <row r="348" spans="7:31" x14ac:dyDescent="0.35">
      <c r="G348" s="85"/>
      <c r="H348" s="87"/>
      <c r="K348" s="85"/>
      <c r="M348" s="94"/>
      <c r="N348" s="93"/>
      <c r="O348" s="85"/>
      <c r="Q348" s="94"/>
      <c r="R348" s="93"/>
      <c r="S348" s="85"/>
      <c r="U348" s="94"/>
      <c r="V348" s="93"/>
      <c r="W348" s="85"/>
      <c r="Y348" s="94"/>
      <c r="Z348" s="93"/>
      <c r="AA348" s="85"/>
      <c r="AC348" s="94"/>
      <c r="AD348" s="93"/>
      <c r="AE348" s="85"/>
    </row>
    <row r="349" spans="7:31" x14ac:dyDescent="0.35">
      <c r="G349" s="85"/>
      <c r="H349" s="87"/>
      <c r="K349" s="85"/>
      <c r="M349" s="94"/>
      <c r="N349" s="93"/>
      <c r="O349" s="85"/>
      <c r="Q349" s="94"/>
      <c r="R349" s="93"/>
      <c r="S349" s="85"/>
      <c r="U349" s="94"/>
      <c r="V349" s="93"/>
      <c r="W349" s="85"/>
      <c r="Y349" s="94"/>
      <c r="Z349" s="93"/>
      <c r="AA349" s="85"/>
      <c r="AC349" s="94"/>
      <c r="AD349" s="93"/>
      <c r="AE349" s="85"/>
    </row>
    <row r="350" spans="7:31" x14ac:dyDescent="0.35">
      <c r="G350" s="85"/>
      <c r="H350" s="87"/>
      <c r="K350" s="85"/>
      <c r="M350" s="94"/>
      <c r="N350" s="93"/>
      <c r="O350" s="85"/>
      <c r="Q350" s="94"/>
      <c r="R350" s="93"/>
      <c r="S350" s="85"/>
      <c r="U350" s="94"/>
      <c r="V350" s="93"/>
      <c r="W350" s="85"/>
      <c r="Y350" s="94"/>
      <c r="Z350" s="93"/>
      <c r="AA350" s="85"/>
      <c r="AC350" s="94"/>
      <c r="AD350" s="93"/>
      <c r="AE350" s="85"/>
    </row>
    <row r="351" spans="7:31" x14ac:dyDescent="0.35">
      <c r="G351" s="85"/>
      <c r="H351" s="87"/>
      <c r="K351" s="85"/>
      <c r="M351" s="94"/>
      <c r="N351" s="93"/>
      <c r="O351" s="85"/>
      <c r="Q351" s="94"/>
      <c r="R351" s="93"/>
      <c r="S351" s="85"/>
      <c r="U351" s="94"/>
      <c r="V351" s="93"/>
      <c r="W351" s="85"/>
      <c r="Y351" s="94"/>
      <c r="Z351" s="93"/>
      <c r="AA351" s="85"/>
      <c r="AC351" s="94"/>
      <c r="AD351" s="93"/>
      <c r="AE351" s="85"/>
    </row>
    <row r="352" spans="7:31" x14ac:dyDescent="0.35">
      <c r="G352" s="85"/>
      <c r="H352" s="87"/>
      <c r="K352" s="85"/>
      <c r="M352" s="94"/>
      <c r="N352" s="93"/>
      <c r="O352" s="85"/>
      <c r="Q352" s="94"/>
      <c r="R352" s="93"/>
      <c r="S352" s="85"/>
      <c r="U352" s="94"/>
      <c r="V352" s="93"/>
      <c r="W352" s="85"/>
      <c r="Y352" s="94"/>
      <c r="Z352" s="93"/>
      <c r="AA352" s="85"/>
      <c r="AC352" s="94"/>
      <c r="AD352" s="93"/>
      <c r="AE352" s="85"/>
    </row>
    <row r="353" spans="7:31" x14ac:dyDescent="0.35">
      <c r="G353" s="85"/>
      <c r="H353" s="87"/>
      <c r="K353" s="85"/>
      <c r="M353" s="94"/>
      <c r="N353" s="93"/>
      <c r="O353" s="85"/>
      <c r="Q353" s="94"/>
      <c r="R353" s="93"/>
      <c r="S353" s="85"/>
      <c r="U353" s="94"/>
      <c r="V353" s="93"/>
      <c r="W353" s="85"/>
      <c r="Y353" s="94"/>
      <c r="Z353" s="93"/>
      <c r="AA353" s="85"/>
      <c r="AC353" s="94"/>
      <c r="AD353" s="93"/>
      <c r="AE353" s="85"/>
    </row>
    <row r="354" spans="7:31" x14ac:dyDescent="0.35">
      <c r="G354" s="85"/>
      <c r="H354" s="87"/>
      <c r="K354" s="85"/>
      <c r="M354" s="94"/>
      <c r="N354" s="93"/>
      <c r="O354" s="85"/>
      <c r="Q354" s="94"/>
      <c r="R354" s="93"/>
      <c r="S354" s="85"/>
      <c r="U354" s="94"/>
      <c r="V354" s="93"/>
      <c r="W354" s="85"/>
      <c r="Y354" s="94"/>
      <c r="Z354" s="93"/>
      <c r="AA354" s="85"/>
      <c r="AC354" s="94"/>
      <c r="AD354" s="93"/>
      <c r="AE354" s="85"/>
    </row>
    <row r="355" spans="7:31" x14ac:dyDescent="0.35">
      <c r="G355" s="85"/>
      <c r="H355" s="87"/>
      <c r="K355" s="85"/>
      <c r="M355" s="94"/>
      <c r="N355" s="93"/>
      <c r="O355" s="85"/>
      <c r="Q355" s="94"/>
      <c r="R355" s="93"/>
      <c r="S355" s="85"/>
      <c r="U355" s="94"/>
      <c r="V355" s="93"/>
      <c r="W355" s="85"/>
      <c r="Y355" s="94"/>
      <c r="Z355" s="93"/>
      <c r="AA355" s="85"/>
      <c r="AC355" s="94"/>
      <c r="AD355" s="93"/>
      <c r="AE355" s="85"/>
    </row>
    <row r="356" spans="7:31" x14ac:dyDescent="0.35">
      <c r="G356" s="85"/>
      <c r="H356" s="87"/>
      <c r="K356" s="85"/>
      <c r="M356" s="94"/>
      <c r="N356" s="93"/>
      <c r="O356" s="85"/>
      <c r="Q356" s="94"/>
      <c r="R356" s="93"/>
      <c r="S356" s="85"/>
      <c r="U356" s="94"/>
      <c r="V356" s="93"/>
      <c r="W356" s="85"/>
      <c r="Y356" s="94"/>
      <c r="Z356" s="93"/>
      <c r="AA356" s="85"/>
      <c r="AC356" s="94"/>
      <c r="AD356" s="93"/>
      <c r="AE356" s="85"/>
    </row>
    <row r="357" spans="7:31" x14ac:dyDescent="0.35">
      <c r="G357" s="85"/>
      <c r="H357" s="87"/>
      <c r="K357" s="85"/>
      <c r="M357" s="94"/>
      <c r="N357" s="93"/>
      <c r="O357" s="85"/>
      <c r="Q357" s="94"/>
      <c r="R357" s="93"/>
      <c r="S357" s="85"/>
      <c r="U357" s="94"/>
      <c r="V357" s="93"/>
      <c r="W357" s="85"/>
      <c r="Y357" s="94"/>
      <c r="Z357" s="93"/>
      <c r="AA357" s="85"/>
      <c r="AC357" s="94"/>
      <c r="AD357" s="93"/>
      <c r="AE357" s="85"/>
    </row>
    <row r="358" spans="7:31" x14ac:dyDescent="0.35">
      <c r="G358" s="85"/>
      <c r="H358" s="87"/>
      <c r="K358" s="85"/>
      <c r="M358" s="94"/>
      <c r="N358" s="93"/>
      <c r="O358" s="85"/>
      <c r="Q358" s="94"/>
      <c r="R358" s="93"/>
      <c r="S358" s="85"/>
      <c r="U358" s="94"/>
      <c r="V358" s="93"/>
      <c r="W358" s="85"/>
      <c r="Y358" s="94"/>
      <c r="Z358" s="93"/>
      <c r="AA358" s="85"/>
      <c r="AC358" s="94"/>
      <c r="AD358" s="93"/>
      <c r="AE358" s="85"/>
    </row>
    <row r="359" spans="7:31" x14ac:dyDescent="0.35">
      <c r="G359" s="85"/>
      <c r="H359" s="87"/>
      <c r="K359" s="85"/>
      <c r="M359" s="94"/>
      <c r="N359" s="93"/>
      <c r="O359" s="85"/>
      <c r="Q359" s="94"/>
      <c r="R359" s="93"/>
      <c r="S359" s="85"/>
      <c r="U359" s="94"/>
      <c r="V359" s="93"/>
      <c r="W359" s="85"/>
      <c r="Y359" s="94"/>
      <c r="Z359" s="93"/>
      <c r="AA359" s="85"/>
      <c r="AC359" s="94"/>
      <c r="AD359" s="93"/>
      <c r="AE359" s="85"/>
    </row>
    <row r="360" spans="7:31" x14ac:dyDescent="0.35">
      <c r="G360" s="85"/>
      <c r="H360" s="87"/>
      <c r="K360" s="85"/>
      <c r="M360" s="94"/>
      <c r="N360" s="93"/>
      <c r="O360" s="85"/>
      <c r="Q360" s="94"/>
      <c r="R360" s="93"/>
      <c r="S360" s="85"/>
      <c r="U360" s="94"/>
      <c r="V360" s="93"/>
      <c r="W360" s="85"/>
      <c r="Y360" s="94"/>
      <c r="Z360" s="93"/>
      <c r="AA360" s="85"/>
      <c r="AC360" s="94"/>
      <c r="AD360" s="93"/>
      <c r="AE360" s="85"/>
    </row>
    <row r="361" spans="7:31" x14ac:dyDescent="0.35">
      <c r="G361" s="85"/>
      <c r="H361" s="87"/>
      <c r="K361" s="85"/>
      <c r="M361" s="94"/>
      <c r="N361" s="93"/>
      <c r="O361" s="85"/>
      <c r="Q361" s="94"/>
      <c r="R361" s="93"/>
      <c r="S361" s="85"/>
      <c r="U361" s="94"/>
      <c r="V361" s="93"/>
      <c r="W361" s="85"/>
      <c r="Y361" s="94"/>
      <c r="Z361" s="93"/>
      <c r="AA361" s="85"/>
      <c r="AC361" s="94"/>
      <c r="AD361" s="93"/>
      <c r="AE361" s="85"/>
    </row>
    <row r="362" spans="7:31" x14ac:dyDescent="0.35">
      <c r="G362" s="85"/>
      <c r="H362" s="87"/>
      <c r="K362" s="85"/>
      <c r="M362" s="94"/>
      <c r="N362" s="93"/>
      <c r="O362" s="85"/>
      <c r="Q362" s="94"/>
      <c r="R362" s="93"/>
      <c r="S362" s="85"/>
      <c r="U362" s="94"/>
      <c r="V362" s="93"/>
      <c r="W362" s="85"/>
      <c r="Y362" s="94"/>
      <c r="Z362" s="93"/>
      <c r="AA362" s="85"/>
      <c r="AC362" s="94"/>
      <c r="AD362" s="93"/>
      <c r="AE362" s="85"/>
    </row>
    <row r="363" spans="7:31" x14ac:dyDescent="0.35">
      <c r="G363" s="85"/>
      <c r="H363" s="87"/>
      <c r="K363" s="85"/>
      <c r="M363" s="94"/>
      <c r="N363" s="93"/>
      <c r="O363" s="85"/>
      <c r="Q363" s="94"/>
      <c r="R363" s="93"/>
      <c r="S363" s="85"/>
      <c r="U363" s="94"/>
      <c r="V363" s="93"/>
      <c r="W363" s="85"/>
      <c r="Y363" s="94"/>
      <c r="Z363" s="93"/>
      <c r="AA363" s="85"/>
      <c r="AC363" s="94"/>
      <c r="AD363" s="93"/>
      <c r="AE363" s="85"/>
    </row>
    <row r="364" spans="7:31" x14ac:dyDescent="0.35">
      <c r="G364" s="85"/>
      <c r="H364" s="87"/>
      <c r="K364" s="85"/>
      <c r="M364" s="94"/>
      <c r="N364" s="93"/>
      <c r="O364" s="85"/>
      <c r="Q364" s="94"/>
      <c r="R364" s="93"/>
      <c r="S364" s="85"/>
      <c r="U364" s="94"/>
      <c r="V364" s="93"/>
      <c r="W364" s="85"/>
      <c r="Y364" s="94"/>
      <c r="Z364" s="93"/>
      <c r="AA364" s="85"/>
      <c r="AC364" s="94"/>
      <c r="AD364" s="93"/>
      <c r="AE364" s="85"/>
    </row>
    <row r="365" spans="7:31" x14ac:dyDescent="0.35">
      <c r="G365" s="85"/>
      <c r="H365" s="87"/>
      <c r="K365" s="85"/>
      <c r="M365" s="94"/>
      <c r="N365" s="93"/>
      <c r="O365" s="85"/>
      <c r="Q365" s="94"/>
      <c r="R365" s="93"/>
      <c r="S365" s="85"/>
      <c r="U365" s="94"/>
      <c r="V365" s="93"/>
      <c r="W365" s="85"/>
      <c r="Y365" s="94"/>
      <c r="Z365" s="93"/>
      <c r="AA365" s="85"/>
      <c r="AC365" s="94"/>
      <c r="AD365" s="93"/>
      <c r="AE365" s="85"/>
    </row>
    <row r="366" spans="7:31" x14ac:dyDescent="0.35">
      <c r="G366" s="85"/>
      <c r="H366" s="87"/>
      <c r="K366" s="85"/>
      <c r="M366" s="94"/>
      <c r="N366" s="93"/>
      <c r="O366" s="85"/>
      <c r="Q366" s="94"/>
      <c r="R366" s="93"/>
      <c r="S366" s="85"/>
      <c r="U366" s="94"/>
      <c r="V366" s="93"/>
      <c r="W366" s="85"/>
      <c r="Y366" s="94"/>
      <c r="Z366" s="93"/>
      <c r="AA366" s="85"/>
      <c r="AC366" s="94"/>
      <c r="AD366" s="93"/>
      <c r="AE366" s="85"/>
    </row>
    <row r="367" spans="7:31" x14ac:dyDescent="0.35">
      <c r="G367" s="85"/>
      <c r="H367" s="87"/>
      <c r="K367" s="85"/>
      <c r="M367" s="94"/>
      <c r="N367" s="93"/>
      <c r="O367" s="85"/>
      <c r="Q367" s="94"/>
      <c r="R367" s="93"/>
      <c r="S367" s="85"/>
      <c r="U367" s="94"/>
      <c r="V367" s="93"/>
      <c r="W367" s="85"/>
      <c r="Y367" s="94"/>
      <c r="Z367" s="93"/>
      <c r="AA367" s="85"/>
      <c r="AC367" s="94"/>
      <c r="AD367" s="93"/>
      <c r="AE367" s="85"/>
    </row>
    <row r="368" spans="7:31" x14ac:dyDescent="0.35">
      <c r="G368" s="85"/>
      <c r="H368" s="87"/>
      <c r="K368" s="85"/>
      <c r="M368" s="94"/>
      <c r="N368" s="93"/>
      <c r="O368" s="85"/>
      <c r="Q368" s="94"/>
      <c r="R368" s="93"/>
      <c r="S368" s="85"/>
      <c r="U368" s="94"/>
      <c r="V368" s="93"/>
      <c r="W368" s="85"/>
      <c r="Y368" s="94"/>
      <c r="Z368" s="93"/>
      <c r="AA368" s="85"/>
      <c r="AC368" s="94"/>
      <c r="AD368" s="93"/>
      <c r="AE368" s="85"/>
    </row>
    <row r="369" spans="7:31" x14ac:dyDescent="0.35">
      <c r="G369" s="85"/>
      <c r="H369" s="87"/>
      <c r="K369" s="85"/>
      <c r="M369" s="94"/>
      <c r="N369" s="93"/>
      <c r="O369" s="85"/>
      <c r="Q369" s="94"/>
      <c r="R369" s="93"/>
      <c r="S369" s="85"/>
      <c r="U369" s="94"/>
      <c r="V369" s="93"/>
      <c r="W369" s="85"/>
      <c r="Y369" s="94"/>
      <c r="Z369" s="93"/>
      <c r="AA369" s="85"/>
      <c r="AC369" s="94"/>
      <c r="AD369" s="93"/>
      <c r="AE369" s="85"/>
    </row>
    <row r="370" spans="7:31" x14ac:dyDescent="0.35">
      <c r="G370" s="85"/>
      <c r="H370" s="87"/>
      <c r="K370" s="85"/>
      <c r="M370" s="94"/>
      <c r="N370" s="93"/>
      <c r="O370" s="85"/>
      <c r="Q370" s="94"/>
      <c r="R370" s="93"/>
      <c r="S370" s="85"/>
      <c r="U370" s="94"/>
      <c r="V370" s="93"/>
      <c r="W370" s="85"/>
      <c r="Y370" s="94"/>
      <c r="Z370" s="93"/>
      <c r="AA370" s="85"/>
      <c r="AC370" s="94"/>
      <c r="AD370" s="93"/>
      <c r="AE370" s="85"/>
    </row>
    <row r="371" spans="7:31" x14ac:dyDescent="0.35">
      <c r="G371" s="85"/>
      <c r="H371" s="87"/>
      <c r="K371" s="85"/>
      <c r="M371" s="94"/>
      <c r="N371" s="93"/>
      <c r="O371" s="85"/>
      <c r="Q371" s="94"/>
      <c r="R371" s="93"/>
      <c r="S371" s="85"/>
      <c r="U371" s="94"/>
      <c r="V371" s="93"/>
      <c r="W371" s="85"/>
      <c r="Y371" s="94"/>
      <c r="Z371" s="93"/>
      <c r="AA371" s="85"/>
      <c r="AC371" s="94"/>
      <c r="AD371" s="93"/>
      <c r="AE371" s="85"/>
    </row>
    <row r="372" spans="7:31" x14ac:dyDescent="0.35">
      <c r="G372" s="85"/>
      <c r="H372" s="87"/>
      <c r="K372" s="85"/>
      <c r="M372" s="94"/>
      <c r="N372" s="93"/>
      <c r="O372" s="85"/>
      <c r="Q372" s="94"/>
      <c r="R372" s="93"/>
      <c r="S372" s="85"/>
      <c r="U372" s="94"/>
      <c r="V372" s="93"/>
      <c r="W372" s="85"/>
      <c r="Y372" s="94"/>
      <c r="Z372" s="93"/>
      <c r="AA372" s="85"/>
      <c r="AC372" s="94"/>
      <c r="AD372" s="93"/>
      <c r="AE372" s="85"/>
    </row>
    <row r="373" spans="7:31" x14ac:dyDescent="0.35">
      <c r="G373" s="85"/>
      <c r="H373" s="87"/>
      <c r="K373" s="85"/>
      <c r="M373" s="94"/>
      <c r="N373" s="93"/>
      <c r="O373" s="85"/>
      <c r="Q373" s="94"/>
      <c r="R373" s="93"/>
      <c r="S373" s="85"/>
      <c r="U373" s="94"/>
      <c r="V373" s="93"/>
      <c r="W373" s="85"/>
      <c r="Y373" s="94"/>
      <c r="Z373" s="93"/>
      <c r="AA373" s="85"/>
      <c r="AC373" s="94"/>
      <c r="AD373" s="93"/>
      <c r="AE373" s="85"/>
    </row>
    <row r="374" spans="7:31" x14ac:dyDescent="0.35">
      <c r="G374" s="85"/>
      <c r="H374" s="87"/>
      <c r="K374" s="85"/>
      <c r="M374" s="94"/>
      <c r="N374" s="93"/>
      <c r="O374" s="85"/>
      <c r="Q374" s="94"/>
      <c r="R374" s="93"/>
      <c r="S374" s="85"/>
      <c r="U374" s="94"/>
      <c r="V374" s="93"/>
      <c r="W374" s="85"/>
      <c r="Y374" s="94"/>
      <c r="Z374" s="93"/>
      <c r="AA374" s="85"/>
      <c r="AC374" s="94"/>
      <c r="AD374" s="93"/>
      <c r="AE374" s="85"/>
    </row>
    <row r="375" spans="7:31" x14ac:dyDescent="0.35">
      <c r="G375" s="85"/>
      <c r="H375" s="87"/>
      <c r="K375" s="85"/>
      <c r="M375" s="94"/>
      <c r="N375" s="93"/>
      <c r="O375" s="85"/>
      <c r="Q375" s="94"/>
      <c r="R375" s="93"/>
      <c r="S375" s="85"/>
      <c r="U375" s="94"/>
      <c r="V375" s="93"/>
      <c r="W375" s="85"/>
      <c r="Y375" s="94"/>
      <c r="Z375" s="93"/>
      <c r="AA375" s="85"/>
      <c r="AC375" s="94"/>
      <c r="AD375" s="93"/>
      <c r="AE375" s="85"/>
    </row>
    <row r="376" spans="7:31" x14ac:dyDescent="0.35">
      <c r="G376" s="85"/>
      <c r="H376" s="87"/>
      <c r="K376" s="85"/>
      <c r="M376" s="94"/>
      <c r="N376" s="93"/>
      <c r="O376" s="85"/>
      <c r="Q376" s="94"/>
      <c r="R376" s="93"/>
      <c r="S376" s="85"/>
      <c r="U376" s="94"/>
      <c r="V376" s="93"/>
      <c r="W376" s="85"/>
      <c r="Y376" s="94"/>
      <c r="Z376" s="93"/>
      <c r="AA376" s="85"/>
      <c r="AC376" s="94"/>
      <c r="AD376" s="93"/>
      <c r="AE376" s="85"/>
    </row>
    <row r="377" spans="7:31" x14ac:dyDescent="0.35">
      <c r="G377" s="85"/>
      <c r="H377" s="87"/>
      <c r="K377" s="85"/>
      <c r="M377" s="94"/>
      <c r="N377" s="93"/>
      <c r="O377" s="85"/>
      <c r="Q377" s="94"/>
      <c r="R377" s="93"/>
      <c r="S377" s="85"/>
      <c r="U377" s="94"/>
      <c r="V377" s="93"/>
      <c r="W377" s="85"/>
      <c r="Y377" s="94"/>
      <c r="Z377" s="93"/>
      <c r="AA377" s="85"/>
      <c r="AC377" s="94"/>
      <c r="AD377" s="93"/>
      <c r="AE377" s="85"/>
    </row>
    <row r="378" spans="7:31" x14ac:dyDescent="0.35">
      <c r="G378" s="85"/>
      <c r="H378" s="87"/>
      <c r="K378" s="85"/>
      <c r="M378" s="94"/>
      <c r="N378" s="93"/>
      <c r="O378" s="85"/>
      <c r="Q378" s="94"/>
      <c r="R378" s="93"/>
      <c r="S378" s="85"/>
      <c r="U378" s="94"/>
      <c r="V378" s="93"/>
      <c r="W378" s="85"/>
      <c r="Y378" s="94"/>
      <c r="Z378" s="93"/>
      <c r="AA378" s="85"/>
      <c r="AC378" s="94"/>
      <c r="AD378" s="93"/>
      <c r="AE378" s="85"/>
    </row>
    <row r="379" spans="7:31" x14ac:dyDescent="0.35">
      <c r="G379" s="85"/>
      <c r="H379" s="87"/>
      <c r="K379" s="85"/>
      <c r="M379" s="94"/>
      <c r="N379" s="93"/>
      <c r="O379" s="85"/>
      <c r="Q379" s="94"/>
      <c r="R379" s="93"/>
      <c r="S379" s="85"/>
      <c r="U379" s="94"/>
      <c r="V379" s="93"/>
      <c r="W379" s="85"/>
      <c r="Y379" s="94"/>
      <c r="Z379" s="93"/>
      <c r="AA379" s="85"/>
      <c r="AC379" s="94"/>
      <c r="AD379" s="93"/>
      <c r="AE379" s="85"/>
    </row>
    <row r="380" spans="7:31" x14ac:dyDescent="0.35">
      <c r="G380" s="85"/>
      <c r="H380" s="87"/>
      <c r="K380" s="85"/>
      <c r="M380" s="94"/>
      <c r="N380" s="93"/>
      <c r="O380" s="85"/>
      <c r="Q380" s="94"/>
      <c r="R380" s="93"/>
      <c r="S380" s="85"/>
      <c r="U380" s="94"/>
      <c r="V380" s="93"/>
      <c r="W380" s="85"/>
      <c r="Y380" s="94"/>
      <c r="Z380" s="93"/>
      <c r="AA380" s="85"/>
      <c r="AC380" s="94"/>
      <c r="AD380" s="93"/>
      <c r="AE380" s="85"/>
    </row>
    <row r="381" spans="7:31" x14ac:dyDescent="0.35">
      <c r="G381" s="85"/>
      <c r="H381" s="87"/>
      <c r="K381" s="85"/>
      <c r="M381" s="94"/>
      <c r="N381" s="93"/>
      <c r="O381" s="85"/>
      <c r="Q381" s="94"/>
      <c r="R381" s="93"/>
      <c r="S381" s="85"/>
      <c r="U381" s="94"/>
      <c r="V381" s="93"/>
      <c r="W381" s="85"/>
      <c r="Y381" s="94"/>
      <c r="Z381" s="93"/>
      <c r="AA381" s="85"/>
      <c r="AC381" s="94"/>
      <c r="AD381" s="93"/>
      <c r="AE381" s="85"/>
    </row>
    <row r="382" spans="7:31" x14ac:dyDescent="0.35">
      <c r="G382" s="85"/>
      <c r="H382" s="87"/>
      <c r="K382" s="85"/>
      <c r="M382" s="94"/>
      <c r="N382" s="93"/>
      <c r="O382" s="85"/>
      <c r="Q382" s="94"/>
      <c r="R382" s="93"/>
      <c r="S382" s="85"/>
      <c r="U382" s="94"/>
      <c r="V382" s="93"/>
      <c r="W382" s="85"/>
      <c r="Y382" s="94"/>
      <c r="Z382" s="93"/>
      <c r="AA382" s="85"/>
      <c r="AC382" s="94"/>
      <c r="AD382" s="93"/>
      <c r="AE382" s="85"/>
    </row>
    <row r="383" spans="7:31" x14ac:dyDescent="0.35">
      <c r="G383" s="85"/>
      <c r="H383" s="87"/>
      <c r="K383" s="85"/>
      <c r="M383" s="94"/>
      <c r="N383" s="93"/>
      <c r="O383" s="85"/>
      <c r="Q383" s="94"/>
      <c r="R383" s="93"/>
      <c r="S383" s="85"/>
      <c r="U383" s="94"/>
      <c r="V383" s="93"/>
      <c r="W383" s="85"/>
      <c r="Y383" s="94"/>
      <c r="Z383" s="93"/>
      <c r="AA383" s="85"/>
      <c r="AC383" s="94"/>
      <c r="AD383" s="93"/>
      <c r="AE383" s="85"/>
    </row>
    <row r="384" spans="7:31" x14ac:dyDescent="0.35">
      <c r="G384" s="85"/>
      <c r="H384" s="87"/>
      <c r="K384" s="85"/>
      <c r="M384" s="94"/>
      <c r="N384" s="93"/>
      <c r="O384" s="85"/>
      <c r="Q384" s="94"/>
      <c r="R384" s="93"/>
      <c r="S384" s="85"/>
      <c r="U384" s="94"/>
      <c r="V384" s="93"/>
      <c r="W384" s="85"/>
      <c r="Y384" s="94"/>
      <c r="Z384" s="93"/>
      <c r="AA384" s="85"/>
      <c r="AC384" s="94"/>
      <c r="AD384" s="93"/>
      <c r="AE384" s="85"/>
    </row>
    <row r="385" spans="7:31" x14ac:dyDescent="0.35">
      <c r="G385" s="85"/>
      <c r="H385" s="87"/>
      <c r="K385" s="85"/>
      <c r="M385" s="94"/>
      <c r="N385" s="93"/>
      <c r="O385" s="85"/>
      <c r="Q385" s="94"/>
      <c r="R385" s="93"/>
      <c r="S385" s="85"/>
      <c r="U385" s="94"/>
      <c r="V385" s="93"/>
      <c r="W385" s="85"/>
      <c r="Y385" s="94"/>
      <c r="Z385" s="93"/>
      <c r="AA385" s="85"/>
      <c r="AC385" s="94"/>
      <c r="AD385" s="93"/>
      <c r="AE385" s="85"/>
    </row>
    <row r="386" spans="7:31" x14ac:dyDescent="0.35">
      <c r="G386" s="85"/>
      <c r="H386" s="87"/>
      <c r="K386" s="85"/>
      <c r="M386" s="94"/>
      <c r="N386" s="93"/>
      <c r="O386" s="85"/>
      <c r="Q386" s="94"/>
      <c r="R386" s="93"/>
      <c r="S386" s="85"/>
      <c r="U386" s="94"/>
      <c r="V386" s="93"/>
      <c r="W386" s="85"/>
      <c r="Y386" s="94"/>
      <c r="Z386" s="93"/>
      <c r="AA386" s="85"/>
      <c r="AC386" s="94"/>
      <c r="AD386" s="93"/>
      <c r="AE386" s="85"/>
    </row>
    <row r="387" spans="7:31" x14ac:dyDescent="0.35">
      <c r="G387" s="85"/>
      <c r="H387" s="87"/>
      <c r="K387" s="85"/>
      <c r="M387" s="94"/>
      <c r="N387" s="93"/>
      <c r="O387" s="85"/>
      <c r="Q387" s="94"/>
      <c r="R387" s="93"/>
      <c r="S387" s="85"/>
      <c r="U387" s="94"/>
      <c r="V387" s="93"/>
      <c r="W387" s="85"/>
      <c r="Y387" s="94"/>
      <c r="Z387" s="93"/>
      <c r="AA387" s="85"/>
      <c r="AC387" s="94"/>
      <c r="AD387" s="93"/>
      <c r="AE387" s="85"/>
    </row>
    <row r="388" spans="7:31" x14ac:dyDescent="0.35">
      <c r="G388" s="85"/>
      <c r="H388" s="87"/>
      <c r="K388" s="85"/>
      <c r="M388" s="94"/>
      <c r="N388" s="93"/>
      <c r="O388" s="85"/>
      <c r="Q388" s="94"/>
      <c r="R388" s="93"/>
      <c r="S388" s="85"/>
      <c r="U388" s="94"/>
      <c r="V388" s="93"/>
      <c r="W388" s="85"/>
      <c r="Y388" s="94"/>
      <c r="Z388" s="93"/>
      <c r="AA388" s="85"/>
      <c r="AC388" s="94"/>
      <c r="AD388" s="93"/>
      <c r="AE388" s="85"/>
    </row>
    <row r="389" spans="7:31" x14ac:dyDescent="0.35">
      <c r="G389" s="85"/>
      <c r="H389" s="87"/>
      <c r="K389" s="85"/>
      <c r="M389" s="94"/>
      <c r="N389" s="93"/>
      <c r="O389" s="85"/>
      <c r="Q389" s="94"/>
      <c r="R389" s="93"/>
      <c r="S389" s="85"/>
      <c r="U389" s="94"/>
      <c r="V389" s="93"/>
      <c r="W389" s="85"/>
      <c r="Y389" s="94"/>
      <c r="Z389" s="93"/>
      <c r="AA389" s="85"/>
      <c r="AC389" s="94"/>
      <c r="AD389" s="93"/>
      <c r="AE389" s="85"/>
    </row>
    <row r="390" spans="7:31" x14ac:dyDescent="0.35">
      <c r="G390" s="85"/>
      <c r="H390" s="87"/>
      <c r="K390" s="85"/>
      <c r="M390" s="94"/>
      <c r="N390" s="93"/>
      <c r="O390" s="85"/>
      <c r="Q390" s="94"/>
      <c r="R390" s="93"/>
      <c r="S390" s="85"/>
      <c r="U390" s="94"/>
      <c r="V390" s="93"/>
      <c r="W390" s="85"/>
      <c r="Y390" s="94"/>
      <c r="Z390" s="93"/>
      <c r="AA390" s="85"/>
      <c r="AC390" s="94"/>
      <c r="AD390" s="93"/>
      <c r="AE390" s="85"/>
    </row>
    <row r="391" spans="7:31" x14ac:dyDescent="0.35">
      <c r="G391" s="85"/>
      <c r="H391" s="87"/>
      <c r="K391" s="85"/>
      <c r="M391" s="94"/>
      <c r="N391" s="93"/>
      <c r="O391" s="85"/>
      <c r="Q391" s="94"/>
      <c r="R391" s="93"/>
      <c r="S391" s="85"/>
      <c r="U391" s="94"/>
      <c r="V391" s="93"/>
      <c r="W391" s="85"/>
      <c r="Y391" s="94"/>
      <c r="Z391" s="93"/>
      <c r="AA391" s="85"/>
      <c r="AC391" s="94"/>
      <c r="AD391" s="93"/>
      <c r="AE391" s="85"/>
    </row>
    <row r="392" spans="7:31" x14ac:dyDescent="0.35">
      <c r="G392" s="85"/>
      <c r="H392" s="87"/>
      <c r="K392" s="85"/>
      <c r="M392" s="94"/>
      <c r="N392" s="93"/>
      <c r="O392" s="85"/>
      <c r="Q392" s="94"/>
      <c r="R392" s="93"/>
      <c r="S392" s="85"/>
      <c r="U392" s="94"/>
      <c r="V392" s="93"/>
      <c r="W392" s="85"/>
      <c r="Y392" s="94"/>
      <c r="Z392" s="93"/>
      <c r="AA392" s="85"/>
      <c r="AC392" s="94"/>
      <c r="AD392" s="93"/>
      <c r="AE392" s="85"/>
    </row>
    <row r="393" spans="7:31" x14ac:dyDescent="0.35">
      <c r="G393" s="85"/>
      <c r="H393" s="87"/>
      <c r="K393" s="85"/>
      <c r="M393" s="94"/>
      <c r="N393" s="93"/>
      <c r="O393" s="85"/>
      <c r="Q393" s="94"/>
      <c r="R393" s="93"/>
      <c r="S393" s="85"/>
      <c r="U393" s="94"/>
      <c r="V393" s="93"/>
      <c r="W393" s="85"/>
      <c r="Y393" s="94"/>
      <c r="Z393" s="93"/>
      <c r="AA393" s="85"/>
      <c r="AC393" s="94"/>
      <c r="AD393" s="93"/>
      <c r="AE393" s="85"/>
    </row>
    <row r="394" spans="7:31" x14ac:dyDescent="0.35">
      <c r="G394" s="85"/>
      <c r="H394" s="87"/>
      <c r="K394" s="85"/>
      <c r="M394" s="94"/>
      <c r="N394" s="93"/>
      <c r="O394" s="85"/>
      <c r="Q394" s="94"/>
      <c r="R394" s="93"/>
      <c r="S394" s="85"/>
      <c r="U394" s="94"/>
      <c r="V394" s="93"/>
      <c r="W394" s="85"/>
      <c r="Y394" s="94"/>
      <c r="Z394" s="93"/>
      <c r="AA394" s="85"/>
      <c r="AC394" s="94"/>
      <c r="AD394" s="93"/>
      <c r="AE394" s="85"/>
    </row>
    <row r="395" spans="7:31" x14ac:dyDescent="0.35">
      <c r="G395" s="85"/>
      <c r="H395" s="87"/>
      <c r="K395" s="85"/>
      <c r="M395" s="94"/>
      <c r="N395" s="93"/>
      <c r="O395" s="85"/>
      <c r="Q395" s="94"/>
      <c r="R395" s="93"/>
      <c r="S395" s="85"/>
      <c r="U395" s="94"/>
      <c r="V395" s="93"/>
      <c r="W395" s="85"/>
      <c r="Y395" s="94"/>
      <c r="Z395" s="93"/>
      <c r="AA395" s="85"/>
      <c r="AC395" s="94"/>
      <c r="AD395" s="93"/>
      <c r="AE395" s="85"/>
    </row>
    <row r="396" spans="7:31" x14ac:dyDescent="0.35">
      <c r="G396" s="85"/>
      <c r="H396" s="87"/>
      <c r="K396" s="85"/>
      <c r="M396" s="94"/>
      <c r="N396" s="93"/>
      <c r="O396" s="85"/>
      <c r="Q396" s="94"/>
      <c r="R396" s="93"/>
      <c r="S396" s="85"/>
      <c r="U396" s="94"/>
      <c r="V396" s="93"/>
      <c r="W396" s="85"/>
      <c r="Y396" s="94"/>
      <c r="Z396" s="93"/>
      <c r="AA396" s="85"/>
      <c r="AC396" s="94"/>
      <c r="AD396" s="93"/>
      <c r="AE396" s="85"/>
    </row>
    <row r="397" spans="7:31" x14ac:dyDescent="0.35">
      <c r="G397" s="85"/>
      <c r="H397" s="87"/>
      <c r="K397" s="85"/>
      <c r="M397" s="94"/>
      <c r="N397" s="93"/>
      <c r="O397" s="85"/>
      <c r="Q397" s="94"/>
      <c r="R397" s="93"/>
      <c r="S397" s="85"/>
      <c r="U397" s="94"/>
      <c r="V397" s="93"/>
      <c r="W397" s="85"/>
      <c r="Y397" s="94"/>
      <c r="Z397" s="93"/>
      <c r="AA397" s="85"/>
      <c r="AC397" s="94"/>
      <c r="AD397" s="93"/>
      <c r="AE397" s="85"/>
    </row>
    <row r="398" spans="7:31" x14ac:dyDescent="0.35">
      <c r="G398" s="85"/>
      <c r="H398" s="87"/>
      <c r="K398" s="85"/>
      <c r="M398" s="94"/>
      <c r="N398" s="93"/>
      <c r="O398" s="85"/>
      <c r="Q398" s="94"/>
      <c r="R398" s="93"/>
      <c r="S398" s="85"/>
      <c r="U398" s="94"/>
      <c r="V398" s="93"/>
      <c r="W398" s="85"/>
      <c r="Y398" s="94"/>
      <c r="Z398" s="93"/>
      <c r="AA398" s="85"/>
      <c r="AC398" s="94"/>
      <c r="AD398" s="93"/>
      <c r="AE398" s="85"/>
    </row>
    <row r="399" spans="7:31" x14ac:dyDescent="0.35">
      <c r="G399" s="85"/>
      <c r="H399" s="87"/>
      <c r="K399" s="85"/>
      <c r="M399" s="94"/>
      <c r="N399" s="93"/>
      <c r="O399" s="85"/>
      <c r="Q399" s="94"/>
      <c r="R399" s="93"/>
      <c r="S399" s="85"/>
      <c r="U399" s="94"/>
      <c r="V399" s="93"/>
      <c r="W399" s="85"/>
      <c r="Y399" s="94"/>
      <c r="Z399" s="93"/>
      <c r="AA399" s="85"/>
      <c r="AC399" s="94"/>
      <c r="AD399" s="93"/>
      <c r="AE399" s="85"/>
    </row>
    <row r="400" spans="7:31" x14ac:dyDescent="0.35">
      <c r="G400" s="85"/>
      <c r="H400" s="87"/>
      <c r="K400" s="85"/>
      <c r="M400" s="94"/>
      <c r="N400" s="93"/>
      <c r="O400" s="85"/>
      <c r="Q400" s="94"/>
      <c r="R400" s="93"/>
      <c r="S400" s="85"/>
      <c r="U400" s="94"/>
      <c r="V400" s="93"/>
      <c r="W400" s="85"/>
      <c r="Y400" s="94"/>
      <c r="Z400" s="93"/>
      <c r="AA400" s="85"/>
      <c r="AC400" s="94"/>
      <c r="AD400" s="93"/>
      <c r="AE400" s="85"/>
    </row>
    <row r="401" spans="7:31" x14ac:dyDescent="0.35">
      <c r="G401" s="85"/>
      <c r="H401" s="87"/>
      <c r="K401" s="85"/>
      <c r="M401" s="94"/>
      <c r="N401" s="93"/>
      <c r="O401" s="85"/>
      <c r="Q401" s="94"/>
      <c r="R401" s="93"/>
      <c r="S401" s="85"/>
      <c r="U401" s="94"/>
      <c r="V401" s="93"/>
      <c r="W401" s="85"/>
      <c r="Y401" s="94"/>
      <c r="Z401" s="93"/>
      <c r="AA401" s="85"/>
      <c r="AC401" s="94"/>
      <c r="AD401" s="93"/>
      <c r="AE401" s="85"/>
    </row>
    <row r="402" spans="7:31" x14ac:dyDescent="0.35">
      <c r="G402" s="85"/>
      <c r="H402" s="87"/>
      <c r="K402" s="85"/>
      <c r="M402" s="94"/>
      <c r="N402" s="93"/>
      <c r="O402" s="85"/>
      <c r="Q402" s="94"/>
      <c r="R402" s="93"/>
      <c r="S402" s="85"/>
      <c r="U402" s="94"/>
      <c r="V402" s="93"/>
      <c r="W402" s="85"/>
      <c r="Y402" s="94"/>
      <c r="Z402" s="93"/>
      <c r="AA402" s="85"/>
      <c r="AC402" s="94"/>
      <c r="AD402" s="93"/>
      <c r="AE402" s="85"/>
    </row>
    <row r="403" spans="7:31" x14ac:dyDescent="0.35">
      <c r="G403" s="85"/>
      <c r="H403" s="87"/>
      <c r="K403" s="85"/>
      <c r="M403" s="94"/>
      <c r="N403" s="93"/>
      <c r="O403" s="85"/>
      <c r="Q403" s="94"/>
      <c r="R403" s="93"/>
      <c r="S403" s="85"/>
      <c r="U403" s="94"/>
      <c r="V403" s="93"/>
      <c r="W403" s="85"/>
      <c r="Y403" s="94"/>
      <c r="Z403" s="93"/>
      <c r="AA403" s="85"/>
      <c r="AC403" s="94"/>
      <c r="AD403" s="93"/>
      <c r="AE403" s="85"/>
    </row>
    <row r="404" spans="7:31" x14ac:dyDescent="0.35">
      <c r="G404" s="85"/>
      <c r="H404" s="87"/>
      <c r="K404" s="85"/>
      <c r="M404" s="94"/>
      <c r="N404" s="93"/>
      <c r="O404" s="85"/>
      <c r="Q404" s="94"/>
      <c r="R404" s="93"/>
      <c r="S404" s="85"/>
      <c r="U404" s="94"/>
      <c r="V404" s="93"/>
      <c r="W404" s="85"/>
      <c r="Y404" s="94"/>
      <c r="Z404" s="93"/>
      <c r="AA404" s="85"/>
      <c r="AC404" s="94"/>
      <c r="AD404" s="93"/>
      <c r="AE404" s="85"/>
    </row>
    <row r="405" spans="7:31" x14ac:dyDescent="0.35">
      <c r="G405" s="85"/>
      <c r="H405" s="87"/>
      <c r="K405" s="85"/>
      <c r="M405" s="94"/>
      <c r="N405" s="93"/>
      <c r="O405" s="85"/>
      <c r="Q405" s="94"/>
      <c r="R405" s="93"/>
      <c r="S405" s="85"/>
      <c r="U405" s="94"/>
      <c r="V405" s="93"/>
      <c r="W405" s="85"/>
      <c r="Y405" s="94"/>
      <c r="Z405" s="93"/>
      <c r="AA405" s="85"/>
      <c r="AC405" s="94"/>
      <c r="AD405" s="93"/>
      <c r="AE405" s="85"/>
    </row>
    <row r="406" spans="7:31" x14ac:dyDescent="0.35">
      <c r="G406" s="85"/>
      <c r="H406" s="87"/>
      <c r="K406" s="85"/>
      <c r="M406" s="94"/>
      <c r="N406" s="93"/>
      <c r="O406" s="85"/>
      <c r="Q406" s="94"/>
      <c r="R406" s="93"/>
      <c r="S406" s="85"/>
      <c r="U406" s="94"/>
      <c r="V406" s="93"/>
      <c r="W406" s="85"/>
      <c r="Y406" s="94"/>
      <c r="Z406" s="93"/>
      <c r="AA406" s="85"/>
      <c r="AC406" s="94"/>
      <c r="AD406" s="93"/>
      <c r="AE406" s="85"/>
    </row>
    <row r="407" spans="7:31" x14ac:dyDescent="0.35">
      <c r="G407" s="85"/>
      <c r="H407" s="87"/>
      <c r="K407" s="85"/>
      <c r="M407" s="94"/>
      <c r="N407" s="93"/>
      <c r="O407" s="85"/>
      <c r="Q407" s="94"/>
      <c r="R407" s="93"/>
      <c r="S407" s="85"/>
      <c r="U407" s="94"/>
      <c r="V407" s="93"/>
      <c r="W407" s="85"/>
      <c r="Y407" s="94"/>
      <c r="Z407" s="93"/>
      <c r="AA407" s="85"/>
      <c r="AC407" s="94"/>
      <c r="AD407" s="93"/>
      <c r="AE407" s="85"/>
    </row>
    <row r="408" spans="7:31" x14ac:dyDescent="0.35">
      <c r="G408" s="85"/>
      <c r="H408" s="87"/>
      <c r="K408" s="85"/>
      <c r="M408" s="94"/>
      <c r="N408" s="93"/>
      <c r="O408" s="85"/>
      <c r="Q408" s="94"/>
      <c r="R408" s="93"/>
      <c r="S408" s="85"/>
      <c r="U408" s="94"/>
      <c r="V408" s="93"/>
      <c r="W408" s="85"/>
      <c r="Y408" s="94"/>
      <c r="Z408" s="93"/>
      <c r="AA408" s="85"/>
      <c r="AC408" s="94"/>
      <c r="AD408" s="93"/>
      <c r="AE408" s="85"/>
    </row>
    <row r="409" spans="7:31" x14ac:dyDescent="0.35">
      <c r="G409" s="85"/>
      <c r="H409" s="87"/>
      <c r="K409" s="85"/>
      <c r="M409" s="94"/>
      <c r="N409" s="93"/>
      <c r="O409" s="85"/>
      <c r="Q409" s="94"/>
      <c r="R409" s="93"/>
      <c r="S409" s="85"/>
      <c r="U409" s="94"/>
      <c r="V409" s="93"/>
      <c r="W409" s="85"/>
      <c r="Y409" s="94"/>
      <c r="Z409" s="93"/>
      <c r="AA409" s="85"/>
      <c r="AC409" s="94"/>
      <c r="AD409" s="93"/>
      <c r="AE409" s="85"/>
    </row>
    <row r="410" spans="7:31" x14ac:dyDescent="0.35">
      <c r="G410" s="85"/>
      <c r="H410" s="87"/>
      <c r="K410" s="85"/>
      <c r="M410" s="94"/>
      <c r="N410" s="93"/>
      <c r="O410" s="85"/>
      <c r="Q410" s="94"/>
      <c r="R410" s="93"/>
      <c r="S410" s="85"/>
      <c r="U410" s="94"/>
      <c r="V410" s="93"/>
      <c r="W410" s="85"/>
      <c r="Y410" s="94"/>
      <c r="Z410" s="93"/>
      <c r="AA410" s="85"/>
      <c r="AC410" s="94"/>
      <c r="AD410" s="93"/>
      <c r="AE410" s="85"/>
    </row>
    <row r="411" spans="7:31" x14ac:dyDescent="0.35">
      <c r="G411" s="85"/>
      <c r="H411" s="87"/>
      <c r="K411" s="85"/>
      <c r="M411" s="94"/>
      <c r="N411" s="93"/>
      <c r="O411" s="85"/>
      <c r="Q411" s="94"/>
      <c r="R411" s="93"/>
      <c r="S411" s="85"/>
      <c r="U411" s="94"/>
      <c r="V411" s="93"/>
      <c r="W411" s="85"/>
      <c r="Y411" s="94"/>
      <c r="Z411" s="93"/>
      <c r="AA411" s="85"/>
      <c r="AC411" s="94"/>
      <c r="AD411" s="93"/>
      <c r="AE411" s="85"/>
    </row>
    <row r="412" spans="7:31" x14ac:dyDescent="0.35">
      <c r="G412" s="85"/>
      <c r="H412" s="87"/>
      <c r="K412" s="85"/>
      <c r="M412" s="94"/>
      <c r="N412" s="93"/>
      <c r="O412" s="85"/>
      <c r="Q412" s="94"/>
      <c r="R412" s="93"/>
      <c r="S412" s="85"/>
      <c r="U412" s="94"/>
      <c r="V412" s="93"/>
      <c r="W412" s="85"/>
      <c r="Y412" s="94"/>
      <c r="Z412" s="93"/>
      <c r="AA412" s="85"/>
      <c r="AC412" s="94"/>
      <c r="AD412" s="93"/>
      <c r="AE412" s="85"/>
    </row>
    <row r="413" spans="7:31" x14ac:dyDescent="0.35">
      <c r="G413" s="85"/>
      <c r="H413" s="87"/>
      <c r="K413" s="85"/>
      <c r="M413" s="94"/>
      <c r="N413" s="93"/>
      <c r="O413" s="85"/>
      <c r="Q413" s="94"/>
      <c r="R413" s="93"/>
      <c r="S413" s="85"/>
      <c r="U413" s="94"/>
      <c r="V413" s="93"/>
      <c r="W413" s="85"/>
      <c r="Y413" s="94"/>
      <c r="Z413" s="93"/>
      <c r="AA413" s="85"/>
      <c r="AC413" s="94"/>
      <c r="AD413" s="93"/>
      <c r="AE413" s="85"/>
    </row>
    <row r="414" spans="7:31" x14ac:dyDescent="0.35">
      <c r="G414" s="85"/>
      <c r="H414" s="87"/>
      <c r="K414" s="85"/>
      <c r="M414" s="94"/>
      <c r="N414" s="93"/>
      <c r="O414" s="85"/>
      <c r="Q414" s="94"/>
      <c r="R414" s="93"/>
      <c r="S414" s="85"/>
      <c r="U414" s="94"/>
      <c r="V414" s="93"/>
      <c r="W414" s="85"/>
      <c r="Y414" s="94"/>
      <c r="Z414" s="93"/>
      <c r="AA414" s="85"/>
      <c r="AC414" s="94"/>
      <c r="AD414" s="93"/>
      <c r="AE414" s="85"/>
    </row>
    <row r="415" spans="7:31" x14ac:dyDescent="0.35">
      <c r="G415" s="85"/>
      <c r="H415" s="87"/>
      <c r="K415" s="85"/>
      <c r="M415" s="94"/>
      <c r="N415" s="93"/>
      <c r="O415" s="85"/>
      <c r="Q415" s="94"/>
      <c r="R415" s="93"/>
      <c r="S415" s="85"/>
      <c r="U415" s="94"/>
      <c r="V415" s="93"/>
      <c r="W415" s="85"/>
      <c r="Y415" s="94"/>
      <c r="Z415" s="93"/>
      <c r="AA415" s="85"/>
      <c r="AC415" s="94"/>
      <c r="AD415" s="93"/>
      <c r="AE415" s="85"/>
    </row>
    <row r="416" spans="7:31" x14ac:dyDescent="0.35">
      <c r="G416" s="85"/>
      <c r="H416" s="87"/>
      <c r="K416" s="85"/>
      <c r="M416" s="94"/>
      <c r="N416" s="93"/>
      <c r="O416" s="85"/>
      <c r="Q416" s="94"/>
      <c r="R416" s="93"/>
      <c r="S416" s="85"/>
      <c r="U416" s="94"/>
      <c r="V416" s="93"/>
      <c r="W416" s="85"/>
      <c r="Y416" s="94"/>
      <c r="Z416" s="93"/>
      <c r="AA416" s="85"/>
      <c r="AC416" s="94"/>
      <c r="AD416" s="93"/>
      <c r="AE416" s="85"/>
    </row>
    <row r="417" spans="7:31" x14ac:dyDescent="0.35">
      <c r="G417" s="85"/>
      <c r="H417" s="87"/>
      <c r="K417" s="85"/>
      <c r="M417" s="94"/>
      <c r="N417" s="93"/>
      <c r="O417" s="85"/>
      <c r="Q417" s="94"/>
      <c r="R417" s="93"/>
      <c r="S417" s="85"/>
      <c r="U417" s="94"/>
      <c r="V417" s="93"/>
      <c r="W417" s="85"/>
      <c r="Y417" s="94"/>
      <c r="Z417" s="93"/>
      <c r="AA417" s="85"/>
      <c r="AC417" s="94"/>
      <c r="AD417" s="93"/>
      <c r="AE417" s="85"/>
    </row>
    <row r="418" spans="7:31" x14ac:dyDescent="0.35">
      <c r="G418" s="85"/>
      <c r="H418" s="87"/>
      <c r="K418" s="85"/>
      <c r="M418" s="94"/>
      <c r="N418" s="93"/>
      <c r="O418" s="85"/>
      <c r="Q418" s="94"/>
      <c r="R418" s="93"/>
      <c r="S418" s="85"/>
      <c r="U418" s="94"/>
      <c r="V418" s="93"/>
      <c r="W418" s="85"/>
      <c r="Y418" s="94"/>
      <c r="Z418" s="93"/>
      <c r="AA418" s="85"/>
      <c r="AC418" s="94"/>
      <c r="AD418" s="93"/>
      <c r="AE418" s="85"/>
    </row>
    <row r="419" spans="7:31" x14ac:dyDescent="0.35">
      <c r="G419" s="85"/>
      <c r="H419" s="87"/>
      <c r="K419" s="85"/>
      <c r="M419" s="94"/>
      <c r="N419" s="93"/>
      <c r="O419" s="85"/>
      <c r="Q419" s="94"/>
      <c r="R419" s="93"/>
      <c r="S419" s="85"/>
      <c r="U419" s="94"/>
      <c r="V419" s="93"/>
      <c r="W419" s="85"/>
      <c r="Y419" s="94"/>
      <c r="Z419" s="93"/>
      <c r="AA419" s="85"/>
      <c r="AC419" s="94"/>
      <c r="AD419" s="93"/>
      <c r="AE419" s="85"/>
    </row>
    <row r="420" spans="7:31" x14ac:dyDescent="0.35">
      <c r="G420" s="85"/>
      <c r="H420" s="87"/>
      <c r="K420" s="85"/>
      <c r="M420" s="94"/>
      <c r="N420" s="93"/>
      <c r="O420" s="85"/>
      <c r="Q420" s="94"/>
      <c r="R420" s="93"/>
      <c r="S420" s="85"/>
      <c r="U420" s="94"/>
      <c r="V420" s="93"/>
      <c r="W420" s="85"/>
      <c r="Y420" s="94"/>
      <c r="Z420" s="93"/>
      <c r="AA420" s="85"/>
      <c r="AC420" s="94"/>
      <c r="AD420" s="93"/>
      <c r="AE420" s="85"/>
    </row>
    <row r="421" spans="7:31" x14ac:dyDescent="0.35">
      <c r="G421" s="85"/>
      <c r="H421" s="87"/>
      <c r="K421" s="85"/>
      <c r="M421" s="94"/>
      <c r="N421" s="93"/>
      <c r="O421" s="85"/>
      <c r="Q421" s="94"/>
      <c r="R421" s="93"/>
      <c r="S421" s="85"/>
      <c r="U421" s="94"/>
      <c r="V421" s="93"/>
      <c r="W421" s="85"/>
      <c r="Y421" s="94"/>
      <c r="Z421" s="93"/>
      <c r="AA421" s="85"/>
      <c r="AC421" s="94"/>
      <c r="AD421" s="93"/>
      <c r="AE421" s="85"/>
    </row>
    <row r="422" spans="7:31" x14ac:dyDescent="0.35">
      <c r="G422" s="85"/>
      <c r="H422" s="87"/>
      <c r="K422" s="85"/>
      <c r="M422" s="94"/>
      <c r="N422" s="93"/>
      <c r="O422" s="85"/>
      <c r="Q422" s="94"/>
      <c r="R422" s="93"/>
      <c r="S422" s="85"/>
      <c r="U422" s="94"/>
      <c r="V422" s="93"/>
      <c r="W422" s="85"/>
      <c r="Y422" s="94"/>
      <c r="Z422" s="93"/>
      <c r="AA422" s="85"/>
      <c r="AC422" s="94"/>
      <c r="AD422" s="93"/>
      <c r="AE422" s="85"/>
    </row>
    <row r="423" spans="7:31" x14ac:dyDescent="0.35">
      <c r="G423" s="85"/>
      <c r="H423" s="87"/>
      <c r="K423" s="85"/>
      <c r="M423" s="94"/>
      <c r="N423" s="93"/>
      <c r="O423" s="85"/>
      <c r="Q423" s="94"/>
      <c r="R423" s="93"/>
      <c r="S423" s="85"/>
      <c r="U423" s="94"/>
      <c r="V423" s="93"/>
      <c r="W423" s="85"/>
      <c r="Y423" s="94"/>
      <c r="Z423" s="93"/>
      <c r="AA423" s="85"/>
      <c r="AC423" s="94"/>
      <c r="AD423" s="93"/>
      <c r="AE423" s="85"/>
    </row>
    <row r="424" spans="7:31" x14ac:dyDescent="0.35">
      <c r="G424" s="85"/>
      <c r="H424" s="87"/>
      <c r="K424" s="85"/>
      <c r="M424" s="94"/>
      <c r="N424" s="93"/>
      <c r="O424" s="85"/>
      <c r="Q424" s="94"/>
      <c r="R424" s="93"/>
      <c r="S424" s="85"/>
      <c r="U424" s="94"/>
      <c r="V424" s="93"/>
      <c r="W424" s="85"/>
      <c r="Y424" s="94"/>
      <c r="Z424" s="93"/>
      <c r="AA424" s="85"/>
      <c r="AC424" s="94"/>
      <c r="AD424" s="93"/>
      <c r="AE424" s="85"/>
    </row>
    <row r="425" spans="7:31" x14ac:dyDescent="0.35">
      <c r="G425" s="85"/>
      <c r="H425" s="87"/>
      <c r="K425" s="85"/>
      <c r="M425" s="94"/>
      <c r="N425" s="93"/>
      <c r="O425" s="85"/>
      <c r="Q425" s="94"/>
      <c r="R425" s="93"/>
      <c r="S425" s="85"/>
      <c r="U425" s="94"/>
      <c r="V425" s="93"/>
      <c r="W425" s="85"/>
      <c r="Y425" s="94"/>
      <c r="Z425" s="93"/>
      <c r="AA425" s="85"/>
      <c r="AC425" s="94"/>
      <c r="AD425" s="93"/>
      <c r="AE425" s="85"/>
    </row>
    <row r="426" spans="7:31" x14ac:dyDescent="0.35">
      <c r="G426" s="85"/>
      <c r="H426" s="87"/>
      <c r="K426" s="85"/>
      <c r="M426" s="94"/>
      <c r="N426" s="93"/>
      <c r="O426" s="85"/>
      <c r="Q426" s="94"/>
      <c r="R426" s="93"/>
      <c r="S426" s="85"/>
      <c r="U426" s="94"/>
      <c r="V426" s="93"/>
      <c r="W426" s="85"/>
      <c r="Y426" s="94"/>
      <c r="Z426" s="93"/>
      <c r="AA426" s="85"/>
      <c r="AC426" s="94"/>
      <c r="AD426" s="93"/>
      <c r="AE426" s="85"/>
    </row>
    <row r="427" spans="7:31" x14ac:dyDescent="0.35">
      <c r="G427" s="85"/>
      <c r="H427" s="87"/>
      <c r="K427" s="85"/>
      <c r="M427" s="94"/>
      <c r="N427" s="93"/>
      <c r="O427" s="85"/>
      <c r="Q427" s="94"/>
      <c r="R427" s="93"/>
      <c r="S427" s="85"/>
      <c r="U427" s="94"/>
      <c r="V427" s="93"/>
      <c r="W427" s="85"/>
      <c r="Y427" s="94"/>
      <c r="Z427" s="93"/>
      <c r="AA427" s="85"/>
      <c r="AC427" s="94"/>
      <c r="AD427" s="93"/>
      <c r="AE427" s="85"/>
    </row>
    <row r="428" spans="7:31" x14ac:dyDescent="0.35">
      <c r="G428" s="85"/>
      <c r="H428" s="87"/>
      <c r="K428" s="85"/>
      <c r="M428" s="94"/>
      <c r="N428" s="93"/>
      <c r="O428" s="85"/>
      <c r="Q428" s="94"/>
      <c r="R428" s="93"/>
      <c r="S428" s="85"/>
      <c r="U428" s="94"/>
      <c r="V428" s="93"/>
      <c r="W428" s="85"/>
      <c r="Y428" s="94"/>
      <c r="Z428" s="93"/>
      <c r="AA428" s="85"/>
      <c r="AC428" s="94"/>
      <c r="AD428" s="93"/>
      <c r="AE428" s="85"/>
    </row>
    <row r="429" spans="7:31" x14ac:dyDescent="0.35">
      <c r="G429" s="85"/>
      <c r="H429" s="87"/>
      <c r="K429" s="85"/>
      <c r="M429" s="94"/>
      <c r="N429" s="93"/>
      <c r="O429" s="85"/>
      <c r="Q429" s="94"/>
      <c r="R429" s="93"/>
      <c r="S429" s="85"/>
      <c r="U429" s="94"/>
      <c r="V429" s="93"/>
      <c r="W429" s="85"/>
      <c r="Y429" s="94"/>
      <c r="Z429" s="93"/>
      <c r="AA429" s="85"/>
      <c r="AC429" s="94"/>
      <c r="AD429" s="93"/>
      <c r="AE429" s="85"/>
    </row>
    <row r="430" spans="7:31" x14ac:dyDescent="0.35">
      <c r="G430" s="85"/>
      <c r="H430" s="87"/>
      <c r="K430" s="85"/>
      <c r="M430" s="94"/>
      <c r="N430" s="93"/>
      <c r="O430" s="85"/>
      <c r="Q430" s="94"/>
      <c r="R430" s="93"/>
      <c r="S430" s="85"/>
      <c r="U430" s="94"/>
      <c r="V430" s="93"/>
      <c r="W430" s="85"/>
      <c r="Y430" s="94"/>
      <c r="Z430" s="93"/>
      <c r="AA430" s="85"/>
      <c r="AC430" s="94"/>
      <c r="AD430" s="93"/>
      <c r="AE430" s="85"/>
    </row>
    <row r="431" spans="7:31" x14ac:dyDescent="0.35">
      <c r="G431" s="85"/>
      <c r="H431" s="87"/>
      <c r="K431" s="85"/>
      <c r="M431" s="94"/>
      <c r="N431" s="93"/>
      <c r="O431" s="85"/>
      <c r="Q431" s="94"/>
      <c r="R431" s="93"/>
      <c r="S431" s="85"/>
      <c r="U431" s="94"/>
      <c r="V431" s="93"/>
      <c r="W431" s="85"/>
      <c r="Y431" s="94"/>
      <c r="Z431" s="93"/>
      <c r="AA431" s="85"/>
      <c r="AC431" s="94"/>
      <c r="AD431" s="93"/>
      <c r="AE431" s="85"/>
    </row>
    <row r="432" spans="7:31" x14ac:dyDescent="0.35">
      <c r="G432" s="85"/>
      <c r="H432" s="87"/>
      <c r="K432" s="85"/>
      <c r="M432" s="94"/>
      <c r="N432" s="93"/>
      <c r="O432" s="85"/>
      <c r="Q432" s="94"/>
      <c r="R432" s="93"/>
      <c r="S432" s="85"/>
      <c r="U432" s="94"/>
      <c r="V432" s="93"/>
      <c r="W432" s="85"/>
      <c r="Y432" s="94"/>
      <c r="Z432" s="93"/>
      <c r="AA432" s="85"/>
      <c r="AC432" s="94"/>
      <c r="AD432" s="93"/>
      <c r="AE432" s="85"/>
    </row>
    <row r="433" spans="7:31" x14ac:dyDescent="0.35">
      <c r="G433" s="85"/>
      <c r="H433" s="87"/>
      <c r="K433" s="85"/>
      <c r="M433" s="94"/>
      <c r="N433" s="93"/>
      <c r="O433" s="85"/>
      <c r="Q433" s="94"/>
      <c r="R433" s="93"/>
      <c r="S433" s="85"/>
      <c r="U433" s="94"/>
      <c r="V433" s="93"/>
      <c r="W433" s="85"/>
      <c r="Y433" s="94"/>
      <c r="Z433" s="93"/>
      <c r="AA433" s="85"/>
      <c r="AC433" s="94"/>
      <c r="AD433" s="93"/>
      <c r="AE433" s="85"/>
    </row>
    <row r="434" spans="7:31" x14ac:dyDescent="0.35">
      <c r="G434" s="85"/>
      <c r="H434" s="87"/>
      <c r="K434" s="85"/>
      <c r="M434" s="94"/>
      <c r="N434" s="93"/>
      <c r="O434" s="85"/>
      <c r="Q434" s="94"/>
      <c r="R434" s="93"/>
      <c r="S434" s="85"/>
      <c r="U434" s="94"/>
      <c r="V434" s="93"/>
      <c r="W434" s="85"/>
      <c r="Y434" s="94"/>
      <c r="Z434" s="93"/>
      <c r="AA434" s="85"/>
      <c r="AC434" s="94"/>
      <c r="AD434" s="93"/>
      <c r="AE434" s="85"/>
    </row>
    <row r="435" spans="7:31" x14ac:dyDescent="0.35">
      <c r="G435" s="85"/>
      <c r="H435" s="87"/>
      <c r="K435" s="85"/>
      <c r="M435" s="94"/>
      <c r="N435" s="93"/>
      <c r="O435" s="85"/>
      <c r="Q435" s="94"/>
      <c r="R435" s="93"/>
      <c r="S435" s="85"/>
      <c r="U435" s="94"/>
      <c r="V435" s="93"/>
      <c r="W435" s="85"/>
      <c r="Y435" s="94"/>
      <c r="Z435" s="93"/>
      <c r="AA435" s="85"/>
      <c r="AC435" s="94"/>
      <c r="AD435" s="93"/>
      <c r="AE435" s="85"/>
    </row>
    <row r="436" spans="7:31" x14ac:dyDescent="0.35">
      <c r="G436" s="85"/>
      <c r="H436" s="87"/>
      <c r="K436" s="85"/>
      <c r="M436" s="94"/>
      <c r="N436" s="93"/>
      <c r="O436" s="85"/>
      <c r="Q436" s="94"/>
      <c r="R436" s="93"/>
      <c r="S436" s="85"/>
      <c r="U436" s="94"/>
      <c r="V436" s="93"/>
      <c r="W436" s="85"/>
      <c r="Y436" s="94"/>
      <c r="Z436" s="93"/>
      <c r="AA436" s="85"/>
      <c r="AC436" s="94"/>
      <c r="AD436" s="93"/>
      <c r="AE436" s="85"/>
    </row>
    <row r="437" spans="7:31" x14ac:dyDescent="0.35">
      <c r="G437" s="85"/>
      <c r="H437" s="87"/>
      <c r="K437" s="85"/>
      <c r="M437" s="94"/>
      <c r="N437" s="93"/>
      <c r="O437" s="85"/>
      <c r="Q437" s="94"/>
      <c r="R437" s="93"/>
      <c r="S437" s="85"/>
      <c r="U437" s="94"/>
      <c r="V437" s="93"/>
      <c r="W437" s="85"/>
      <c r="Y437" s="94"/>
      <c r="Z437" s="93"/>
      <c r="AA437" s="85"/>
      <c r="AC437" s="94"/>
      <c r="AD437" s="93"/>
      <c r="AE437" s="85"/>
    </row>
    <row r="438" spans="7:31" x14ac:dyDescent="0.35">
      <c r="G438" s="85"/>
      <c r="H438" s="87"/>
      <c r="K438" s="85"/>
      <c r="M438" s="94"/>
      <c r="N438" s="93"/>
      <c r="O438" s="85"/>
      <c r="Q438" s="94"/>
      <c r="R438" s="93"/>
      <c r="S438" s="85"/>
      <c r="U438" s="94"/>
      <c r="V438" s="93"/>
      <c r="W438" s="85"/>
      <c r="Y438" s="94"/>
      <c r="Z438" s="93"/>
      <c r="AA438" s="85"/>
      <c r="AC438" s="94"/>
      <c r="AD438" s="93"/>
      <c r="AE438" s="85"/>
    </row>
    <row r="439" spans="7:31" x14ac:dyDescent="0.35">
      <c r="G439" s="85"/>
      <c r="H439" s="87"/>
      <c r="K439" s="85"/>
      <c r="M439" s="94"/>
      <c r="N439" s="93"/>
      <c r="O439" s="85"/>
      <c r="Q439" s="94"/>
      <c r="R439" s="93"/>
      <c r="S439" s="85"/>
      <c r="U439" s="94"/>
      <c r="V439" s="93"/>
      <c r="W439" s="85"/>
      <c r="Y439" s="94"/>
      <c r="Z439" s="93"/>
      <c r="AA439" s="85"/>
      <c r="AC439" s="94"/>
      <c r="AD439" s="93"/>
      <c r="AE439" s="85"/>
    </row>
    <row r="440" spans="7:31" x14ac:dyDescent="0.35">
      <c r="G440" s="85"/>
      <c r="H440" s="87"/>
      <c r="K440" s="85"/>
      <c r="M440" s="94"/>
      <c r="N440" s="93"/>
      <c r="O440" s="85"/>
      <c r="Q440" s="94"/>
      <c r="R440" s="93"/>
      <c r="S440" s="85"/>
      <c r="U440" s="94"/>
      <c r="V440" s="93"/>
      <c r="W440" s="85"/>
      <c r="Y440" s="94"/>
      <c r="Z440" s="93"/>
      <c r="AA440" s="85"/>
      <c r="AC440" s="94"/>
      <c r="AD440" s="93"/>
      <c r="AE440" s="85"/>
    </row>
    <row r="441" spans="7:31" x14ac:dyDescent="0.35">
      <c r="G441" s="85"/>
      <c r="H441" s="87"/>
      <c r="K441" s="85"/>
      <c r="M441" s="94"/>
      <c r="N441" s="93"/>
      <c r="O441" s="85"/>
      <c r="Q441" s="94"/>
      <c r="R441" s="93"/>
      <c r="S441" s="85"/>
      <c r="U441" s="94"/>
      <c r="V441" s="93"/>
      <c r="W441" s="85"/>
      <c r="Y441" s="94"/>
      <c r="Z441" s="93"/>
      <c r="AA441" s="85"/>
      <c r="AC441" s="94"/>
      <c r="AD441" s="93"/>
      <c r="AE441" s="85"/>
    </row>
    <row r="442" spans="7:31" x14ac:dyDescent="0.35">
      <c r="G442" s="85"/>
      <c r="H442" s="87"/>
      <c r="K442" s="85"/>
      <c r="M442" s="94"/>
      <c r="N442" s="93"/>
      <c r="O442" s="85"/>
      <c r="Q442" s="94"/>
      <c r="R442" s="93"/>
      <c r="S442" s="85"/>
      <c r="U442" s="94"/>
      <c r="V442" s="93"/>
      <c r="W442" s="85"/>
      <c r="Y442" s="94"/>
      <c r="Z442" s="93"/>
      <c r="AA442" s="85"/>
      <c r="AC442" s="94"/>
      <c r="AD442" s="93"/>
      <c r="AE442" s="85"/>
    </row>
    <row r="443" spans="7:31" x14ac:dyDescent="0.35">
      <c r="G443" s="85"/>
      <c r="H443" s="87"/>
      <c r="K443" s="85"/>
      <c r="M443" s="94"/>
      <c r="N443" s="93"/>
      <c r="O443" s="85"/>
      <c r="Q443" s="94"/>
      <c r="R443" s="93"/>
      <c r="S443" s="85"/>
      <c r="U443" s="94"/>
      <c r="V443" s="93"/>
      <c r="W443" s="85"/>
      <c r="Y443" s="94"/>
      <c r="Z443" s="93"/>
      <c r="AA443" s="85"/>
      <c r="AC443" s="94"/>
      <c r="AD443" s="93"/>
      <c r="AE443" s="85"/>
    </row>
    <row r="444" spans="7:31" x14ac:dyDescent="0.35">
      <c r="G444" s="85"/>
      <c r="H444" s="87"/>
      <c r="K444" s="85"/>
      <c r="M444" s="94"/>
      <c r="N444" s="93"/>
      <c r="O444" s="85"/>
      <c r="Q444" s="94"/>
      <c r="R444" s="93"/>
      <c r="S444" s="85"/>
      <c r="U444" s="94"/>
      <c r="V444" s="93"/>
      <c r="W444" s="85"/>
      <c r="Y444" s="94"/>
      <c r="Z444" s="93"/>
      <c r="AA444" s="85"/>
      <c r="AC444" s="94"/>
      <c r="AD444" s="93"/>
      <c r="AE444" s="85"/>
    </row>
    <row r="445" spans="7:31" x14ac:dyDescent="0.35">
      <c r="G445" s="85"/>
      <c r="H445" s="87"/>
      <c r="K445" s="85"/>
      <c r="M445" s="94"/>
      <c r="N445" s="93"/>
      <c r="O445" s="85"/>
      <c r="Q445" s="94"/>
      <c r="R445" s="93"/>
      <c r="S445" s="85"/>
      <c r="U445" s="94"/>
      <c r="V445" s="93"/>
      <c r="W445" s="85"/>
      <c r="Y445" s="94"/>
      <c r="Z445" s="93"/>
      <c r="AA445" s="85"/>
      <c r="AC445" s="94"/>
      <c r="AD445" s="93"/>
      <c r="AE445" s="85"/>
    </row>
    <row r="446" spans="7:31" x14ac:dyDescent="0.35">
      <c r="G446" s="85"/>
      <c r="H446" s="87"/>
      <c r="K446" s="85"/>
      <c r="M446" s="94"/>
      <c r="N446" s="93"/>
      <c r="O446" s="85"/>
      <c r="Q446" s="94"/>
      <c r="R446" s="93"/>
      <c r="S446" s="85"/>
      <c r="U446" s="94"/>
      <c r="V446" s="93"/>
      <c r="W446" s="85"/>
      <c r="Y446" s="94"/>
      <c r="Z446" s="93"/>
      <c r="AA446" s="85"/>
      <c r="AC446" s="94"/>
      <c r="AD446" s="93"/>
      <c r="AE446" s="85"/>
    </row>
    <row r="447" spans="7:31" x14ac:dyDescent="0.35">
      <c r="G447" s="85"/>
      <c r="H447" s="87"/>
      <c r="K447" s="85"/>
      <c r="M447" s="94"/>
      <c r="N447" s="93"/>
      <c r="O447" s="85"/>
      <c r="Q447" s="94"/>
      <c r="R447" s="93"/>
      <c r="S447" s="85"/>
      <c r="U447" s="94"/>
      <c r="V447" s="93"/>
      <c r="W447" s="85"/>
      <c r="Y447" s="94"/>
      <c r="Z447" s="93"/>
      <c r="AA447" s="85"/>
      <c r="AC447" s="94"/>
      <c r="AD447" s="93"/>
      <c r="AE447" s="85"/>
    </row>
    <row r="448" spans="7:31" x14ac:dyDescent="0.35">
      <c r="G448" s="85"/>
      <c r="H448" s="87"/>
      <c r="K448" s="85"/>
      <c r="M448" s="94"/>
      <c r="N448" s="93"/>
      <c r="O448" s="85"/>
      <c r="Q448" s="94"/>
      <c r="R448" s="93"/>
      <c r="S448" s="85"/>
      <c r="U448" s="94"/>
      <c r="V448" s="93"/>
      <c r="W448" s="85"/>
      <c r="Y448" s="94"/>
      <c r="Z448" s="93"/>
      <c r="AA448" s="85"/>
      <c r="AC448" s="94"/>
      <c r="AD448" s="93"/>
      <c r="AE448" s="85"/>
    </row>
    <row r="449" spans="7:31" x14ac:dyDescent="0.35">
      <c r="G449" s="85"/>
      <c r="H449" s="87"/>
      <c r="K449" s="85"/>
      <c r="M449" s="94"/>
      <c r="N449" s="93"/>
      <c r="O449" s="85"/>
      <c r="Q449" s="94"/>
      <c r="R449" s="93"/>
      <c r="S449" s="85"/>
      <c r="U449" s="94"/>
      <c r="V449" s="93"/>
      <c r="W449" s="85"/>
      <c r="Y449" s="94"/>
      <c r="Z449" s="93"/>
      <c r="AA449" s="85"/>
      <c r="AC449" s="94"/>
      <c r="AD449" s="93"/>
      <c r="AE449" s="85"/>
    </row>
    <row r="450" spans="7:31" x14ac:dyDescent="0.35">
      <c r="G450" s="85"/>
      <c r="H450" s="87"/>
      <c r="K450" s="85"/>
      <c r="M450" s="94"/>
      <c r="N450" s="93"/>
      <c r="O450" s="85"/>
      <c r="Q450" s="94"/>
      <c r="R450" s="93"/>
      <c r="S450" s="85"/>
      <c r="U450" s="94"/>
      <c r="V450" s="93"/>
      <c r="W450" s="85"/>
      <c r="Y450" s="94"/>
      <c r="Z450" s="93"/>
      <c r="AA450" s="85"/>
      <c r="AC450" s="94"/>
      <c r="AD450" s="93"/>
      <c r="AE450" s="85"/>
    </row>
    <row r="451" spans="7:31" x14ac:dyDescent="0.35">
      <c r="G451" s="85"/>
      <c r="H451" s="87"/>
      <c r="K451" s="85"/>
      <c r="M451" s="94"/>
      <c r="N451" s="93"/>
      <c r="O451" s="85"/>
      <c r="Q451" s="94"/>
      <c r="R451" s="93"/>
      <c r="S451" s="85"/>
      <c r="U451" s="94"/>
      <c r="V451" s="93"/>
      <c r="W451" s="85"/>
      <c r="Y451" s="94"/>
      <c r="Z451" s="93"/>
      <c r="AA451" s="85"/>
      <c r="AC451" s="94"/>
      <c r="AD451" s="93"/>
      <c r="AE451" s="85"/>
    </row>
    <row r="452" spans="7:31" x14ac:dyDescent="0.35">
      <c r="G452" s="85"/>
      <c r="H452" s="87"/>
      <c r="K452" s="85"/>
      <c r="M452" s="94"/>
      <c r="N452" s="93"/>
      <c r="O452" s="85"/>
      <c r="Q452" s="94"/>
      <c r="R452" s="93"/>
      <c r="S452" s="85"/>
      <c r="U452" s="94"/>
      <c r="V452" s="93"/>
      <c r="W452" s="85"/>
      <c r="Y452" s="94"/>
      <c r="Z452" s="93"/>
      <c r="AA452" s="85"/>
      <c r="AC452" s="94"/>
      <c r="AD452" s="93"/>
      <c r="AE452" s="85"/>
    </row>
    <row r="453" spans="7:31" x14ac:dyDescent="0.35">
      <c r="G453" s="85"/>
      <c r="H453" s="87"/>
      <c r="K453" s="85"/>
      <c r="M453" s="94"/>
      <c r="N453" s="93"/>
      <c r="O453" s="85"/>
      <c r="Q453" s="94"/>
      <c r="R453" s="93"/>
      <c r="S453" s="85"/>
      <c r="U453" s="94"/>
      <c r="V453" s="93"/>
      <c r="W453" s="85"/>
      <c r="Y453" s="94"/>
      <c r="Z453" s="93"/>
      <c r="AA453" s="85"/>
      <c r="AC453" s="94"/>
      <c r="AD453" s="93"/>
      <c r="AE453" s="85"/>
    </row>
    <row r="454" spans="7:31" x14ac:dyDescent="0.35">
      <c r="G454" s="85"/>
      <c r="H454" s="87"/>
      <c r="K454" s="85"/>
      <c r="M454" s="94"/>
      <c r="N454" s="93"/>
      <c r="O454" s="85"/>
      <c r="Q454" s="94"/>
      <c r="R454" s="93"/>
      <c r="S454" s="85"/>
      <c r="U454" s="94"/>
      <c r="V454" s="93"/>
      <c r="W454" s="85"/>
      <c r="Y454" s="94"/>
      <c r="Z454" s="93"/>
      <c r="AA454" s="85"/>
      <c r="AC454" s="94"/>
      <c r="AD454" s="93"/>
      <c r="AE454" s="85"/>
    </row>
    <row r="455" spans="7:31" x14ac:dyDescent="0.35">
      <c r="G455" s="85"/>
      <c r="H455" s="87"/>
      <c r="K455" s="85"/>
      <c r="M455" s="94"/>
      <c r="N455" s="93"/>
      <c r="O455" s="85"/>
      <c r="Q455" s="94"/>
      <c r="R455" s="93"/>
      <c r="S455" s="85"/>
      <c r="U455" s="94"/>
      <c r="V455" s="93"/>
      <c r="W455" s="85"/>
      <c r="Y455" s="94"/>
      <c r="Z455" s="93"/>
      <c r="AA455" s="85"/>
      <c r="AC455" s="94"/>
      <c r="AD455" s="93"/>
      <c r="AE455" s="85"/>
    </row>
    <row r="456" spans="7:31" x14ac:dyDescent="0.35">
      <c r="G456" s="85"/>
      <c r="H456" s="87"/>
      <c r="K456" s="85"/>
      <c r="M456" s="94"/>
      <c r="N456" s="93"/>
      <c r="O456" s="85"/>
      <c r="Q456" s="94"/>
      <c r="R456" s="93"/>
      <c r="S456" s="85"/>
      <c r="U456" s="94"/>
      <c r="V456" s="93"/>
      <c r="W456" s="85"/>
      <c r="Y456" s="94"/>
      <c r="Z456" s="93"/>
      <c r="AA456" s="85"/>
      <c r="AC456" s="94"/>
      <c r="AD456" s="93"/>
      <c r="AE456" s="85"/>
    </row>
    <row r="457" spans="7:31" x14ac:dyDescent="0.35">
      <c r="G457" s="85"/>
      <c r="H457" s="87"/>
      <c r="K457" s="85"/>
      <c r="M457" s="94"/>
      <c r="N457" s="93"/>
      <c r="O457" s="85"/>
      <c r="Q457" s="94"/>
      <c r="R457" s="93"/>
      <c r="S457" s="85"/>
      <c r="U457" s="94"/>
      <c r="V457" s="93"/>
      <c r="W457" s="85"/>
      <c r="Y457" s="94"/>
      <c r="Z457" s="93"/>
      <c r="AA457" s="85"/>
      <c r="AC457" s="94"/>
      <c r="AD457" s="93"/>
      <c r="AE457" s="85"/>
    </row>
    <row r="458" spans="7:31" x14ac:dyDescent="0.35">
      <c r="G458" s="85"/>
      <c r="H458" s="87"/>
      <c r="K458" s="85"/>
      <c r="M458" s="94"/>
      <c r="N458" s="93"/>
      <c r="O458" s="85"/>
      <c r="Q458" s="94"/>
      <c r="R458" s="93"/>
      <c r="S458" s="85"/>
      <c r="U458" s="94"/>
      <c r="V458" s="93"/>
      <c r="W458" s="85"/>
      <c r="Y458" s="94"/>
      <c r="Z458" s="93"/>
      <c r="AA458" s="85"/>
      <c r="AC458" s="94"/>
      <c r="AD458" s="93"/>
      <c r="AE458" s="85"/>
    </row>
    <row r="459" spans="7:31" x14ac:dyDescent="0.35">
      <c r="G459" s="85"/>
      <c r="H459" s="87"/>
      <c r="K459" s="85"/>
      <c r="M459" s="94"/>
      <c r="N459" s="93"/>
      <c r="O459" s="85"/>
      <c r="Q459" s="94"/>
      <c r="R459" s="93"/>
      <c r="S459" s="85"/>
      <c r="U459" s="94"/>
      <c r="V459" s="93"/>
      <c r="W459" s="85"/>
      <c r="Y459" s="94"/>
      <c r="Z459" s="93"/>
      <c r="AA459" s="85"/>
      <c r="AC459" s="94"/>
      <c r="AD459" s="93"/>
      <c r="AE459" s="85"/>
    </row>
    <row r="460" spans="7:31" x14ac:dyDescent="0.35">
      <c r="G460" s="85"/>
      <c r="H460" s="87"/>
      <c r="K460" s="85"/>
      <c r="M460" s="94"/>
      <c r="N460" s="93"/>
      <c r="O460" s="85"/>
      <c r="Q460" s="94"/>
      <c r="R460" s="93"/>
      <c r="S460" s="85"/>
      <c r="U460" s="94"/>
      <c r="V460" s="93"/>
      <c r="W460" s="85"/>
      <c r="Y460" s="94"/>
      <c r="Z460" s="93"/>
      <c r="AA460" s="85"/>
      <c r="AC460" s="94"/>
      <c r="AD460" s="93"/>
      <c r="AE460" s="85"/>
    </row>
    <row r="461" spans="7:31" x14ac:dyDescent="0.35">
      <c r="G461" s="85"/>
      <c r="H461" s="87"/>
      <c r="K461" s="85"/>
      <c r="M461" s="94"/>
      <c r="N461" s="93"/>
      <c r="O461" s="85"/>
      <c r="Q461" s="94"/>
      <c r="R461" s="93"/>
      <c r="S461" s="85"/>
      <c r="U461" s="94"/>
      <c r="V461" s="93"/>
      <c r="W461" s="85"/>
      <c r="Y461" s="94"/>
      <c r="Z461" s="93"/>
      <c r="AA461" s="85"/>
      <c r="AC461" s="94"/>
      <c r="AD461" s="93"/>
      <c r="AE461" s="85"/>
    </row>
    <row r="462" spans="7:31" x14ac:dyDescent="0.35">
      <c r="G462" s="85"/>
      <c r="H462" s="87"/>
      <c r="K462" s="85"/>
      <c r="M462" s="94"/>
      <c r="N462" s="93"/>
      <c r="O462" s="85"/>
      <c r="Q462" s="94"/>
      <c r="R462" s="93"/>
      <c r="S462" s="85"/>
      <c r="U462" s="94"/>
      <c r="V462" s="93"/>
      <c r="W462" s="85"/>
      <c r="Y462" s="94"/>
      <c r="Z462" s="93"/>
      <c r="AA462" s="85"/>
      <c r="AC462" s="94"/>
      <c r="AD462" s="93"/>
      <c r="AE462" s="85"/>
    </row>
    <row r="463" spans="7:31" x14ac:dyDescent="0.35">
      <c r="G463" s="85"/>
      <c r="H463" s="87"/>
      <c r="K463" s="85"/>
      <c r="M463" s="94"/>
      <c r="N463" s="93"/>
      <c r="O463" s="85"/>
      <c r="Q463" s="94"/>
      <c r="R463" s="93"/>
      <c r="S463" s="85"/>
      <c r="U463" s="94"/>
      <c r="V463" s="93"/>
      <c r="W463" s="85"/>
      <c r="Y463" s="94"/>
      <c r="Z463" s="93"/>
      <c r="AA463" s="85"/>
      <c r="AC463" s="94"/>
      <c r="AD463" s="93"/>
      <c r="AE463" s="85"/>
    </row>
    <row r="464" spans="7:31" x14ac:dyDescent="0.35">
      <c r="G464" s="85"/>
      <c r="H464" s="87"/>
      <c r="K464" s="85"/>
      <c r="M464" s="94"/>
      <c r="N464" s="93"/>
      <c r="O464" s="85"/>
      <c r="Q464" s="94"/>
      <c r="R464" s="93"/>
      <c r="S464" s="85"/>
      <c r="U464" s="94"/>
      <c r="V464" s="93"/>
      <c r="W464" s="85"/>
      <c r="Y464" s="94"/>
      <c r="Z464" s="93"/>
      <c r="AA464" s="85"/>
      <c r="AC464" s="94"/>
      <c r="AD464" s="93"/>
      <c r="AE464" s="85"/>
    </row>
    <row r="465" spans="7:31" x14ac:dyDescent="0.35">
      <c r="G465" s="85"/>
      <c r="H465" s="87"/>
      <c r="K465" s="85"/>
      <c r="M465" s="94"/>
      <c r="N465" s="93"/>
      <c r="O465" s="85"/>
      <c r="Q465" s="94"/>
      <c r="R465" s="93"/>
      <c r="S465" s="85"/>
      <c r="U465" s="94"/>
      <c r="V465" s="93"/>
      <c r="W465" s="85"/>
      <c r="Y465" s="94"/>
      <c r="Z465" s="93"/>
      <c r="AA465" s="85"/>
      <c r="AC465" s="94"/>
      <c r="AD465" s="93"/>
      <c r="AE465" s="85"/>
    </row>
    <row r="466" spans="7:31" x14ac:dyDescent="0.35">
      <c r="G466" s="85"/>
      <c r="H466" s="87"/>
      <c r="K466" s="85"/>
      <c r="M466" s="94"/>
      <c r="N466" s="93"/>
      <c r="O466" s="85"/>
      <c r="Q466" s="94"/>
      <c r="R466" s="93"/>
      <c r="S466" s="85"/>
      <c r="U466" s="94"/>
      <c r="V466" s="93"/>
      <c r="W466" s="85"/>
      <c r="Y466" s="94"/>
      <c r="Z466" s="93"/>
      <c r="AA466" s="85"/>
      <c r="AC466" s="94"/>
      <c r="AD466" s="93"/>
      <c r="AE466" s="85"/>
    </row>
    <row r="467" spans="7:31" x14ac:dyDescent="0.35">
      <c r="G467" s="85"/>
      <c r="H467" s="87"/>
      <c r="K467" s="85"/>
      <c r="M467" s="94"/>
      <c r="N467" s="93"/>
      <c r="O467" s="85"/>
      <c r="Q467" s="94"/>
      <c r="R467" s="93"/>
      <c r="S467" s="85"/>
      <c r="U467" s="94"/>
      <c r="V467" s="93"/>
      <c r="W467" s="85"/>
      <c r="Y467" s="94"/>
      <c r="Z467" s="93"/>
      <c r="AA467" s="85"/>
      <c r="AC467" s="94"/>
      <c r="AD467" s="93"/>
      <c r="AE467" s="85"/>
    </row>
    <row r="468" spans="7:31" x14ac:dyDescent="0.35">
      <c r="G468" s="85"/>
      <c r="H468" s="87"/>
      <c r="K468" s="85"/>
      <c r="M468" s="94"/>
      <c r="N468" s="93"/>
      <c r="O468" s="85"/>
      <c r="Q468" s="94"/>
      <c r="R468" s="93"/>
      <c r="S468" s="85"/>
      <c r="U468" s="94"/>
      <c r="V468" s="93"/>
      <c r="W468" s="85"/>
      <c r="Y468" s="94"/>
      <c r="Z468" s="93"/>
      <c r="AA468" s="85"/>
      <c r="AC468" s="94"/>
      <c r="AD468" s="93"/>
      <c r="AE468" s="85"/>
    </row>
    <row r="469" spans="7:31" x14ac:dyDescent="0.35">
      <c r="G469" s="85"/>
      <c r="H469" s="87"/>
      <c r="K469" s="85"/>
      <c r="M469" s="94"/>
      <c r="N469" s="93"/>
      <c r="O469" s="85"/>
      <c r="Q469" s="94"/>
      <c r="R469" s="93"/>
      <c r="S469" s="85"/>
      <c r="U469" s="94"/>
      <c r="V469" s="93"/>
      <c r="W469" s="85"/>
      <c r="Y469" s="94"/>
      <c r="Z469" s="93"/>
      <c r="AA469" s="85"/>
      <c r="AC469" s="94"/>
      <c r="AD469" s="93"/>
      <c r="AE469" s="85"/>
    </row>
    <row r="470" spans="7:31" x14ac:dyDescent="0.35">
      <c r="G470" s="85"/>
      <c r="H470" s="87"/>
      <c r="K470" s="85"/>
      <c r="M470" s="94"/>
      <c r="N470" s="93"/>
      <c r="O470" s="85"/>
      <c r="Q470" s="94"/>
      <c r="R470" s="93"/>
      <c r="S470" s="85"/>
      <c r="U470" s="94"/>
      <c r="V470" s="93"/>
      <c r="W470" s="85"/>
      <c r="Y470" s="94"/>
      <c r="Z470" s="93"/>
      <c r="AA470" s="85"/>
      <c r="AC470" s="94"/>
      <c r="AD470" s="93"/>
      <c r="AE470" s="85"/>
    </row>
    <row r="471" spans="7:31" x14ac:dyDescent="0.35">
      <c r="G471" s="85"/>
      <c r="H471" s="87"/>
      <c r="K471" s="85"/>
      <c r="M471" s="94"/>
      <c r="N471" s="93"/>
      <c r="O471" s="85"/>
      <c r="Q471" s="94"/>
      <c r="R471" s="93"/>
      <c r="S471" s="85"/>
      <c r="U471" s="94"/>
      <c r="V471" s="93"/>
      <c r="W471" s="85"/>
      <c r="Y471" s="94"/>
      <c r="Z471" s="93"/>
      <c r="AA471" s="85"/>
      <c r="AC471" s="94"/>
      <c r="AD471" s="93"/>
      <c r="AE471" s="85"/>
    </row>
    <row r="472" spans="7:31" x14ac:dyDescent="0.35">
      <c r="G472" s="85"/>
      <c r="H472" s="87"/>
      <c r="K472" s="85"/>
      <c r="M472" s="94"/>
      <c r="N472" s="93"/>
      <c r="O472" s="85"/>
      <c r="Q472" s="94"/>
      <c r="R472" s="93"/>
      <c r="S472" s="85"/>
      <c r="U472" s="94"/>
      <c r="V472" s="93"/>
      <c r="W472" s="85"/>
      <c r="Y472" s="94"/>
      <c r="Z472" s="93"/>
      <c r="AA472" s="85"/>
      <c r="AC472" s="94"/>
      <c r="AD472" s="93"/>
      <c r="AE472" s="85"/>
    </row>
    <row r="473" spans="7:31" x14ac:dyDescent="0.35">
      <c r="G473" s="85"/>
      <c r="H473" s="87"/>
      <c r="K473" s="85"/>
      <c r="M473" s="94"/>
      <c r="N473" s="93"/>
      <c r="O473" s="85"/>
      <c r="Q473" s="94"/>
      <c r="R473" s="93"/>
      <c r="S473" s="85"/>
      <c r="U473" s="94"/>
      <c r="V473" s="93"/>
      <c r="W473" s="85"/>
      <c r="Y473" s="94"/>
      <c r="Z473" s="93"/>
      <c r="AA473" s="85"/>
      <c r="AC473" s="94"/>
      <c r="AD473" s="93"/>
      <c r="AE473" s="85"/>
    </row>
    <row r="474" spans="7:31" x14ac:dyDescent="0.35">
      <c r="G474" s="85"/>
      <c r="H474" s="87"/>
      <c r="K474" s="85"/>
      <c r="M474" s="94"/>
      <c r="N474" s="93"/>
      <c r="O474" s="85"/>
      <c r="Q474" s="94"/>
      <c r="R474" s="93"/>
      <c r="S474" s="85"/>
      <c r="U474" s="94"/>
      <c r="V474" s="93"/>
      <c r="W474" s="85"/>
      <c r="Y474" s="94"/>
      <c r="Z474" s="93"/>
      <c r="AA474" s="85"/>
      <c r="AC474" s="94"/>
      <c r="AD474" s="93"/>
      <c r="AE474" s="85"/>
    </row>
    <row r="475" spans="7:31" x14ac:dyDescent="0.35">
      <c r="G475" s="85"/>
      <c r="H475" s="87"/>
      <c r="K475" s="85"/>
      <c r="M475" s="94"/>
      <c r="N475" s="93"/>
      <c r="O475" s="85"/>
      <c r="Q475" s="94"/>
      <c r="R475" s="93"/>
      <c r="S475" s="85"/>
      <c r="U475" s="94"/>
      <c r="V475" s="93"/>
      <c r="W475" s="85"/>
      <c r="Y475" s="94"/>
      <c r="Z475" s="93"/>
      <c r="AA475" s="85"/>
      <c r="AC475" s="94"/>
      <c r="AD475" s="93"/>
      <c r="AE475" s="85"/>
    </row>
    <row r="476" spans="7:31" x14ac:dyDescent="0.35">
      <c r="G476" s="85"/>
      <c r="H476" s="87"/>
      <c r="K476" s="85"/>
      <c r="M476" s="94"/>
      <c r="N476" s="93"/>
      <c r="O476" s="85"/>
      <c r="Q476" s="94"/>
      <c r="R476" s="93"/>
      <c r="S476" s="85"/>
      <c r="U476" s="94"/>
      <c r="V476" s="93"/>
      <c r="W476" s="85"/>
      <c r="Y476" s="94"/>
      <c r="Z476" s="93"/>
      <c r="AA476" s="85"/>
      <c r="AC476" s="94"/>
      <c r="AD476" s="93"/>
      <c r="AE476" s="85"/>
    </row>
    <row r="477" spans="7:31" x14ac:dyDescent="0.35">
      <c r="G477" s="85"/>
      <c r="H477" s="87"/>
      <c r="K477" s="85"/>
      <c r="M477" s="94"/>
      <c r="N477" s="93"/>
      <c r="O477" s="85"/>
      <c r="Q477" s="94"/>
      <c r="R477" s="93"/>
      <c r="S477" s="85"/>
      <c r="U477" s="94"/>
      <c r="V477" s="93"/>
      <c r="W477" s="85"/>
      <c r="Y477" s="94"/>
      <c r="Z477" s="93"/>
      <c r="AA477" s="85"/>
      <c r="AC477" s="94"/>
      <c r="AD477" s="93"/>
      <c r="AE477" s="85"/>
    </row>
    <row r="478" spans="7:31" x14ac:dyDescent="0.35">
      <c r="G478" s="85"/>
      <c r="H478" s="87"/>
      <c r="K478" s="85"/>
      <c r="M478" s="94"/>
      <c r="N478" s="93"/>
      <c r="O478" s="85"/>
      <c r="Q478" s="94"/>
      <c r="R478" s="93"/>
      <c r="S478" s="85"/>
      <c r="U478" s="94"/>
      <c r="V478" s="93"/>
      <c r="W478" s="85"/>
      <c r="Y478" s="94"/>
      <c r="Z478" s="93"/>
      <c r="AA478" s="85"/>
      <c r="AC478" s="94"/>
      <c r="AD478" s="93"/>
      <c r="AE478" s="85"/>
    </row>
    <row r="479" spans="7:31" x14ac:dyDescent="0.35">
      <c r="G479" s="85"/>
      <c r="H479" s="87"/>
      <c r="K479" s="85"/>
      <c r="M479" s="94"/>
      <c r="N479" s="93"/>
      <c r="O479" s="85"/>
      <c r="Q479" s="94"/>
      <c r="R479" s="93"/>
      <c r="S479" s="85"/>
      <c r="U479" s="94"/>
      <c r="V479" s="93"/>
      <c r="W479" s="85"/>
      <c r="Y479" s="94"/>
      <c r="Z479" s="93"/>
      <c r="AA479" s="85"/>
      <c r="AC479" s="94"/>
      <c r="AD479" s="93"/>
      <c r="AE479" s="85"/>
    </row>
    <row r="480" spans="7:31" x14ac:dyDescent="0.35">
      <c r="G480" s="85"/>
      <c r="H480" s="87"/>
      <c r="K480" s="85"/>
      <c r="M480" s="94"/>
      <c r="N480" s="93"/>
      <c r="O480" s="85"/>
      <c r="Q480" s="94"/>
      <c r="R480" s="93"/>
      <c r="S480" s="85"/>
      <c r="U480" s="94"/>
      <c r="V480" s="93"/>
      <c r="W480" s="85"/>
      <c r="Y480" s="94"/>
      <c r="Z480" s="93"/>
      <c r="AA480" s="85"/>
      <c r="AC480" s="94"/>
      <c r="AD480" s="93"/>
      <c r="AE480" s="85"/>
    </row>
    <row r="481" spans="7:31" x14ac:dyDescent="0.35">
      <c r="G481" s="85"/>
      <c r="H481" s="87"/>
      <c r="K481" s="85"/>
      <c r="M481" s="94"/>
      <c r="N481" s="93"/>
      <c r="O481" s="85"/>
      <c r="Q481" s="94"/>
      <c r="R481" s="93"/>
      <c r="S481" s="85"/>
      <c r="U481" s="94"/>
      <c r="V481" s="93"/>
      <c r="W481" s="85"/>
      <c r="Y481" s="94"/>
      <c r="Z481" s="93"/>
      <c r="AA481" s="85"/>
      <c r="AC481" s="94"/>
      <c r="AD481" s="93"/>
      <c r="AE481" s="85"/>
    </row>
    <row r="482" spans="7:31" x14ac:dyDescent="0.35">
      <c r="G482" s="85"/>
      <c r="H482" s="87"/>
      <c r="K482" s="85"/>
      <c r="M482" s="94"/>
      <c r="N482" s="93"/>
      <c r="O482" s="85"/>
      <c r="Q482" s="94"/>
      <c r="R482" s="93"/>
      <c r="S482" s="85"/>
      <c r="U482" s="94"/>
      <c r="V482" s="93"/>
      <c r="W482" s="85"/>
      <c r="Y482" s="94"/>
      <c r="Z482" s="93"/>
      <c r="AA482" s="85"/>
      <c r="AC482" s="94"/>
      <c r="AD482" s="93"/>
      <c r="AE482" s="85"/>
    </row>
    <row r="483" spans="7:31" x14ac:dyDescent="0.35">
      <c r="G483" s="85"/>
      <c r="H483" s="87"/>
      <c r="K483" s="85"/>
      <c r="M483" s="94"/>
      <c r="N483" s="93"/>
      <c r="O483" s="85"/>
      <c r="Q483" s="94"/>
      <c r="R483" s="93"/>
      <c r="S483" s="85"/>
      <c r="U483" s="94"/>
      <c r="V483" s="93"/>
      <c r="W483" s="85"/>
      <c r="Y483" s="94"/>
      <c r="Z483" s="93"/>
      <c r="AA483" s="85"/>
      <c r="AC483" s="94"/>
      <c r="AD483" s="93"/>
      <c r="AE483" s="85"/>
    </row>
    <row r="484" spans="7:31" x14ac:dyDescent="0.35">
      <c r="G484" s="85"/>
      <c r="H484" s="87"/>
      <c r="K484" s="85"/>
      <c r="M484" s="94"/>
      <c r="N484" s="93"/>
      <c r="O484" s="85"/>
      <c r="Q484" s="94"/>
      <c r="R484" s="93"/>
      <c r="S484" s="85"/>
      <c r="U484" s="94"/>
      <c r="V484" s="93"/>
      <c r="W484" s="85"/>
      <c r="Y484" s="94"/>
      <c r="Z484" s="93"/>
      <c r="AA484" s="85"/>
      <c r="AC484" s="94"/>
      <c r="AD484" s="93"/>
      <c r="AE484" s="85"/>
    </row>
    <row r="485" spans="7:31" x14ac:dyDescent="0.35">
      <c r="G485" s="85"/>
      <c r="H485" s="87"/>
      <c r="K485" s="85"/>
      <c r="M485" s="94"/>
      <c r="N485" s="93"/>
      <c r="O485" s="85"/>
      <c r="Q485" s="94"/>
      <c r="R485" s="93"/>
      <c r="S485" s="85"/>
      <c r="U485" s="94"/>
      <c r="V485" s="93"/>
      <c r="W485" s="85"/>
      <c r="Y485" s="94"/>
      <c r="Z485" s="93"/>
      <c r="AA485" s="85"/>
      <c r="AC485" s="94"/>
      <c r="AD485" s="93"/>
      <c r="AE485" s="85"/>
    </row>
    <row r="486" spans="7:31" x14ac:dyDescent="0.35">
      <c r="G486" s="85"/>
      <c r="H486" s="87"/>
      <c r="K486" s="85"/>
      <c r="M486" s="94"/>
      <c r="N486" s="93"/>
      <c r="O486" s="85"/>
      <c r="Q486" s="94"/>
      <c r="R486" s="93"/>
      <c r="S486" s="85"/>
      <c r="U486" s="94"/>
      <c r="V486" s="93"/>
      <c r="W486" s="85"/>
      <c r="Y486" s="94"/>
      <c r="Z486" s="93"/>
      <c r="AA486" s="85"/>
      <c r="AC486" s="94"/>
      <c r="AD486" s="93"/>
      <c r="AE486" s="85"/>
    </row>
    <row r="487" spans="7:31" x14ac:dyDescent="0.35">
      <c r="G487" s="85"/>
      <c r="H487" s="87"/>
      <c r="K487" s="85"/>
      <c r="M487" s="94"/>
      <c r="N487" s="93"/>
      <c r="O487" s="85"/>
      <c r="Q487" s="94"/>
      <c r="R487" s="93"/>
      <c r="S487" s="85"/>
      <c r="U487" s="94"/>
      <c r="V487" s="93"/>
      <c r="W487" s="85"/>
      <c r="Y487" s="94"/>
      <c r="Z487" s="93"/>
      <c r="AA487" s="85"/>
      <c r="AC487" s="94"/>
      <c r="AD487" s="93"/>
      <c r="AE487" s="85"/>
    </row>
    <row r="488" spans="7:31" x14ac:dyDescent="0.35">
      <c r="G488" s="85"/>
      <c r="H488" s="87"/>
      <c r="K488" s="85"/>
      <c r="M488" s="94"/>
      <c r="N488" s="93"/>
      <c r="O488" s="85"/>
      <c r="Q488" s="94"/>
      <c r="R488" s="93"/>
      <c r="S488" s="85"/>
      <c r="U488" s="94"/>
      <c r="V488" s="93"/>
      <c r="W488" s="85"/>
      <c r="Y488" s="94"/>
      <c r="Z488" s="93"/>
      <c r="AA488" s="85"/>
      <c r="AC488" s="94"/>
      <c r="AD488" s="93"/>
      <c r="AE488" s="85"/>
    </row>
    <row r="489" spans="7:31" x14ac:dyDescent="0.35">
      <c r="G489" s="85"/>
      <c r="H489" s="87"/>
      <c r="K489" s="85"/>
      <c r="M489" s="94"/>
      <c r="N489" s="93"/>
      <c r="O489" s="85"/>
      <c r="Q489" s="94"/>
      <c r="R489" s="93"/>
      <c r="S489" s="85"/>
      <c r="U489" s="94"/>
      <c r="V489" s="93"/>
      <c r="W489" s="85"/>
      <c r="Y489" s="94"/>
      <c r="Z489" s="93"/>
      <c r="AA489" s="85"/>
      <c r="AC489" s="94"/>
      <c r="AD489" s="93"/>
      <c r="AE489" s="85"/>
    </row>
    <row r="490" spans="7:31" x14ac:dyDescent="0.35">
      <c r="G490" s="85"/>
      <c r="H490" s="87"/>
      <c r="K490" s="85"/>
      <c r="M490" s="94"/>
      <c r="N490" s="93"/>
      <c r="O490" s="85"/>
      <c r="Q490" s="94"/>
      <c r="R490" s="93"/>
      <c r="S490" s="85"/>
      <c r="U490" s="94"/>
      <c r="V490" s="93"/>
      <c r="W490" s="85"/>
      <c r="Y490" s="94"/>
      <c r="Z490" s="93"/>
      <c r="AA490" s="85"/>
      <c r="AC490" s="94"/>
      <c r="AD490" s="93"/>
      <c r="AE490" s="85"/>
    </row>
    <row r="491" spans="7:31" x14ac:dyDescent="0.35">
      <c r="G491" s="85"/>
      <c r="H491" s="87"/>
      <c r="K491" s="85"/>
      <c r="M491" s="94"/>
      <c r="N491" s="93"/>
      <c r="O491" s="85"/>
      <c r="Q491" s="94"/>
      <c r="R491" s="93"/>
      <c r="S491" s="85"/>
      <c r="U491" s="94"/>
      <c r="V491" s="93"/>
      <c r="W491" s="85"/>
      <c r="Y491" s="94"/>
      <c r="Z491" s="93"/>
      <c r="AA491" s="85"/>
      <c r="AC491" s="94"/>
      <c r="AD491" s="93"/>
      <c r="AE491" s="85"/>
    </row>
    <row r="492" spans="7:31" x14ac:dyDescent="0.35">
      <c r="G492" s="85"/>
      <c r="H492" s="87"/>
      <c r="K492" s="85"/>
      <c r="M492" s="94"/>
      <c r="N492" s="93"/>
      <c r="O492" s="85"/>
      <c r="Q492" s="94"/>
      <c r="R492" s="93"/>
      <c r="S492" s="85"/>
      <c r="U492" s="94"/>
      <c r="V492" s="93"/>
      <c r="W492" s="85"/>
      <c r="Y492" s="94"/>
      <c r="Z492" s="93"/>
      <c r="AA492" s="85"/>
      <c r="AC492" s="94"/>
      <c r="AD492" s="93"/>
      <c r="AE492" s="85"/>
    </row>
    <row r="493" spans="7:31" x14ac:dyDescent="0.35">
      <c r="G493" s="85"/>
      <c r="H493" s="87"/>
      <c r="K493" s="85"/>
      <c r="M493" s="94"/>
      <c r="N493" s="93"/>
      <c r="O493" s="85"/>
      <c r="Q493" s="94"/>
      <c r="R493" s="93"/>
      <c r="S493" s="85"/>
      <c r="U493" s="94"/>
      <c r="V493" s="93"/>
      <c r="W493" s="85"/>
      <c r="Y493" s="94"/>
      <c r="Z493" s="93"/>
      <c r="AA493" s="85"/>
      <c r="AC493" s="94"/>
      <c r="AD493" s="93"/>
      <c r="AE493" s="85"/>
    </row>
    <row r="494" spans="7:31" x14ac:dyDescent="0.35">
      <c r="G494" s="85"/>
      <c r="H494" s="87"/>
      <c r="K494" s="85"/>
      <c r="M494" s="94"/>
      <c r="N494" s="93"/>
      <c r="O494" s="85"/>
      <c r="Q494" s="94"/>
      <c r="R494" s="93"/>
      <c r="S494" s="85"/>
      <c r="U494" s="94"/>
      <c r="V494" s="93"/>
      <c r="W494" s="85"/>
      <c r="Y494" s="94"/>
      <c r="Z494" s="93"/>
      <c r="AA494" s="85"/>
      <c r="AC494" s="94"/>
      <c r="AD494" s="93"/>
      <c r="AE494" s="85"/>
    </row>
    <row r="495" spans="7:31" x14ac:dyDescent="0.35">
      <c r="G495" s="85"/>
      <c r="H495" s="87"/>
      <c r="K495" s="85"/>
      <c r="M495" s="94"/>
      <c r="N495" s="93"/>
      <c r="O495" s="85"/>
      <c r="Q495" s="94"/>
      <c r="R495" s="93"/>
      <c r="S495" s="85"/>
      <c r="U495" s="94"/>
      <c r="V495" s="93"/>
      <c r="W495" s="85"/>
      <c r="Y495" s="94"/>
      <c r="Z495" s="93"/>
      <c r="AA495" s="85"/>
      <c r="AC495" s="94"/>
      <c r="AD495" s="93"/>
      <c r="AE495" s="85"/>
    </row>
    <row r="496" spans="7:31" x14ac:dyDescent="0.35">
      <c r="G496" s="85"/>
      <c r="H496" s="87"/>
      <c r="K496" s="85"/>
      <c r="M496" s="94"/>
      <c r="N496" s="93"/>
      <c r="O496" s="85"/>
      <c r="Q496" s="94"/>
      <c r="R496" s="93"/>
      <c r="S496" s="85"/>
      <c r="U496" s="94"/>
      <c r="V496" s="93"/>
      <c r="W496" s="85"/>
      <c r="Y496" s="94"/>
      <c r="Z496" s="93"/>
      <c r="AA496" s="85"/>
      <c r="AC496" s="94"/>
      <c r="AD496" s="93"/>
      <c r="AE496" s="85"/>
    </row>
    <row r="497" spans="7:31" x14ac:dyDescent="0.35">
      <c r="G497" s="85"/>
      <c r="H497" s="87"/>
      <c r="K497" s="85"/>
      <c r="M497" s="94"/>
      <c r="N497" s="93"/>
      <c r="O497" s="85"/>
      <c r="Q497" s="94"/>
      <c r="R497" s="93"/>
      <c r="S497" s="85"/>
      <c r="U497" s="94"/>
      <c r="V497" s="93"/>
      <c r="W497" s="85"/>
      <c r="Y497" s="94"/>
      <c r="Z497" s="93"/>
      <c r="AA497" s="85"/>
      <c r="AC497" s="94"/>
      <c r="AD497" s="93"/>
      <c r="AE497" s="85"/>
    </row>
    <row r="498" spans="7:31" x14ac:dyDescent="0.35">
      <c r="G498" s="85"/>
      <c r="H498" s="87"/>
      <c r="K498" s="85"/>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M987" s="94"/>
      <c r="N987" s="93"/>
      <c r="O987" s="85"/>
      <c r="Q987" s="94"/>
      <c r="R987" s="93"/>
      <c r="S987" s="85"/>
      <c r="U987" s="94"/>
      <c r="V987" s="93"/>
      <c r="W987" s="85"/>
      <c r="Y987" s="94"/>
      <c r="Z987" s="93"/>
      <c r="AA987" s="85"/>
      <c r="AC987" s="94"/>
      <c r="AD987" s="93"/>
      <c r="AE987" s="85"/>
    </row>
    <row r="988" spans="7:31" x14ac:dyDescent="0.35">
      <c r="G988" s="85"/>
      <c r="H988" s="87"/>
      <c r="K988" s="85"/>
      <c r="M988" s="94"/>
      <c r="N988" s="93"/>
      <c r="O988" s="85"/>
      <c r="Q988" s="94"/>
      <c r="R988" s="93"/>
      <c r="S988" s="85"/>
      <c r="U988" s="94"/>
      <c r="V988" s="93"/>
      <c r="W988" s="85"/>
      <c r="Y988" s="94"/>
      <c r="Z988" s="93"/>
      <c r="AA988" s="85"/>
      <c r="AC988" s="94"/>
      <c r="AD988" s="93"/>
      <c r="AE988" s="85"/>
    </row>
    <row r="989" spans="7:31" x14ac:dyDescent="0.35">
      <c r="G989" s="85"/>
      <c r="H989" s="87"/>
      <c r="K989" s="85"/>
      <c r="M989" s="94"/>
      <c r="N989" s="93"/>
      <c r="O989" s="85"/>
      <c r="Q989" s="94"/>
      <c r="R989" s="93"/>
      <c r="S989" s="85"/>
      <c r="U989" s="94"/>
      <c r="V989" s="93"/>
      <c r="W989" s="85"/>
      <c r="Y989" s="94"/>
      <c r="Z989" s="93"/>
      <c r="AA989" s="85"/>
      <c r="AC989" s="94"/>
      <c r="AD989" s="93"/>
      <c r="AE989" s="85"/>
    </row>
    <row r="990" spans="7:31" x14ac:dyDescent="0.35">
      <c r="G990" s="85"/>
      <c r="H990" s="87"/>
      <c r="K990" s="85"/>
      <c r="M990" s="94"/>
      <c r="N990" s="93"/>
      <c r="O990" s="85"/>
      <c r="Q990" s="94"/>
      <c r="R990" s="93"/>
      <c r="S990" s="85"/>
      <c r="U990" s="94"/>
      <c r="V990" s="93"/>
      <c r="W990" s="85"/>
      <c r="Y990" s="94"/>
      <c r="Z990" s="93"/>
      <c r="AA990" s="85"/>
      <c r="AC990" s="94"/>
      <c r="AD990" s="93"/>
      <c r="AE990" s="85"/>
    </row>
    <row r="991" spans="7:31" x14ac:dyDescent="0.35">
      <c r="G991" s="85"/>
      <c r="H991" s="87"/>
      <c r="K991" s="85"/>
      <c r="M991" s="94"/>
      <c r="N991" s="93"/>
      <c r="O991" s="85"/>
      <c r="Q991" s="94"/>
      <c r="R991" s="93"/>
      <c r="S991" s="85"/>
      <c r="U991" s="94"/>
      <c r="V991" s="93"/>
      <c r="W991" s="85"/>
      <c r="Y991" s="94"/>
      <c r="Z991" s="93"/>
      <c r="AA991" s="85"/>
      <c r="AC991" s="94"/>
      <c r="AD991" s="93"/>
      <c r="AE991" s="85"/>
    </row>
    <row r="992" spans="7:31" x14ac:dyDescent="0.35">
      <c r="G992" s="85"/>
      <c r="H992" s="87"/>
      <c r="K992" s="85"/>
      <c r="M992" s="94"/>
      <c r="N992" s="93"/>
      <c r="O992" s="85"/>
      <c r="Q992" s="94"/>
      <c r="R992" s="93"/>
      <c r="S992" s="85"/>
      <c r="U992" s="94"/>
      <c r="V992" s="93"/>
      <c r="W992" s="85"/>
      <c r="Y992" s="94"/>
      <c r="Z992" s="93"/>
      <c r="AA992" s="85"/>
      <c r="AC992" s="94"/>
      <c r="AD992" s="93"/>
      <c r="AE992" s="85"/>
    </row>
    <row r="993" spans="7:31" x14ac:dyDescent="0.35">
      <c r="G993" s="85"/>
      <c r="H993" s="87"/>
      <c r="K993" s="85"/>
      <c r="M993" s="94"/>
      <c r="N993" s="93"/>
      <c r="O993" s="85"/>
      <c r="Q993" s="94"/>
      <c r="R993" s="93"/>
      <c r="S993" s="85"/>
      <c r="U993" s="94"/>
      <c r="V993" s="93"/>
      <c r="W993" s="85"/>
      <c r="Y993" s="94"/>
      <c r="Z993" s="93"/>
      <c r="AA993" s="85"/>
      <c r="AC993" s="94"/>
      <c r="AD993" s="93"/>
      <c r="AE993" s="85"/>
    </row>
    <row r="994" spans="7:31" x14ac:dyDescent="0.35">
      <c r="G994" s="85"/>
      <c r="H994" s="87"/>
      <c r="K994" s="85"/>
      <c r="M994" s="94"/>
      <c r="N994" s="93"/>
      <c r="O994" s="85"/>
      <c r="Q994" s="94"/>
      <c r="R994" s="93"/>
      <c r="S994" s="85"/>
      <c r="U994" s="94"/>
      <c r="V994" s="93"/>
      <c r="W994" s="85"/>
      <c r="Y994" s="94"/>
      <c r="Z994" s="93"/>
      <c r="AA994" s="85"/>
      <c r="AC994" s="94"/>
      <c r="AD994" s="93"/>
      <c r="AE994" s="85"/>
    </row>
    <row r="995" spans="7:31" x14ac:dyDescent="0.35">
      <c r="G995" s="85"/>
      <c r="H995" s="87"/>
      <c r="K995" s="85"/>
      <c r="M995" s="94"/>
      <c r="N995" s="93"/>
      <c r="O995" s="85"/>
      <c r="Q995" s="94"/>
      <c r="R995" s="93"/>
      <c r="S995" s="85"/>
      <c r="U995" s="94"/>
      <c r="V995" s="93"/>
      <c r="W995" s="85"/>
      <c r="Y995" s="94"/>
      <c r="Z995" s="93"/>
      <c r="AA995" s="85"/>
      <c r="AC995" s="94"/>
      <c r="AD995" s="93"/>
      <c r="AE995" s="85"/>
    </row>
    <row r="996" spans="7:31" x14ac:dyDescent="0.35">
      <c r="G996" s="85"/>
      <c r="H996" s="87"/>
      <c r="K996" s="85"/>
      <c r="M996" s="94"/>
      <c r="N996" s="93"/>
      <c r="O996" s="85"/>
      <c r="Q996" s="94"/>
      <c r="R996" s="93"/>
      <c r="S996" s="85"/>
      <c r="U996" s="94"/>
      <c r="V996" s="93"/>
      <c r="W996" s="85"/>
      <c r="Y996" s="94"/>
      <c r="Z996" s="93"/>
      <c r="AA996" s="85"/>
      <c r="AC996" s="94"/>
      <c r="AD996" s="93"/>
      <c r="AE996" s="85"/>
    </row>
    <row r="997" spans="7:31" x14ac:dyDescent="0.35">
      <c r="G997" s="85"/>
      <c r="H997" s="87"/>
      <c r="K997" s="85"/>
      <c r="M997" s="94"/>
      <c r="N997" s="93"/>
      <c r="O997" s="85"/>
      <c r="Q997" s="94"/>
      <c r="R997" s="93"/>
      <c r="S997" s="85"/>
      <c r="U997" s="94"/>
      <c r="V997" s="93"/>
      <c r="W997" s="85"/>
      <c r="Y997" s="94"/>
      <c r="Z997" s="93"/>
      <c r="AA997" s="85"/>
      <c r="AC997" s="94"/>
      <c r="AD997" s="93"/>
      <c r="AE997" s="85"/>
    </row>
    <row r="998" spans="7:31" x14ac:dyDescent="0.35">
      <c r="G998" s="85"/>
      <c r="H998" s="87"/>
      <c r="K998" s="85"/>
      <c r="M998" s="94"/>
      <c r="N998" s="93"/>
      <c r="O998" s="85"/>
      <c r="Q998" s="94"/>
      <c r="R998" s="93"/>
      <c r="S998" s="85"/>
      <c r="U998" s="94"/>
      <c r="V998" s="93"/>
      <c r="W998" s="85"/>
      <c r="Y998" s="94"/>
      <c r="Z998" s="93"/>
      <c r="AA998" s="85"/>
      <c r="AC998" s="94"/>
      <c r="AD998" s="93"/>
      <c r="AE998" s="85"/>
    </row>
    <row r="999" spans="7:31" x14ac:dyDescent="0.35">
      <c r="G999" s="85"/>
      <c r="H999" s="87"/>
      <c r="K999" s="85"/>
      <c r="M999" s="94"/>
      <c r="N999" s="93"/>
      <c r="O999" s="85"/>
      <c r="Q999" s="94"/>
      <c r="R999" s="93"/>
      <c r="S999" s="85"/>
      <c r="U999" s="94"/>
      <c r="V999" s="93"/>
      <c r="W999" s="85"/>
      <c r="Y999" s="94"/>
      <c r="Z999" s="93"/>
      <c r="AA999" s="85"/>
      <c r="AC999" s="94"/>
      <c r="AD999" s="93"/>
      <c r="AE999" s="85"/>
    </row>
    <row r="1000" spans="7:31" x14ac:dyDescent="0.35">
      <c r="G1000" s="85"/>
      <c r="H1000" s="87"/>
      <c r="M1000" s="94"/>
      <c r="N1000" s="93"/>
      <c r="O1000" s="85"/>
      <c r="Q1000" s="94"/>
      <c r="R1000" s="93"/>
      <c r="S1000" s="85"/>
      <c r="U1000" s="94"/>
      <c r="V1000" s="93"/>
      <c r="W1000" s="85"/>
      <c r="Y1000" s="94"/>
      <c r="Z1000" s="93"/>
      <c r="AA1000" s="85"/>
      <c r="AC1000" s="94"/>
      <c r="AD1000" s="93"/>
      <c r="AE1000" s="85"/>
    </row>
    <row r="1001" spans="7:31" x14ac:dyDescent="0.35">
      <c r="M1001" s="94"/>
      <c r="N1001" s="93"/>
      <c r="O1001" s="85"/>
    </row>
    <row r="1002" spans="7:31" x14ac:dyDescent="0.35">
      <c r="M1002" s="94"/>
      <c r="N1002" s="93"/>
      <c r="O1002" s="85"/>
    </row>
    <row r="1003" spans="7:31" x14ac:dyDescent="0.35">
      <c r="M1003" s="94"/>
      <c r="N1003" s="93"/>
      <c r="O1003" s="85"/>
    </row>
  </sheetData>
  <autoFilter ref="E25:L53" xr:uid="{00000000-0001-0000-0B00-000000000000}"/>
  <conditionalFormatting sqref="A1:AG1048576">
    <cfRule type="expression" dxfId="87" priority="1">
      <formula>$A4="Spend to Date"</formula>
    </cfRule>
    <cfRule type="expression" dxfId="86" priority="2">
      <formula>$A4="Spend to Date"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AG1000"/>
  <sheetViews>
    <sheetView zoomScaleNormal="100" workbookViewId="0">
      <pane xSplit="2" ySplit="1" topLeftCell="J29" activePane="bottomRight" state="frozen"/>
      <selection pane="topRight" activeCell="C1" sqref="C1"/>
      <selection pane="bottomLeft" activeCell="A2" sqref="A2"/>
      <selection pane="bottomRight" activeCell="P53" sqref="P53"/>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3.5429687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22.1796875" style="87" customWidth="1"/>
    <col min="13" max="13" width="13.81640625" style="89" bestFit="1" customWidth="1"/>
    <col min="14" max="14" width="13.81640625" style="87" customWidth="1"/>
    <col min="15" max="15" width="11.54296875" style="87" bestFit="1" customWidth="1"/>
    <col min="16" max="16" width="20.72656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44</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7171</v>
      </c>
      <c r="F2" s="87">
        <f>SUM(F3:F3)</f>
        <v>0</v>
      </c>
      <c r="I2" s="89">
        <f>SUM(I3:I3)</f>
        <v>-21400</v>
      </c>
      <c r="J2" s="87">
        <f>SUM(J3:J3)</f>
        <v>755</v>
      </c>
      <c r="M2" s="89">
        <f>SUM(M3:M3)</f>
        <v>-19000</v>
      </c>
      <c r="N2" s="87">
        <f>SUM(N3:N3)</f>
        <v>0</v>
      </c>
      <c r="Q2" s="89">
        <f>SUM(Q3:Q3)</f>
        <v>0</v>
      </c>
      <c r="R2" s="87">
        <f>SUM(R3:R3)</f>
        <v>0</v>
      </c>
      <c r="U2" s="89">
        <f>SUM(U3:U3)</f>
        <v>0</v>
      </c>
      <c r="V2" s="87">
        <f>SUM(V3:V3)</f>
        <v>0</v>
      </c>
      <c r="Y2" s="89">
        <f>SUM(Y3:Y3)</f>
        <v>0</v>
      </c>
      <c r="Z2" s="87">
        <f>SUM(Z3:Z3)</f>
        <v>0</v>
      </c>
      <c r="AC2" s="89">
        <f>SUM(AC3:AC3)</f>
        <v>0</v>
      </c>
      <c r="AD2" s="87">
        <f>SUM(AD3:AD3)</f>
        <v>0</v>
      </c>
    </row>
    <row r="3" spans="1:33" ht="87" x14ac:dyDescent="0.35">
      <c r="A3" s="86" t="s">
        <v>44</v>
      </c>
      <c r="B3" s="85">
        <v>1</v>
      </c>
      <c r="D3" s="86">
        <f>9212+6921</f>
        <v>16133</v>
      </c>
      <c r="E3" s="87">
        <v>7171</v>
      </c>
      <c r="F3" s="87">
        <f>SUMIFS(H$17:H$1003,E$17:E$1003,$B3)</f>
        <v>0</v>
      </c>
      <c r="G3" s="87">
        <f>D3+E3-F3+SUMIFS(E$6:E$11,$C$6:$C$11,$A3)-SUMIFS(F$6:F$11,$C$6:$C$11,$A3)</f>
        <v>33929.370000000003</v>
      </c>
      <c r="I3" s="91">
        <f>-(20000+1000+400)</f>
        <v>-21400</v>
      </c>
      <c r="J3" s="87">
        <f>SUMIFS(L$17:L$1002,I$17:I$1002,$B3)</f>
        <v>755</v>
      </c>
      <c r="K3" s="87">
        <f>G3+I3-J3+SUMIFS(I$6:I$11,$C$6:$C$11,$A3)-SUMIFS(J$6:J$11,$C$6:$C$11,$A3)</f>
        <v>24711.590000000004</v>
      </c>
      <c r="L3" s="84" t="s">
        <v>45</v>
      </c>
      <c r="M3" s="89">
        <v>-19000</v>
      </c>
      <c r="N3" s="87">
        <f>SUMIFS(P$17:P$1003,M$17:M$1003,$B3)</f>
        <v>0</v>
      </c>
      <c r="O3" s="87">
        <f>K3+M3-N3+SUMIFS(M$6:M$11,$C$6:$C$11,$A3)-SUMIFS(N$6:N$11,$C$6:$C$11,$A3)</f>
        <v>2312.3600000000006</v>
      </c>
      <c r="R3" s="87">
        <f>SUMIFS(T$17:T$1003,Q$17:Q$1003,$B3)</f>
        <v>0</v>
      </c>
      <c r="S3" s="87">
        <f>O3+Q3-R3+SUMIFS(Q$6:Q$11,$C$6:$C$11,$A3)-SUMIFS(R$6:R$11,$C$6:$C$11,$A3)</f>
        <v>2312.3600000000006</v>
      </c>
      <c r="V3" s="87">
        <f>SUMIFS(X$17:X$1003,U$17:U$1003,$B3)</f>
        <v>0</v>
      </c>
      <c r="W3" s="87">
        <f>S3+U3-V3+SUMIFS(U$6:U$11,$C$6:$C$11,$A3)-SUMIFS(V$6:V$11,$C$6:$C$11,$A3)</f>
        <v>2312.3600000000006</v>
      </c>
      <c r="Z3" s="87">
        <f>SUMIFS(AB$17:AB$1003,Y$17:Y$1003,$B3)</f>
        <v>0</v>
      </c>
      <c r="AA3" s="87">
        <f>W3+Y3-Z3+SUMIFS(Y$6:Y$11,$C$6:$C$11,$A3)-SUMIFS(Z$6:Z$11,$C$6:$C$11,$A3)</f>
        <v>2312.3600000000006</v>
      </c>
      <c r="AD3" s="87">
        <f>SUMIFS(AF$17:AF$1003,AC$17:AC$1003,$B3)</f>
        <v>0</v>
      </c>
      <c r="AE3" s="87">
        <f>AA3+AC3-AD3+SUMIFS(AC$6:AC$11,$C$6:$C$11,$A3)-SUMIFS(AD$6:AD$11,$C$6:$C$11,$A3)</f>
        <v>2312.3600000000006</v>
      </c>
      <c r="AG3" s="87">
        <f>50000+10000</f>
        <v>60000</v>
      </c>
    </row>
    <row r="4" spans="1:33" x14ac:dyDescent="0.35">
      <c r="E4" s="87"/>
      <c r="F4" s="87"/>
    </row>
    <row r="5" spans="1:33" x14ac:dyDescent="0.35">
      <c r="A5" s="84" t="s">
        <v>46</v>
      </c>
      <c r="D5" s="84"/>
      <c r="E5" s="87">
        <f>SUM(E6:E11)</f>
        <v>30000</v>
      </c>
      <c r="F5" s="87">
        <f>SUM(F6:F11)</f>
        <v>19374.629999999997</v>
      </c>
      <c r="I5" s="89">
        <f>SUM(I6:I11)</f>
        <v>33411</v>
      </c>
      <c r="J5" s="87">
        <f>SUM(J6:J11)</f>
        <v>20473.78</v>
      </c>
      <c r="M5" s="89">
        <f>SUM(M6:M11)</f>
        <v>19000</v>
      </c>
      <c r="N5" s="87">
        <f>SUM(N6:N11)</f>
        <v>22399.230000000003</v>
      </c>
      <c r="Q5" s="89">
        <f>SUM(Q6:Q11)</f>
        <v>19570</v>
      </c>
      <c r="R5" s="87">
        <f>$Q$5</f>
        <v>19570</v>
      </c>
      <c r="U5" s="89">
        <f>SUM(U6:U11)</f>
        <v>20158</v>
      </c>
      <c r="V5" s="87">
        <f>$U$5</f>
        <v>20158</v>
      </c>
      <c r="Y5" s="89">
        <f>SUM(Y6:Y11)</f>
        <v>20763</v>
      </c>
      <c r="Z5" s="87">
        <f>$Y$5</f>
        <v>20763</v>
      </c>
      <c r="AC5" s="89">
        <f>SUM(AC6:AC11)</f>
        <v>21387</v>
      </c>
      <c r="AD5" s="87">
        <f>$AC$5</f>
        <v>21387</v>
      </c>
    </row>
    <row r="6" spans="1:33" x14ac:dyDescent="0.35">
      <c r="A6" s="86" t="s">
        <v>46</v>
      </c>
      <c r="B6" s="85">
        <v>2</v>
      </c>
      <c r="C6" s="85" t="s">
        <v>44</v>
      </c>
      <c r="D6" s="84"/>
      <c r="E6" s="87">
        <v>30000</v>
      </c>
      <c r="F6" s="87">
        <f t="shared" ref="F6:F11" si="0">SUMIFS(H$17:H$1003,E$17:E$1003,$B6)</f>
        <v>600</v>
      </c>
      <c r="I6" s="89">
        <v>5000</v>
      </c>
      <c r="J6" s="87">
        <f t="shared" ref="J6:J11" si="1">SUMIFS(L$17:L$1002,I$17:I$1002,$B6)</f>
        <v>7657.25</v>
      </c>
      <c r="M6" s="89">
        <v>0</v>
      </c>
      <c r="N6" s="87">
        <f t="shared" ref="N6:N11" si="2">SUMIFS(P$17:P$1002,M$17:M$1002,$B6)</f>
        <v>12610.9</v>
      </c>
      <c r="Q6" s="89">
        <f t="shared" ref="Q6:Q11" si="3">ROUNDUP((M6)*RPI,0)</f>
        <v>0</v>
      </c>
      <c r="R6" s="87">
        <f>$Q$6</f>
        <v>0</v>
      </c>
      <c r="U6" s="89">
        <f t="shared" ref="U6:U11" si="4">ROUNDUP((Q6)*RPI,0)</f>
        <v>0</v>
      </c>
      <c r="V6" s="87">
        <f>$U$6</f>
        <v>0</v>
      </c>
      <c r="Y6" s="89">
        <f t="shared" ref="Y6:Y11" si="5">ROUNDUP((U6)*RPI,0)</f>
        <v>0</v>
      </c>
      <c r="Z6" s="87">
        <f>$Y$6</f>
        <v>0</v>
      </c>
      <c r="AC6" s="89">
        <f t="shared" ref="AC6:AC11" si="6">ROUNDUP((Y6)*RPI,0)</f>
        <v>0</v>
      </c>
      <c r="AD6" s="87">
        <f>$AC$6</f>
        <v>0</v>
      </c>
    </row>
    <row r="7" spans="1:33" x14ac:dyDescent="0.35">
      <c r="A7" s="86" t="s">
        <v>47</v>
      </c>
      <c r="B7" s="85">
        <v>3</v>
      </c>
      <c r="C7" s="85" t="s">
        <v>44</v>
      </c>
      <c r="D7" s="84"/>
      <c r="E7" s="87">
        <v>0</v>
      </c>
      <c r="F7" s="87">
        <f t="shared" si="0"/>
        <v>1825</v>
      </c>
      <c r="I7" s="89">
        <v>1000</v>
      </c>
      <c r="J7" s="87">
        <f t="shared" si="1"/>
        <v>1926</v>
      </c>
      <c r="M7" s="89">
        <v>0</v>
      </c>
      <c r="N7" s="87">
        <f t="shared" si="2"/>
        <v>0</v>
      </c>
      <c r="Q7" s="89">
        <f t="shared" si="3"/>
        <v>0</v>
      </c>
      <c r="R7" s="87">
        <f>$Q$7</f>
        <v>0</v>
      </c>
      <c r="U7" s="89">
        <f t="shared" si="4"/>
        <v>0</v>
      </c>
      <c r="V7" s="87">
        <f>$U$7</f>
        <v>0</v>
      </c>
      <c r="Y7" s="89">
        <f t="shared" si="5"/>
        <v>0</v>
      </c>
      <c r="Z7" s="87">
        <f>$Y$7</f>
        <v>0</v>
      </c>
      <c r="AC7" s="89">
        <f t="shared" si="6"/>
        <v>0</v>
      </c>
      <c r="AD7" s="87">
        <f>$AC$7</f>
        <v>0</v>
      </c>
    </row>
    <row r="8" spans="1:33" x14ac:dyDescent="0.35">
      <c r="A8" s="86" t="s">
        <v>48</v>
      </c>
      <c r="B8" s="85">
        <v>4</v>
      </c>
      <c r="C8" s="85" t="s">
        <v>44</v>
      </c>
      <c r="D8" s="84"/>
      <c r="E8" s="87">
        <v>0</v>
      </c>
      <c r="F8" s="87">
        <f t="shared" si="0"/>
        <v>5600</v>
      </c>
      <c r="I8" s="89">
        <v>0</v>
      </c>
      <c r="J8" s="87">
        <f t="shared" si="1"/>
        <v>220</v>
      </c>
      <c r="M8" s="89">
        <v>0</v>
      </c>
      <c r="N8" s="87">
        <f t="shared" si="2"/>
        <v>0</v>
      </c>
      <c r="Q8" s="89">
        <f t="shared" si="3"/>
        <v>0</v>
      </c>
      <c r="R8" s="87">
        <f>$Q$8</f>
        <v>0</v>
      </c>
      <c r="U8" s="89">
        <f t="shared" si="4"/>
        <v>0</v>
      </c>
      <c r="V8" s="87">
        <f>$U$8</f>
        <v>0</v>
      </c>
      <c r="Y8" s="89">
        <f t="shared" si="5"/>
        <v>0</v>
      </c>
      <c r="Z8" s="87">
        <f>$Y$8</f>
        <v>0</v>
      </c>
      <c r="AC8" s="89">
        <f t="shared" si="6"/>
        <v>0</v>
      </c>
      <c r="AD8" s="87">
        <f>$AC$8</f>
        <v>0</v>
      </c>
    </row>
    <row r="9" spans="1:33" x14ac:dyDescent="0.35">
      <c r="A9" s="86" t="s">
        <v>49</v>
      </c>
      <c r="B9" s="85">
        <v>5</v>
      </c>
      <c r="C9" s="85" t="s">
        <v>44</v>
      </c>
      <c r="D9" s="84"/>
      <c r="E9" s="87">
        <v>0</v>
      </c>
      <c r="F9" s="87">
        <f t="shared" si="0"/>
        <v>771.75</v>
      </c>
      <c r="I9" s="89">
        <f>5871+1140</f>
        <v>7011</v>
      </c>
      <c r="J9" s="87">
        <f t="shared" si="1"/>
        <v>3411.25</v>
      </c>
      <c r="M9" s="89">
        <v>7000</v>
      </c>
      <c r="N9" s="87">
        <f t="shared" si="2"/>
        <v>4319.05</v>
      </c>
      <c r="Q9" s="89">
        <f t="shared" si="3"/>
        <v>7210</v>
      </c>
      <c r="R9" s="87">
        <f>$Q$9</f>
        <v>7210</v>
      </c>
      <c r="U9" s="89">
        <f t="shared" si="4"/>
        <v>7427</v>
      </c>
      <c r="V9" s="87">
        <f>$U$9</f>
        <v>7427</v>
      </c>
      <c r="Y9" s="89">
        <f t="shared" si="5"/>
        <v>7650</v>
      </c>
      <c r="Z9" s="87">
        <f>$Y$9</f>
        <v>7650</v>
      </c>
      <c r="AC9" s="89">
        <f t="shared" si="6"/>
        <v>7880</v>
      </c>
      <c r="AD9" s="87">
        <f>$AC$9</f>
        <v>7880</v>
      </c>
    </row>
    <row r="10" spans="1:33" x14ac:dyDescent="0.35">
      <c r="A10" s="86" t="s">
        <v>50</v>
      </c>
      <c r="B10" s="85">
        <v>6</v>
      </c>
      <c r="C10" s="85" t="s">
        <v>44</v>
      </c>
      <c r="D10" s="84"/>
      <c r="E10" s="87">
        <v>0</v>
      </c>
      <c r="F10" s="87">
        <f t="shared" si="0"/>
        <v>10577.88</v>
      </c>
      <c r="I10" s="89">
        <v>20000</v>
      </c>
      <c r="J10" s="87">
        <f t="shared" si="1"/>
        <v>7259.2800000000007</v>
      </c>
      <c r="M10" s="89">
        <v>12000</v>
      </c>
      <c r="N10" s="87">
        <f t="shared" si="2"/>
        <v>5469.2800000000007</v>
      </c>
      <c r="P10" s="86"/>
      <c r="Q10" s="89">
        <f t="shared" si="3"/>
        <v>12360</v>
      </c>
      <c r="R10" s="87">
        <f>$Q$10</f>
        <v>12360</v>
      </c>
      <c r="U10" s="89">
        <f t="shared" si="4"/>
        <v>12731</v>
      </c>
      <c r="V10" s="87">
        <f>$U$10</f>
        <v>12731</v>
      </c>
      <c r="Y10" s="89">
        <f t="shared" si="5"/>
        <v>13113</v>
      </c>
      <c r="Z10" s="87">
        <f>$Y$10</f>
        <v>13113</v>
      </c>
      <c r="AC10" s="89">
        <f t="shared" si="6"/>
        <v>13507</v>
      </c>
      <c r="AD10" s="87">
        <f>$AC$10</f>
        <v>13507</v>
      </c>
    </row>
    <row r="11" spans="1:33" x14ac:dyDescent="0.35">
      <c r="A11" s="86" t="s">
        <v>51</v>
      </c>
      <c r="B11" s="85">
        <v>7</v>
      </c>
      <c r="C11" s="85" t="s">
        <v>44</v>
      </c>
      <c r="D11" s="84"/>
      <c r="E11" s="87">
        <v>0</v>
      </c>
      <c r="F11" s="87">
        <f t="shared" si="0"/>
        <v>0</v>
      </c>
      <c r="I11" s="89">
        <v>400</v>
      </c>
      <c r="J11" s="87">
        <f t="shared" si="1"/>
        <v>0</v>
      </c>
      <c r="M11" s="89">
        <v>0</v>
      </c>
      <c r="N11" s="87">
        <f t="shared" si="2"/>
        <v>0</v>
      </c>
      <c r="P11" s="86"/>
      <c r="Q11" s="89">
        <f t="shared" si="3"/>
        <v>0</v>
      </c>
      <c r="R11" s="87">
        <f>$Q$11</f>
        <v>0</v>
      </c>
      <c r="U11" s="89">
        <f t="shared" si="4"/>
        <v>0</v>
      </c>
      <c r="V11" s="87">
        <f>$U$11</f>
        <v>0</v>
      </c>
      <c r="Y11" s="89">
        <f t="shared" si="5"/>
        <v>0</v>
      </c>
      <c r="Z11" s="87">
        <f>$Y$11</f>
        <v>0</v>
      </c>
      <c r="AC11" s="89">
        <f t="shared" si="6"/>
        <v>0</v>
      </c>
      <c r="AD11" s="87">
        <f>$AC$11</f>
        <v>0</v>
      </c>
    </row>
    <row r="12" spans="1:33" x14ac:dyDescent="0.35">
      <c r="E12" s="87"/>
      <c r="F12" s="87"/>
    </row>
    <row r="13" spans="1:33" x14ac:dyDescent="0.35">
      <c r="E13" s="87"/>
      <c r="F13" s="87"/>
    </row>
    <row r="14" spans="1:33" x14ac:dyDescent="0.35">
      <c r="E14" s="87"/>
      <c r="F14" s="87"/>
    </row>
    <row r="15" spans="1:33" x14ac:dyDescent="0.35">
      <c r="A15" s="84" t="s">
        <v>487</v>
      </c>
      <c r="G15" s="85"/>
      <c r="H15" s="87"/>
      <c r="I15" s="94"/>
      <c r="J15" s="93"/>
      <c r="K15" s="85"/>
      <c r="M15" s="94"/>
      <c r="N15" s="93"/>
      <c r="O15" s="85"/>
      <c r="Q15" s="94"/>
      <c r="R15" s="93"/>
      <c r="S15" s="85"/>
      <c r="U15" s="94"/>
      <c r="V15" s="93"/>
      <c r="W15" s="85"/>
      <c r="Y15" s="94"/>
      <c r="Z15" s="93"/>
      <c r="AA15" s="85"/>
      <c r="AC15" s="94"/>
      <c r="AD15" s="93"/>
      <c r="AE15" s="85"/>
    </row>
    <row r="16" spans="1:33" x14ac:dyDescent="0.35">
      <c r="E16" s="85" t="s">
        <v>484</v>
      </c>
      <c r="F16" s="93" t="s">
        <v>488</v>
      </c>
      <c r="G16" s="85" t="s">
        <v>489</v>
      </c>
      <c r="H16" s="87" t="s">
        <v>475</v>
      </c>
      <c r="I16" s="85" t="s">
        <v>484</v>
      </c>
      <c r="J16" s="93" t="s">
        <v>488</v>
      </c>
      <c r="K16" s="85" t="s">
        <v>489</v>
      </c>
      <c r="L16" s="87" t="s">
        <v>475</v>
      </c>
      <c r="M16" s="85" t="s">
        <v>484</v>
      </c>
      <c r="N16" s="93" t="s">
        <v>488</v>
      </c>
      <c r="O16" s="85" t="s">
        <v>489</v>
      </c>
      <c r="P16" s="87" t="s">
        <v>475</v>
      </c>
      <c r="Q16" s="94"/>
      <c r="R16" s="93"/>
      <c r="S16" s="85"/>
      <c r="U16" s="94"/>
      <c r="V16" s="93"/>
      <c r="W16" s="85"/>
      <c r="Y16" s="94"/>
      <c r="Z16" s="93"/>
      <c r="AA16" s="85"/>
      <c r="AC16" s="94"/>
      <c r="AD16" s="93"/>
      <c r="AE16" s="85"/>
    </row>
    <row r="17" spans="1:31" x14ac:dyDescent="0.35">
      <c r="A17" s="85"/>
      <c r="D17" s="85"/>
      <c r="E17" s="85">
        <v>6</v>
      </c>
      <c r="F17" s="93" t="s">
        <v>790</v>
      </c>
      <c r="G17" s="85" t="s">
        <v>825</v>
      </c>
      <c r="H17" s="87">
        <f>735*5+54.9+49.5*6+33.3+50.85*2+9349.2/2</f>
        <v>8836.5</v>
      </c>
      <c r="I17" s="94">
        <v>5</v>
      </c>
      <c r="J17" s="93">
        <v>45017</v>
      </c>
      <c r="K17" s="85" t="s">
        <v>826</v>
      </c>
      <c r="L17" s="87">
        <f>250+2676-239.25</f>
        <v>2686.75</v>
      </c>
      <c r="M17" s="94">
        <v>2</v>
      </c>
      <c r="N17" s="93">
        <v>45397</v>
      </c>
      <c r="O17" s="93" t="s">
        <v>2576</v>
      </c>
      <c r="P17" s="148">
        <v>2528.75</v>
      </c>
      <c r="Q17" s="94"/>
      <c r="R17" s="93"/>
      <c r="S17" s="85"/>
      <c r="U17" s="94"/>
      <c r="V17" s="93"/>
      <c r="W17" s="85"/>
      <c r="Y17" s="94"/>
      <c r="Z17" s="93"/>
      <c r="AA17" s="85"/>
      <c r="AC17" s="94"/>
      <c r="AD17" s="93"/>
      <c r="AE17" s="85"/>
    </row>
    <row r="18" spans="1:31" x14ac:dyDescent="0.35">
      <c r="E18" s="85">
        <v>3</v>
      </c>
      <c r="F18" s="93">
        <v>44677</v>
      </c>
      <c r="G18" s="85" t="s">
        <v>827</v>
      </c>
      <c r="H18" s="87">
        <v>150</v>
      </c>
      <c r="I18" s="94">
        <v>4</v>
      </c>
      <c r="J18" s="93">
        <v>45018</v>
      </c>
      <c r="K18" s="85" t="s">
        <v>828</v>
      </c>
      <c r="L18" s="87">
        <v>220</v>
      </c>
      <c r="M18" s="94">
        <v>5</v>
      </c>
      <c r="N18" s="93" t="s">
        <v>1878</v>
      </c>
      <c r="O18" s="85" t="s">
        <v>826</v>
      </c>
      <c r="P18" s="148">
        <f>363.75+3647.8</f>
        <v>4011.55</v>
      </c>
      <c r="Q18" s="94"/>
      <c r="R18" s="93"/>
      <c r="S18" s="85"/>
      <c r="U18" s="94"/>
      <c r="V18" s="93"/>
      <c r="W18" s="85"/>
      <c r="Y18" s="94"/>
      <c r="Z18" s="93"/>
      <c r="AA18" s="85"/>
      <c r="AC18" s="94"/>
      <c r="AD18" s="93"/>
      <c r="AE18" s="85"/>
    </row>
    <row r="19" spans="1:31" x14ac:dyDescent="0.35">
      <c r="E19" s="85">
        <v>4</v>
      </c>
      <c r="F19" s="93">
        <v>44681</v>
      </c>
      <c r="G19" s="85" t="s">
        <v>829</v>
      </c>
      <c r="H19" s="87">
        <v>200</v>
      </c>
      <c r="I19" s="94">
        <v>6</v>
      </c>
      <c r="J19" s="93">
        <v>45069</v>
      </c>
      <c r="K19" s="85" t="s">
        <v>825</v>
      </c>
      <c r="L19" s="87">
        <v>49.5</v>
      </c>
      <c r="M19" s="94">
        <v>6</v>
      </c>
      <c r="N19" s="93" t="s">
        <v>1878</v>
      </c>
      <c r="O19" s="85" t="s">
        <v>825</v>
      </c>
      <c r="P19" s="148">
        <v>4674.6000000000004</v>
      </c>
      <c r="Q19" s="94"/>
      <c r="R19" s="93"/>
      <c r="S19" s="85"/>
      <c r="U19" s="94"/>
      <c r="V19" s="93"/>
      <c r="W19" s="85"/>
      <c r="Y19" s="94"/>
      <c r="Z19" s="93"/>
      <c r="AA19" s="85"/>
      <c r="AC19" s="94"/>
      <c r="AD19" s="93"/>
      <c r="AE19" s="85"/>
    </row>
    <row r="20" spans="1:31" x14ac:dyDescent="0.35">
      <c r="E20" s="85">
        <v>5</v>
      </c>
      <c r="F20" s="93">
        <v>44763</v>
      </c>
      <c r="G20" s="85" t="s">
        <v>830</v>
      </c>
      <c r="H20" s="87">
        <v>118.5</v>
      </c>
      <c r="I20" s="94">
        <v>6</v>
      </c>
      <c r="J20" s="93">
        <v>45072</v>
      </c>
      <c r="K20" s="85" t="s">
        <v>825</v>
      </c>
      <c r="L20" s="87">
        <v>49.5</v>
      </c>
      <c r="M20" s="94">
        <v>2</v>
      </c>
      <c r="N20" s="93">
        <v>45415</v>
      </c>
      <c r="O20" s="85" t="s">
        <v>2576</v>
      </c>
      <c r="P20" s="148">
        <v>2082.5</v>
      </c>
      <c r="Q20" s="94"/>
      <c r="R20" s="93"/>
      <c r="S20" s="85"/>
      <c r="U20" s="94"/>
      <c r="V20" s="93"/>
      <c r="W20" s="85"/>
      <c r="Y20" s="94"/>
      <c r="Z20" s="93"/>
      <c r="AA20" s="85"/>
      <c r="AC20" s="94"/>
      <c r="AD20" s="93"/>
      <c r="AE20" s="85"/>
    </row>
    <row r="21" spans="1:31" x14ac:dyDescent="0.35">
      <c r="E21" s="85">
        <v>5</v>
      </c>
      <c r="F21" s="93">
        <v>44847</v>
      </c>
      <c r="G21" s="85" t="s">
        <v>831</v>
      </c>
      <c r="H21" s="87">
        <v>118.5</v>
      </c>
      <c r="I21" s="94">
        <v>6</v>
      </c>
      <c r="J21" s="93">
        <v>45090</v>
      </c>
      <c r="K21" s="85" t="s">
        <v>825</v>
      </c>
      <c r="L21" s="87">
        <v>49.5</v>
      </c>
      <c r="M21" s="94">
        <v>6</v>
      </c>
      <c r="N21" s="93">
        <v>45400</v>
      </c>
      <c r="O21" s="85" t="s">
        <v>833</v>
      </c>
      <c r="P21" s="148">
        <v>52.31</v>
      </c>
      <c r="Q21" s="94"/>
      <c r="R21" s="93"/>
      <c r="S21" s="85"/>
      <c r="U21" s="94"/>
      <c r="V21" s="93"/>
      <c r="W21" s="85"/>
      <c r="Y21" s="94"/>
      <c r="Z21" s="93"/>
      <c r="AA21" s="85"/>
      <c r="AC21" s="94"/>
      <c r="AD21" s="93"/>
      <c r="AE21" s="85"/>
    </row>
    <row r="22" spans="1:31" x14ac:dyDescent="0.35">
      <c r="E22" s="85">
        <v>4</v>
      </c>
      <c r="F22" s="93">
        <v>45016</v>
      </c>
      <c r="G22" s="85" t="s">
        <v>832</v>
      </c>
      <c r="H22" s="87">
        <v>5400</v>
      </c>
      <c r="I22" s="94">
        <v>6</v>
      </c>
      <c r="J22" s="93">
        <v>45068</v>
      </c>
      <c r="K22" s="85" t="s">
        <v>833</v>
      </c>
      <c r="L22" s="87">
        <v>124.63</v>
      </c>
      <c r="M22" s="94">
        <v>2</v>
      </c>
      <c r="N22" s="93">
        <v>45429</v>
      </c>
      <c r="O22" s="85" t="s">
        <v>3121</v>
      </c>
      <c r="P22" s="148">
        <f>825-868</f>
        <v>-43</v>
      </c>
      <c r="Q22" s="94"/>
      <c r="R22" s="93"/>
      <c r="S22" s="85"/>
      <c r="U22" s="94"/>
      <c r="V22" s="93"/>
      <c r="W22" s="85"/>
      <c r="Y22" s="94"/>
      <c r="Z22" s="93"/>
      <c r="AA22" s="85"/>
      <c r="AC22" s="94"/>
      <c r="AD22" s="93"/>
      <c r="AE22" s="85"/>
    </row>
    <row r="23" spans="1:31" x14ac:dyDescent="0.35">
      <c r="F23" s="93" t="s">
        <v>491</v>
      </c>
      <c r="G23" s="85" t="s">
        <v>834</v>
      </c>
      <c r="H23" s="87">
        <v>10000</v>
      </c>
      <c r="I23" s="94">
        <v>1</v>
      </c>
      <c r="J23" s="93">
        <v>45065</v>
      </c>
      <c r="K23" s="87" t="s">
        <v>835</v>
      </c>
      <c r="L23" s="87">
        <v>755</v>
      </c>
      <c r="M23" s="94">
        <v>6</v>
      </c>
      <c r="N23" s="93">
        <v>45455</v>
      </c>
      <c r="O23" s="85" t="s">
        <v>2948</v>
      </c>
      <c r="P23" s="148">
        <v>425</v>
      </c>
      <c r="Q23" s="94"/>
      <c r="R23" s="93"/>
      <c r="S23" s="85"/>
      <c r="U23" s="94"/>
      <c r="V23" s="93"/>
      <c r="W23" s="85"/>
      <c r="Y23" s="94"/>
      <c r="Z23" s="93"/>
      <c r="AA23" s="85"/>
      <c r="AC23" s="94"/>
      <c r="AD23" s="93"/>
      <c r="AE23" s="85"/>
    </row>
    <row r="24" spans="1:31" x14ac:dyDescent="0.35">
      <c r="E24" s="85">
        <v>3</v>
      </c>
      <c r="F24" s="93">
        <v>44886</v>
      </c>
      <c r="G24" s="85" t="s">
        <v>836</v>
      </c>
      <c r="H24" s="87">
        <v>900</v>
      </c>
      <c r="I24" s="94">
        <v>6</v>
      </c>
      <c r="J24" s="93">
        <v>45131</v>
      </c>
      <c r="K24" s="85" t="s">
        <v>825</v>
      </c>
      <c r="L24" s="87">
        <v>49.5</v>
      </c>
      <c r="M24" s="94">
        <v>2</v>
      </c>
      <c r="N24" s="93">
        <v>45444</v>
      </c>
      <c r="O24" s="85" t="s">
        <v>2576</v>
      </c>
      <c r="P24" s="148">
        <v>3257.65</v>
      </c>
      <c r="Q24" s="94"/>
      <c r="S24" s="93"/>
      <c r="U24" s="94"/>
      <c r="V24" s="93"/>
      <c r="W24" s="85"/>
      <c r="Y24" s="94"/>
      <c r="Z24" s="93"/>
      <c r="AA24" s="85"/>
      <c r="AC24" s="94"/>
      <c r="AD24" s="93"/>
      <c r="AE24" s="85"/>
    </row>
    <row r="25" spans="1:31" x14ac:dyDescent="0.35">
      <c r="E25" s="85">
        <v>2</v>
      </c>
      <c r="F25" s="93">
        <v>45073</v>
      </c>
      <c r="G25" s="85" t="s">
        <v>835</v>
      </c>
      <c r="H25" s="87">
        <v>600</v>
      </c>
      <c r="I25" s="94">
        <v>6</v>
      </c>
      <c r="J25" s="93">
        <v>45121</v>
      </c>
      <c r="K25" s="85" t="s">
        <v>837</v>
      </c>
      <c r="L25" s="87">
        <v>8.2200000000000006</v>
      </c>
      <c r="M25" s="94">
        <v>6</v>
      </c>
      <c r="N25" s="93">
        <v>153.37</v>
      </c>
      <c r="O25" s="85" t="s">
        <v>2999</v>
      </c>
      <c r="P25" s="148">
        <v>153.37</v>
      </c>
      <c r="Q25" s="94"/>
      <c r="R25" s="93"/>
      <c r="S25" s="85"/>
      <c r="U25" s="94"/>
      <c r="V25" s="93"/>
      <c r="W25" s="85"/>
      <c r="Y25" s="94"/>
      <c r="Z25" s="93"/>
      <c r="AA25" s="85"/>
      <c r="AC25" s="94"/>
      <c r="AD25" s="93"/>
      <c r="AE25" s="85"/>
    </row>
    <row r="26" spans="1:31" x14ac:dyDescent="0.35">
      <c r="E26" s="85">
        <v>6</v>
      </c>
      <c r="F26" s="93">
        <v>44867</v>
      </c>
      <c r="G26" s="85" t="s">
        <v>833</v>
      </c>
      <c r="H26" s="87">
        <v>39.82</v>
      </c>
      <c r="I26" s="94">
        <v>6</v>
      </c>
      <c r="J26" s="93">
        <v>45131</v>
      </c>
      <c r="K26" s="87" t="s">
        <v>838</v>
      </c>
      <c r="L26" s="87">
        <v>5.41</v>
      </c>
      <c r="M26" s="94">
        <v>5</v>
      </c>
      <c r="N26" s="93">
        <v>45481</v>
      </c>
      <c r="O26" s="85" t="s">
        <v>830</v>
      </c>
      <c r="P26" s="87">
        <v>307.5</v>
      </c>
      <c r="Q26" s="94"/>
      <c r="R26" s="93"/>
      <c r="S26" s="85"/>
      <c r="U26" s="94"/>
      <c r="V26" s="93"/>
      <c r="W26" s="85"/>
      <c r="Y26" s="94"/>
      <c r="Z26" s="93"/>
      <c r="AA26" s="85"/>
      <c r="AC26" s="94"/>
      <c r="AD26" s="93"/>
      <c r="AE26" s="85"/>
    </row>
    <row r="27" spans="1:31" x14ac:dyDescent="0.35">
      <c r="E27" s="85">
        <v>6</v>
      </c>
      <c r="F27" s="93">
        <v>44916</v>
      </c>
      <c r="G27" s="85" t="s">
        <v>839</v>
      </c>
      <c r="H27" s="87">
        <v>1072</v>
      </c>
      <c r="I27" s="94">
        <v>6</v>
      </c>
      <c r="J27" s="93">
        <v>45131</v>
      </c>
      <c r="K27" s="85" t="s">
        <v>840</v>
      </c>
      <c r="L27" s="87">
        <v>22.74</v>
      </c>
      <c r="M27" s="94">
        <v>6</v>
      </c>
      <c r="N27" s="93">
        <v>45474</v>
      </c>
      <c r="O27" s="85" t="s">
        <v>825</v>
      </c>
      <c r="P27" s="87">
        <v>49.5</v>
      </c>
      <c r="Q27" s="94"/>
      <c r="R27" s="93"/>
      <c r="S27" s="85"/>
      <c r="U27" s="94"/>
      <c r="V27" s="93"/>
      <c r="W27" s="85"/>
      <c r="Y27" s="94"/>
      <c r="Z27" s="93"/>
      <c r="AA27" s="85"/>
      <c r="AC27" s="94"/>
      <c r="AD27" s="93"/>
      <c r="AE27" s="85"/>
    </row>
    <row r="28" spans="1:31" x14ac:dyDescent="0.35">
      <c r="E28" s="85">
        <v>6</v>
      </c>
      <c r="F28" s="93">
        <v>44797</v>
      </c>
      <c r="G28" s="85" t="s">
        <v>841</v>
      </c>
      <c r="H28" s="87">
        <v>105.84</v>
      </c>
      <c r="I28" s="94">
        <v>6</v>
      </c>
      <c r="J28" s="93">
        <v>45131</v>
      </c>
      <c r="K28" s="87" t="s">
        <v>833</v>
      </c>
      <c r="L28" s="87">
        <v>50.51</v>
      </c>
      <c r="M28" s="94">
        <v>6</v>
      </c>
      <c r="N28" s="93">
        <v>45485</v>
      </c>
      <c r="O28" s="85" t="s">
        <v>825</v>
      </c>
      <c r="P28" s="87">
        <v>49.5</v>
      </c>
      <c r="Q28" s="94"/>
      <c r="R28" s="93"/>
      <c r="S28" s="85"/>
      <c r="U28" s="94"/>
      <c r="V28" s="93"/>
      <c r="W28" s="85"/>
      <c r="Y28" s="94"/>
      <c r="Z28" s="93"/>
      <c r="AA28" s="85"/>
      <c r="AC28" s="94"/>
      <c r="AD28" s="93"/>
      <c r="AE28" s="85"/>
    </row>
    <row r="29" spans="1:31" x14ac:dyDescent="0.35">
      <c r="E29" s="85">
        <v>6</v>
      </c>
      <c r="F29" s="93">
        <v>44962</v>
      </c>
      <c r="G29" s="85" t="s">
        <v>540</v>
      </c>
      <c r="H29" s="87">
        <v>150</v>
      </c>
      <c r="I29" s="94">
        <v>6</v>
      </c>
      <c r="J29" s="93">
        <v>45131</v>
      </c>
      <c r="K29" s="85" t="s">
        <v>842</v>
      </c>
      <c r="L29" s="87">
        <v>28.37</v>
      </c>
      <c r="M29" s="94">
        <v>2</v>
      </c>
      <c r="N29" s="93">
        <v>45495</v>
      </c>
      <c r="O29" s="85" t="s">
        <v>2576</v>
      </c>
      <c r="P29" s="87">
        <v>3107.5</v>
      </c>
      <c r="Q29" s="94"/>
      <c r="R29" s="93"/>
      <c r="S29" s="85"/>
      <c r="U29" s="94"/>
      <c r="V29" s="93"/>
      <c r="W29" s="85"/>
      <c r="Y29" s="94"/>
      <c r="Z29" s="93"/>
      <c r="AA29" s="85"/>
      <c r="AC29" s="94"/>
      <c r="AD29" s="93"/>
      <c r="AE29" s="85"/>
    </row>
    <row r="30" spans="1:31" x14ac:dyDescent="0.35">
      <c r="E30" s="85">
        <v>5</v>
      </c>
      <c r="F30" s="93">
        <v>44965</v>
      </c>
      <c r="G30" s="85" t="s">
        <v>843</v>
      </c>
      <c r="H30" s="87">
        <v>127.5</v>
      </c>
      <c r="I30" s="94">
        <v>6</v>
      </c>
      <c r="J30" s="93">
        <v>45153</v>
      </c>
      <c r="K30" s="87" t="s">
        <v>844</v>
      </c>
      <c r="L30" s="87">
        <v>37.950000000000003</v>
      </c>
      <c r="M30" s="94">
        <v>2</v>
      </c>
      <c r="N30" s="93">
        <v>45504</v>
      </c>
      <c r="O30" s="85" t="s">
        <v>2576</v>
      </c>
      <c r="P30" s="87">
        <v>1677.5</v>
      </c>
      <c r="Q30" s="94"/>
      <c r="R30" s="93"/>
      <c r="S30" s="85"/>
      <c r="U30" s="94"/>
      <c r="V30" s="93"/>
      <c r="W30" s="85"/>
      <c r="Y30" s="94"/>
      <c r="Z30" s="93"/>
      <c r="AA30" s="85"/>
      <c r="AC30" s="94"/>
      <c r="AD30" s="93"/>
      <c r="AE30" s="85"/>
    </row>
    <row r="31" spans="1:31" x14ac:dyDescent="0.35">
      <c r="E31" s="85">
        <v>6</v>
      </c>
      <c r="F31" s="93">
        <v>44977</v>
      </c>
      <c r="G31" s="85" t="s">
        <v>845</v>
      </c>
      <c r="H31" s="87">
        <v>240</v>
      </c>
      <c r="I31" s="94">
        <v>6</v>
      </c>
      <c r="J31" s="93">
        <v>45154</v>
      </c>
      <c r="K31" s="85" t="s">
        <v>846</v>
      </c>
      <c r="L31" s="87">
        <v>58.6</v>
      </c>
      <c r="M31" s="94">
        <v>6</v>
      </c>
      <c r="N31" s="93">
        <v>45331</v>
      </c>
      <c r="O31" s="85" t="s">
        <v>2594</v>
      </c>
      <c r="P31" s="87">
        <v>65</v>
      </c>
      <c r="Q31" s="94"/>
      <c r="R31" s="93"/>
      <c r="S31" s="85"/>
      <c r="U31" s="94"/>
      <c r="V31" s="93"/>
      <c r="W31" s="85"/>
      <c r="Y31" s="94"/>
      <c r="Z31" s="93"/>
      <c r="AA31" s="85"/>
      <c r="AC31" s="94"/>
      <c r="AD31" s="93"/>
      <c r="AE31" s="85"/>
    </row>
    <row r="32" spans="1:31" x14ac:dyDescent="0.35">
      <c r="E32" s="85">
        <v>6</v>
      </c>
      <c r="F32" s="93">
        <v>44950</v>
      </c>
      <c r="G32" s="85" t="s">
        <v>847</v>
      </c>
      <c r="H32" s="87">
        <v>20.58</v>
      </c>
      <c r="I32" s="94">
        <v>6</v>
      </c>
      <c r="J32" s="93">
        <v>45154</v>
      </c>
      <c r="K32" s="87" t="s">
        <v>848</v>
      </c>
      <c r="L32" s="87">
        <v>37.299999999999997</v>
      </c>
      <c r="M32" s="94"/>
      <c r="N32" s="93"/>
      <c r="O32" s="85"/>
      <c r="Q32" s="94"/>
      <c r="R32" s="93"/>
      <c r="S32" s="85"/>
      <c r="U32" s="94"/>
      <c r="V32" s="93"/>
      <c r="W32" s="85"/>
      <c r="Y32" s="94"/>
      <c r="Z32" s="93"/>
      <c r="AA32" s="85"/>
      <c r="AC32" s="94"/>
      <c r="AD32" s="93"/>
      <c r="AE32" s="85"/>
    </row>
    <row r="33" spans="1:31" x14ac:dyDescent="0.35">
      <c r="A33" s="87"/>
      <c r="B33" s="87"/>
      <c r="C33" s="87"/>
      <c r="D33" s="87"/>
      <c r="E33" s="85">
        <v>6</v>
      </c>
      <c r="F33" s="93">
        <v>44950</v>
      </c>
      <c r="G33" s="85" t="s">
        <v>849</v>
      </c>
      <c r="H33" s="87">
        <v>14.14</v>
      </c>
      <c r="I33" s="94">
        <v>6</v>
      </c>
      <c r="J33" s="93">
        <v>45154</v>
      </c>
      <c r="K33" s="85" t="s">
        <v>850</v>
      </c>
      <c r="L33" s="87">
        <v>37.299999999999997</v>
      </c>
      <c r="M33" s="94"/>
      <c r="N33" s="93"/>
      <c r="O33" s="85"/>
      <c r="Q33" s="94"/>
      <c r="R33" s="93"/>
      <c r="S33" s="85"/>
      <c r="U33" s="94"/>
      <c r="V33" s="93"/>
      <c r="W33" s="85"/>
      <c r="Y33" s="94"/>
      <c r="Z33" s="93"/>
      <c r="AA33" s="85"/>
      <c r="AC33" s="94"/>
      <c r="AD33" s="93"/>
      <c r="AE33" s="85"/>
    </row>
    <row r="34" spans="1:31" x14ac:dyDescent="0.35">
      <c r="A34" s="87"/>
      <c r="B34" s="87"/>
      <c r="C34" s="87"/>
      <c r="D34" s="87"/>
      <c r="E34" s="85">
        <v>6</v>
      </c>
      <c r="F34" s="93">
        <v>44985</v>
      </c>
      <c r="G34" s="85" t="s">
        <v>825</v>
      </c>
      <c r="H34" s="87">
        <v>49.5</v>
      </c>
      <c r="I34" s="94">
        <v>6</v>
      </c>
      <c r="J34" s="93">
        <v>45160</v>
      </c>
      <c r="K34" s="87" t="s">
        <v>846</v>
      </c>
      <c r="L34" s="87">
        <v>53.75</v>
      </c>
      <c r="M34" s="94"/>
      <c r="N34" s="93"/>
      <c r="O34" s="85"/>
      <c r="Q34" s="94"/>
      <c r="R34" s="93"/>
      <c r="S34" s="85"/>
      <c r="U34" s="94"/>
      <c r="V34" s="93"/>
      <c r="W34" s="85"/>
      <c r="Y34" s="94"/>
      <c r="Z34" s="93"/>
      <c r="AA34" s="85"/>
      <c r="AC34" s="94"/>
      <c r="AD34" s="93"/>
      <c r="AE34" s="85"/>
    </row>
    <row r="35" spans="1:31" x14ac:dyDescent="0.35">
      <c r="A35" s="87"/>
      <c r="B35" s="87"/>
      <c r="C35" s="87"/>
      <c r="D35" s="87"/>
      <c r="E35" s="85">
        <v>3</v>
      </c>
      <c r="F35" s="93">
        <v>44987</v>
      </c>
      <c r="G35" s="85" t="s">
        <v>851</v>
      </c>
      <c r="H35" s="87">
        <v>100</v>
      </c>
      <c r="I35" s="94">
        <v>6</v>
      </c>
      <c r="J35" s="93">
        <v>45185</v>
      </c>
      <c r="K35" s="85" t="s">
        <v>852</v>
      </c>
      <c r="L35" s="87">
        <v>49.14</v>
      </c>
      <c r="M35" s="94"/>
      <c r="N35" s="93"/>
      <c r="O35" s="85"/>
      <c r="Q35" s="94"/>
      <c r="R35" s="93"/>
      <c r="S35" s="85"/>
      <c r="U35" s="94"/>
      <c r="V35" s="93"/>
      <c r="W35" s="85"/>
      <c r="Y35" s="94"/>
      <c r="Z35" s="93"/>
      <c r="AA35" s="85"/>
      <c r="AC35" s="94"/>
      <c r="AD35" s="93"/>
      <c r="AE35" s="85"/>
    </row>
    <row r="36" spans="1:31" x14ac:dyDescent="0.35">
      <c r="A36" s="87"/>
      <c r="B36" s="87"/>
      <c r="C36" s="87"/>
      <c r="D36" s="87"/>
      <c r="E36" s="85">
        <v>6</v>
      </c>
      <c r="F36" s="93">
        <v>44985</v>
      </c>
      <c r="G36" s="85" t="s">
        <v>825</v>
      </c>
      <c r="H36" s="87">
        <v>49.5</v>
      </c>
      <c r="I36" s="94">
        <v>6</v>
      </c>
      <c r="J36" s="93">
        <v>45163</v>
      </c>
      <c r="K36" s="85" t="s">
        <v>825</v>
      </c>
      <c r="L36" s="87">
        <v>49.5</v>
      </c>
      <c r="M36" s="94"/>
      <c r="N36" s="93"/>
      <c r="O36" s="85"/>
      <c r="Q36" s="94"/>
      <c r="R36" s="93"/>
      <c r="S36" s="85"/>
      <c r="U36" s="94"/>
      <c r="V36" s="93"/>
      <c r="W36" s="85"/>
      <c r="Y36" s="94"/>
      <c r="Z36" s="93"/>
      <c r="AA36" s="85"/>
      <c r="AC36" s="94"/>
      <c r="AD36" s="93"/>
      <c r="AE36" s="85"/>
    </row>
    <row r="37" spans="1:31" x14ac:dyDescent="0.35">
      <c r="A37" s="87"/>
      <c r="B37" s="87"/>
      <c r="C37" s="87"/>
      <c r="D37" s="87"/>
      <c r="E37" s="85">
        <v>5</v>
      </c>
      <c r="F37" s="93" t="s">
        <v>775</v>
      </c>
      <c r="G37" s="85" t="s">
        <v>853</v>
      </c>
      <c r="H37" s="87">
        <v>168</v>
      </c>
      <c r="I37" s="94">
        <v>6</v>
      </c>
      <c r="J37" s="93">
        <v>45180</v>
      </c>
      <c r="K37" s="85" t="s">
        <v>825</v>
      </c>
      <c r="L37" s="87">
        <v>49.5</v>
      </c>
      <c r="M37" s="94"/>
      <c r="N37" s="93"/>
      <c r="O37" s="85"/>
      <c r="Q37" s="94"/>
      <c r="R37" s="93"/>
      <c r="S37" s="85"/>
      <c r="U37" s="94"/>
      <c r="V37" s="93"/>
      <c r="W37" s="85"/>
      <c r="Y37" s="94"/>
      <c r="Z37" s="93"/>
      <c r="AA37" s="85"/>
      <c r="AC37" s="94"/>
      <c r="AD37" s="93"/>
      <c r="AE37" s="85"/>
    </row>
    <row r="38" spans="1:31" x14ac:dyDescent="0.35">
      <c r="A38" s="87"/>
      <c r="B38" s="87"/>
      <c r="C38" s="87"/>
      <c r="D38" s="87"/>
      <c r="E38" s="85">
        <v>3</v>
      </c>
      <c r="F38" s="93">
        <v>45008</v>
      </c>
      <c r="G38" s="85" t="s">
        <v>854</v>
      </c>
      <c r="H38" s="87">
        <v>675</v>
      </c>
      <c r="I38" s="94">
        <v>6</v>
      </c>
      <c r="J38" s="93">
        <v>45197</v>
      </c>
      <c r="K38" s="85" t="s">
        <v>825</v>
      </c>
      <c r="L38" s="87">
        <v>49.5</v>
      </c>
      <c r="M38" s="94"/>
      <c r="N38" s="93"/>
      <c r="O38" s="85"/>
      <c r="Q38" s="94"/>
      <c r="R38" s="93"/>
      <c r="S38" s="85"/>
      <c r="U38" s="94"/>
      <c r="V38" s="93"/>
      <c r="W38" s="85"/>
      <c r="Y38" s="94"/>
      <c r="Z38" s="93"/>
      <c r="AA38" s="85"/>
      <c r="AC38" s="94"/>
      <c r="AD38" s="93"/>
      <c r="AE38" s="85"/>
    </row>
    <row r="39" spans="1:31" x14ac:dyDescent="0.35">
      <c r="A39" s="87"/>
      <c r="B39" s="87"/>
      <c r="C39" s="87"/>
      <c r="D39" s="87"/>
      <c r="E39" s="85">
        <v>5</v>
      </c>
      <c r="F39" s="93" t="s">
        <v>775</v>
      </c>
      <c r="G39" s="85" t="s">
        <v>855</v>
      </c>
      <c r="H39" s="87">
        <v>239.25</v>
      </c>
      <c r="I39" s="94">
        <v>6</v>
      </c>
      <c r="J39" s="93">
        <v>45182</v>
      </c>
      <c r="K39" s="85" t="s">
        <v>825</v>
      </c>
      <c r="L39" s="87">
        <f>9349.2/2</f>
        <v>4674.6000000000004</v>
      </c>
      <c r="M39" s="94"/>
      <c r="N39" s="93"/>
      <c r="O39" s="85"/>
      <c r="Q39" s="94"/>
      <c r="R39" s="93"/>
      <c r="S39" s="85"/>
      <c r="U39" s="94"/>
      <c r="V39" s="93"/>
      <c r="W39" s="85"/>
      <c r="Y39" s="94"/>
      <c r="Z39" s="93"/>
      <c r="AA39" s="85"/>
      <c r="AC39" s="94"/>
      <c r="AD39" s="93"/>
      <c r="AE39" s="85"/>
    </row>
    <row r="40" spans="1:31" x14ac:dyDescent="0.35">
      <c r="A40" s="87"/>
      <c r="B40" s="87"/>
      <c r="C40" s="87"/>
      <c r="D40" s="87"/>
      <c r="E40" s="85" t="s">
        <v>856</v>
      </c>
      <c r="F40" s="85" t="s">
        <v>856</v>
      </c>
      <c r="G40" s="85" t="s">
        <v>857</v>
      </c>
      <c r="H40" s="87">
        <v>755</v>
      </c>
      <c r="I40" s="94">
        <v>6</v>
      </c>
      <c r="J40" s="93">
        <v>45198</v>
      </c>
      <c r="K40" s="85" t="s">
        <v>841</v>
      </c>
      <c r="L40" s="87">
        <v>355.3</v>
      </c>
      <c r="M40" s="94"/>
      <c r="N40" s="93"/>
      <c r="O40" s="85"/>
      <c r="Q40" s="94"/>
      <c r="R40" s="93"/>
      <c r="S40" s="85"/>
      <c r="U40" s="94"/>
      <c r="V40" s="93"/>
      <c r="W40" s="85"/>
      <c r="Y40" s="94"/>
      <c r="Z40" s="93"/>
      <c r="AA40" s="85"/>
      <c r="AC40" s="94"/>
      <c r="AD40" s="93"/>
      <c r="AE40" s="85"/>
    </row>
    <row r="41" spans="1:31" x14ac:dyDescent="0.35">
      <c r="A41" s="87"/>
      <c r="B41" s="87"/>
      <c r="C41" s="87"/>
      <c r="D41" s="87"/>
      <c r="G41" s="85"/>
      <c r="H41" s="87"/>
      <c r="I41" s="94">
        <v>3</v>
      </c>
      <c r="J41" s="93">
        <v>45215</v>
      </c>
      <c r="K41" s="85" t="s">
        <v>2146</v>
      </c>
      <c r="L41" s="87">
        <v>60</v>
      </c>
      <c r="M41" s="94"/>
      <c r="N41" s="93"/>
      <c r="O41" s="85"/>
      <c r="Q41" s="94"/>
      <c r="R41" s="93"/>
      <c r="S41" s="85"/>
      <c r="U41" s="94"/>
      <c r="V41" s="93"/>
      <c r="W41" s="85"/>
      <c r="Y41" s="94"/>
      <c r="Z41" s="93"/>
      <c r="AA41" s="85"/>
      <c r="AC41" s="94"/>
      <c r="AD41" s="93"/>
      <c r="AE41" s="85"/>
    </row>
    <row r="42" spans="1:31" x14ac:dyDescent="0.35">
      <c r="A42" s="87"/>
      <c r="B42" s="87"/>
      <c r="C42" s="87"/>
      <c r="D42" s="87"/>
      <c r="G42" s="85"/>
      <c r="H42" s="87"/>
      <c r="I42" s="94">
        <v>2</v>
      </c>
      <c r="J42" s="93">
        <v>45203</v>
      </c>
      <c r="K42" s="85" t="s">
        <v>2147</v>
      </c>
      <c r="L42" s="87">
        <v>75</v>
      </c>
      <c r="M42" s="95"/>
      <c r="N42" s="96"/>
      <c r="O42" s="96"/>
      <c r="P42" s="96"/>
      <c r="Q42" s="94"/>
      <c r="R42" s="93"/>
      <c r="S42" s="85"/>
      <c r="U42" s="94"/>
      <c r="V42" s="93"/>
      <c r="W42" s="85"/>
      <c r="Y42" s="94"/>
      <c r="Z42" s="93"/>
      <c r="AA42" s="85"/>
      <c r="AC42" s="94"/>
      <c r="AD42" s="93"/>
      <c r="AE42" s="85"/>
    </row>
    <row r="43" spans="1:31" x14ac:dyDescent="0.35">
      <c r="A43" s="87"/>
      <c r="B43" s="87"/>
      <c r="C43" s="87"/>
      <c r="D43" s="87"/>
      <c r="G43" s="85"/>
      <c r="H43" s="87"/>
      <c r="I43" s="94">
        <v>5</v>
      </c>
      <c r="J43" s="93">
        <v>45222</v>
      </c>
      <c r="K43" s="85" t="s">
        <v>831</v>
      </c>
      <c r="L43" s="87">
        <v>244.5</v>
      </c>
      <c r="M43" s="95"/>
      <c r="N43" s="96"/>
      <c r="O43" s="96"/>
      <c r="P43" s="95"/>
      <c r="Q43" s="94"/>
      <c r="R43" s="93"/>
      <c r="S43" s="85"/>
      <c r="U43" s="94"/>
      <c r="V43" s="93"/>
      <c r="W43" s="85"/>
      <c r="Y43" s="94"/>
      <c r="Z43" s="93"/>
      <c r="AA43" s="85"/>
      <c r="AC43" s="94"/>
      <c r="AD43" s="93"/>
      <c r="AE43" s="85"/>
    </row>
    <row r="44" spans="1:31" x14ac:dyDescent="0.35">
      <c r="A44" s="87"/>
      <c r="B44" s="87"/>
      <c r="C44" s="87"/>
      <c r="D44" s="87"/>
      <c r="G44" s="85"/>
      <c r="H44" s="87"/>
      <c r="I44" s="94">
        <v>2</v>
      </c>
      <c r="J44" s="93">
        <v>45268</v>
      </c>
      <c r="K44" s="85" t="s">
        <v>2148</v>
      </c>
      <c r="L44" s="87">
        <v>750</v>
      </c>
      <c r="M44" s="96"/>
      <c r="N44" s="96"/>
      <c r="O44" s="96"/>
      <c r="P44" s="95"/>
      <c r="Q44" s="94"/>
      <c r="R44" s="93"/>
      <c r="S44" s="85"/>
      <c r="U44" s="94"/>
      <c r="V44" s="93"/>
      <c r="W44" s="85"/>
      <c r="Y44" s="94"/>
      <c r="Z44" s="93"/>
      <c r="AA44" s="85"/>
      <c r="AC44" s="94"/>
      <c r="AD44" s="93"/>
      <c r="AE44" s="85"/>
    </row>
    <row r="45" spans="1:31" x14ac:dyDescent="0.35">
      <c r="A45" s="87"/>
      <c r="B45" s="87"/>
      <c r="C45" s="87"/>
      <c r="D45" s="87"/>
      <c r="G45" s="85"/>
      <c r="H45" s="87"/>
      <c r="I45" s="94">
        <v>6</v>
      </c>
      <c r="J45" s="93">
        <v>45226</v>
      </c>
      <c r="K45" s="85" t="s">
        <v>825</v>
      </c>
      <c r="L45" s="87">
        <v>49.5</v>
      </c>
      <c r="M45" s="96" t="s">
        <v>858</v>
      </c>
      <c r="N45" s="96"/>
      <c r="O45" s="96"/>
      <c r="P45" s="95"/>
      <c r="Q45" s="94"/>
      <c r="R45" s="93"/>
      <c r="S45" s="85"/>
      <c r="U45" s="94"/>
      <c r="V45" s="93"/>
      <c r="W45" s="85"/>
      <c r="Y45" s="94"/>
      <c r="Z45" s="93"/>
      <c r="AA45" s="85"/>
      <c r="AC45" s="94"/>
      <c r="AD45" s="93"/>
      <c r="AE45" s="85"/>
    </row>
    <row r="46" spans="1:31" x14ac:dyDescent="0.35">
      <c r="A46" s="87"/>
      <c r="B46" s="87"/>
      <c r="C46" s="87"/>
      <c r="D46" s="87"/>
      <c r="G46" s="85"/>
      <c r="H46" s="87"/>
      <c r="I46" s="94">
        <v>3</v>
      </c>
      <c r="J46" s="93">
        <v>45238</v>
      </c>
      <c r="K46" s="85" t="s">
        <v>2149</v>
      </c>
      <c r="L46" s="87">
        <v>120</v>
      </c>
      <c r="M46" s="96" t="s">
        <v>859</v>
      </c>
      <c r="N46" s="96"/>
      <c r="O46" s="96"/>
      <c r="P46" s="95"/>
      <c r="Q46" s="94"/>
      <c r="R46" s="93"/>
      <c r="S46" s="85"/>
      <c r="U46" s="94"/>
      <c r="V46" s="93"/>
      <c r="W46" s="85"/>
      <c r="Y46" s="94"/>
      <c r="Z46" s="93"/>
      <c r="AA46" s="85"/>
      <c r="AC46" s="94"/>
      <c r="AD46" s="93"/>
      <c r="AE46" s="85"/>
    </row>
    <row r="47" spans="1:31" x14ac:dyDescent="0.35">
      <c r="A47" s="87"/>
      <c r="B47" s="87"/>
      <c r="C47" s="87"/>
      <c r="D47" s="87"/>
      <c r="G47" s="85"/>
      <c r="H47" s="87"/>
      <c r="I47" s="94">
        <v>6</v>
      </c>
      <c r="J47" s="93">
        <v>45272</v>
      </c>
      <c r="K47" s="87" t="s">
        <v>2277</v>
      </c>
      <c r="L47" s="87">
        <v>700</v>
      </c>
      <c r="M47" s="96"/>
      <c r="N47" s="96"/>
      <c r="O47" s="96"/>
      <c r="P47" s="96"/>
      <c r="Q47" s="94"/>
      <c r="R47" s="93"/>
      <c r="S47" s="85"/>
      <c r="U47" s="94"/>
      <c r="V47" s="93"/>
      <c r="W47" s="85"/>
      <c r="Y47" s="94"/>
      <c r="Z47" s="93"/>
      <c r="AA47" s="85"/>
      <c r="AC47" s="94"/>
      <c r="AD47" s="93"/>
      <c r="AE47" s="85"/>
    </row>
    <row r="48" spans="1:31" x14ac:dyDescent="0.35">
      <c r="A48" s="87"/>
      <c r="B48" s="87"/>
      <c r="C48" s="87"/>
      <c r="D48" s="87"/>
      <c r="G48" s="85"/>
      <c r="H48" s="87"/>
      <c r="I48" s="94">
        <v>3</v>
      </c>
      <c r="J48" s="93">
        <v>45275</v>
      </c>
      <c r="K48" s="87" t="s">
        <v>2288</v>
      </c>
      <c r="L48" s="87">
        <v>6</v>
      </c>
      <c r="M48" s="96"/>
      <c r="N48" s="96"/>
      <c r="O48" s="96"/>
      <c r="P48" s="96"/>
      <c r="Q48" s="94"/>
      <c r="R48" s="93"/>
      <c r="S48" s="85"/>
      <c r="U48" s="94"/>
      <c r="V48" s="93"/>
      <c r="W48" s="85"/>
      <c r="Y48" s="94"/>
      <c r="Z48" s="93"/>
      <c r="AA48" s="85"/>
      <c r="AC48" s="94"/>
      <c r="AD48" s="93"/>
      <c r="AE48" s="85"/>
    </row>
    <row r="49" spans="1:31" x14ac:dyDescent="0.35">
      <c r="A49" s="87"/>
      <c r="B49" s="87"/>
      <c r="C49" s="87"/>
      <c r="D49" s="87"/>
      <c r="G49" s="85"/>
      <c r="H49" s="87"/>
      <c r="I49" s="94">
        <v>6</v>
      </c>
      <c r="J49" s="93">
        <v>45288</v>
      </c>
      <c r="K49" s="85" t="s">
        <v>825</v>
      </c>
      <c r="L49" s="87">
        <v>49.5</v>
      </c>
      <c r="M49" s="94"/>
      <c r="N49" s="93"/>
      <c r="O49" s="85"/>
      <c r="Q49" s="94"/>
      <c r="R49" s="93"/>
      <c r="S49" s="85"/>
      <c r="U49" s="94"/>
      <c r="V49" s="93"/>
      <c r="W49" s="85"/>
      <c r="Y49" s="94"/>
      <c r="Z49" s="93"/>
      <c r="AA49" s="85"/>
      <c r="AC49" s="94"/>
      <c r="AD49" s="93"/>
      <c r="AE49" s="85"/>
    </row>
    <row r="50" spans="1:31" x14ac:dyDescent="0.35">
      <c r="A50" s="87"/>
      <c r="B50" s="87"/>
      <c r="C50" s="87"/>
      <c r="D50" s="87"/>
      <c r="G50" s="85"/>
      <c r="H50" s="87"/>
      <c r="I50" s="94">
        <v>6</v>
      </c>
      <c r="J50" s="93">
        <v>41232</v>
      </c>
      <c r="K50" s="85" t="s">
        <v>1675</v>
      </c>
      <c r="L50" s="87">
        <v>22.5</v>
      </c>
      <c r="M50" s="94"/>
      <c r="N50" s="93"/>
      <c r="O50" s="85"/>
      <c r="Q50" s="94"/>
      <c r="R50" s="93"/>
      <c r="S50" s="85"/>
      <c r="U50" s="94"/>
      <c r="V50" s="93"/>
      <c r="W50" s="85"/>
      <c r="Y50" s="94"/>
      <c r="Z50" s="93"/>
      <c r="AA50" s="85"/>
      <c r="AC50" s="94"/>
      <c r="AD50" s="93"/>
      <c r="AE50" s="85"/>
    </row>
    <row r="51" spans="1:31" x14ac:dyDescent="0.35">
      <c r="A51" s="87"/>
      <c r="B51" s="87"/>
      <c r="C51" s="87"/>
      <c r="D51" s="87"/>
      <c r="G51" s="85"/>
      <c r="H51" s="87"/>
      <c r="I51" s="94">
        <v>2</v>
      </c>
      <c r="J51" s="93">
        <v>45332</v>
      </c>
      <c r="K51" s="85" t="s">
        <v>2348</v>
      </c>
      <c r="L51" s="87">
        <v>150</v>
      </c>
      <c r="M51" s="94"/>
      <c r="N51" s="93"/>
      <c r="O51" s="85"/>
      <c r="Q51" s="94"/>
      <c r="R51" s="93"/>
      <c r="S51" s="85"/>
      <c r="U51" s="94"/>
      <c r="V51" s="93"/>
      <c r="W51" s="85"/>
      <c r="Y51" s="94"/>
      <c r="Z51" s="93"/>
      <c r="AA51" s="85"/>
      <c r="AC51" s="94"/>
      <c r="AD51" s="93"/>
      <c r="AE51" s="85"/>
    </row>
    <row r="52" spans="1:31" x14ac:dyDescent="0.35">
      <c r="A52" s="87"/>
      <c r="B52" s="87"/>
      <c r="C52" s="87"/>
      <c r="D52" s="87"/>
      <c r="G52" s="85"/>
      <c r="H52" s="87"/>
      <c r="I52" s="94">
        <v>6</v>
      </c>
      <c r="J52" s="93">
        <v>45259</v>
      </c>
      <c r="K52" s="85" t="s">
        <v>825</v>
      </c>
      <c r="L52" s="87">
        <v>49.5</v>
      </c>
      <c r="M52" s="94"/>
      <c r="N52" s="93"/>
      <c r="O52" s="85"/>
      <c r="Q52" s="94"/>
      <c r="R52" s="93"/>
      <c r="S52" s="85"/>
      <c r="U52" s="94"/>
      <c r="V52" s="93"/>
      <c r="W52" s="85"/>
      <c r="Y52" s="94"/>
      <c r="Z52" s="93"/>
      <c r="AA52" s="85"/>
      <c r="AC52" s="94"/>
      <c r="AD52" s="93"/>
      <c r="AE52" s="85"/>
    </row>
    <row r="53" spans="1:31" x14ac:dyDescent="0.35">
      <c r="A53" s="87"/>
      <c r="B53" s="87"/>
      <c r="C53" s="87"/>
      <c r="D53" s="87"/>
      <c r="G53" s="85"/>
      <c r="H53" s="87"/>
      <c r="I53" s="94">
        <v>6</v>
      </c>
      <c r="J53" s="93">
        <v>45313</v>
      </c>
      <c r="K53" s="85" t="s">
        <v>825</v>
      </c>
      <c r="L53" s="87">
        <v>49.5</v>
      </c>
      <c r="M53" s="94"/>
      <c r="N53" s="93"/>
      <c r="O53" s="85"/>
      <c r="Q53" s="94"/>
      <c r="R53" s="93"/>
      <c r="S53" s="85"/>
      <c r="U53" s="94"/>
      <c r="V53" s="93"/>
      <c r="W53" s="85"/>
      <c r="Y53" s="94"/>
      <c r="Z53" s="93"/>
      <c r="AA53" s="85"/>
      <c r="AC53" s="94"/>
      <c r="AD53" s="93"/>
      <c r="AE53" s="85"/>
    </row>
    <row r="54" spans="1:31" x14ac:dyDescent="0.35">
      <c r="A54" s="87"/>
      <c r="B54" s="87"/>
      <c r="C54" s="87"/>
      <c r="D54" s="87"/>
      <c r="G54" s="85"/>
      <c r="H54" s="87"/>
      <c r="I54" s="94">
        <v>6</v>
      </c>
      <c r="J54" s="93">
        <v>45314</v>
      </c>
      <c r="K54" s="85" t="s">
        <v>2423</v>
      </c>
      <c r="L54" s="87">
        <v>20</v>
      </c>
      <c r="M54" s="94"/>
      <c r="N54" s="93"/>
      <c r="O54" s="85"/>
      <c r="Q54" s="94"/>
      <c r="R54" s="93"/>
      <c r="S54" s="85"/>
      <c r="U54" s="94"/>
      <c r="V54" s="93"/>
      <c r="W54" s="85"/>
      <c r="Y54" s="94"/>
      <c r="Z54" s="93"/>
      <c r="AA54" s="85"/>
      <c r="AC54" s="94"/>
      <c r="AD54" s="93"/>
      <c r="AE54" s="85"/>
    </row>
    <row r="55" spans="1:31" x14ac:dyDescent="0.35">
      <c r="A55" s="87"/>
      <c r="B55" s="87"/>
      <c r="C55" s="87"/>
      <c r="D55" s="87"/>
      <c r="G55" s="85"/>
      <c r="H55" s="87"/>
      <c r="I55" s="94">
        <v>5</v>
      </c>
      <c r="J55" s="93">
        <v>45337</v>
      </c>
      <c r="K55" s="85" t="s">
        <v>843</v>
      </c>
      <c r="L55" s="87">
        <v>240</v>
      </c>
      <c r="M55" s="94"/>
      <c r="N55" s="93"/>
      <c r="O55" s="85"/>
      <c r="Q55" s="94"/>
      <c r="R55" s="93"/>
      <c r="S55" s="85"/>
      <c r="U55" s="94"/>
      <c r="V55" s="93"/>
      <c r="W55" s="85"/>
      <c r="Y55" s="94"/>
      <c r="Z55" s="93"/>
      <c r="AA55" s="85"/>
      <c r="AC55" s="94"/>
      <c r="AD55" s="93"/>
      <c r="AE55" s="85"/>
    </row>
    <row r="56" spans="1:31" x14ac:dyDescent="0.35">
      <c r="A56" s="87"/>
      <c r="B56" s="87"/>
      <c r="C56" s="87"/>
      <c r="D56" s="87"/>
      <c r="G56" s="85"/>
      <c r="H56" s="87"/>
      <c r="I56" s="94">
        <v>2</v>
      </c>
      <c r="J56" s="93">
        <v>45322</v>
      </c>
      <c r="K56" s="85" t="s">
        <v>2576</v>
      </c>
      <c r="L56" s="87">
        <v>1530</v>
      </c>
      <c r="M56" s="94"/>
      <c r="N56" s="93"/>
      <c r="O56" s="85"/>
      <c r="Q56" s="94"/>
      <c r="R56" s="93"/>
      <c r="S56" s="85"/>
      <c r="U56" s="94"/>
      <c r="V56" s="93"/>
      <c r="W56" s="85"/>
      <c r="Y56" s="94"/>
      <c r="Z56" s="93"/>
      <c r="AA56" s="85"/>
      <c r="AC56" s="94"/>
      <c r="AD56" s="93"/>
      <c r="AE56" s="85"/>
    </row>
    <row r="57" spans="1:31" x14ac:dyDescent="0.35">
      <c r="A57" s="87"/>
      <c r="B57" s="87"/>
      <c r="C57" s="87"/>
      <c r="D57" s="87"/>
      <c r="G57" s="85"/>
      <c r="H57" s="87"/>
      <c r="I57" s="94">
        <v>2</v>
      </c>
      <c r="J57" s="93">
        <v>45344</v>
      </c>
      <c r="K57" s="85" t="s">
        <v>2576</v>
      </c>
      <c r="L57" s="87">
        <v>2295</v>
      </c>
      <c r="M57" s="94"/>
      <c r="N57" s="93"/>
      <c r="O57" s="85"/>
      <c r="Q57" s="94"/>
      <c r="R57" s="93"/>
      <c r="S57" s="85"/>
      <c r="U57" s="94"/>
      <c r="V57" s="93"/>
      <c r="W57" s="85"/>
      <c r="Y57" s="94"/>
      <c r="Z57" s="93"/>
      <c r="AA57" s="85"/>
      <c r="AC57" s="94"/>
      <c r="AD57" s="93"/>
      <c r="AE57" s="85"/>
    </row>
    <row r="58" spans="1:31" x14ac:dyDescent="0.35">
      <c r="A58" s="87"/>
      <c r="B58" s="87"/>
      <c r="C58" s="87"/>
      <c r="D58" s="87"/>
      <c r="G58" s="85"/>
      <c r="H58" s="87"/>
      <c r="I58" s="94">
        <v>6</v>
      </c>
      <c r="J58" s="93">
        <v>45323</v>
      </c>
      <c r="K58" s="85" t="s">
        <v>2594</v>
      </c>
      <c r="L58" s="87">
        <f>65*3</f>
        <v>195</v>
      </c>
      <c r="M58" s="94"/>
      <c r="N58" s="93"/>
      <c r="O58" s="85"/>
      <c r="Q58" s="94"/>
      <c r="R58" s="93"/>
      <c r="S58" s="85"/>
      <c r="U58" s="94"/>
      <c r="V58" s="93"/>
      <c r="W58" s="85"/>
      <c r="Y58" s="94"/>
      <c r="Z58" s="93"/>
      <c r="AA58" s="85"/>
      <c r="AC58" s="94"/>
      <c r="AD58" s="93"/>
      <c r="AE58" s="85"/>
    </row>
    <row r="59" spans="1:31" x14ac:dyDescent="0.35">
      <c r="A59" s="87"/>
      <c r="B59" s="87"/>
      <c r="C59" s="87"/>
      <c r="D59" s="87"/>
      <c r="G59" s="85"/>
      <c r="H59" s="87"/>
      <c r="I59" s="94">
        <v>6</v>
      </c>
      <c r="J59" s="93">
        <v>45344</v>
      </c>
      <c r="K59" s="85" t="s">
        <v>825</v>
      </c>
      <c r="L59" s="87">
        <v>49.5</v>
      </c>
      <c r="M59" s="94"/>
      <c r="N59" s="93"/>
      <c r="O59" s="85"/>
      <c r="Q59" s="94"/>
      <c r="R59" s="93"/>
      <c r="S59" s="85"/>
      <c r="U59" s="94"/>
      <c r="V59" s="93"/>
      <c r="W59" s="85"/>
      <c r="Y59" s="94"/>
      <c r="Z59" s="93"/>
      <c r="AA59" s="85"/>
      <c r="AC59" s="94"/>
      <c r="AD59" s="93"/>
      <c r="AE59" s="85"/>
    </row>
    <row r="60" spans="1:31" x14ac:dyDescent="0.35">
      <c r="A60" s="87"/>
      <c r="B60" s="87"/>
      <c r="C60" s="87"/>
      <c r="D60" s="87"/>
      <c r="G60" s="85"/>
      <c r="H60" s="87"/>
      <c r="I60" s="94">
        <v>6</v>
      </c>
      <c r="J60" s="93">
        <v>45343</v>
      </c>
      <c r="K60" s="85" t="s">
        <v>2616</v>
      </c>
      <c r="L60" s="87">
        <v>19.96</v>
      </c>
      <c r="M60" s="94"/>
      <c r="N60" s="93"/>
      <c r="O60" s="85"/>
      <c r="Q60" s="94"/>
      <c r="R60" s="93"/>
      <c r="S60" s="85"/>
      <c r="U60" s="94"/>
      <c r="V60" s="93"/>
      <c r="W60" s="85"/>
      <c r="Y60" s="94"/>
      <c r="Z60" s="93"/>
      <c r="AA60" s="85"/>
      <c r="AC60" s="94"/>
      <c r="AD60" s="93"/>
      <c r="AE60" s="85"/>
    </row>
    <row r="61" spans="1:31" x14ac:dyDescent="0.35">
      <c r="A61" s="87"/>
      <c r="B61" s="87"/>
      <c r="C61" s="87"/>
      <c r="D61" s="87"/>
      <c r="G61" s="85"/>
      <c r="H61" s="87"/>
      <c r="I61" s="94">
        <v>6</v>
      </c>
      <c r="J61" s="93">
        <v>45362</v>
      </c>
      <c r="K61" s="85" t="s">
        <v>2594</v>
      </c>
      <c r="L61" s="87">
        <v>65</v>
      </c>
      <c r="M61" s="94"/>
      <c r="N61" s="93"/>
      <c r="O61" s="85"/>
      <c r="Q61" s="94"/>
      <c r="R61" s="93"/>
      <c r="S61" s="85"/>
      <c r="U61" s="94"/>
      <c r="V61" s="93"/>
      <c r="W61" s="85"/>
      <c r="Y61" s="94"/>
      <c r="Z61" s="93"/>
      <c r="AA61" s="85"/>
      <c r="AC61" s="94"/>
      <c r="AD61" s="93"/>
      <c r="AE61" s="85"/>
    </row>
    <row r="62" spans="1:31" x14ac:dyDescent="0.35">
      <c r="A62" s="87"/>
      <c r="B62" s="87"/>
      <c r="C62" s="87"/>
      <c r="D62" s="87"/>
      <c r="G62" s="85"/>
      <c r="H62" s="87"/>
      <c r="I62" s="94">
        <v>2</v>
      </c>
      <c r="J62" s="93">
        <v>45365</v>
      </c>
      <c r="K62" s="85" t="s">
        <v>2576</v>
      </c>
      <c r="L62" s="87">
        <v>1989.25</v>
      </c>
      <c r="M62" s="94"/>
      <c r="N62" s="93"/>
      <c r="O62" s="85"/>
      <c r="Q62" s="94"/>
      <c r="R62" s="93"/>
      <c r="S62" s="85"/>
      <c r="U62" s="94"/>
      <c r="V62" s="93"/>
      <c r="W62" s="85"/>
      <c r="Y62" s="94"/>
      <c r="Z62" s="93"/>
      <c r="AA62" s="85"/>
      <c r="AC62" s="94"/>
      <c r="AD62" s="93"/>
      <c r="AE62" s="85"/>
    </row>
    <row r="63" spans="1:31" x14ac:dyDescent="0.35">
      <c r="A63" s="87"/>
      <c r="B63" s="87"/>
      <c r="C63" s="87"/>
      <c r="D63" s="87"/>
      <c r="G63" s="85"/>
      <c r="H63" s="87"/>
      <c r="I63" s="94">
        <v>3</v>
      </c>
      <c r="J63" s="93">
        <v>45322</v>
      </c>
      <c r="K63" s="85" t="s">
        <v>854</v>
      </c>
      <c r="L63" s="87">
        <v>1560</v>
      </c>
      <c r="M63" s="94"/>
      <c r="N63" s="93"/>
      <c r="O63" s="85"/>
      <c r="Q63" s="94"/>
      <c r="R63" s="93"/>
      <c r="S63" s="85"/>
      <c r="U63" s="94"/>
      <c r="V63" s="93"/>
      <c r="W63" s="85"/>
      <c r="Y63" s="94"/>
      <c r="Z63" s="93"/>
      <c r="AA63" s="85"/>
      <c r="AC63" s="94"/>
      <c r="AD63" s="93"/>
      <c r="AE63" s="85"/>
    </row>
    <row r="64" spans="1:31" x14ac:dyDescent="0.35">
      <c r="A64" s="87"/>
      <c r="B64" s="87"/>
      <c r="C64" s="87"/>
      <c r="D64" s="87"/>
      <c r="G64" s="85"/>
      <c r="H64" s="87"/>
      <c r="I64" s="94">
        <v>3</v>
      </c>
      <c r="J64" s="93">
        <v>45364</v>
      </c>
      <c r="K64" s="85" t="s">
        <v>854</v>
      </c>
      <c r="L64" s="87">
        <v>180</v>
      </c>
      <c r="M64" s="94"/>
      <c r="N64" s="93"/>
      <c r="O64" s="85"/>
      <c r="Q64" s="94"/>
      <c r="R64" s="93"/>
      <c r="S64" s="85"/>
      <c r="U64" s="94"/>
      <c r="V64" s="93"/>
      <c r="W64" s="85"/>
      <c r="Y64" s="94"/>
      <c r="Z64" s="93"/>
      <c r="AA64" s="85"/>
      <c r="AC64" s="94"/>
      <c r="AD64" s="93"/>
      <c r="AE64" s="85"/>
    </row>
    <row r="65" spans="1:31" x14ac:dyDescent="0.35">
      <c r="A65" s="87"/>
      <c r="B65" s="87"/>
      <c r="C65" s="87"/>
      <c r="D65" s="87"/>
      <c r="G65" s="85"/>
      <c r="H65" s="87"/>
      <c r="I65" s="94">
        <v>6</v>
      </c>
      <c r="J65" s="93">
        <v>45379</v>
      </c>
      <c r="K65" s="85" t="s">
        <v>825</v>
      </c>
      <c r="L65" s="87">
        <v>49.5</v>
      </c>
      <c r="M65" s="94"/>
      <c r="N65" s="93"/>
      <c r="O65" s="85"/>
      <c r="Q65" s="94"/>
      <c r="R65" s="93"/>
      <c r="S65" s="85"/>
      <c r="U65" s="94"/>
      <c r="V65" s="93"/>
      <c r="W65" s="85"/>
      <c r="Y65" s="94"/>
      <c r="Z65" s="93"/>
      <c r="AA65" s="85"/>
      <c r="AC65" s="94"/>
      <c r="AD65" s="93"/>
      <c r="AE65" s="85"/>
    </row>
    <row r="66" spans="1:31" x14ac:dyDescent="0.35">
      <c r="A66" s="87"/>
      <c r="B66" s="87"/>
      <c r="C66" s="87"/>
      <c r="D66" s="87"/>
      <c r="G66" s="85"/>
      <c r="H66" s="87"/>
      <c r="I66" s="94">
        <v>5</v>
      </c>
      <c r="J66" s="93" t="s">
        <v>775</v>
      </c>
      <c r="K66" s="85" t="s">
        <v>2778</v>
      </c>
      <c r="L66" s="148">
        <v>240</v>
      </c>
      <c r="M66" s="94"/>
      <c r="N66" s="93"/>
      <c r="O66" s="85"/>
      <c r="Q66" s="94"/>
      <c r="R66" s="93"/>
      <c r="S66" s="85"/>
      <c r="U66" s="94"/>
      <c r="V66" s="93"/>
      <c r="W66" s="85"/>
      <c r="Y66" s="94"/>
      <c r="Z66" s="93"/>
      <c r="AA66" s="85"/>
      <c r="AC66" s="94"/>
      <c r="AD66" s="93"/>
      <c r="AE66" s="85"/>
    </row>
    <row r="67" spans="1:31" x14ac:dyDescent="0.35">
      <c r="A67" s="87"/>
      <c r="B67" s="87"/>
      <c r="C67" s="87"/>
      <c r="D67" s="87"/>
      <c r="G67" s="85"/>
      <c r="H67" s="87"/>
      <c r="I67" s="94">
        <v>2</v>
      </c>
      <c r="J67" s="93" t="s">
        <v>775</v>
      </c>
      <c r="K67" s="85" t="s">
        <v>2787</v>
      </c>
      <c r="L67" s="148">
        <v>868</v>
      </c>
      <c r="M67" s="94"/>
      <c r="N67" s="93"/>
      <c r="O67" s="85"/>
      <c r="Q67" s="94"/>
      <c r="R67" s="93"/>
      <c r="S67" s="85"/>
      <c r="U67" s="94"/>
      <c r="V67" s="93"/>
      <c r="W67" s="85"/>
      <c r="Y67" s="94"/>
      <c r="Z67" s="93"/>
      <c r="AA67" s="85"/>
      <c r="AC67" s="94"/>
      <c r="AD67" s="93"/>
      <c r="AE67" s="85"/>
    </row>
    <row r="68" spans="1:31" x14ac:dyDescent="0.35">
      <c r="A68" s="87"/>
      <c r="B68" s="87"/>
      <c r="C68" s="87"/>
      <c r="D68" s="87"/>
      <c r="G68" s="85"/>
      <c r="H68" s="87"/>
      <c r="I68" s="94">
        <v>6</v>
      </c>
      <c r="J68" s="93" t="s">
        <v>775</v>
      </c>
      <c r="K68" s="85" t="s">
        <v>825</v>
      </c>
      <c r="L68" s="151">
        <v>49.5</v>
      </c>
      <c r="M68" s="94"/>
      <c r="N68" s="93"/>
      <c r="O68" s="85"/>
      <c r="Q68" s="94"/>
      <c r="R68" s="93"/>
      <c r="S68" s="85"/>
      <c r="U68" s="94"/>
      <c r="V68" s="93"/>
      <c r="W68" s="85"/>
      <c r="Y68" s="94"/>
      <c r="Z68" s="93"/>
      <c r="AA68" s="85"/>
      <c r="AC68" s="94"/>
      <c r="AD68" s="93"/>
      <c r="AE68" s="85"/>
    </row>
    <row r="69" spans="1:31" x14ac:dyDescent="0.35">
      <c r="A69" s="87"/>
      <c r="B69" s="87"/>
      <c r="C69" s="87"/>
      <c r="D69" s="87"/>
      <c r="G69" s="85"/>
      <c r="H69" s="87"/>
      <c r="I69" s="94"/>
      <c r="J69" s="93"/>
      <c r="K69" s="85"/>
      <c r="M69" s="94"/>
      <c r="N69" s="93"/>
      <c r="O69" s="85"/>
      <c r="Q69" s="94"/>
      <c r="R69" s="93"/>
      <c r="S69" s="85"/>
      <c r="U69" s="94"/>
      <c r="V69" s="93"/>
      <c r="W69" s="85"/>
      <c r="Y69" s="94"/>
      <c r="Z69" s="93"/>
      <c r="AA69" s="85"/>
      <c r="AC69" s="94"/>
      <c r="AD69" s="93"/>
      <c r="AE69" s="85"/>
    </row>
    <row r="70" spans="1:31" x14ac:dyDescent="0.35">
      <c r="A70" s="87"/>
      <c r="B70" s="87"/>
      <c r="C70" s="87"/>
      <c r="D70" s="87"/>
      <c r="G70" s="85"/>
      <c r="H70" s="87"/>
      <c r="I70" s="94"/>
      <c r="J70" s="93"/>
      <c r="K70" s="85"/>
      <c r="M70" s="94"/>
      <c r="N70" s="93"/>
      <c r="O70" s="85"/>
      <c r="Q70" s="94"/>
      <c r="R70" s="93"/>
      <c r="S70" s="85"/>
      <c r="U70" s="94"/>
      <c r="V70" s="93"/>
      <c r="W70" s="85"/>
      <c r="Y70" s="94"/>
      <c r="Z70" s="93"/>
      <c r="AA70" s="85"/>
      <c r="AC70" s="94"/>
      <c r="AD70" s="93"/>
      <c r="AE70" s="85"/>
    </row>
    <row r="71" spans="1:31" x14ac:dyDescent="0.35">
      <c r="A71" s="87"/>
      <c r="B71" s="87"/>
      <c r="C71" s="87"/>
      <c r="D71" s="87"/>
      <c r="G71" s="85"/>
      <c r="H71" s="87"/>
      <c r="I71" s="94"/>
      <c r="J71" s="93"/>
      <c r="K71" s="85"/>
      <c r="M71" s="94"/>
      <c r="N71" s="93"/>
      <c r="O71" s="85"/>
      <c r="Q71" s="94"/>
      <c r="R71" s="93"/>
      <c r="S71" s="85"/>
      <c r="U71" s="94"/>
      <c r="V71" s="93"/>
      <c r="W71" s="85"/>
      <c r="Y71" s="94"/>
      <c r="Z71" s="93"/>
      <c r="AA71" s="85"/>
      <c r="AC71" s="94"/>
      <c r="AD71" s="93"/>
      <c r="AE71" s="85"/>
    </row>
    <row r="72" spans="1:31" x14ac:dyDescent="0.35">
      <c r="A72" s="87"/>
      <c r="B72" s="87"/>
      <c r="C72" s="87"/>
      <c r="D72" s="87"/>
      <c r="G72" s="85"/>
      <c r="H72" s="87"/>
      <c r="I72" s="94"/>
      <c r="J72" s="93"/>
      <c r="K72" s="85"/>
      <c r="M72" s="94"/>
      <c r="N72" s="93"/>
      <c r="O72" s="85"/>
      <c r="Q72" s="94"/>
      <c r="R72" s="93"/>
      <c r="S72" s="85"/>
      <c r="U72" s="94"/>
      <c r="V72" s="93"/>
      <c r="W72" s="85"/>
      <c r="Y72" s="94"/>
      <c r="Z72" s="93"/>
      <c r="AA72" s="85"/>
      <c r="AC72" s="94"/>
      <c r="AD72" s="93"/>
      <c r="AE72" s="85"/>
    </row>
    <row r="73" spans="1:31" x14ac:dyDescent="0.35">
      <c r="A73" s="87"/>
      <c r="B73" s="87"/>
      <c r="C73" s="87"/>
      <c r="D73" s="87"/>
      <c r="G73" s="85"/>
      <c r="H73" s="87"/>
      <c r="I73" s="94"/>
      <c r="J73" s="93"/>
      <c r="K73" s="85"/>
      <c r="M73" s="94"/>
      <c r="N73" s="93"/>
      <c r="O73" s="85"/>
      <c r="Q73" s="94"/>
      <c r="R73" s="93"/>
      <c r="S73" s="85"/>
      <c r="U73" s="94"/>
      <c r="V73" s="93"/>
      <c r="W73" s="85"/>
      <c r="Y73" s="94"/>
      <c r="Z73" s="93"/>
      <c r="AA73" s="85"/>
      <c r="AC73" s="94"/>
      <c r="AD73" s="93"/>
      <c r="AE73" s="85"/>
    </row>
    <row r="74" spans="1:31" x14ac:dyDescent="0.35">
      <c r="A74" s="87"/>
      <c r="B74" s="87"/>
      <c r="C74" s="87"/>
      <c r="D74" s="87"/>
      <c r="G74" s="85"/>
      <c r="H74" s="87"/>
      <c r="I74" s="94"/>
      <c r="J74" s="93"/>
      <c r="K74" s="85"/>
      <c r="M74" s="94"/>
      <c r="N74" s="93"/>
      <c r="O74" s="85"/>
      <c r="Q74" s="94"/>
      <c r="R74" s="93"/>
      <c r="S74" s="85"/>
      <c r="U74" s="94"/>
      <c r="V74" s="93"/>
      <c r="W74" s="85"/>
      <c r="Y74" s="94"/>
      <c r="Z74" s="93"/>
      <c r="AA74" s="85"/>
      <c r="AC74" s="94"/>
      <c r="AD74" s="93"/>
      <c r="AE74" s="85"/>
    </row>
    <row r="75" spans="1:31" x14ac:dyDescent="0.35">
      <c r="A75" s="87"/>
      <c r="B75" s="87"/>
      <c r="C75" s="87"/>
      <c r="D75" s="87"/>
      <c r="G75" s="85"/>
      <c r="H75" s="87"/>
      <c r="I75" s="94"/>
      <c r="J75" s="93"/>
      <c r="K75" s="85"/>
      <c r="M75" s="94"/>
      <c r="N75" s="93"/>
      <c r="O75" s="85"/>
      <c r="Q75" s="94"/>
      <c r="R75" s="93"/>
      <c r="S75" s="85"/>
      <c r="U75" s="94"/>
      <c r="V75" s="93"/>
      <c r="W75" s="85"/>
      <c r="Y75" s="94"/>
      <c r="Z75" s="93"/>
      <c r="AA75" s="85"/>
      <c r="AC75" s="94"/>
      <c r="AD75" s="93"/>
      <c r="AE75" s="85"/>
    </row>
    <row r="76" spans="1:31" x14ac:dyDescent="0.35">
      <c r="A76" s="87"/>
      <c r="B76" s="87"/>
      <c r="C76" s="87"/>
      <c r="D76" s="87"/>
      <c r="G76" s="85"/>
      <c r="H76" s="87"/>
      <c r="I76" s="94"/>
      <c r="J76" s="93"/>
      <c r="K76" s="85"/>
      <c r="M76" s="94"/>
      <c r="N76" s="93"/>
      <c r="O76" s="85"/>
      <c r="Q76" s="94"/>
      <c r="R76" s="93"/>
      <c r="S76" s="85"/>
      <c r="U76" s="94"/>
      <c r="V76" s="93"/>
      <c r="W76" s="85"/>
      <c r="Y76" s="94"/>
      <c r="Z76" s="93"/>
      <c r="AA76" s="85"/>
      <c r="AC76" s="94"/>
      <c r="AD76" s="93"/>
      <c r="AE76" s="85"/>
    </row>
    <row r="77" spans="1:31" x14ac:dyDescent="0.35">
      <c r="A77" s="87"/>
      <c r="B77" s="87"/>
      <c r="C77" s="87"/>
      <c r="D77" s="87"/>
      <c r="G77" s="85"/>
      <c r="H77" s="87"/>
      <c r="I77" s="94"/>
      <c r="J77" s="93"/>
      <c r="K77" s="85"/>
      <c r="M77" s="94"/>
      <c r="N77" s="93"/>
      <c r="O77" s="85"/>
      <c r="Q77" s="94"/>
      <c r="R77" s="93"/>
      <c r="S77" s="85"/>
      <c r="U77" s="94"/>
      <c r="V77" s="93"/>
      <c r="W77" s="85"/>
      <c r="Y77" s="94"/>
      <c r="Z77" s="93"/>
      <c r="AA77" s="85"/>
      <c r="AC77" s="94"/>
      <c r="AD77" s="93"/>
      <c r="AE77" s="85"/>
    </row>
    <row r="78" spans="1:31" x14ac:dyDescent="0.35">
      <c r="A78" s="87"/>
      <c r="B78" s="87"/>
      <c r="C78" s="87"/>
      <c r="D78" s="87"/>
      <c r="G78" s="85"/>
      <c r="H78" s="87"/>
      <c r="I78" s="94"/>
      <c r="J78" s="93"/>
      <c r="K78" s="85"/>
      <c r="M78" s="94"/>
      <c r="N78" s="93"/>
      <c r="O78" s="85"/>
      <c r="Q78" s="94"/>
      <c r="R78" s="93"/>
      <c r="S78" s="85"/>
      <c r="U78" s="94"/>
      <c r="V78" s="93"/>
      <c r="W78" s="85"/>
      <c r="Y78" s="94"/>
      <c r="Z78" s="93"/>
      <c r="AA78" s="85"/>
      <c r="AC78" s="94"/>
      <c r="AD78" s="93"/>
      <c r="AE78" s="85"/>
    </row>
    <row r="79" spans="1:31" x14ac:dyDescent="0.35">
      <c r="A79" s="87"/>
      <c r="B79" s="87"/>
      <c r="C79" s="87"/>
      <c r="D79" s="87"/>
      <c r="G79" s="85"/>
      <c r="H79" s="87"/>
      <c r="I79" s="94"/>
      <c r="J79" s="93"/>
      <c r="K79" s="85"/>
      <c r="M79" s="94"/>
      <c r="N79" s="93"/>
      <c r="O79" s="85"/>
      <c r="Q79" s="94"/>
      <c r="R79" s="93"/>
      <c r="S79" s="85"/>
      <c r="U79" s="94"/>
      <c r="V79" s="93"/>
      <c r="W79" s="85"/>
      <c r="Y79" s="94"/>
      <c r="Z79" s="93"/>
      <c r="AA79" s="85"/>
      <c r="AC79" s="94"/>
      <c r="AD79" s="93"/>
      <c r="AE79" s="85"/>
    </row>
    <row r="80" spans="1:31" x14ac:dyDescent="0.35">
      <c r="A80" s="87"/>
      <c r="B80" s="87"/>
      <c r="C80" s="87"/>
      <c r="D80" s="87"/>
      <c r="G80" s="85"/>
      <c r="H80" s="87"/>
      <c r="I80" s="94"/>
      <c r="J80" s="93"/>
      <c r="K80" s="85"/>
      <c r="M80" s="94"/>
      <c r="N80" s="93"/>
      <c r="O80" s="85"/>
      <c r="Q80" s="94"/>
      <c r="R80" s="93"/>
      <c r="S80" s="85"/>
      <c r="U80" s="94"/>
      <c r="V80" s="93"/>
      <c r="W80" s="85"/>
      <c r="Y80" s="94"/>
      <c r="Z80" s="93"/>
      <c r="AA80" s="85"/>
      <c r="AC80" s="94"/>
      <c r="AD80" s="93"/>
      <c r="AE80" s="85"/>
    </row>
    <row r="81" spans="1:31" x14ac:dyDescent="0.35">
      <c r="A81" s="87"/>
      <c r="B81" s="87"/>
      <c r="C81" s="87"/>
      <c r="D81" s="87"/>
      <c r="G81" s="85"/>
      <c r="H81" s="87"/>
      <c r="I81" s="94"/>
      <c r="J81" s="93"/>
      <c r="K81" s="85"/>
      <c r="M81" s="94"/>
      <c r="N81" s="93"/>
      <c r="O81" s="85"/>
      <c r="Q81" s="94"/>
      <c r="R81" s="93"/>
      <c r="S81" s="85"/>
      <c r="U81" s="94"/>
      <c r="V81" s="93"/>
      <c r="W81" s="85"/>
      <c r="Y81" s="94"/>
      <c r="Z81" s="93"/>
      <c r="AA81" s="85"/>
      <c r="AC81" s="94"/>
      <c r="AD81" s="93"/>
      <c r="AE81" s="85"/>
    </row>
    <row r="82" spans="1:31" x14ac:dyDescent="0.35">
      <c r="A82" s="87"/>
      <c r="B82" s="87"/>
      <c r="C82" s="87"/>
      <c r="D82" s="87"/>
      <c r="G82" s="85"/>
      <c r="H82" s="87"/>
      <c r="I82" s="94"/>
      <c r="J82" s="93"/>
      <c r="K82" s="85"/>
      <c r="M82" s="94"/>
      <c r="N82" s="93"/>
      <c r="O82" s="85"/>
      <c r="Q82" s="94"/>
      <c r="R82" s="93"/>
      <c r="S82" s="85"/>
      <c r="U82" s="94"/>
      <c r="V82" s="93"/>
      <c r="W82" s="85"/>
      <c r="Y82" s="94"/>
      <c r="Z82" s="93"/>
      <c r="AA82" s="85"/>
      <c r="AC82" s="94"/>
      <c r="AD82" s="93"/>
      <c r="AE82" s="85"/>
    </row>
    <row r="83" spans="1:31" x14ac:dyDescent="0.35">
      <c r="A83" s="87"/>
      <c r="B83" s="87"/>
      <c r="C83" s="87"/>
      <c r="D83" s="87"/>
      <c r="G83" s="85"/>
      <c r="H83" s="87"/>
      <c r="I83" s="94"/>
      <c r="J83" s="93"/>
      <c r="K83" s="85"/>
      <c r="M83" s="94"/>
      <c r="N83" s="93"/>
      <c r="O83" s="85"/>
      <c r="Q83" s="94"/>
      <c r="R83" s="93"/>
      <c r="S83" s="85"/>
      <c r="U83" s="94"/>
      <c r="V83" s="93"/>
      <c r="W83" s="85"/>
      <c r="Y83" s="94"/>
      <c r="Z83" s="93"/>
      <c r="AA83" s="85"/>
      <c r="AC83" s="94"/>
      <c r="AD83" s="93"/>
      <c r="AE83" s="85"/>
    </row>
    <row r="84" spans="1:31" x14ac:dyDescent="0.35">
      <c r="A84" s="87"/>
      <c r="B84" s="87"/>
      <c r="C84" s="87"/>
      <c r="D84" s="87"/>
      <c r="G84" s="85"/>
      <c r="H84" s="87"/>
      <c r="I84" s="94"/>
      <c r="J84" s="93"/>
      <c r="K84" s="85"/>
      <c r="M84" s="94"/>
      <c r="N84" s="93"/>
      <c r="O84" s="85"/>
      <c r="Q84" s="94"/>
      <c r="R84" s="93"/>
      <c r="S84" s="85"/>
      <c r="U84" s="94"/>
      <c r="V84" s="93"/>
      <c r="W84" s="85"/>
      <c r="Y84" s="94"/>
      <c r="Z84" s="93"/>
      <c r="AA84" s="85"/>
      <c r="AC84" s="94"/>
      <c r="AD84" s="93"/>
      <c r="AE84" s="85"/>
    </row>
    <row r="85" spans="1:31" x14ac:dyDescent="0.35">
      <c r="A85" s="87"/>
      <c r="B85" s="87"/>
      <c r="C85" s="87"/>
      <c r="D85" s="87"/>
      <c r="G85" s="85"/>
      <c r="H85" s="87"/>
      <c r="I85" s="94"/>
      <c r="J85" s="93"/>
      <c r="K85" s="85"/>
      <c r="M85" s="94"/>
      <c r="N85" s="93"/>
      <c r="O85" s="85"/>
      <c r="Q85" s="94"/>
      <c r="R85" s="93"/>
      <c r="S85" s="85"/>
      <c r="U85" s="94"/>
      <c r="V85" s="93"/>
      <c r="W85" s="85"/>
      <c r="Y85" s="94"/>
      <c r="Z85" s="93"/>
      <c r="AA85" s="85"/>
      <c r="AC85" s="94"/>
      <c r="AD85" s="93"/>
      <c r="AE85" s="85"/>
    </row>
    <row r="86" spans="1:31" x14ac:dyDescent="0.35">
      <c r="A86" s="87"/>
      <c r="B86" s="87"/>
      <c r="C86" s="87"/>
      <c r="D86" s="87"/>
      <c r="G86" s="85"/>
      <c r="H86" s="87"/>
      <c r="I86" s="94"/>
      <c r="J86" s="93"/>
      <c r="K86" s="85"/>
      <c r="M86" s="94"/>
      <c r="N86" s="93"/>
      <c r="O86" s="85"/>
      <c r="Q86" s="94"/>
      <c r="R86" s="93"/>
      <c r="S86" s="85"/>
      <c r="U86" s="94"/>
      <c r="V86" s="93"/>
      <c r="W86" s="85"/>
      <c r="Y86" s="94"/>
      <c r="Z86" s="93"/>
      <c r="AA86" s="85"/>
      <c r="AC86" s="94"/>
      <c r="AD86" s="93"/>
      <c r="AE86" s="85"/>
    </row>
    <row r="87" spans="1:31" x14ac:dyDescent="0.35">
      <c r="A87" s="87"/>
      <c r="B87" s="87"/>
      <c r="C87" s="87"/>
      <c r="D87" s="87"/>
      <c r="G87" s="85"/>
      <c r="H87" s="87"/>
      <c r="I87" s="94"/>
      <c r="J87" s="93"/>
      <c r="K87" s="85"/>
      <c r="M87" s="94"/>
      <c r="N87" s="93"/>
      <c r="O87" s="85"/>
      <c r="Q87" s="94"/>
      <c r="R87" s="93"/>
      <c r="S87" s="85"/>
      <c r="U87" s="94"/>
      <c r="V87" s="93"/>
      <c r="W87" s="85"/>
      <c r="Y87" s="94"/>
      <c r="Z87" s="93"/>
      <c r="AA87" s="85"/>
      <c r="AC87" s="94"/>
      <c r="AD87" s="93"/>
      <c r="AE87" s="85"/>
    </row>
    <row r="88" spans="1:31" x14ac:dyDescent="0.35">
      <c r="A88" s="87"/>
      <c r="B88" s="87"/>
      <c r="C88" s="87"/>
      <c r="D88" s="87"/>
      <c r="G88" s="85"/>
      <c r="H88" s="87"/>
      <c r="I88" s="94"/>
      <c r="J88" s="93"/>
      <c r="K88" s="85"/>
      <c r="M88" s="94"/>
      <c r="N88" s="93"/>
      <c r="O88" s="85"/>
      <c r="Q88" s="94"/>
      <c r="R88" s="93"/>
      <c r="S88" s="85"/>
      <c r="U88" s="94"/>
      <c r="V88" s="93"/>
      <c r="W88" s="85"/>
      <c r="Y88" s="94"/>
      <c r="Z88" s="93"/>
      <c r="AA88" s="85"/>
      <c r="AC88" s="94"/>
      <c r="AD88" s="93"/>
      <c r="AE88" s="85"/>
    </row>
    <row r="89" spans="1:31" x14ac:dyDescent="0.35">
      <c r="A89" s="87"/>
      <c r="B89" s="87"/>
      <c r="C89" s="87"/>
      <c r="D89" s="87"/>
      <c r="G89" s="85"/>
      <c r="H89" s="87"/>
      <c r="I89" s="94"/>
      <c r="J89" s="93"/>
      <c r="K89" s="85"/>
      <c r="M89" s="94"/>
      <c r="N89" s="93"/>
      <c r="O89" s="85"/>
      <c r="Q89" s="94"/>
      <c r="R89" s="93"/>
      <c r="S89" s="85"/>
      <c r="U89" s="94"/>
      <c r="V89" s="93"/>
      <c r="W89" s="85"/>
      <c r="Y89" s="94"/>
      <c r="Z89" s="93"/>
      <c r="AA89" s="85"/>
      <c r="AC89" s="94"/>
      <c r="AD89" s="93"/>
      <c r="AE89" s="85"/>
    </row>
    <row r="90" spans="1:31" x14ac:dyDescent="0.35">
      <c r="A90" s="87"/>
      <c r="B90" s="87"/>
      <c r="C90" s="87"/>
      <c r="D90" s="87"/>
      <c r="G90" s="85"/>
      <c r="H90" s="87"/>
      <c r="I90" s="94"/>
      <c r="J90" s="93"/>
      <c r="K90" s="85"/>
      <c r="M90" s="94"/>
      <c r="N90" s="93"/>
      <c r="O90" s="85"/>
      <c r="Q90" s="94"/>
      <c r="R90" s="93"/>
      <c r="S90" s="85"/>
      <c r="U90" s="94"/>
      <c r="V90" s="93"/>
      <c r="W90" s="85"/>
      <c r="Y90" s="94"/>
      <c r="Z90" s="93"/>
      <c r="AA90" s="85"/>
      <c r="AC90" s="94"/>
      <c r="AD90" s="93"/>
      <c r="AE90" s="85"/>
    </row>
    <row r="91" spans="1:31" x14ac:dyDescent="0.35">
      <c r="A91" s="87"/>
      <c r="B91" s="87"/>
      <c r="C91" s="87"/>
      <c r="D91" s="87"/>
      <c r="G91" s="85"/>
      <c r="H91" s="87"/>
      <c r="I91" s="94"/>
      <c r="J91" s="93"/>
      <c r="K91" s="85"/>
      <c r="M91" s="94"/>
      <c r="N91" s="93"/>
      <c r="O91" s="85"/>
      <c r="Q91" s="94"/>
      <c r="R91" s="93"/>
      <c r="S91" s="85"/>
      <c r="U91" s="94"/>
      <c r="V91" s="93"/>
      <c r="W91" s="85"/>
      <c r="Y91" s="94"/>
      <c r="Z91" s="93"/>
      <c r="AA91" s="85"/>
      <c r="AC91" s="94"/>
      <c r="AD91" s="93"/>
      <c r="AE91" s="85"/>
    </row>
    <row r="92" spans="1:31" x14ac:dyDescent="0.35">
      <c r="A92" s="87"/>
      <c r="B92" s="87"/>
      <c r="C92" s="87"/>
      <c r="D92" s="87"/>
      <c r="G92" s="85"/>
      <c r="H92" s="87"/>
      <c r="I92" s="94"/>
      <c r="J92" s="93"/>
      <c r="K92" s="85"/>
      <c r="M92" s="94"/>
      <c r="N92" s="93"/>
      <c r="O92" s="85"/>
      <c r="Q92" s="94"/>
      <c r="R92" s="93"/>
      <c r="S92" s="85"/>
      <c r="U92" s="94"/>
      <c r="V92" s="93"/>
      <c r="W92" s="85"/>
      <c r="Y92" s="94"/>
      <c r="Z92" s="93"/>
      <c r="AA92" s="85"/>
      <c r="AC92" s="94"/>
      <c r="AD92" s="93"/>
      <c r="AE92" s="85"/>
    </row>
    <row r="93" spans="1:31" x14ac:dyDescent="0.35">
      <c r="A93" s="87"/>
      <c r="B93" s="87"/>
      <c r="C93" s="87"/>
      <c r="D93" s="87"/>
      <c r="G93" s="85"/>
      <c r="H93" s="87"/>
      <c r="I93" s="94"/>
      <c r="J93" s="93"/>
      <c r="K93" s="85"/>
      <c r="M93" s="94"/>
      <c r="N93" s="93"/>
      <c r="O93" s="85"/>
      <c r="Q93" s="94"/>
      <c r="R93" s="93"/>
      <c r="S93" s="85"/>
      <c r="U93" s="94"/>
      <c r="V93" s="93"/>
      <c r="W93" s="85"/>
      <c r="Y93" s="94"/>
      <c r="Z93" s="93"/>
      <c r="AA93" s="85"/>
      <c r="AC93" s="94"/>
      <c r="AD93" s="93"/>
      <c r="AE93" s="85"/>
    </row>
    <row r="94" spans="1:31" x14ac:dyDescent="0.35">
      <c r="A94" s="87"/>
      <c r="B94" s="87"/>
      <c r="C94" s="87"/>
      <c r="D94" s="87"/>
      <c r="G94" s="85"/>
      <c r="H94" s="87"/>
      <c r="I94" s="94"/>
      <c r="J94" s="93"/>
      <c r="K94" s="85"/>
      <c r="M94" s="94"/>
      <c r="N94" s="93"/>
      <c r="O94" s="85"/>
      <c r="Q94" s="94"/>
      <c r="R94" s="93"/>
      <c r="S94" s="85"/>
      <c r="U94" s="94"/>
      <c r="V94" s="93"/>
      <c r="W94" s="85"/>
      <c r="Y94" s="94"/>
      <c r="Z94" s="93"/>
      <c r="AA94" s="85"/>
      <c r="AC94" s="94"/>
      <c r="AD94" s="93"/>
      <c r="AE94" s="85"/>
    </row>
    <row r="95" spans="1:31" x14ac:dyDescent="0.35">
      <c r="A95" s="87"/>
      <c r="B95" s="87"/>
      <c r="C95" s="87"/>
      <c r="D95" s="87"/>
      <c r="G95" s="85"/>
      <c r="H95" s="87"/>
      <c r="I95" s="94"/>
      <c r="J95" s="93"/>
      <c r="K95" s="85"/>
      <c r="M95" s="94"/>
      <c r="N95" s="93"/>
      <c r="O95" s="85"/>
      <c r="Q95" s="94"/>
      <c r="R95" s="93"/>
      <c r="S95" s="85"/>
      <c r="U95" s="94"/>
      <c r="V95" s="93"/>
      <c r="W95" s="85"/>
      <c r="Y95" s="94"/>
      <c r="Z95" s="93"/>
      <c r="AA95" s="85"/>
      <c r="AC95" s="94"/>
      <c r="AD95" s="93"/>
      <c r="AE95" s="85"/>
    </row>
    <row r="96" spans="1:31" x14ac:dyDescent="0.35">
      <c r="A96" s="87"/>
      <c r="B96" s="87"/>
      <c r="C96" s="87"/>
      <c r="D96" s="87"/>
      <c r="G96" s="85"/>
      <c r="H96" s="87"/>
      <c r="I96" s="94"/>
      <c r="J96" s="93"/>
      <c r="K96" s="85"/>
      <c r="M96" s="94"/>
      <c r="N96" s="93"/>
      <c r="O96" s="85"/>
      <c r="Q96" s="94"/>
      <c r="R96" s="93"/>
      <c r="S96" s="85"/>
      <c r="U96" s="94"/>
      <c r="V96" s="93"/>
      <c r="W96" s="85"/>
      <c r="Y96" s="94"/>
      <c r="Z96" s="93"/>
      <c r="AA96" s="85"/>
      <c r="AC96" s="94"/>
      <c r="AD96" s="93"/>
      <c r="AE96" s="85"/>
    </row>
    <row r="97" spans="1:31" x14ac:dyDescent="0.35">
      <c r="A97" s="87"/>
      <c r="B97" s="87"/>
      <c r="C97" s="87"/>
      <c r="D97" s="87"/>
      <c r="G97" s="85"/>
      <c r="H97" s="87"/>
      <c r="I97" s="94"/>
      <c r="J97" s="93"/>
      <c r="K97" s="85"/>
      <c r="M97" s="94"/>
      <c r="N97" s="93"/>
      <c r="O97" s="85"/>
      <c r="Q97" s="94"/>
      <c r="R97" s="93"/>
      <c r="S97" s="85"/>
      <c r="U97" s="94"/>
      <c r="V97" s="93"/>
      <c r="W97" s="85"/>
      <c r="Y97" s="94"/>
      <c r="Z97" s="93"/>
      <c r="AA97" s="85"/>
      <c r="AC97" s="94"/>
      <c r="AD97" s="93"/>
      <c r="AE97" s="85"/>
    </row>
    <row r="98" spans="1:31" x14ac:dyDescent="0.35">
      <c r="A98" s="87"/>
      <c r="B98" s="87"/>
      <c r="C98" s="87"/>
      <c r="D98" s="87"/>
      <c r="G98" s="85"/>
      <c r="H98" s="87"/>
      <c r="I98" s="94"/>
      <c r="J98" s="93"/>
      <c r="K98" s="85"/>
      <c r="M98" s="94"/>
      <c r="N98" s="93"/>
      <c r="O98" s="85"/>
      <c r="Q98" s="94"/>
      <c r="R98" s="93"/>
      <c r="S98" s="85"/>
      <c r="U98" s="94"/>
      <c r="V98" s="93"/>
      <c r="W98" s="85"/>
      <c r="Y98" s="94"/>
      <c r="Z98" s="93"/>
      <c r="AA98" s="85"/>
      <c r="AC98" s="94"/>
      <c r="AD98" s="93"/>
      <c r="AE98" s="85"/>
    </row>
    <row r="99" spans="1:31" x14ac:dyDescent="0.35">
      <c r="A99" s="87"/>
      <c r="B99" s="87"/>
      <c r="C99" s="87"/>
      <c r="D99" s="87"/>
      <c r="G99" s="85"/>
      <c r="H99" s="87"/>
      <c r="I99" s="94"/>
      <c r="J99" s="93"/>
      <c r="K99" s="85"/>
      <c r="M99" s="94"/>
      <c r="N99" s="93"/>
      <c r="O99" s="85"/>
      <c r="Q99" s="94"/>
      <c r="R99" s="93"/>
      <c r="S99" s="85"/>
      <c r="U99" s="94"/>
      <c r="V99" s="93"/>
      <c r="W99" s="85"/>
      <c r="Y99" s="94"/>
      <c r="Z99" s="93"/>
      <c r="AA99" s="85"/>
      <c r="AC99" s="94"/>
      <c r="AD99" s="93"/>
      <c r="AE99" s="85"/>
    </row>
    <row r="100" spans="1:31" x14ac:dyDescent="0.35">
      <c r="A100" s="87"/>
      <c r="B100" s="87"/>
      <c r="C100" s="87"/>
      <c r="D100" s="87"/>
      <c r="G100" s="85"/>
      <c r="H100" s="87"/>
      <c r="I100" s="94"/>
      <c r="J100" s="93"/>
      <c r="K100" s="85"/>
      <c r="M100" s="94"/>
      <c r="N100" s="93"/>
      <c r="O100" s="85"/>
      <c r="Q100" s="94"/>
      <c r="R100" s="93"/>
      <c r="S100" s="85"/>
      <c r="U100" s="94"/>
      <c r="V100" s="93"/>
      <c r="W100" s="85"/>
      <c r="Y100" s="94"/>
      <c r="Z100" s="93"/>
      <c r="AA100" s="85"/>
      <c r="AC100" s="94"/>
      <c r="AD100" s="93"/>
      <c r="AE100" s="85"/>
    </row>
    <row r="101" spans="1:31" x14ac:dyDescent="0.35">
      <c r="A101" s="87"/>
      <c r="B101" s="87"/>
      <c r="C101" s="87"/>
      <c r="D101" s="87"/>
      <c r="G101" s="85"/>
      <c r="H101" s="87"/>
      <c r="I101" s="94"/>
      <c r="J101" s="93"/>
      <c r="K101" s="85"/>
      <c r="M101" s="94"/>
      <c r="N101" s="93"/>
      <c r="O101" s="85"/>
      <c r="Q101" s="94"/>
      <c r="R101" s="93"/>
      <c r="S101" s="85"/>
      <c r="U101" s="94"/>
      <c r="V101" s="93"/>
      <c r="W101" s="85"/>
      <c r="Y101" s="94"/>
      <c r="Z101" s="93"/>
      <c r="AA101" s="85"/>
      <c r="AC101" s="94"/>
      <c r="AD101" s="93"/>
      <c r="AE101" s="85"/>
    </row>
    <row r="102" spans="1:31" x14ac:dyDescent="0.35">
      <c r="A102" s="87"/>
      <c r="B102" s="87"/>
      <c r="C102" s="87"/>
      <c r="D102" s="87"/>
      <c r="G102" s="85"/>
      <c r="H102" s="87"/>
      <c r="I102" s="94"/>
      <c r="J102" s="93"/>
      <c r="K102" s="85"/>
      <c r="M102" s="94"/>
      <c r="N102" s="93"/>
      <c r="O102" s="85"/>
      <c r="Q102" s="94"/>
      <c r="R102" s="93"/>
      <c r="S102" s="85"/>
      <c r="U102" s="94"/>
      <c r="V102" s="93"/>
      <c r="W102" s="85"/>
      <c r="Y102" s="94"/>
      <c r="Z102" s="93"/>
      <c r="AA102" s="85"/>
      <c r="AC102" s="94"/>
      <c r="AD102" s="93"/>
      <c r="AE102" s="85"/>
    </row>
    <row r="103" spans="1:31" x14ac:dyDescent="0.35">
      <c r="A103" s="87"/>
      <c r="B103" s="87"/>
      <c r="C103" s="87"/>
      <c r="D103" s="87"/>
      <c r="G103" s="85"/>
      <c r="H103" s="87"/>
      <c r="I103" s="94"/>
      <c r="J103" s="93"/>
      <c r="K103" s="85"/>
      <c r="M103" s="94"/>
      <c r="N103" s="93"/>
      <c r="O103" s="85"/>
      <c r="Q103" s="94"/>
      <c r="R103" s="93"/>
      <c r="S103" s="85"/>
      <c r="U103" s="94"/>
      <c r="V103" s="93"/>
      <c r="W103" s="85"/>
      <c r="Y103" s="94"/>
      <c r="Z103" s="93"/>
      <c r="AA103" s="85"/>
      <c r="AC103" s="94"/>
      <c r="AD103" s="93"/>
      <c r="AE103" s="85"/>
    </row>
    <row r="104" spans="1:31" x14ac:dyDescent="0.35">
      <c r="A104" s="87"/>
      <c r="B104" s="87"/>
      <c r="C104" s="87"/>
      <c r="D104" s="87"/>
      <c r="G104" s="85"/>
      <c r="H104" s="87"/>
      <c r="I104" s="94"/>
      <c r="J104" s="93"/>
      <c r="K104" s="85"/>
      <c r="M104" s="94"/>
      <c r="N104" s="93"/>
      <c r="O104" s="85"/>
      <c r="Q104" s="94"/>
      <c r="R104" s="93"/>
      <c r="S104" s="85"/>
      <c r="U104" s="94"/>
      <c r="V104" s="93"/>
      <c r="W104" s="85"/>
      <c r="Y104" s="94"/>
      <c r="Z104" s="93"/>
      <c r="AA104" s="85"/>
      <c r="AC104" s="94"/>
      <c r="AD104" s="93"/>
      <c r="AE104" s="85"/>
    </row>
    <row r="105" spans="1:31" x14ac:dyDescent="0.35">
      <c r="A105" s="87"/>
      <c r="B105" s="87"/>
      <c r="C105" s="87"/>
      <c r="D105" s="87"/>
      <c r="G105" s="85"/>
      <c r="H105" s="87"/>
      <c r="I105" s="94"/>
      <c r="J105" s="93"/>
      <c r="K105" s="85"/>
      <c r="M105" s="94"/>
      <c r="N105" s="93"/>
      <c r="O105" s="85"/>
      <c r="Q105" s="94"/>
      <c r="R105" s="93"/>
      <c r="S105" s="85"/>
      <c r="U105" s="94"/>
      <c r="V105" s="93"/>
      <c r="W105" s="85"/>
      <c r="Y105" s="94"/>
      <c r="Z105" s="93"/>
      <c r="AA105" s="85"/>
      <c r="AC105" s="94"/>
      <c r="AD105" s="93"/>
      <c r="AE105" s="85"/>
    </row>
    <row r="106" spans="1:31" x14ac:dyDescent="0.35">
      <c r="A106" s="87"/>
      <c r="B106" s="87"/>
      <c r="C106" s="87"/>
      <c r="D106" s="87"/>
      <c r="G106" s="85"/>
      <c r="H106" s="87"/>
      <c r="I106" s="94"/>
      <c r="J106" s="93"/>
      <c r="K106" s="85"/>
      <c r="M106" s="94"/>
      <c r="N106" s="93"/>
      <c r="O106" s="85"/>
      <c r="Q106" s="94"/>
      <c r="R106" s="93"/>
      <c r="S106" s="85"/>
      <c r="U106" s="94"/>
      <c r="V106" s="93"/>
      <c r="W106" s="85"/>
      <c r="Y106" s="94"/>
      <c r="Z106" s="93"/>
      <c r="AA106" s="85"/>
      <c r="AC106" s="94"/>
      <c r="AD106" s="93"/>
      <c r="AE106" s="85"/>
    </row>
    <row r="107" spans="1:31" x14ac:dyDescent="0.35">
      <c r="A107" s="87"/>
      <c r="B107" s="87"/>
      <c r="C107" s="87"/>
      <c r="D107" s="87"/>
      <c r="G107" s="85"/>
      <c r="H107" s="87"/>
      <c r="I107" s="94"/>
      <c r="J107" s="93"/>
      <c r="K107" s="85"/>
      <c r="M107" s="94"/>
      <c r="N107" s="93"/>
      <c r="O107" s="85"/>
      <c r="Q107" s="94"/>
      <c r="R107" s="93"/>
      <c r="S107" s="85"/>
      <c r="U107" s="94"/>
      <c r="V107" s="93"/>
      <c r="W107" s="85"/>
      <c r="Y107" s="94"/>
      <c r="Z107" s="93"/>
      <c r="AA107" s="85"/>
      <c r="AC107" s="94"/>
      <c r="AD107" s="93"/>
      <c r="AE107" s="85"/>
    </row>
    <row r="108" spans="1:31" x14ac:dyDescent="0.35">
      <c r="A108" s="87"/>
      <c r="B108" s="87"/>
      <c r="C108" s="87"/>
      <c r="D108" s="87"/>
      <c r="G108" s="85"/>
      <c r="H108" s="87"/>
      <c r="I108" s="94"/>
      <c r="J108" s="93"/>
      <c r="K108" s="85"/>
      <c r="M108" s="94"/>
      <c r="N108" s="93"/>
      <c r="O108" s="85"/>
      <c r="Q108" s="94"/>
      <c r="R108" s="93"/>
      <c r="S108" s="85"/>
      <c r="U108" s="94"/>
      <c r="V108" s="93"/>
      <c r="W108" s="85"/>
      <c r="Y108" s="94"/>
      <c r="Z108" s="93"/>
      <c r="AA108" s="85"/>
      <c r="AC108" s="94"/>
      <c r="AD108" s="93"/>
      <c r="AE108" s="85"/>
    </row>
    <row r="109" spans="1:31" x14ac:dyDescent="0.35">
      <c r="A109" s="87"/>
      <c r="B109" s="87"/>
      <c r="C109" s="87"/>
      <c r="D109" s="87"/>
      <c r="G109" s="85"/>
      <c r="H109" s="87"/>
      <c r="I109" s="94"/>
      <c r="J109" s="93"/>
      <c r="K109" s="85"/>
      <c r="M109" s="94"/>
      <c r="N109" s="93"/>
      <c r="O109" s="85"/>
      <c r="Q109" s="94"/>
      <c r="R109" s="93"/>
      <c r="S109" s="85"/>
      <c r="U109" s="94"/>
      <c r="V109" s="93"/>
      <c r="W109" s="85"/>
      <c r="Y109" s="94"/>
      <c r="Z109" s="93"/>
      <c r="AA109" s="85"/>
      <c r="AC109" s="94"/>
      <c r="AD109" s="93"/>
      <c r="AE109" s="85"/>
    </row>
    <row r="110" spans="1:31" x14ac:dyDescent="0.35">
      <c r="A110" s="87"/>
      <c r="B110" s="87"/>
      <c r="C110" s="87"/>
      <c r="D110" s="87"/>
      <c r="G110" s="85"/>
      <c r="H110" s="87"/>
      <c r="I110" s="94"/>
      <c r="J110" s="93"/>
      <c r="K110" s="85"/>
      <c r="M110" s="94"/>
      <c r="N110" s="93"/>
      <c r="O110" s="85"/>
      <c r="Q110" s="94"/>
      <c r="R110" s="93"/>
      <c r="S110" s="85"/>
      <c r="U110" s="94"/>
      <c r="V110" s="93"/>
      <c r="W110" s="85"/>
      <c r="Y110" s="94"/>
      <c r="Z110" s="93"/>
      <c r="AA110" s="85"/>
      <c r="AC110" s="94"/>
      <c r="AD110" s="93"/>
      <c r="AE110" s="85"/>
    </row>
    <row r="111" spans="1:31" x14ac:dyDescent="0.35">
      <c r="A111" s="87"/>
      <c r="B111" s="87"/>
      <c r="C111" s="87"/>
      <c r="D111" s="87"/>
      <c r="G111" s="85"/>
      <c r="H111" s="87"/>
      <c r="I111" s="94"/>
      <c r="J111" s="93"/>
      <c r="K111" s="85"/>
      <c r="M111" s="94"/>
      <c r="N111" s="93"/>
      <c r="O111" s="85"/>
      <c r="Q111" s="94"/>
      <c r="R111" s="93"/>
      <c r="S111" s="85"/>
      <c r="U111" s="94"/>
      <c r="V111" s="93"/>
      <c r="W111" s="85"/>
      <c r="Y111" s="94"/>
      <c r="Z111" s="93"/>
      <c r="AA111" s="85"/>
      <c r="AC111" s="94"/>
      <c r="AD111" s="93"/>
      <c r="AE111" s="85"/>
    </row>
    <row r="112" spans="1:31" x14ac:dyDescent="0.35">
      <c r="A112" s="87"/>
      <c r="B112" s="87"/>
      <c r="C112" s="87"/>
      <c r="D112" s="87"/>
      <c r="G112" s="85"/>
      <c r="H112" s="87"/>
      <c r="I112" s="94"/>
      <c r="J112" s="93"/>
      <c r="K112" s="85"/>
      <c r="M112" s="94"/>
      <c r="N112" s="93"/>
      <c r="O112" s="85"/>
      <c r="Q112" s="94"/>
      <c r="R112" s="93"/>
      <c r="S112" s="85"/>
      <c r="U112" s="94"/>
      <c r="V112" s="93"/>
      <c r="W112" s="85"/>
      <c r="Y112" s="94"/>
      <c r="Z112" s="93"/>
      <c r="AA112" s="85"/>
      <c r="AC112" s="94"/>
      <c r="AD112" s="93"/>
      <c r="AE112" s="85"/>
    </row>
    <row r="113" spans="5:31" s="87" customFormat="1" x14ac:dyDescent="0.35">
      <c r="E113" s="85"/>
      <c r="F113" s="93"/>
      <c r="G113" s="85"/>
      <c r="I113" s="94"/>
      <c r="J113" s="93"/>
      <c r="K113" s="85"/>
      <c r="M113" s="94"/>
      <c r="N113" s="93"/>
      <c r="O113" s="85"/>
      <c r="Q113" s="94"/>
      <c r="R113" s="93"/>
      <c r="S113" s="85"/>
      <c r="U113" s="94"/>
      <c r="V113" s="93"/>
      <c r="W113" s="85"/>
      <c r="Y113" s="94"/>
      <c r="Z113" s="93"/>
      <c r="AA113" s="85"/>
      <c r="AC113" s="94"/>
      <c r="AD113" s="93"/>
      <c r="AE113" s="85"/>
    </row>
    <row r="114" spans="5:31" s="87" customFormat="1" x14ac:dyDescent="0.35">
      <c r="E114" s="85"/>
      <c r="F114" s="93"/>
      <c r="G114" s="85"/>
      <c r="I114" s="94"/>
      <c r="J114" s="93"/>
      <c r="K114" s="85"/>
      <c r="M114" s="94"/>
      <c r="N114" s="93"/>
      <c r="O114" s="85"/>
      <c r="Q114" s="94"/>
      <c r="R114" s="93"/>
      <c r="S114" s="85"/>
      <c r="U114" s="94"/>
      <c r="V114" s="93"/>
      <c r="W114" s="85"/>
      <c r="Y114" s="94"/>
      <c r="Z114" s="93"/>
      <c r="AA114" s="85"/>
      <c r="AC114" s="94"/>
      <c r="AD114" s="93"/>
      <c r="AE114" s="85"/>
    </row>
    <row r="115" spans="5:31" s="87" customFormat="1" x14ac:dyDescent="0.35">
      <c r="E115" s="85"/>
      <c r="F115" s="93"/>
      <c r="G115" s="85"/>
      <c r="I115" s="94"/>
      <c r="J115" s="93"/>
      <c r="K115" s="85"/>
      <c r="M115" s="94"/>
      <c r="N115" s="93"/>
      <c r="O115" s="85"/>
      <c r="Q115" s="94"/>
      <c r="R115" s="93"/>
      <c r="S115" s="85"/>
      <c r="U115" s="94"/>
      <c r="V115" s="93"/>
      <c r="W115" s="85"/>
      <c r="Y115" s="94"/>
      <c r="Z115" s="93"/>
      <c r="AA115" s="85"/>
      <c r="AC115" s="94"/>
      <c r="AD115" s="93"/>
      <c r="AE115" s="85"/>
    </row>
    <row r="116" spans="5:31" s="87" customFormat="1" x14ac:dyDescent="0.35">
      <c r="E116" s="85"/>
      <c r="F116" s="93"/>
      <c r="G116" s="85"/>
      <c r="I116" s="94"/>
      <c r="J116" s="93"/>
      <c r="K116" s="85"/>
      <c r="M116" s="94"/>
      <c r="N116" s="93"/>
      <c r="O116" s="85"/>
      <c r="Q116" s="94"/>
      <c r="R116" s="93"/>
      <c r="S116" s="85"/>
      <c r="U116" s="94"/>
      <c r="V116" s="93"/>
      <c r="W116" s="85"/>
      <c r="Y116" s="94"/>
      <c r="Z116" s="93"/>
      <c r="AA116" s="85"/>
      <c r="AC116" s="94"/>
      <c r="AD116" s="93"/>
      <c r="AE116" s="85"/>
    </row>
    <row r="117" spans="5:31" s="87" customFormat="1" x14ac:dyDescent="0.35">
      <c r="E117" s="85"/>
      <c r="F117" s="93"/>
      <c r="G117" s="85"/>
      <c r="I117" s="94"/>
      <c r="J117" s="93"/>
      <c r="K117" s="85"/>
      <c r="M117" s="94"/>
      <c r="N117" s="93"/>
      <c r="O117" s="85"/>
      <c r="Q117" s="94"/>
      <c r="R117" s="93"/>
      <c r="S117" s="85"/>
      <c r="U117" s="94"/>
      <c r="V117" s="93"/>
      <c r="W117" s="85"/>
      <c r="Y117" s="94"/>
      <c r="Z117" s="93"/>
      <c r="AA117" s="85"/>
      <c r="AC117" s="94"/>
      <c r="AD117" s="93"/>
      <c r="AE117" s="85"/>
    </row>
    <row r="118" spans="5:31" s="87" customFormat="1" x14ac:dyDescent="0.35">
      <c r="E118" s="85"/>
      <c r="F118" s="93"/>
      <c r="G118" s="85"/>
      <c r="I118" s="94"/>
      <c r="J118" s="93"/>
      <c r="K118" s="85"/>
      <c r="M118" s="94"/>
      <c r="N118" s="93"/>
      <c r="O118" s="85"/>
      <c r="Q118" s="94"/>
      <c r="R118" s="93"/>
      <c r="S118" s="85"/>
      <c r="U118" s="94"/>
      <c r="V118" s="93"/>
      <c r="W118" s="85"/>
      <c r="Y118" s="94"/>
      <c r="Z118" s="93"/>
      <c r="AA118" s="85"/>
      <c r="AC118" s="94"/>
      <c r="AD118" s="93"/>
      <c r="AE118" s="85"/>
    </row>
    <row r="119" spans="5:31" s="87" customFormat="1" x14ac:dyDescent="0.35">
      <c r="E119" s="85"/>
      <c r="F119" s="93"/>
      <c r="G119" s="85"/>
      <c r="I119" s="94"/>
      <c r="J119" s="93"/>
      <c r="K119" s="85"/>
      <c r="M119" s="94"/>
      <c r="N119" s="93"/>
      <c r="O119" s="85"/>
      <c r="Q119" s="94"/>
      <c r="R119" s="93"/>
      <c r="S119" s="85"/>
      <c r="U119" s="94"/>
      <c r="V119" s="93"/>
      <c r="W119" s="85"/>
      <c r="Y119" s="94"/>
      <c r="Z119" s="93"/>
      <c r="AA119" s="85"/>
      <c r="AC119" s="94"/>
      <c r="AD119" s="93"/>
      <c r="AE119" s="85"/>
    </row>
    <row r="120" spans="5:31" s="87" customFormat="1" x14ac:dyDescent="0.35">
      <c r="E120" s="85"/>
      <c r="F120" s="93"/>
      <c r="G120" s="85"/>
      <c r="I120" s="94"/>
      <c r="J120" s="93"/>
      <c r="K120" s="85"/>
      <c r="M120" s="94"/>
      <c r="N120" s="93"/>
      <c r="O120" s="85"/>
      <c r="Q120" s="94"/>
      <c r="R120" s="93"/>
      <c r="S120" s="85"/>
      <c r="U120" s="94"/>
      <c r="V120" s="93"/>
      <c r="W120" s="85"/>
      <c r="Y120" s="94"/>
      <c r="Z120" s="93"/>
      <c r="AA120" s="85"/>
      <c r="AC120" s="94"/>
      <c r="AD120" s="93"/>
      <c r="AE120" s="85"/>
    </row>
    <row r="121" spans="5:31" s="87" customFormat="1" x14ac:dyDescent="0.35">
      <c r="E121" s="85"/>
      <c r="F121" s="93"/>
      <c r="G121" s="85"/>
      <c r="I121" s="94"/>
      <c r="J121" s="93"/>
      <c r="K121" s="85"/>
      <c r="M121" s="94"/>
      <c r="N121" s="93"/>
      <c r="O121" s="85"/>
      <c r="Q121" s="94"/>
      <c r="R121" s="93"/>
      <c r="S121" s="85"/>
      <c r="U121" s="94"/>
      <c r="V121" s="93"/>
      <c r="W121" s="85"/>
      <c r="Y121" s="94"/>
      <c r="Z121" s="93"/>
      <c r="AA121" s="85"/>
      <c r="AC121" s="94"/>
      <c r="AD121" s="93"/>
      <c r="AE121" s="85"/>
    </row>
    <row r="122" spans="5:31" s="87" customFormat="1" x14ac:dyDescent="0.35">
      <c r="E122" s="85"/>
      <c r="F122" s="93"/>
      <c r="G122" s="85"/>
      <c r="I122" s="94"/>
      <c r="J122" s="93"/>
      <c r="K122" s="85"/>
      <c r="M122" s="94"/>
      <c r="N122" s="93"/>
      <c r="O122" s="85"/>
      <c r="Q122" s="94"/>
      <c r="R122" s="93"/>
      <c r="S122" s="85"/>
      <c r="U122" s="94"/>
      <c r="V122" s="93"/>
      <c r="W122" s="85"/>
      <c r="Y122" s="94"/>
      <c r="Z122" s="93"/>
      <c r="AA122" s="85"/>
      <c r="AC122" s="94"/>
      <c r="AD122" s="93"/>
      <c r="AE122" s="85"/>
    </row>
    <row r="123" spans="5:31" s="87" customFormat="1" x14ac:dyDescent="0.35">
      <c r="E123" s="85"/>
      <c r="F123" s="93"/>
      <c r="G123" s="85"/>
      <c r="I123" s="94"/>
      <c r="J123" s="93"/>
      <c r="K123" s="85"/>
      <c r="M123" s="94"/>
      <c r="N123" s="93"/>
      <c r="O123" s="85"/>
      <c r="Q123" s="94"/>
      <c r="R123" s="93"/>
      <c r="S123" s="85"/>
      <c r="U123" s="94"/>
      <c r="V123" s="93"/>
      <c r="W123" s="85"/>
      <c r="Y123" s="94"/>
      <c r="Z123" s="93"/>
      <c r="AA123" s="85"/>
      <c r="AC123" s="94"/>
      <c r="AD123" s="93"/>
      <c r="AE123" s="85"/>
    </row>
    <row r="124" spans="5:31" s="87" customFormat="1" x14ac:dyDescent="0.35">
      <c r="E124" s="85"/>
      <c r="F124" s="93"/>
      <c r="G124" s="85"/>
      <c r="I124" s="94"/>
      <c r="J124" s="93"/>
      <c r="K124" s="85"/>
      <c r="M124" s="94"/>
      <c r="N124" s="93"/>
      <c r="O124" s="85"/>
      <c r="Q124" s="94"/>
      <c r="R124" s="93"/>
      <c r="S124" s="85"/>
      <c r="U124" s="94"/>
      <c r="V124" s="93"/>
      <c r="W124" s="85"/>
      <c r="Y124" s="94"/>
      <c r="Z124" s="93"/>
      <c r="AA124" s="85"/>
      <c r="AC124" s="94"/>
      <c r="AD124" s="93"/>
      <c r="AE124" s="85"/>
    </row>
    <row r="125" spans="5:31" s="87" customFormat="1" x14ac:dyDescent="0.35">
      <c r="E125" s="85"/>
      <c r="F125" s="93"/>
      <c r="G125" s="85"/>
      <c r="I125" s="94"/>
      <c r="J125" s="93"/>
      <c r="K125" s="85"/>
      <c r="M125" s="94"/>
      <c r="N125" s="93"/>
      <c r="O125" s="85"/>
      <c r="Q125" s="94"/>
      <c r="R125" s="93"/>
      <c r="S125" s="85"/>
      <c r="U125" s="94"/>
      <c r="V125" s="93"/>
      <c r="W125" s="85"/>
      <c r="Y125" s="94"/>
      <c r="Z125" s="93"/>
      <c r="AA125" s="85"/>
      <c r="AC125" s="94"/>
      <c r="AD125" s="93"/>
      <c r="AE125" s="85"/>
    </row>
    <row r="126" spans="5:31" s="87" customFormat="1" x14ac:dyDescent="0.35">
      <c r="E126" s="85"/>
      <c r="F126" s="93"/>
      <c r="G126" s="85"/>
      <c r="I126" s="94"/>
      <c r="J126" s="93"/>
      <c r="K126" s="85"/>
      <c r="M126" s="94"/>
      <c r="N126" s="93"/>
      <c r="O126" s="85"/>
      <c r="Q126" s="94"/>
      <c r="R126" s="93"/>
      <c r="S126" s="85"/>
      <c r="U126" s="94"/>
      <c r="V126" s="93"/>
      <c r="W126" s="85"/>
      <c r="Y126" s="94"/>
      <c r="Z126" s="93"/>
      <c r="AA126" s="85"/>
      <c r="AC126" s="94"/>
      <c r="AD126" s="93"/>
      <c r="AE126" s="85"/>
    </row>
    <row r="127" spans="5:31" s="87" customFormat="1" x14ac:dyDescent="0.35">
      <c r="E127" s="85"/>
      <c r="F127" s="93"/>
      <c r="G127" s="85"/>
      <c r="I127" s="94"/>
      <c r="J127" s="93"/>
      <c r="K127" s="85"/>
      <c r="M127" s="94"/>
      <c r="N127" s="93"/>
      <c r="O127" s="85"/>
      <c r="Q127" s="94"/>
      <c r="R127" s="93"/>
      <c r="S127" s="85"/>
      <c r="U127" s="94"/>
      <c r="V127" s="93"/>
      <c r="W127" s="85"/>
      <c r="Y127" s="94"/>
      <c r="Z127" s="93"/>
      <c r="AA127" s="85"/>
      <c r="AC127" s="94"/>
      <c r="AD127" s="93"/>
      <c r="AE127" s="85"/>
    </row>
    <row r="128" spans="5:31" s="87" customFormat="1" x14ac:dyDescent="0.35">
      <c r="E128" s="85"/>
      <c r="F128" s="93"/>
      <c r="G128" s="85"/>
      <c r="I128" s="94"/>
      <c r="J128" s="93"/>
      <c r="K128" s="85"/>
      <c r="M128" s="94"/>
      <c r="N128" s="93"/>
      <c r="O128" s="85"/>
      <c r="Q128" s="94"/>
      <c r="R128" s="93"/>
      <c r="S128" s="85"/>
      <c r="U128" s="94"/>
      <c r="V128" s="93"/>
      <c r="W128" s="85"/>
      <c r="Y128" s="94"/>
      <c r="Z128" s="93"/>
      <c r="AA128" s="85"/>
      <c r="AC128" s="94"/>
      <c r="AD128" s="93"/>
      <c r="AE128" s="85"/>
    </row>
    <row r="129" spans="5:31" s="87" customFormat="1" x14ac:dyDescent="0.35">
      <c r="E129" s="85"/>
      <c r="F129" s="93"/>
      <c r="G129" s="85"/>
      <c r="I129" s="94"/>
      <c r="J129" s="93"/>
      <c r="K129" s="85"/>
      <c r="M129" s="94"/>
      <c r="N129" s="93"/>
      <c r="O129" s="85"/>
      <c r="Q129" s="94"/>
      <c r="R129" s="93"/>
      <c r="S129" s="85"/>
      <c r="U129" s="94"/>
      <c r="V129" s="93"/>
      <c r="W129" s="85"/>
      <c r="Y129" s="94"/>
      <c r="Z129" s="93"/>
      <c r="AA129" s="85"/>
      <c r="AC129" s="94"/>
      <c r="AD129" s="93"/>
      <c r="AE129" s="85"/>
    </row>
    <row r="130" spans="5:31" s="87" customFormat="1" x14ac:dyDescent="0.35">
      <c r="E130" s="85"/>
      <c r="F130" s="93"/>
      <c r="G130" s="85"/>
      <c r="I130" s="94"/>
      <c r="J130" s="93"/>
      <c r="K130" s="85"/>
      <c r="M130" s="94"/>
      <c r="N130" s="93"/>
      <c r="O130" s="85"/>
      <c r="Q130" s="94"/>
      <c r="R130" s="93"/>
      <c r="S130" s="85"/>
      <c r="U130" s="94"/>
      <c r="V130" s="93"/>
      <c r="W130" s="85"/>
      <c r="Y130" s="94"/>
      <c r="Z130" s="93"/>
      <c r="AA130" s="85"/>
      <c r="AC130" s="94"/>
      <c r="AD130" s="93"/>
      <c r="AE130" s="85"/>
    </row>
    <row r="131" spans="5:31" s="87" customFormat="1" x14ac:dyDescent="0.35">
      <c r="E131" s="85"/>
      <c r="F131" s="93"/>
      <c r="G131" s="85"/>
      <c r="I131" s="94"/>
      <c r="J131" s="93"/>
      <c r="K131" s="85"/>
      <c r="M131" s="94"/>
      <c r="N131" s="93"/>
      <c r="O131" s="85"/>
      <c r="Q131" s="94"/>
      <c r="R131" s="93"/>
      <c r="S131" s="85"/>
      <c r="U131" s="94"/>
      <c r="V131" s="93"/>
      <c r="W131" s="85"/>
      <c r="Y131" s="94"/>
      <c r="Z131" s="93"/>
      <c r="AA131" s="85"/>
      <c r="AC131" s="94"/>
      <c r="AD131" s="93"/>
      <c r="AE131" s="85"/>
    </row>
    <row r="132" spans="5:31" s="87" customFormat="1" x14ac:dyDescent="0.35">
      <c r="E132" s="85"/>
      <c r="F132" s="93"/>
      <c r="G132" s="85"/>
      <c r="I132" s="94"/>
      <c r="J132" s="93"/>
      <c r="K132" s="85"/>
      <c r="M132" s="94"/>
      <c r="N132" s="93"/>
      <c r="O132" s="85"/>
      <c r="Q132" s="94"/>
      <c r="R132" s="93"/>
      <c r="S132" s="85"/>
      <c r="U132" s="94"/>
      <c r="V132" s="93"/>
      <c r="W132" s="85"/>
      <c r="Y132" s="94"/>
      <c r="Z132" s="93"/>
      <c r="AA132" s="85"/>
      <c r="AC132" s="94"/>
      <c r="AD132" s="93"/>
      <c r="AE132" s="85"/>
    </row>
    <row r="133" spans="5:31" s="87" customFormat="1" x14ac:dyDescent="0.35">
      <c r="E133" s="85"/>
      <c r="F133" s="93"/>
      <c r="G133" s="85"/>
      <c r="I133" s="94"/>
      <c r="J133" s="93"/>
      <c r="K133" s="85"/>
      <c r="M133" s="94"/>
      <c r="N133" s="93"/>
      <c r="O133" s="85"/>
      <c r="Q133" s="94"/>
      <c r="R133" s="93"/>
      <c r="S133" s="85"/>
      <c r="U133" s="94"/>
      <c r="V133" s="93"/>
      <c r="W133" s="85"/>
      <c r="Y133" s="94"/>
      <c r="Z133" s="93"/>
      <c r="AA133" s="85"/>
      <c r="AC133" s="94"/>
      <c r="AD133" s="93"/>
      <c r="AE133" s="85"/>
    </row>
    <row r="134" spans="5:31" s="87" customFormat="1" x14ac:dyDescent="0.35">
      <c r="E134" s="85"/>
      <c r="F134" s="93"/>
      <c r="G134" s="85"/>
      <c r="I134" s="94"/>
      <c r="J134" s="93"/>
      <c r="K134" s="85"/>
      <c r="M134" s="94"/>
      <c r="N134" s="93"/>
      <c r="O134" s="85"/>
      <c r="Q134" s="94"/>
      <c r="R134" s="93"/>
      <c r="S134" s="85"/>
      <c r="U134" s="94"/>
      <c r="V134" s="93"/>
      <c r="W134" s="85"/>
      <c r="Y134" s="94"/>
      <c r="Z134" s="93"/>
      <c r="AA134" s="85"/>
      <c r="AC134" s="94"/>
      <c r="AD134" s="93"/>
      <c r="AE134" s="85"/>
    </row>
    <row r="135" spans="5:31" s="87" customFormat="1" x14ac:dyDescent="0.35">
      <c r="E135" s="85"/>
      <c r="F135" s="93"/>
      <c r="G135" s="85"/>
      <c r="I135" s="94"/>
      <c r="J135" s="93"/>
      <c r="K135" s="85"/>
      <c r="M135" s="94"/>
      <c r="N135" s="93"/>
      <c r="O135" s="85"/>
      <c r="Q135" s="94"/>
      <c r="R135" s="93"/>
      <c r="S135" s="85"/>
      <c r="U135" s="94"/>
      <c r="V135" s="93"/>
      <c r="W135" s="85"/>
      <c r="Y135" s="94"/>
      <c r="Z135" s="93"/>
      <c r="AA135" s="85"/>
      <c r="AC135" s="94"/>
      <c r="AD135" s="93"/>
      <c r="AE135" s="85"/>
    </row>
    <row r="136" spans="5:31" s="87" customFormat="1" x14ac:dyDescent="0.35">
      <c r="E136" s="85"/>
      <c r="F136" s="93"/>
      <c r="G136" s="85"/>
      <c r="I136" s="94"/>
      <c r="J136" s="93"/>
      <c r="K136" s="85"/>
      <c r="M136" s="94"/>
      <c r="N136" s="93"/>
      <c r="O136" s="85"/>
      <c r="Q136" s="94"/>
      <c r="R136" s="93"/>
      <c r="S136" s="85"/>
      <c r="U136" s="94"/>
      <c r="V136" s="93"/>
      <c r="W136" s="85"/>
      <c r="Y136" s="94"/>
      <c r="Z136" s="93"/>
      <c r="AA136" s="85"/>
      <c r="AC136" s="94"/>
      <c r="AD136" s="93"/>
      <c r="AE136" s="85"/>
    </row>
    <row r="137" spans="5:31" s="87" customFormat="1" x14ac:dyDescent="0.35">
      <c r="E137" s="85"/>
      <c r="F137" s="93"/>
      <c r="G137" s="85"/>
      <c r="I137" s="94"/>
      <c r="J137" s="93"/>
      <c r="K137" s="85"/>
      <c r="M137" s="94"/>
      <c r="N137" s="93"/>
      <c r="O137" s="85"/>
      <c r="Q137" s="94"/>
      <c r="R137" s="93"/>
      <c r="S137" s="85"/>
      <c r="U137" s="94"/>
      <c r="V137" s="93"/>
      <c r="W137" s="85"/>
      <c r="Y137" s="94"/>
      <c r="Z137" s="93"/>
      <c r="AA137" s="85"/>
      <c r="AC137" s="94"/>
      <c r="AD137" s="93"/>
      <c r="AE137" s="85"/>
    </row>
    <row r="138" spans="5:31" s="87" customFormat="1" x14ac:dyDescent="0.35">
      <c r="E138" s="85"/>
      <c r="F138" s="93"/>
      <c r="G138" s="85"/>
      <c r="I138" s="94"/>
      <c r="J138" s="93"/>
      <c r="K138" s="85"/>
      <c r="M138" s="94"/>
      <c r="N138" s="93"/>
      <c r="O138" s="85"/>
      <c r="Q138" s="94"/>
      <c r="R138" s="93"/>
      <c r="S138" s="85"/>
      <c r="U138" s="94"/>
      <c r="V138" s="93"/>
      <c r="W138" s="85"/>
      <c r="Y138" s="94"/>
      <c r="Z138" s="93"/>
      <c r="AA138" s="85"/>
      <c r="AC138" s="94"/>
      <c r="AD138" s="93"/>
      <c r="AE138" s="85"/>
    </row>
    <row r="139" spans="5:31" s="87" customFormat="1" x14ac:dyDescent="0.35">
      <c r="E139" s="85"/>
      <c r="F139" s="93"/>
      <c r="G139" s="85"/>
      <c r="I139" s="94"/>
      <c r="J139" s="93"/>
      <c r="K139" s="85"/>
      <c r="M139" s="94"/>
      <c r="N139" s="93"/>
      <c r="O139" s="85"/>
      <c r="Q139" s="94"/>
      <c r="R139" s="93"/>
      <c r="S139" s="85"/>
      <c r="U139" s="94"/>
      <c r="V139" s="93"/>
      <c r="W139" s="85"/>
      <c r="Y139" s="94"/>
      <c r="Z139" s="93"/>
      <c r="AA139" s="85"/>
      <c r="AC139" s="94"/>
      <c r="AD139" s="93"/>
      <c r="AE139" s="85"/>
    </row>
    <row r="140" spans="5:31" s="87" customFormat="1" x14ac:dyDescent="0.35">
      <c r="E140" s="85"/>
      <c r="F140" s="93"/>
      <c r="G140" s="85"/>
      <c r="I140" s="94"/>
      <c r="J140" s="93"/>
      <c r="K140" s="85"/>
      <c r="M140" s="94"/>
      <c r="N140" s="93"/>
      <c r="O140" s="85"/>
      <c r="Q140" s="94"/>
      <c r="R140" s="93"/>
      <c r="S140" s="85"/>
      <c r="U140" s="94"/>
      <c r="V140" s="93"/>
      <c r="W140" s="85"/>
      <c r="Y140" s="94"/>
      <c r="Z140" s="93"/>
      <c r="AA140" s="85"/>
      <c r="AC140" s="94"/>
      <c r="AD140" s="93"/>
      <c r="AE140" s="85"/>
    </row>
    <row r="141" spans="5:31" s="87" customFormat="1" x14ac:dyDescent="0.35">
      <c r="E141" s="85"/>
      <c r="F141" s="93"/>
      <c r="G141" s="85"/>
      <c r="I141" s="94"/>
      <c r="J141" s="93"/>
      <c r="K141" s="85"/>
      <c r="M141" s="94"/>
      <c r="N141" s="93"/>
      <c r="O141" s="85"/>
      <c r="Q141" s="94"/>
      <c r="R141" s="93"/>
      <c r="S141" s="85"/>
      <c r="U141" s="94"/>
      <c r="V141" s="93"/>
      <c r="W141" s="85"/>
      <c r="Y141" s="94"/>
      <c r="Z141" s="93"/>
      <c r="AA141" s="85"/>
      <c r="AC141" s="94"/>
      <c r="AD141" s="93"/>
      <c r="AE141" s="85"/>
    </row>
    <row r="142" spans="5:31" s="87" customFormat="1" x14ac:dyDescent="0.35">
      <c r="E142" s="85"/>
      <c r="F142" s="93"/>
      <c r="G142" s="85"/>
      <c r="I142" s="94"/>
      <c r="J142" s="93"/>
      <c r="K142" s="85"/>
      <c r="M142" s="94"/>
      <c r="N142" s="93"/>
      <c r="O142" s="85"/>
      <c r="Q142" s="94"/>
      <c r="R142" s="93"/>
      <c r="S142" s="85"/>
      <c r="U142" s="94"/>
      <c r="V142" s="93"/>
      <c r="W142" s="85"/>
      <c r="Y142" s="94"/>
      <c r="Z142" s="93"/>
      <c r="AA142" s="85"/>
      <c r="AC142" s="94"/>
      <c r="AD142" s="93"/>
      <c r="AE142" s="85"/>
    </row>
    <row r="143" spans="5:31" s="87" customFormat="1" x14ac:dyDescent="0.35">
      <c r="E143" s="85"/>
      <c r="F143" s="93"/>
      <c r="G143" s="85"/>
      <c r="I143" s="94"/>
      <c r="J143" s="93"/>
      <c r="K143" s="85"/>
      <c r="M143" s="94"/>
      <c r="N143" s="93"/>
      <c r="O143" s="85"/>
      <c r="Q143" s="94"/>
      <c r="R143" s="93"/>
      <c r="S143" s="85"/>
      <c r="U143" s="94"/>
      <c r="V143" s="93"/>
      <c r="W143" s="85"/>
      <c r="Y143" s="94"/>
      <c r="Z143" s="93"/>
      <c r="AA143" s="85"/>
      <c r="AC143" s="94"/>
      <c r="AD143" s="93"/>
      <c r="AE143" s="85"/>
    </row>
    <row r="144" spans="5:31" s="87" customFormat="1" x14ac:dyDescent="0.35">
      <c r="E144" s="85"/>
      <c r="F144" s="93"/>
      <c r="G144" s="85"/>
      <c r="I144" s="94"/>
      <c r="J144" s="93"/>
      <c r="K144" s="85"/>
      <c r="M144" s="94"/>
      <c r="N144" s="93"/>
      <c r="O144" s="85"/>
      <c r="Q144" s="94"/>
      <c r="R144" s="93"/>
      <c r="S144" s="85"/>
      <c r="U144" s="94"/>
      <c r="V144" s="93"/>
      <c r="W144" s="85"/>
      <c r="Y144" s="94"/>
      <c r="Z144" s="93"/>
      <c r="AA144" s="85"/>
      <c r="AC144" s="94"/>
      <c r="AD144" s="93"/>
      <c r="AE144" s="85"/>
    </row>
    <row r="145" spans="5:31" s="87" customFormat="1" x14ac:dyDescent="0.35">
      <c r="E145" s="85"/>
      <c r="F145" s="93"/>
      <c r="G145" s="85"/>
      <c r="I145" s="94"/>
      <c r="J145" s="93"/>
      <c r="K145" s="85"/>
      <c r="M145" s="94"/>
      <c r="N145" s="93"/>
      <c r="O145" s="85"/>
      <c r="Q145" s="94"/>
      <c r="R145" s="93"/>
      <c r="S145" s="85"/>
      <c r="U145" s="94"/>
      <c r="V145" s="93"/>
      <c r="W145" s="85"/>
      <c r="Y145" s="94"/>
      <c r="Z145" s="93"/>
      <c r="AA145" s="85"/>
      <c r="AC145" s="94"/>
      <c r="AD145" s="93"/>
      <c r="AE145" s="85"/>
    </row>
    <row r="146" spans="5:31" s="87" customFormat="1" x14ac:dyDescent="0.35">
      <c r="E146" s="85"/>
      <c r="F146" s="93"/>
      <c r="G146" s="85"/>
      <c r="I146" s="94"/>
      <c r="J146" s="93"/>
      <c r="K146" s="85"/>
      <c r="M146" s="94"/>
      <c r="N146" s="93"/>
      <c r="O146" s="85"/>
      <c r="Q146" s="94"/>
      <c r="R146" s="93"/>
      <c r="S146" s="85"/>
      <c r="U146" s="94"/>
      <c r="V146" s="93"/>
      <c r="W146" s="85"/>
      <c r="Y146" s="94"/>
      <c r="Z146" s="93"/>
      <c r="AA146" s="85"/>
      <c r="AC146" s="94"/>
      <c r="AD146" s="93"/>
      <c r="AE146" s="85"/>
    </row>
    <row r="147" spans="5:31" s="87" customFormat="1" x14ac:dyDescent="0.35">
      <c r="E147" s="85"/>
      <c r="F147" s="93"/>
      <c r="G147" s="85"/>
      <c r="I147" s="94"/>
      <c r="J147" s="93"/>
      <c r="K147" s="85"/>
      <c r="M147" s="94"/>
      <c r="N147" s="93"/>
      <c r="O147" s="85"/>
      <c r="Q147" s="94"/>
      <c r="R147" s="93"/>
      <c r="S147" s="85"/>
      <c r="U147" s="94"/>
      <c r="V147" s="93"/>
      <c r="W147" s="85"/>
      <c r="Y147" s="94"/>
      <c r="Z147" s="93"/>
      <c r="AA147" s="85"/>
      <c r="AC147" s="94"/>
      <c r="AD147" s="93"/>
      <c r="AE147" s="85"/>
    </row>
    <row r="148" spans="5:31" s="87" customFormat="1" x14ac:dyDescent="0.35">
      <c r="E148" s="85"/>
      <c r="F148" s="93"/>
      <c r="G148" s="85"/>
      <c r="I148" s="94"/>
      <c r="J148" s="93"/>
      <c r="K148" s="85"/>
      <c r="M148" s="94"/>
      <c r="N148" s="93"/>
      <c r="O148" s="85"/>
      <c r="Q148" s="94"/>
      <c r="R148" s="93"/>
      <c r="S148" s="85"/>
      <c r="U148" s="94"/>
      <c r="V148" s="93"/>
      <c r="W148" s="85"/>
      <c r="Y148" s="94"/>
      <c r="Z148" s="93"/>
      <c r="AA148" s="85"/>
      <c r="AC148" s="94"/>
      <c r="AD148" s="93"/>
      <c r="AE148" s="85"/>
    </row>
    <row r="149" spans="5:31" s="87" customFormat="1" x14ac:dyDescent="0.35">
      <c r="E149" s="85"/>
      <c r="F149" s="93"/>
      <c r="G149" s="85"/>
      <c r="I149" s="94"/>
      <c r="J149" s="93"/>
      <c r="K149" s="85"/>
      <c r="M149" s="94"/>
      <c r="N149" s="93"/>
      <c r="O149" s="85"/>
      <c r="Q149" s="94"/>
      <c r="R149" s="93"/>
      <c r="S149" s="85"/>
      <c r="U149" s="94"/>
      <c r="V149" s="93"/>
      <c r="W149" s="85"/>
      <c r="Y149" s="94"/>
      <c r="Z149" s="93"/>
      <c r="AA149" s="85"/>
      <c r="AC149" s="94"/>
      <c r="AD149" s="93"/>
      <c r="AE149" s="85"/>
    </row>
    <row r="150" spans="5:31" s="87" customFormat="1" x14ac:dyDescent="0.35">
      <c r="E150" s="85"/>
      <c r="F150" s="93"/>
      <c r="G150" s="85"/>
      <c r="I150" s="94"/>
      <c r="J150" s="93"/>
      <c r="K150" s="85"/>
      <c r="M150" s="94"/>
      <c r="N150" s="93"/>
      <c r="O150" s="85"/>
      <c r="Q150" s="94"/>
      <c r="R150" s="93"/>
      <c r="S150" s="85"/>
      <c r="U150" s="94"/>
      <c r="V150" s="93"/>
      <c r="W150" s="85"/>
      <c r="Y150" s="94"/>
      <c r="Z150" s="93"/>
      <c r="AA150" s="85"/>
      <c r="AC150" s="94"/>
      <c r="AD150" s="93"/>
      <c r="AE150" s="85"/>
    </row>
    <row r="151" spans="5:31" s="87" customFormat="1" x14ac:dyDescent="0.35">
      <c r="E151" s="85"/>
      <c r="F151" s="93"/>
      <c r="G151" s="85"/>
      <c r="I151" s="94"/>
      <c r="J151" s="93"/>
      <c r="K151" s="85"/>
      <c r="M151" s="94"/>
      <c r="N151" s="93"/>
      <c r="O151" s="85"/>
      <c r="Q151" s="94"/>
      <c r="R151" s="93"/>
      <c r="S151" s="85"/>
      <c r="U151" s="94"/>
      <c r="V151" s="93"/>
      <c r="W151" s="85"/>
      <c r="Y151" s="94"/>
      <c r="Z151" s="93"/>
      <c r="AA151" s="85"/>
      <c r="AC151" s="94"/>
      <c r="AD151" s="93"/>
      <c r="AE151" s="85"/>
    </row>
    <row r="152" spans="5:31" s="87" customFormat="1" x14ac:dyDescent="0.35">
      <c r="E152" s="85"/>
      <c r="F152" s="93"/>
      <c r="G152" s="85"/>
      <c r="I152" s="94"/>
      <c r="J152" s="93"/>
      <c r="K152" s="85"/>
      <c r="M152" s="94"/>
      <c r="N152" s="93"/>
      <c r="O152" s="85"/>
      <c r="Q152" s="94"/>
      <c r="R152" s="93"/>
      <c r="S152" s="85"/>
      <c r="U152" s="94"/>
      <c r="V152" s="93"/>
      <c r="W152" s="85"/>
      <c r="Y152" s="94"/>
      <c r="Z152" s="93"/>
      <c r="AA152" s="85"/>
      <c r="AC152" s="94"/>
      <c r="AD152" s="93"/>
      <c r="AE152" s="85"/>
    </row>
    <row r="153" spans="5:31" s="87" customFormat="1" x14ac:dyDescent="0.35">
      <c r="E153" s="85"/>
      <c r="F153" s="93"/>
      <c r="G153" s="85"/>
      <c r="I153" s="94"/>
      <c r="J153" s="93"/>
      <c r="K153" s="85"/>
      <c r="M153" s="94"/>
      <c r="N153" s="93"/>
      <c r="O153" s="85"/>
      <c r="Q153" s="94"/>
      <c r="R153" s="93"/>
      <c r="S153" s="85"/>
      <c r="U153" s="94"/>
      <c r="V153" s="93"/>
      <c r="W153" s="85"/>
      <c r="Y153" s="94"/>
      <c r="Z153" s="93"/>
      <c r="AA153" s="85"/>
      <c r="AC153" s="94"/>
      <c r="AD153" s="93"/>
      <c r="AE153" s="85"/>
    </row>
    <row r="154" spans="5:31" s="87" customFormat="1" x14ac:dyDescent="0.35">
      <c r="E154" s="85"/>
      <c r="F154" s="93"/>
      <c r="G154" s="85"/>
      <c r="I154" s="94"/>
      <c r="J154" s="93"/>
      <c r="K154" s="85"/>
      <c r="M154" s="94"/>
      <c r="N154" s="93"/>
      <c r="O154" s="85"/>
      <c r="Q154" s="94"/>
      <c r="R154" s="93"/>
      <c r="S154" s="85"/>
      <c r="U154" s="94"/>
      <c r="V154" s="93"/>
      <c r="W154" s="85"/>
      <c r="Y154" s="94"/>
      <c r="Z154" s="93"/>
      <c r="AA154" s="85"/>
      <c r="AC154" s="94"/>
      <c r="AD154" s="93"/>
      <c r="AE154" s="85"/>
    </row>
    <row r="155" spans="5:31" s="87" customFormat="1" x14ac:dyDescent="0.35">
      <c r="E155" s="85"/>
      <c r="F155" s="93"/>
      <c r="G155" s="85"/>
      <c r="I155" s="94"/>
      <c r="J155" s="93"/>
      <c r="K155" s="85"/>
      <c r="M155" s="94"/>
      <c r="N155" s="93"/>
      <c r="O155" s="85"/>
      <c r="Q155" s="94"/>
      <c r="R155" s="93"/>
      <c r="S155" s="85"/>
      <c r="U155" s="94"/>
      <c r="V155" s="93"/>
      <c r="W155" s="85"/>
      <c r="Y155" s="94"/>
      <c r="Z155" s="93"/>
      <c r="AA155" s="85"/>
      <c r="AC155" s="94"/>
      <c r="AD155" s="93"/>
      <c r="AE155" s="85"/>
    </row>
    <row r="156" spans="5:31" s="87" customFormat="1" x14ac:dyDescent="0.35">
      <c r="E156" s="85"/>
      <c r="F156" s="93"/>
      <c r="G156" s="85"/>
      <c r="I156" s="94"/>
      <c r="J156" s="93"/>
      <c r="K156" s="85"/>
      <c r="M156" s="94"/>
      <c r="N156" s="93"/>
      <c r="O156" s="85"/>
      <c r="Q156" s="94"/>
      <c r="R156" s="93"/>
      <c r="S156" s="85"/>
      <c r="U156" s="94"/>
      <c r="V156" s="93"/>
      <c r="W156" s="85"/>
      <c r="Y156" s="94"/>
      <c r="Z156" s="93"/>
      <c r="AA156" s="85"/>
      <c r="AC156" s="94"/>
      <c r="AD156" s="93"/>
      <c r="AE156" s="85"/>
    </row>
    <row r="157" spans="5:31" s="87" customFormat="1" x14ac:dyDescent="0.35">
      <c r="E157" s="85"/>
      <c r="F157" s="93"/>
      <c r="G157" s="85"/>
      <c r="I157" s="94"/>
      <c r="J157" s="93"/>
      <c r="K157" s="85"/>
      <c r="M157" s="94"/>
      <c r="N157" s="93"/>
      <c r="O157" s="85"/>
      <c r="Q157" s="94"/>
      <c r="R157" s="93"/>
      <c r="S157" s="85"/>
      <c r="U157" s="94"/>
      <c r="V157" s="93"/>
      <c r="W157" s="85"/>
      <c r="Y157" s="94"/>
      <c r="Z157" s="93"/>
      <c r="AA157" s="85"/>
      <c r="AC157" s="94"/>
      <c r="AD157" s="93"/>
      <c r="AE157" s="85"/>
    </row>
    <row r="158" spans="5:31" s="87" customFormat="1" x14ac:dyDescent="0.35">
      <c r="E158" s="85"/>
      <c r="F158" s="93"/>
      <c r="G158" s="85"/>
      <c r="I158" s="94"/>
      <c r="J158" s="93"/>
      <c r="K158" s="85"/>
      <c r="M158" s="94"/>
      <c r="N158" s="93"/>
      <c r="O158" s="85"/>
      <c r="Q158" s="94"/>
      <c r="R158" s="93"/>
      <c r="S158" s="85"/>
      <c r="U158" s="94"/>
      <c r="V158" s="93"/>
      <c r="W158" s="85"/>
      <c r="Y158" s="94"/>
      <c r="Z158" s="93"/>
      <c r="AA158" s="85"/>
      <c r="AC158" s="94"/>
      <c r="AD158" s="93"/>
      <c r="AE158" s="85"/>
    </row>
    <row r="159" spans="5:31" s="87" customFormat="1" x14ac:dyDescent="0.35">
      <c r="E159" s="85"/>
      <c r="F159" s="93"/>
      <c r="G159" s="85"/>
      <c r="I159" s="94"/>
      <c r="J159" s="93"/>
      <c r="K159" s="85"/>
      <c r="M159" s="94"/>
      <c r="N159" s="93"/>
      <c r="O159" s="85"/>
      <c r="Q159" s="94"/>
      <c r="R159" s="93"/>
      <c r="S159" s="85"/>
      <c r="U159" s="94"/>
      <c r="V159" s="93"/>
      <c r="W159" s="85"/>
      <c r="Y159" s="94"/>
      <c r="Z159" s="93"/>
      <c r="AA159" s="85"/>
      <c r="AC159" s="94"/>
      <c r="AD159" s="93"/>
      <c r="AE159" s="85"/>
    </row>
    <row r="160" spans="5:31" s="87" customFormat="1" x14ac:dyDescent="0.35">
      <c r="E160" s="85"/>
      <c r="F160" s="93"/>
      <c r="G160" s="85"/>
      <c r="I160" s="94"/>
      <c r="J160" s="93"/>
      <c r="K160" s="85"/>
      <c r="M160" s="94"/>
      <c r="N160" s="93"/>
      <c r="O160" s="85"/>
      <c r="Q160" s="94"/>
      <c r="R160" s="93"/>
      <c r="S160" s="85"/>
      <c r="U160" s="94"/>
      <c r="V160" s="93"/>
      <c r="W160" s="85"/>
      <c r="Y160" s="94"/>
      <c r="Z160" s="93"/>
      <c r="AA160" s="85"/>
      <c r="AC160" s="94"/>
      <c r="AD160" s="93"/>
      <c r="AE160" s="85"/>
    </row>
    <row r="161" spans="5:31" s="87" customFormat="1" x14ac:dyDescent="0.35">
      <c r="E161" s="85"/>
      <c r="F161" s="93"/>
      <c r="G161" s="85"/>
      <c r="I161" s="94"/>
      <c r="J161" s="93"/>
      <c r="K161" s="85"/>
      <c r="M161" s="94"/>
      <c r="N161" s="93"/>
      <c r="O161" s="85"/>
      <c r="Q161" s="94"/>
      <c r="R161" s="93"/>
      <c r="S161" s="85"/>
      <c r="U161" s="94"/>
      <c r="V161" s="93"/>
      <c r="W161" s="85"/>
      <c r="Y161" s="94"/>
      <c r="Z161" s="93"/>
      <c r="AA161" s="85"/>
      <c r="AC161" s="94"/>
      <c r="AD161" s="93"/>
      <c r="AE161" s="85"/>
    </row>
    <row r="162" spans="5:31" s="87" customFormat="1" x14ac:dyDescent="0.35">
      <c r="E162" s="85"/>
      <c r="F162" s="93"/>
      <c r="G162" s="85"/>
      <c r="I162" s="94"/>
      <c r="J162" s="93"/>
      <c r="K162" s="85"/>
      <c r="M162" s="94"/>
      <c r="N162" s="93"/>
      <c r="O162" s="85"/>
      <c r="Q162" s="94"/>
      <c r="R162" s="93"/>
      <c r="S162" s="85"/>
      <c r="U162" s="94"/>
      <c r="V162" s="93"/>
      <c r="W162" s="85"/>
      <c r="Y162" s="94"/>
      <c r="Z162" s="93"/>
      <c r="AA162" s="85"/>
      <c r="AC162" s="94"/>
      <c r="AD162" s="93"/>
      <c r="AE162" s="85"/>
    </row>
    <row r="163" spans="5:31" s="87" customFormat="1" x14ac:dyDescent="0.35">
      <c r="E163" s="85"/>
      <c r="F163" s="93"/>
      <c r="G163" s="85"/>
      <c r="I163" s="94"/>
      <c r="J163" s="93"/>
      <c r="K163" s="85"/>
      <c r="M163" s="94"/>
      <c r="N163" s="93"/>
      <c r="O163" s="85"/>
      <c r="Q163" s="94"/>
      <c r="R163" s="93"/>
      <c r="S163" s="85"/>
      <c r="U163" s="94"/>
      <c r="V163" s="93"/>
      <c r="W163" s="85"/>
      <c r="Y163" s="94"/>
      <c r="Z163" s="93"/>
      <c r="AA163" s="85"/>
      <c r="AC163" s="94"/>
      <c r="AD163" s="93"/>
      <c r="AE163" s="85"/>
    </row>
    <row r="164" spans="5:31" s="87" customFormat="1" x14ac:dyDescent="0.35">
      <c r="E164" s="85"/>
      <c r="F164" s="93"/>
      <c r="G164" s="85"/>
      <c r="I164" s="94"/>
      <c r="J164" s="93"/>
      <c r="K164" s="85"/>
      <c r="M164" s="94"/>
      <c r="N164" s="93"/>
      <c r="O164" s="85"/>
      <c r="Q164" s="94"/>
      <c r="R164" s="93"/>
      <c r="S164" s="85"/>
      <c r="U164" s="94"/>
      <c r="V164" s="93"/>
      <c r="W164" s="85"/>
      <c r="Y164" s="94"/>
      <c r="Z164" s="93"/>
      <c r="AA164" s="85"/>
      <c r="AC164" s="94"/>
      <c r="AD164" s="93"/>
      <c r="AE164" s="85"/>
    </row>
    <row r="165" spans="5:31" s="87" customFormat="1" x14ac:dyDescent="0.35">
      <c r="E165" s="85"/>
      <c r="F165" s="93"/>
      <c r="G165" s="85"/>
      <c r="I165" s="94"/>
      <c r="J165" s="93"/>
      <c r="K165" s="85"/>
      <c r="M165" s="94"/>
      <c r="N165" s="93"/>
      <c r="O165" s="85"/>
      <c r="Q165" s="94"/>
      <c r="R165" s="93"/>
      <c r="S165" s="85"/>
      <c r="U165" s="94"/>
      <c r="V165" s="93"/>
      <c r="W165" s="85"/>
      <c r="Y165" s="94"/>
      <c r="Z165" s="93"/>
      <c r="AA165" s="85"/>
      <c r="AC165" s="94"/>
      <c r="AD165" s="93"/>
      <c r="AE165" s="85"/>
    </row>
    <row r="166" spans="5:31" s="87" customFormat="1" x14ac:dyDescent="0.35">
      <c r="E166" s="85"/>
      <c r="F166" s="93"/>
      <c r="G166" s="85"/>
      <c r="I166" s="94"/>
      <c r="J166" s="93"/>
      <c r="K166" s="85"/>
      <c r="M166" s="94"/>
      <c r="N166" s="93"/>
      <c r="O166" s="85"/>
      <c r="Q166" s="94"/>
      <c r="R166" s="93"/>
      <c r="S166" s="85"/>
      <c r="U166" s="94"/>
      <c r="V166" s="93"/>
      <c r="W166" s="85"/>
      <c r="Y166" s="94"/>
      <c r="Z166" s="93"/>
      <c r="AA166" s="85"/>
      <c r="AC166" s="94"/>
      <c r="AD166" s="93"/>
      <c r="AE166" s="85"/>
    </row>
    <row r="167" spans="5:31" s="87" customFormat="1" x14ac:dyDescent="0.35">
      <c r="E167" s="85"/>
      <c r="F167" s="93"/>
      <c r="G167" s="85"/>
      <c r="I167" s="94"/>
      <c r="J167" s="93"/>
      <c r="K167" s="85"/>
      <c r="M167" s="94"/>
      <c r="N167" s="93"/>
      <c r="O167" s="85"/>
      <c r="Q167" s="94"/>
      <c r="R167" s="93"/>
      <c r="S167" s="85"/>
      <c r="U167" s="94"/>
      <c r="V167" s="93"/>
      <c r="W167" s="85"/>
      <c r="Y167" s="94"/>
      <c r="Z167" s="93"/>
      <c r="AA167" s="85"/>
      <c r="AC167" s="94"/>
      <c r="AD167" s="93"/>
      <c r="AE167" s="85"/>
    </row>
    <row r="168" spans="5:31" s="87" customFormat="1" x14ac:dyDescent="0.35">
      <c r="E168" s="85"/>
      <c r="F168" s="93"/>
      <c r="G168" s="85"/>
      <c r="I168" s="94"/>
      <c r="J168" s="93"/>
      <c r="K168" s="85"/>
      <c r="M168" s="94"/>
      <c r="N168" s="93"/>
      <c r="O168" s="85"/>
      <c r="Q168" s="94"/>
      <c r="R168" s="93"/>
      <c r="S168" s="85"/>
      <c r="U168" s="94"/>
      <c r="V168" s="93"/>
      <c r="W168" s="85"/>
      <c r="Y168" s="94"/>
      <c r="Z168" s="93"/>
      <c r="AA168" s="85"/>
      <c r="AC168" s="94"/>
      <c r="AD168" s="93"/>
      <c r="AE168" s="85"/>
    </row>
    <row r="169" spans="5:31" s="87" customFormat="1" x14ac:dyDescent="0.35">
      <c r="E169" s="85"/>
      <c r="F169" s="93"/>
      <c r="G169" s="85"/>
      <c r="I169" s="94"/>
      <c r="J169" s="93"/>
      <c r="K169" s="85"/>
      <c r="M169" s="94"/>
      <c r="N169" s="93"/>
      <c r="O169" s="85"/>
      <c r="Q169" s="94"/>
      <c r="R169" s="93"/>
      <c r="S169" s="85"/>
      <c r="U169" s="94"/>
      <c r="V169" s="93"/>
      <c r="W169" s="85"/>
      <c r="Y169" s="94"/>
      <c r="Z169" s="93"/>
      <c r="AA169" s="85"/>
      <c r="AC169" s="94"/>
      <c r="AD169" s="93"/>
      <c r="AE169" s="85"/>
    </row>
    <row r="170" spans="5:31" s="87" customFormat="1" x14ac:dyDescent="0.35">
      <c r="E170" s="85"/>
      <c r="F170" s="93"/>
      <c r="G170" s="85"/>
      <c r="I170" s="94"/>
      <c r="J170" s="93"/>
      <c r="K170" s="85"/>
      <c r="M170" s="94"/>
      <c r="N170" s="93"/>
      <c r="O170" s="85"/>
      <c r="Q170" s="94"/>
      <c r="R170" s="93"/>
      <c r="S170" s="85"/>
      <c r="U170" s="94"/>
      <c r="V170" s="93"/>
      <c r="W170" s="85"/>
      <c r="Y170" s="94"/>
      <c r="Z170" s="93"/>
      <c r="AA170" s="85"/>
      <c r="AC170" s="94"/>
      <c r="AD170" s="93"/>
      <c r="AE170" s="85"/>
    </row>
    <row r="171" spans="5:31" s="87" customFormat="1" x14ac:dyDescent="0.35">
      <c r="E171" s="85"/>
      <c r="F171" s="93"/>
      <c r="G171" s="85"/>
      <c r="I171" s="94"/>
      <c r="J171" s="93"/>
      <c r="K171" s="85"/>
      <c r="M171" s="94"/>
      <c r="N171" s="93"/>
      <c r="O171" s="85"/>
      <c r="Q171" s="94"/>
      <c r="R171" s="93"/>
      <c r="S171" s="85"/>
      <c r="U171" s="94"/>
      <c r="V171" s="93"/>
      <c r="W171" s="85"/>
      <c r="Y171" s="94"/>
      <c r="Z171" s="93"/>
      <c r="AA171" s="85"/>
      <c r="AC171" s="94"/>
      <c r="AD171" s="93"/>
      <c r="AE171" s="85"/>
    </row>
    <row r="172" spans="5:31" s="87" customFormat="1" x14ac:dyDescent="0.35">
      <c r="E172" s="85"/>
      <c r="F172" s="93"/>
      <c r="G172" s="85"/>
      <c r="I172" s="94"/>
      <c r="J172" s="93"/>
      <c r="K172" s="85"/>
      <c r="M172" s="94"/>
      <c r="N172" s="93"/>
      <c r="O172" s="85"/>
      <c r="Q172" s="94"/>
      <c r="R172" s="93"/>
      <c r="S172" s="85"/>
      <c r="U172" s="94"/>
      <c r="V172" s="93"/>
      <c r="W172" s="85"/>
      <c r="Y172" s="94"/>
      <c r="Z172" s="93"/>
      <c r="AA172" s="85"/>
      <c r="AC172" s="94"/>
      <c r="AD172" s="93"/>
      <c r="AE172" s="85"/>
    </row>
    <row r="173" spans="5:31" s="87" customFormat="1" x14ac:dyDescent="0.35">
      <c r="E173" s="85"/>
      <c r="F173" s="93"/>
      <c r="G173" s="85"/>
      <c r="I173" s="94"/>
      <c r="J173" s="93"/>
      <c r="K173" s="85"/>
      <c r="M173" s="94"/>
      <c r="N173" s="93"/>
      <c r="O173" s="85"/>
      <c r="Q173" s="94"/>
      <c r="R173" s="93"/>
      <c r="S173" s="85"/>
      <c r="U173" s="94"/>
      <c r="V173" s="93"/>
      <c r="W173" s="85"/>
      <c r="Y173" s="94"/>
      <c r="Z173" s="93"/>
      <c r="AA173" s="85"/>
      <c r="AC173" s="94"/>
      <c r="AD173" s="93"/>
      <c r="AE173" s="85"/>
    </row>
    <row r="174" spans="5:31" s="87" customFormat="1" x14ac:dyDescent="0.35">
      <c r="E174" s="85"/>
      <c r="F174" s="93"/>
      <c r="G174" s="85"/>
      <c r="I174" s="94"/>
      <c r="J174" s="93"/>
      <c r="K174" s="85"/>
      <c r="M174" s="94"/>
      <c r="N174" s="93"/>
      <c r="O174" s="85"/>
      <c r="Q174" s="94"/>
      <c r="R174" s="93"/>
      <c r="S174" s="85"/>
      <c r="U174" s="94"/>
      <c r="V174" s="93"/>
      <c r="W174" s="85"/>
      <c r="Y174" s="94"/>
      <c r="Z174" s="93"/>
      <c r="AA174" s="85"/>
      <c r="AC174" s="94"/>
      <c r="AD174" s="93"/>
      <c r="AE174" s="85"/>
    </row>
    <row r="175" spans="5:31" s="87" customFormat="1" x14ac:dyDescent="0.35">
      <c r="E175" s="85"/>
      <c r="F175" s="93"/>
      <c r="G175" s="85"/>
      <c r="I175" s="94"/>
      <c r="J175" s="93"/>
      <c r="K175" s="85"/>
      <c r="M175" s="94"/>
      <c r="N175" s="93"/>
      <c r="O175" s="85"/>
      <c r="Q175" s="94"/>
      <c r="R175" s="93"/>
      <c r="S175" s="85"/>
      <c r="U175" s="94"/>
      <c r="V175" s="93"/>
      <c r="W175" s="85"/>
      <c r="Y175" s="94"/>
      <c r="Z175" s="93"/>
      <c r="AA175" s="85"/>
      <c r="AC175" s="94"/>
      <c r="AD175" s="93"/>
      <c r="AE175" s="85"/>
    </row>
    <row r="176" spans="5:31" s="87" customFormat="1" x14ac:dyDescent="0.35">
      <c r="E176" s="85"/>
      <c r="F176" s="93"/>
      <c r="G176" s="85"/>
      <c r="I176" s="94"/>
      <c r="J176" s="93"/>
      <c r="K176" s="85"/>
      <c r="M176" s="94"/>
      <c r="N176" s="93"/>
      <c r="O176" s="85"/>
      <c r="Q176" s="94"/>
      <c r="R176" s="93"/>
      <c r="S176" s="85"/>
      <c r="U176" s="94"/>
      <c r="V176" s="93"/>
      <c r="W176" s="85"/>
      <c r="Y176" s="94"/>
      <c r="Z176" s="93"/>
      <c r="AA176" s="85"/>
      <c r="AC176" s="94"/>
      <c r="AD176" s="93"/>
      <c r="AE176" s="85"/>
    </row>
    <row r="177" spans="5:31" s="87" customFormat="1" x14ac:dyDescent="0.35">
      <c r="E177" s="85"/>
      <c r="F177" s="93"/>
      <c r="G177" s="85"/>
      <c r="I177" s="94"/>
      <c r="J177" s="93"/>
      <c r="K177" s="85"/>
      <c r="M177" s="94"/>
      <c r="N177" s="93"/>
      <c r="O177" s="85"/>
      <c r="Q177" s="94"/>
      <c r="R177" s="93"/>
      <c r="S177" s="85"/>
      <c r="U177" s="94"/>
      <c r="V177" s="93"/>
      <c r="W177" s="85"/>
      <c r="Y177" s="94"/>
      <c r="Z177" s="93"/>
      <c r="AA177" s="85"/>
      <c r="AC177" s="94"/>
      <c r="AD177" s="93"/>
      <c r="AE177" s="85"/>
    </row>
    <row r="178" spans="5:31" s="87" customFormat="1" x14ac:dyDescent="0.35">
      <c r="E178" s="85"/>
      <c r="F178" s="93"/>
      <c r="G178" s="85"/>
      <c r="I178" s="94"/>
      <c r="J178" s="93"/>
      <c r="K178" s="85"/>
      <c r="M178" s="94"/>
      <c r="N178" s="93"/>
      <c r="O178" s="85"/>
      <c r="Q178" s="94"/>
      <c r="R178" s="93"/>
      <c r="S178" s="85"/>
      <c r="U178" s="94"/>
      <c r="V178" s="93"/>
      <c r="W178" s="85"/>
      <c r="Y178" s="94"/>
      <c r="Z178" s="93"/>
      <c r="AA178" s="85"/>
      <c r="AC178" s="94"/>
      <c r="AD178" s="93"/>
      <c r="AE178" s="85"/>
    </row>
    <row r="179" spans="5:31" s="87" customFormat="1" x14ac:dyDescent="0.35">
      <c r="E179" s="85"/>
      <c r="F179" s="93"/>
      <c r="G179" s="85"/>
      <c r="I179" s="94"/>
      <c r="J179" s="93"/>
      <c r="K179" s="85"/>
      <c r="M179" s="94"/>
      <c r="N179" s="93"/>
      <c r="O179" s="85"/>
      <c r="Q179" s="94"/>
      <c r="R179" s="93"/>
      <c r="S179" s="85"/>
      <c r="U179" s="94"/>
      <c r="V179" s="93"/>
      <c r="W179" s="85"/>
      <c r="Y179" s="94"/>
      <c r="Z179" s="93"/>
      <c r="AA179" s="85"/>
      <c r="AC179" s="94"/>
      <c r="AD179" s="93"/>
      <c r="AE179" s="85"/>
    </row>
    <row r="180" spans="5:31" s="87" customFormat="1" x14ac:dyDescent="0.35">
      <c r="E180" s="85"/>
      <c r="F180" s="93"/>
      <c r="G180" s="85"/>
      <c r="I180" s="94"/>
      <c r="J180" s="93"/>
      <c r="K180" s="85"/>
      <c r="M180" s="94"/>
      <c r="N180" s="93"/>
      <c r="O180" s="85"/>
      <c r="Q180" s="94"/>
      <c r="R180" s="93"/>
      <c r="S180" s="85"/>
      <c r="U180" s="94"/>
      <c r="V180" s="93"/>
      <c r="W180" s="85"/>
      <c r="Y180" s="94"/>
      <c r="Z180" s="93"/>
      <c r="AA180" s="85"/>
      <c r="AC180" s="94"/>
      <c r="AD180" s="93"/>
      <c r="AE180" s="85"/>
    </row>
    <row r="181" spans="5:31" s="87" customFormat="1" x14ac:dyDescent="0.35">
      <c r="E181" s="85"/>
      <c r="F181" s="93"/>
      <c r="G181" s="85"/>
      <c r="I181" s="94"/>
      <c r="J181" s="93"/>
      <c r="K181" s="85"/>
      <c r="M181" s="94"/>
      <c r="N181" s="93"/>
      <c r="O181" s="85"/>
      <c r="Q181" s="94"/>
      <c r="R181" s="93"/>
      <c r="S181" s="85"/>
      <c r="U181" s="94"/>
      <c r="V181" s="93"/>
      <c r="W181" s="85"/>
      <c r="Y181" s="94"/>
      <c r="Z181" s="93"/>
      <c r="AA181" s="85"/>
      <c r="AC181" s="94"/>
      <c r="AD181" s="93"/>
      <c r="AE181" s="85"/>
    </row>
    <row r="182" spans="5:31" s="87" customFormat="1" x14ac:dyDescent="0.35">
      <c r="E182" s="85"/>
      <c r="F182" s="93"/>
      <c r="G182" s="85"/>
      <c r="I182" s="94"/>
      <c r="J182" s="93"/>
      <c r="K182" s="85"/>
      <c r="M182" s="94"/>
      <c r="N182" s="93"/>
      <c r="O182" s="85"/>
      <c r="Q182" s="94"/>
      <c r="R182" s="93"/>
      <c r="S182" s="85"/>
      <c r="U182" s="94"/>
      <c r="V182" s="93"/>
      <c r="W182" s="85"/>
      <c r="Y182" s="94"/>
      <c r="Z182" s="93"/>
      <c r="AA182" s="85"/>
      <c r="AC182" s="94"/>
      <c r="AD182" s="93"/>
      <c r="AE182" s="85"/>
    </row>
    <row r="183" spans="5:31" s="87" customFormat="1" x14ac:dyDescent="0.35">
      <c r="E183" s="85"/>
      <c r="F183" s="93"/>
      <c r="G183" s="85"/>
      <c r="I183" s="94"/>
      <c r="J183" s="93"/>
      <c r="K183" s="85"/>
      <c r="M183" s="94"/>
      <c r="N183" s="93"/>
      <c r="O183" s="85"/>
      <c r="Q183" s="94"/>
      <c r="R183" s="93"/>
      <c r="S183" s="85"/>
      <c r="U183" s="94"/>
      <c r="V183" s="93"/>
      <c r="W183" s="85"/>
      <c r="Y183" s="94"/>
      <c r="Z183" s="93"/>
      <c r="AA183" s="85"/>
      <c r="AC183" s="94"/>
      <c r="AD183" s="93"/>
      <c r="AE183" s="85"/>
    </row>
    <row r="184" spans="5:31" s="87" customFormat="1" x14ac:dyDescent="0.35">
      <c r="E184" s="85"/>
      <c r="F184" s="93"/>
      <c r="G184" s="85"/>
      <c r="I184" s="94"/>
      <c r="J184" s="93"/>
      <c r="K184" s="85"/>
      <c r="M184" s="94"/>
      <c r="N184" s="93"/>
      <c r="O184" s="85"/>
      <c r="Q184" s="94"/>
      <c r="R184" s="93"/>
      <c r="S184" s="85"/>
      <c r="U184" s="94"/>
      <c r="V184" s="93"/>
      <c r="W184" s="85"/>
      <c r="Y184" s="94"/>
      <c r="Z184" s="93"/>
      <c r="AA184" s="85"/>
      <c r="AC184" s="94"/>
      <c r="AD184" s="93"/>
      <c r="AE184" s="85"/>
    </row>
    <row r="185" spans="5:31" s="87" customFormat="1" x14ac:dyDescent="0.35">
      <c r="E185" s="85"/>
      <c r="F185" s="93"/>
      <c r="G185" s="85"/>
      <c r="I185" s="94"/>
      <c r="J185" s="93"/>
      <c r="K185" s="85"/>
      <c r="M185" s="94"/>
      <c r="N185" s="93"/>
      <c r="O185" s="85"/>
      <c r="Q185" s="94"/>
      <c r="R185" s="93"/>
      <c r="S185" s="85"/>
      <c r="U185" s="94"/>
      <c r="V185" s="93"/>
      <c r="W185" s="85"/>
      <c r="Y185" s="94"/>
      <c r="Z185" s="93"/>
      <c r="AA185" s="85"/>
      <c r="AC185" s="94"/>
      <c r="AD185" s="93"/>
      <c r="AE185" s="85"/>
    </row>
    <row r="186" spans="5:31" s="87" customFormat="1" x14ac:dyDescent="0.35">
      <c r="E186" s="85"/>
      <c r="F186" s="93"/>
      <c r="G186" s="85"/>
      <c r="I186" s="94"/>
      <c r="J186" s="93"/>
      <c r="K186" s="85"/>
      <c r="M186" s="94"/>
      <c r="N186" s="93"/>
      <c r="O186" s="85"/>
      <c r="Q186" s="94"/>
      <c r="R186" s="93"/>
      <c r="S186" s="85"/>
      <c r="U186" s="94"/>
      <c r="V186" s="93"/>
      <c r="W186" s="85"/>
      <c r="Y186" s="94"/>
      <c r="Z186" s="93"/>
      <c r="AA186" s="85"/>
      <c r="AC186" s="94"/>
      <c r="AD186" s="93"/>
      <c r="AE186" s="85"/>
    </row>
    <row r="187" spans="5:31" s="87" customFormat="1" x14ac:dyDescent="0.35">
      <c r="E187" s="85"/>
      <c r="F187" s="93"/>
      <c r="G187" s="85"/>
      <c r="I187" s="94"/>
      <c r="J187" s="93"/>
      <c r="K187" s="85"/>
      <c r="M187" s="94"/>
      <c r="N187" s="93"/>
      <c r="O187" s="85"/>
      <c r="Q187" s="94"/>
      <c r="R187" s="93"/>
      <c r="S187" s="85"/>
      <c r="U187" s="94"/>
      <c r="V187" s="93"/>
      <c r="W187" s="85"/>
      <c r="Y187" s="94"/>
      <c r="Z187" s="93"/>
      <c r="AA187" s="85"/>
      <c r="AC187" s="94"/>
      <c r="AD187" s="93"/>
      <c r="AE187" s="85"/>
    </row>
    <row r="188" spans="5:31" s="87" customFormat="1" x14ac:dyDescent="0.35">
      <c r="E188" s="85"/>
      <c r="F188" s="93"/>
      <c r="G188" s="85"/>
      <c r="I188" s="94"/>
      <c r="J188" s="93"/>
      <c r="K188" s="85"/>
      <c r="M188" s="94"/>
      <c r="N188" s="93"/>
      <c r="O188" s="85"/>
      <c r="Q188" s="94"/>
      <c r="R188" s="93"/>
      <c r="S188" s="85"/>
      <c r="U188" s="94"/>
      <c r="V188" s="93"/>
      <c r="W188" s="85"/>
      <c r="Y188" s="94"/>
      <c r="Z188" s="93"/>
      <c r="AA188" s="85"/>
      <c r="AC188" s="94"/>
      <c r="AD188" s="93"/>
      <c r="AE188" s="85"/>
    </row>
    <row r="189" spans="5:31" s="87" customFormat="1" x14ac:dyDescent="0.35">
      <c r="E189" s="85"/>
      <c r="F189" s="93"/>
      <c r="G189" s="85"/>
      <c r="I189" s="94"/>
      <c r="J189" s="93"/>
      <c r="K189" s="85"/>
      <c r="M189" s="94"/>
      <c r="N189" s="93"/>
      <c r="O189" s="85"/>
      <c r="Q189" s="94"/>
      <c r="R189" s="93"/>
      <c r="S189" s="85"/>
      <c r="U189" s="94"/>
      <c r="V189" s="93"/>
      <c r="W189" s="85"/>
      <c r="Y189" s="94"/>
      <c r="Z189" s="93"/>
      <c r="AA189" s="85"/>
      <c r="AC189" s="94"/>
      <c r="AD189" s="93"/>
      <c r="AE189" s="85"/>
    </row>
    <row r="190" spans="5:31" s="87" customFormat="1" x14ac:dyDescent="0.35">
      <c r="E190" s="85"/>
      <c r="F190" s="93"/>
      <c r="G190" s="85"/>
      <c r="I190" s="94"/>
      <c r="J190" s="93"/>
      <c r="K190" s="85"/>
      <c r="M190" s="94"/>
      <c r="N190" s="93"/>
      <c r="O190" s="85"/>
      <c r="Q190" s="94"/>
      <c r="R190" s="93"/>
      <c r="S190" s="85"/>
      <c r="U190" s="94"/>
      <c r="V190" s="93"/>
      <c r="W190" s="85"/>
      <c r="Y190" s="94"/>
      <c r="Z190" s="93"/>
      <c r="AA190" s="85"/>
      <c r="AC190" s="94"/>
      <c r="AD190" s="93"/>
      <c r="AE190" s="85"/>
    </row>
    <row r="191" spans="5:31" s="87" customFormat="1" x14ac:dyDescent="0.35">
      <c r="E191" s="85"/>
      <c r="F191" s="93"/>
      <c r="G191" s="85"/>
      <c r="I191" s="94"/>
      <c r="J191" s="93"/>
      <c r="K191" s="85"/>
      <c r="M191" s="94"/>
      <c r="N191" s="93"/>
      <c r="O191" s="85"/>
      <c r="Q191" s="94"/>
      <c r="R191" s="93"/>
      <c r="S191" s="85"/>
      <c r="U191" s="94"/>
      <c r="V191" s="93"/>
      <c r="W191" s="85"/>
      <c r="Y191" s="94"/>
      <c r="Z191" s="93"/>
      <c r="AA191" s="85"/>
      <c r="AC191" s="94"/>
      <c r="AD191" s="93"/>
      <c r="AE191" s="85"/>
    </row>
    <row r="192" spans="5:31" s="87" customFormat="1" x14ac:dyDescent="0.35">
      <c r="E192" s="85"/>
      <c r="F192" s="93"/>
      <c r="G192" s="85"/>
      <c r="I192" s="94"/>
      <c r="J192" s="93"/>
      <c r="K192" s="85"/>
      <c r="M192" s="94"/>
      <c r="N192" s="93"/>
      <c r="O192" s="85"/>
      <c r="Q192" s="94"/>
      <c r="R192" s="93"/>
      <c r="S192" s="85"/>
      <c r="U192" s="94"/>
      <c r="V192" s="93"/>
      <c r="W192" s="85"/>
      <c r="Y192" s="94"/>
      <c r="Z192" s="93"/>
      <c r="AA192" s="85"/>
      <c r="AC192" s="94"/>
      <c r="AD192" s="93"/>
      <c r="AE192" s="85"/>
    </row>
    <row r="193" spans="1:31" x14ac:dyDescent="0.35">
      <c r="A193" s="87"/>
      <c r="B193" s="87"/>
      <c r="C193" s="87"/>
      <c r="D193" s="87"/>
      <c r="G193" s="85"/>
      <c r="H193" s="87"/>
      <c r="I193" s="94"/>
      <c r="J193" s="93"/>
      <c r="K193" s="85"/>
      <c r="M193" s="94"/>
      <c r="N193" s="93"/>
      <c r="O193" s="85"/>
      <c r="Q193" s="94"/>
      <c r="R193" s="93"/>
      <c r="S193" s="85"/>
      <c r="U193" s="94"/>
      <c r="V193" s="93"/>
      <c r="W193" s="85"/>
      <c r="Y193" s="94"/>
      <c r="Z193" s="93"/>
      <c r="AA193" s="85"/>
      <c r="AC193" s="94"/>
      <c r="AD193" s="93"/>
      <c r="AE193" s="85"/>
    </row>
    <row r="194" spans="1:31" x14ac:dyDescent="0.35">
      <c r="A194" s="87"/>
      <c r="B194" s="87"/>
      <c r="C194" s="87"/>
      <c r="D194" s="87"/>
      <c r="G194" s="85"/>
      <c r="H194" s="87"/>
      <c r="I194" s="94"/>
      <c r="J194" s="93"/>
      <c r="K194" s="85"/>
      <c r="M194" s="94"/>
      <c r="N194" s="93"/>
      <c r="O194" s="85"/>
      <c r="Q194" s="94"/>
      <c r="R194" s="93"/>
      <c r="S194" s="85"/>
      <c r="U194" s="94"/>
      <c r="V194" s="93"/>
      <c r="W194" s="85"/>
      <c r="Y194" s="94"/>
      <c r="Z194" s="93"/>
      <c r="AA194" s="85"/>
      <c r="AC194" s="94"/>
      <c r="AD194" s="93"/>
      <c r="AE194" s="85"/>
    </row>
    <row r="195" spans="1:31" x14ac:dyDescent="0.35">
      <c r="A195" s="87"/>
      <c r="B195" s="87"/>
      <c r="C195" s="87"/>
      <c r="D195" s="87"/>
      <c r="G195" s="85"/>
      <c r="H195" s="87"/>
      <c r="I195" s="94"/>
      <c r="J195" s="93"/>
      <c r="K195" s="85"/>
      <c r="M195" s="94"/>
      <c r="N195" s="93"/>
      <c r="O195" s="85"/>
      <c r="Q195" s="94"/>
      <c r="R195" s="93"/>
      <c r="S195" s="85"/>
      <c r="U195" s="94"/>
      <c r="V195" s="93"/>
      <c r="W195" s="85"/>
      <c r="Y195" s="94"/>
      <c r="Z195" s="93"/>
      <c r="AA195" s="85"/>
      <c r="AC195" s="94"/>
      <c r="AD195" s="93"/>
      <c r="AE195" s="85"/>
    </row>
    <row r="196" spans="1: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1: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1: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1: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1: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1: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1: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1: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1: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1: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1: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1: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1: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M1000" s="94"/>
      <c r="N1000" s="93"/>
      <c r="O1000" s="85"/>
      <c r="Q1000" s="94"/>
      <c r="R1000" s="93"/>
      <c r="S1000" s="85"/>
      <c r="U1000" s="94"/>
      <c r="V1000" s="93"/>
      <c r="W1000" s="85"/>
      <c r="Y1000" s="94"/>
      <c r="Z1000" s="93"/>
      <c r="AA1000" s="85"/>
      <c r="AC1000" s="94"/>
      <c r="AD1000" s="93"/>
      <c r="AE1000" s="85"/>
    </row>
  </sheetData>
  <autoFilter ref="E16:M52" xr:uid="{00000000-0001-0000-0C00-000000000000}"/>
  <conditionalFormatting sqref="A1:AG23 A24:Q24 S24:AG24 A25:AG1048576">
    <cfRule type="expression" dxfId="85" priority="1">
      <formula>$A4="Spend to Date"</formula>
    </cfRule>
    <cfRule type="expression" dxfId="84" priority="2">
      <formula>$A4="Spend to Date"</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AG1003"/>
  <sheetViews>
    <sheetView zoomScaleNormal="100" workbookViewId="0">
      <pane xSplit="2" ySplit="1" topLeftCell="J3" activePane="bottomRight" state="frozen"/>
      <selection pane="topRight" activeCell="C1" sqref="C1"/>
      <selection pane="bottomLeft" activeCell="A2" sqref="A2"/>
      <selection pane="bottomRight" activeCell="O18" sqref="O18"/>
    </sheetView>
  </sheetViews>
  <sheetFormatPr defaultColWidth="8.81640625" defaultRowHeight="17.149999999999999" customHeight="1" x14ac:dyDescent="0.35"/>
  <cols>
    <col min="1" max="1" width="31.7265625" style="86" customWidth="1"/>
    <col min="2" max="2" width="14.7265625" style="85" customWidth="1"/>
    <col min="3" max="3" width="6" style="85" customWidth="1"/>
    <col min="4" max="4" width="10.26953125" style="86" bestFit="1" customWidth="1"/>
    <col min="5" max="5" width="14.26953125" style="85" bestFit="1" customWidth="1"/>
    <col min="6" max="6" width="19.81640625" style="93" bestFit="1" customWidth="1"/>
    <col min="7" max="7" width="90.81640625" style="87" bestFit="1" customWidth="1"/>
    <col min="8" max="8" width="25" style="88" customWidth="1"/>
    <col min="9" max="9" width="13.81640625" style="89" bestFit="1" customWidth="1"/>
    <col min="10" max="10" width="19.54296875" style="87" bestFit="1" customWidth="1"/>
    <col min="11" max="11" width="21.26953125" style="87" customWidth="1"/>
    <col min="12" max="12" width="20.54296875" style="87" customWidth="1"/>
    <col min="13" max="13" width="13.81640625" style="89" bestFit="1" customWidth="1"/>
    <col min="14" max="14" width="13.81640625" style="87" customWidth="1"/>
    <col min="15" max="15" width="11.54296875" style="87" bestFit="1" customWidth="1"/>
    <col min="16" max="16" width="22.269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7.149999999999999" customHeight="1" x14ac:dyDescent="0.35">
      <c r="A1" s="84" t="s">
        <v>52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51.75" customHeight="1" x14ac:dyDescent="0.35">
      <c r="A2" s="86" t="s">
        <v>10</v>
      </c>
      <c r="D2" s="87"/>
      <c r="E2" s="87">
        <f>SUM(E3:E5)</f>
        <v>15000</v>
      </c>
      <c r="F2" s="87">
        <f>SUM(F3:F5)</f>
        <v>27220.959999999999</v>
      </c>
      <c r="I2" s="89">
        <f>SUM(I3:I5)</f>
        <v>9485</v>
      </c>
      <c r="J2" s="87">
        <f>SUM(J3:J5)</f>
        <v>56398.31</v>
      </c>
      <c r="L2" s="84"/>
      <c r="M2" s="89">
        <f>SUM(M3:M5)</f>
        <v>-300</v>
      </c>
      <c r="N2" s="87">
        <f>SUM(N3:N5)</f>
        <v>14999.999999999998</v>
      </c>
      <c r="P2" s="84"/>
      <c r="Q2" s="89">
        <f>SUM(Q3:Q4)</f>
        <v>0</v>
      </c>
      <c r="R2" s="87">
        <f>SUM(R3:R4)</f>
        <v>0</v>
      </c>
      <c r="U2" s="89">
        <f>SUM(U3:U4)</f>
        <v>0</v>
      </c>
      <c r="V2" s="87">
        <f>SUM(V3:V4)</f>
        <v>0</v>
      </c>
      <c r="Y2" s="89">
        <f>SUM(Y3:Y4)</f>
        <v>0</v>
      </c>
      <c r="Z2" s="87">
        <f>SUM(Z3:Z4)</f>
        <v>0</v>
      </c>
      <c r="AC2" s="89">
        <f>SUM(AC3:AC4)</f>
        <v>0</v>
      </c>
      <c r="AD2" s="87">
        <f>SUM(AD3:AD4)</f>
        <v>0</v>
      </c>
    </row>
    <row r="3" spans="1:33" ht="37.5" customHeight="1" x14ac:dyDescent="0.35">
      <c r="A3" s="86" t="s">
        <v>52</v>
      </c>
      <c r="B3" s="85">
        <v>1</v>
      </c>
      <c r="D3" s="86">
        <v>85000</v>
      </c>
      <c r="E3" s="87">
        <v>15000</v>
      </c>
      <c r="F3" s="87">
        <f>SUMIFS(H$16:H$1003,E$16:E$1003,1)</f>
        <v>27220.959999999999</v>
      </c>
      <c r="G3" s="87">
        <f>D3+E3-F3+SUMIFS(E$8:E$10,$C$8:$C$10,$A3)-SUMIFS(F$8:F$10,$C$8:$C$10,$A3)</f>
        <v>72779.040000000008</v>
      </c>
      <c r="H3" s="86"/>
      <c r="I3" s="89">
        <v>0</v>
      </c>
      <c r="J3" s="87">
        <f>SUMIFS(L$16:L$1002,I$16:I$1002,1)</f>
        <v>65174.5</v>
      </c>
      <c r="K3" s="87">
        <f>G3+I3-J3+SUMIFS(I$6:I$11,$C$6:$C$11,$A3)-SUMIFS(J$6:J$11,$C$6:$C$11,$A3)</f>
        <v>7604.5400000000081</v>
      </c>
      <c r="L3" s="86"/>
      <c r="M3" s="89">
        <v>10000</v>
      </c>
      <c r="N3" s="87">
        <f>SUMIFS(P$11:P$1005,M$11:M$1005,1)</f>
        <v>2232.2799999999988</v>
      </c>
      <c r="O3" s="87">
        <f>K3+M3-N3+SUMIFS(M$6:M$11,$C$6:$C$11,$A3)-SUMIFS(N$6:N$11,$C$6:$C$11,$A3)</f>
        <v>14546.260000000009</v>
      </c>
      <c r="R3" s="87">
        <f>SUMIFS(T$16:T$1003,Q$16:Q$1003,1)</f>
        <v>0</v>
      </c>
      <c r="S3" s="87">
        <f>O3+SUM(Q3:Q10)-SUM(R3:R10)</f>
        <v>14546.260000000009</v>
      </c>
      <c r="V3" s="87">
        <f>SUMIFS(X$16:X$1003,U$16:U$1003,1)</f>
        <v>0</v>
      </c>
      <c r="W3" s="87">
        <f>S3+SUM(U3:U10)-SUM(V3:V10)</f>
        <v>14546.260000000009</v>
      </c>
      <c r="Z3" s="87">
        <f>SUMIFS(AB$16:AB$1003,Y$16:Y$1003,1)</f>
        <v>0</v>
      </c>
      <c r="AA3" s="87">
        <f>W3+SUM(Y3:Y10)-SUM(Z3:Z10)</f>
        <v>14546.260000000009</v>
      </c>
      <c r="AD3" s="87">
        <f>SUMIFS(AF$16:AF$1003,AC$16:AC$1003,1)</f>
        <v>0</v>
      </c>
      <c r="AE3" s="87">
        <f>AA3+SUM(AC3:AC10)-SUM(AD3:AD10)</f>
        <v>14546.260000000009</v>
      </c>
      <c r="AG3" s="87">
        <v>100000</v>
      </c>
    </row>
    <row r="4" spans="1:33" ht="14.5" x14ac:dyDescent="0.35">
      <c r="A4" s="87" t="s">
        <v>53</v>
      </c>
      <c r="B4" s="85">
        <v>2</v>
      </c>
      <c r="D4" s="86">
        <v>7873</v>
      </c>
      <c r="E4" s="87">
        <v>0</v>
      </c>
      <c r="F4" s="87">
        <v>0</v>
      </c>
      <c r="G4" s="87">
        <f>D4+E4-F4+SUMIFS(E$8:E$10,$C$8:$C$10,$A4)-SUMIFS(F$8:F$10,$C$8:$C$10,$A4)</f>
        <v>12327.720000000001</v>
      </c>
      <c r="H4" s="86"/>
      <c r="I4" s="89">
        <f>365+9120</f>
        <v>9485</v>
      </c>
      <c r="J4" s="87">
        <f>SUMIFS(L$16:L$1002,I$16:I$1002,2)</f>
        <v>0</v>
      </c>
      <c r="K4" s="87">
        <f>G4+I4-J4+SUMIFS(I$6:I$11,$C$6:$C$11,$A4)-SUMIFS(J$6:J$11,$C$6:$C$11,$A4)</f>
        <v>23067.72</v>
      </c>
      <c r="L4" s="86"/>
      <c r="M4" s="89">
        <v>-10300</v>
      </c>
      <c r="N4" s="87">
        <f>SUMIFS(P$11:P$1005,M$11:M$1005,2)</f>
        <v>12767.72</v>
      </c>
      <c r="O4" s="87">
        <f>K4+M4-N4+SUMIFS(M$6:M$11,$C$6:$C$11,$A4)-SUMIFS(N$6:N$11,$C$6:$C$11,$A4)</f>
        <v>10300.000000000002</v>
      </c>
      <c r="R4" s="87">
        <f>SUMIFS(T$16:T$1003,Q$16:Q$1003,2)</f>
        <v>0</v>
      </c>
      <c r="V4" s="87">
        <f>SUMIFS(X$16:X$1003,U$16:U$1003,2)</f>
        <v>0</v>
      </c>
      <c r="Z4" s="87">
        <f>SUMIFS(AB$16:AB$1003,Y$16:Y$1003,2)</f>
        <v>0</v>
      </c>
      <c r="AD4" s="87">
        <f>SUMIFS(AF$16:AF$1003,AC$16:AC$1003,2)</f>
        <v>0</v>
      </c>
      <c r="AG4" s="87">
        <v>20000</v>
      </c>
    </row>
    <row r="5" spans="1:33" ht="65.25" customHeight="1" x14ac:dyDescent="0.35">
      <c r="A5" s="86" t="s">
        <v>860</v>
      </c>
      <c r="B5" s="85">
        <v>6</v>
      </c>
      <c r="D5" s="86">
        <v>0</v>
      </c>
      <c r="E5" s="87">
        <v>0</v>
      </c>
      <c r="F5" s="87">
        <v>0</v>
      </c>
      <c r="G5" s="87">
        <v>0</v>
      </c>
      <c r="H5" s="96"/>
      <c r="I5" s="89">
        <v>0</v>
      </c>
      <c r="J5" s="87">
        <f>SUMIFS(L$16:L$1002,I$16:I$1002,6)</f>
        <v>-8776.1900000000023</v>
      </c>
      <c r="K5" s="87">
        <f>G5+I5-J5+SUMIFS(I$6:I$11,$C$6:$C$11,$A5)-SUMIFS(J$6:J$11,$C$6:$C$11,$A5)</f>
        <v>8776.1900000000023</v>
      </c>
      <c r="L5" s="105"/>
      <c r="M5" s="87">
        <v>0</v>
      </c>
      <c r="N5" s="96"/>
      <c r="O5" s="87">
        <f>K5+M5-N5+SUMIFS(M$6:M$11,$C$6:$C$11,$A5)-SUMIFS(N$6:N$11,$C$6:$C$11,$A5)</f>
        <v>8776.1900000000023</v>
      </c>
    </row>
    <row r="6" spans="1:33" ht="17.149999999999999" customHeight="1" x14ac:dyDescent="0.35">
      <c r="E6" s="87"/>
      <c r="F6" s="87"/>
    </row>
    <row r="7" spans="1:33" ht="17.149999999999999" customHeight="1" x14ac:dyDescent="0.35">
      <c r="A7" s="84" t="s">
        <v>54</v>
      </c>
      <c r="D7" s="84"/>
      <c r="E7" s="87">
        <f>SUM(E8:E10)</f>
        <v>10000</v>
      </c>
      <c r="F7" s="87">
        <f>SUM(F8:F10)</f>
        <v>5545.28</v>
      </c>
      <c r="I7" s="89">
        <f>SUM(I8:I10)</f>
        <v>10000</v>
      </c>
      <c r="J7" s="87">
        <f>SUM(J8:J10)</f>
        <v>8745</v>
      </c>
      <c r="M7" s="89">
        <f>SUM(M8:M10)</f>
        <v>10300</v>
      </c>
      <c r="N7" s="87">
        <f>SUM(N8:N10)</f>
        <v>826</v>
      </c>
      <c r="Q7" s="89">
        <f>SUM(Q8:Q10)</f>
        <v>10609</v>
      </c>
      <c r="R7" s="87">
        <f>$Q$7</f>
        <v>10609</v>
      </c>
      <c r="U7" s="89">
        <f>SUM(U8:U10)</f>
        <v>10928</v>
      </c>
      <c r="V7" s="87">
        <f>$U$7</f>
        <v>10928</v>
      </c>
      <c r="Y7" s="89">
        <f>SUM(Y8:Y10)</f>
        <v>11256</v>
      </c>
      <c r="Z7" s="87">
        <f>$Y$7</f>
        <v>11256</v>
      </c>
      <c r="AC7" s="89">
        <f>SUM(AC8:AC10)</f>
        <v>11594</v>
      </c>
      <c r="AD7" s="87">
        <f>$AC$7</f>
        <v>11594</v>
      </c>
    </row>
    <row r="8" spans="1:33" ht="17.149999999999999" customHeight="1" x14ac:dyDescent="0.35">
      <c r="A8" s="86" t="s">
        <v>54</v>
      </c>
      <c r="B8" s="85">
        <v>3</v>
      </c>
      <c r="C8" s="87" t="s">
        <v>52</v>
      </c>
      <c r="D8" s="84"/>
      <c r="E8" s="87">
        <v>0</v>
      </c>
      <c r="F8" s="87">
        <f>SUMIFS(H$16:H$1003,E$16:E$1003,$B8)</f>
        <v>0</v>
      </c>
      <c r="I8" s="89">
        <f>ROUNDUP((E8)*RPICurrent,0)</f>
        <v>0</v>
      </c>
      <c r="J8" s="87">
        <f>SUMIFS(L$16:L$1002,I$16:I$1002,$B8)</f>
        <v>0</v>
      </c>
      <c r="M8" s="89">
        <f>ROUNDUP((I8)*RPI,0)</f>
        <v>0</v>
      </c>
      <c r="N8" s="87">
        <f>SUMIFS(P$11:P$1004,M$11:M$1004,$B8)</f>
        <v>826</v>
      </c>
      <c r="Q8" s="89">
        <f>ROUNDUP((M8)*RPI,0)</f>
        <v>0</v>
      </c>
      <c r="R8" s="87">
        <f>$Q$8</f>
        <v>0</v>
      </c>
      <c r="U8" s="89">
        <f>ROUNDUP((Q8)*RPI,0)</f>
        <v>0</v>
      </c>
      <c r="V8" s="87">
        <f>$U$8</f>
        <v>0</v>
      </c>
      <c r="Y8" s="89">
        <f>ROUNDUP((U8)*RPI,0)</f>
        <v>0</v>
      </c>
      <c r="Z8" s="87">
        <f>$Y$8</f>
        <v>0</v>
      </c>
      <c r="AC8" s="89">
        <f>ROUNDUP((Y8)*RPI,0)</f>
        <v>0</v>
      </c>
      <c r="AD8" s="87">
        <f>$AC$8</f>
        <v>0</v>
      </c>
    </row>
    <row r="9" spans="1:33" ht="17.149999999999999" customHeight="1" x14ac:dyDescent="0.35">
      <c r="A9" s="86" t="s">
        <v>55</v>
      </c>
      <c r="B9" s="85">
        <v>4</v>
      </c>
      <c r="C9" s="87" t="s">
        <v>53</v>
      </c>
      <c r="D9" s="84"/>
      <c r="E9" s="87">
        <v>10000</v>
      </c>
      <c r="F9" s="87">
        <f>SUMIFS(H$16:H$1003,E$16:E$1003,$B9)</f>
        <v>5545.28</v>
      </c>
      <c r="I9" s="89">
        <v>10000</v>
      </c>
      <c r="J9" s="87">
        <f>SUMIFS(L$16:L$1002,I$16:I$1002,$B9)</f>
        <v>8745</v>
      </c>
      <c r="M9" s="89">
        <f>ROUNDUP((I9)*RPI,0)</f>
        <v>10300</v>
      </c>
      <c r="N9" s="87">
        <f>SUMIFS(P$11:P$1004,M$11:M$1004,$B9)</f>
        <v>0</v>
      </c>
      <c r="Q9" s="89">
        <f>ROUNDUP((M9)*RPI,0)</f>
        <v>10609</v>
      </c>
      <c r="R9" s="87">
        <f>$Q$9</f>
        <v>10609</v>
      </c>
      <c r="U9" s="89">
        <f>ROUNDUP((Q9)*RPI,0)</f>
        <v>10928</v>
      </c>
      <c r="V9" s="87">
        <f>$U$9</f>
        <v>10928</v>
      </c>
      <c r="Y9" s="89">
        <f>ROUNDUP((U9)*RPI,0)</f>
        <v>11256</v>
      </c>
      <c r="Z9" s="87">
        <f>$Y$9</f>
        <v>11256</v>
      </c>
      <c r="AC9" s="89">
        <f>ROUNDUP((Y9)*RPI,0)</f>
        <v>11594</v>
      </c>
      <c r="AD9" s="87">
        <f>$AC$9</f>
        <v>11594</v>
      </c>
    </row>
    <row r="10" spans="1:33" ht="17.149999999999999" customHeight="1" x14ac:dyDescent="0.35">
      <c r="A10" s="86" t="s">
        <v>56</v>
      </c>
      <c r="B10" s="85">
        <v>5</v>
      </c>
      <c r="C10" s="87" t="s">
        <v>52</v>
      </c>
      <c r="D10" s="84"/>
      <c r="E10" s="87">
        <v>0</v>
      </c>
      <c r="F10" s="87">
        <f>SUMIFS(H$16:H$1003,E$16:E$1003,$B10)</f>
        <v>0</v>
      </c>
      <c r="I10" s="89">
        <f>ROUNDUP((E10)*RPICurrent,0)</f>
        <v>0</v>
      </c>
      <c r="J10" s="87">
        <f>SUMIFS(L$16:L$1002,I$16:I$1002,$B10)</f>
        <v>0</v>
      </c>
      <c r="M10" s="89">
        <f>ROUNDUP((I10)*RPI,0)</f>
        <v>0</v>
      </c>
      <c r="N10" s="87">
        <f>SUMIFS(P$11:P$1004,M$11:M$1004,$B10)</f>
        <v>0</v>
      </c>
      <c r="Q10" s="89">
        <f>ROUNDUP((M10)*RPI,0)</f>
        <v>0</v>
      </c>
      <c r="R10" s="87">
        <f>$Q$10</f>
        <v>0</v>
      </c>
      <c r="U10" s="89">
        <f>ROUNDUP((Q10)*RPI,0)</f>
        <v>0</v>
      </c>
      <c r="V10" s="87">
        <f>$U$10</f>
        <v>0</v>
      </c>
      <c r="Y10" s="89">
        <f>ROUNDUP((U10)*RPI,0)</f>
        <v>0</v>
      </c>
      <c r="Z10" s="87">
        <f>$Y$10</f>
        <v>0</v>
      </c>
      <c r="AC10" s="89">
        <f>ROUNDUP((Y10)*RPI,0)</f>
        <v>0</v>
      </c>
      <c r="AD10" s="87">
        <f>$AC$10</f>
        <v>0</v>
      </c>
    </row>
    <row r="11" spans="1:33" ht="17.149999999999999" customHeight="1" x14ac:dyDescent="0.35">
      <c r="E11" s="87"/>
      <c r="F11" s="87"/>
    </row>
    <row r="12" spans="1:33" ht="17.149999999999999" customHeight="1" x14ac:dyDescent="0.35">
      <c r="E12" s="87"/>
      <c r="F12" s="87"/>
    </row>
    <row r="13" spans="1:33" ht="17.149999999999999" customHeight="1" x14ac:dyDescent="0.35">
      <c r="E13" s="87"/>
      <c r="F13" s="87"/>
    </row>
    <row r="14" spans="1:33" ht="17.149999999999999" customHeight="1" x14ac:dyDescent="0.35">
      <c r="A14" s="84" t="s">
        <v>487</v>
      </c>
      <c r="G14" s="85"/>
      <c r="H14" s="87"/>
      <c r="I14" s="94"/>
      <c r="J14" s="93"/>
      <c r="K14" s="85"/>
      <c r="M14" s="94"/>
      <c r="N14" s="93"/>
      <c r="O14" s="85"/>
      <c r="Q14" s="94"/>
      <c r="R14" s="93"/>
      <c r="S14" s="85"/>
      <c r="U14" s="94"/>
      <c r="V14" s="93"/>
      <c r="W14" s="85"/>
      <c r="Y14" s="94"/>
      <c r="Z14" s="93"/>
      <c r="AA14" s="85"/>
      <c r="AC14" s="94"/>
      <c r="AD14" s="93"/>
      <c r="AE14" s="85"/>
    </row>
    <row r="15" spans="1:33" ht="17.149999999999999" customHeight="1"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ht="17.149999999999999" customHeight="1" x14ac:dyDescent="0.35">
      <c r="A16" s="85"/>
      <c r="D16" s="85"/>
      <c r="E16" s="85">
        <v>4</v>
      </c>
      <c r="F16" s="93">
        <v>44832</v>
      </c>
      <c r="G16" s="85" t="s">
        <v>861</v>
      </c>
      <c r="H16" s="87">
        <v>54.99</v>
      </c>
      <c r="I16" s="94">
        <v>1</v>
      </c>
      <c r="J16" s="93" t="s">
        <v>491</v>
      </c>
      <c r="K16" s="85" t="s">
        <v>862</v>
      </c>
      <c r="L16" s="87">
        <v>10000</v>
      </c>
      <c r="M16" s="85">
        <v>1</v>
      </c>
      <c r="N16" s="93" t="s">
        <v>699</v>
      </c>
      <c r="O16" s="93" t="s">
        <v>699</v>
      </c>
      <c r="P16" s="87">
        <v>2232.2800000000002</v>
      </c>
      <c r="Q16" s="94"/>
      <c r="R16" s="93"/>
      <c r="S16" s="85"/>
      <c r="U16" s="94"/>
      <c r="V16" s="93"/>
      <c r="W16" s="85"/>
      <c r="Y16" s="94"/>
      <c r="Z16" s="93"/>
      <c r="AA16" s="85"/>
      <c r="AC16" s="94"/>
      <c r="AD16" s="93"/>
      <c r="AE16" s="85"/>
    </row>
    <row r="17" spans="5:31" ht="17.149999999999999" customHeight="1" x14ac:dyDescent="0.35">
      <c r="E17" s="85">
        <v>1</v>
      </c>
      <c r="F17" s="93">
        <v>45016</v>
      </c>
      <c r="G17" s="92" t="s">
        <v>863</v>
      </c>
      <c r="H17" s="90">
        <f>15270+1496.46</f>
        <v>16766.46</v>
      </c>
      <c r="I17" s="94">
        <v>1</v>
      </c>
      <c r="J17" s="97"/>
      <c r="K17" s="85" t="s">
        <v>864</v>
      </c>
      <c r="L17" s="87">
        <v>45000</v>
      </c>
      <c r="M17" s="85">
        <v>2</v>
      </c>
      <c r="N17" s="93" t="s">
        <v>699</v>
      </c>
      <c r="O17" s="93" t="s">
        <v>699</v>
      </c>
      <c r="P17" s="87">
        <v>-2232.2800000000002</v>
      </c>
      <c r="Q17" s="94"/>
      <c r="R17" s="93"/>
      <c r="S17" s="85"/>
      <c r="U17" s="94"/>
      <c r="V17" s="93"/>
      <c r="W17" s="85"/>
      <c r="Y17" s="94"/>
      <c r="Z17" s="93"/>
      <c r="AA17" s="85"/>
      <c r="AC17" s="94"/>
      <c r="AD17" s="93"/>
      <c r="AE17" s="85"/>
    </row>
    <row r="18" spans="5:31" ht="17.149999999999999" customHeight="1" x14ac:dyDescent="0.35">
      <c r="E18" s="85">
        <v>4</v>
      </c>
      <c r="F18" s="93">
        <v>44880</v>
      </c>
      <c r="G18" s="85" t="s">
        <v>865</v>
      </c>
      <c r="H18" s="87">
        <v>4495</v>
      </c>
      <c r="I18" s="94">
        <v>6</v>
      </c>
      <c r="J18" s="93"/>
      <c r="K18" s="85" t="s">
        <v>866</v>
      </c>
      <c r="L18" s="87">
        <v>-45000</v>
      </c>
      <c r="M18" s="94">
        <v>1</v>
      </c>
      <c r="N18" s="93" t="s">
        <v>491</v>
      </c>
      <c r="O18" s="93" t="s">
        <v>2397</v>
      </c>
      <c r="P18" s="87">
        <v>15000</v>
      </c>
      <c r="Q18" s="94"/>
      <c r="R18" s="93"/>
      <c r="S18" s="85"/>
      <c r="U18" s="94"/>
      <c r="V18" s="93"/>
      <c r="W18" s="85"/>
      <c r="Y18" s="94"/>
      <c r="Z18" s="93"/>
      <c r="AA18" s="85"/>
      <c r="AC18" s="94"/>
      <c r="AD18" s="93"/>
      <c r="AE18" s="85"/>
    </row>
    <row r="19" spans="5:31" ht="17.149999999999999" customHeight="1" x14ac:dyDescent="0.35">
      <c r="E19" s="92" t="s">
        <v>867</v>
      </c>
      <c r="F19" s="93" t="s">
        <v>491</v>
      </c>
      <c r="G19" s="92" t="s">
        <v>862</v>
      </c>
      <c r="H19" s="90">
        <v>10000</v>
      </c>
      <c r="I19" s="94">
        <v>1</v>
      </c>
      <c r="J19" s="93">
        <v>45106</v>
      </c>
      <c r="K19" s="85" t="s">
        <v>868</v>
      </c>
      <c r="L19" s="87">
        <v>130</v>
      </c>
      <c r="M19" s="94">
        <v>2</v>
      </c>
      <c r="N19" s="93" t="s">
        <v>699</v>
      </c>
      <c r="O19" s="93" t="s">
        <v>699</v>
      </c>
      <c r="P19" s="87">
        <v>15000</v>
      </c>
      <c r="Q19" s="94"/>
      <c r="R19" s="93"/>
      <c r="S19" s="85"/>
      <c r="U19" s="94"/>
      <c r="V19" s="93"/>
      <c r="W19" s="85"/>
      <c r="Y19" s="94"/>
      <c r="Z19" s="93"/>
      <c r="AA19" s="85"/>
      <c r="AC19" s="94"/>
      <c r="AD19" s="93"/>
      <c r="AE19" s="85"/>
    </row>
    <row r="20" spans="5:31" ht="17.149999999999999" customHeight="1" x14ac:dyDescent="0.35">
      <c r="E20" s="92">
        <v>1</v>
      </c>
      <c r="F20" s="93">
        <v>44879</v>
      </c>
      <c r="G20" s="85" t="s">
        <v>869</v>
      </c>
      <c r="H20" s="87">
        <v>365</v>
      </c>
      <c r="I20" s="94">
        <v>1</v>
      </c>
      <c r="J20" s="93">
        <v>45129</v>
      </c>
      <c r="K20" s="85" t="s">
        <v>870</v>
      </c>
      <c r="L20" s="87">
        <v>130</v>
      </c>
      <c r="M20" s="94">
        <v>1</v>
      </c>
      <c r="N20" s="93" t="s">
        <v>699</v>
      </c>
      <c r="O20" s="93" t="s">
        <v>699</v>
      </c>
      <c r="P20" s="87">
        <v>-15000</v>
      </c>
      <c r="Q20" s="94"/>
      <c r="R20" s="93"/>
      <c r="S20" s="85"/>
      <c r="U20" s="94"/>
      <c r="V20" s="93"/>
      <c r="W20" s="85"/>
      <c r="Y20" s="94"/>
      <c r="Z20" s="93"/>
      <c r="AA20" s="85"/>
      <c r="AC20" s="94"/>
      <c r="AD20" s="93"/>
      <c r="AE20" s="85"/>
    </row>
    <row r="21" spans="5:31" ht="17.149999999999999" customHeight="1" x14ac:dyDescent="0.35">
      <c r="E21" s="85">
        <v>4</v>
      </c>
      <c r="F21" s="93">
        <v>44935</v>
      </c>
      <c r="G21" s="92" t="s">
        <v>871</v>
      </c>
      <c r="H21" s="90">
        <v>380.34</v>
      </c>
      <c r="I21" s="94">
        <v>1</v>
      </c>
      <c r="J21" s="93">
        <v>45115</v>
      </c>
      <c r="K21" s="85" t="s">
        <v>872</v>
      </c>
      <c r="L21" s="87">
        <v>130</v>
      </c>
      <c r="M21" s="94">
        <v>1</v>
      </c>
      <c r="N21" s="93" t="s">
        <v>491</v>
      </c>
      <c r="O21" s="93" t="s">
        <v>2801</v>
      </c>
      <c r="Q21" s="94"/>
      <c r="R21" s="93"/>
      <c r="S21" s="85"/>
      <c r="U21" s="94"/>
      <c r="V21" s="93"/>
      <c r="W21" s="85"/>
      <c r="Y21" s="94"/>
      <c r="Z21" s="93"/>
      <c r="AA21" s="85"/>
      <c r="AC21" s="94"/>
      <c r="AD21" s="93"/>
      <c r="AE21" s="85"/>
    </row>
    <row r="22" spans="5:31" ht="17.149999999999999" customHeight="1" x14ac:dyDescent="0.35">
      <c r="E22" s="85">
        <v>1</v>
      </c>
      <c r="F22" s="93">
        <v>44907</v>
      </c>
      <c r="G22" s="85" t="s">
        <v>873</v>
      </c>
      <c r="H22" s="87">
        <v>9119.5</v>
      </c>
      <c r="I22" s="94">
        <v>1</v>
      </c>
      <c r="J22" s="93">
        <v>45140</v>
      </c>
      <c r="K22" s="85" t="s">
        <v>874</v>
      </c>
      <c r="L22" s="87">
        <v>130</v>
      </c>
      <c r="M22" s="94">
        <v>6</v>
      </c>
      <c r="N22" s="93" t="s">
        <v>491</v>
      </c>
      <c r="O22" s="85" t="s">
        <v>2103</v>
      </c>
      <c r="P22" s="87">
        <v>3000</v>
      </c>
      <c r="Q22" s="94"/>
      <c r="R22" s="93"/>
      <c r="S22" s="85"/>
      <c r="U22" s="94"/>
      <c r="V22" s="93"/>
      <c r="W22" s="85"/>
      <c r="Y22" s="94"/>
      <c r="Z22" s="93"/>
      <c r="AA22" s="85"/>
      <c r="AC22" s="94"/>
      <c r="AD22" s="93"/>
      <c r="AE22" s="85"/>
    </row>
    <row r="23" spans="5:31" ht="17.149999999999999" customHeight="1" x14ac:dyDescent="0.35">
      <c r="E23" s="92" t="s">
        <v>867</v>
      </c>
      <c r="F23" s="97" t="s">
        <v>491</v>
      </c>
      <c r="G23" s="92" t="s">
        <v>875</v>
      </c>
      <c r="H23" s="90">
        <v>45000</v>
      </c>
      <c r="I23" s="94">
        <v>1</v>
      </c>
      <c r="J23" s="93">
        <v>45149</v>
      </c>
      <c r="K23" s="85" t="s">
        <v>876</v>
      </c>
      <c r="L23" s="87">
        <v>130</v>
      </c>
      <c r="M23" s="94">
        <v>3</v>
      </c>
      <c r="N23" s="93">
        <v>45455</v>
      </c>
      <c r="O23" s="93" t="s">
        <v>2946</v>
      </c>
      <c r="P23" s="148">
        <v>280</v>
      </c>
      <c r="Q23" s="94"/>
      <c r="R23" s="93"/>
      <c r="S23" s="85"/>
      <c r="U23" s="94"/>
      <c r="V23" s="93"/>
      <c r="W23" s="85"/>
      <c r="Y23" s="94"/>
      <c r="Z23" s="93"/>
      <c r="AA23" s="85"/>
      <c r="AC23" s="94"/>
      <c r="AD23" s="93"/>
      <c r="AE23" s="85"/>
    </row>
    <row r="24" spans="5:31" ht="17.149999999999999" customHeight="1" x14ac:dyDescent="0.35">
      <c r="E24" s="92">
        <v>4</v>
      </c>
      <c r="F24" s="93">
        <v>44875</v>
      </c>
      <c r="G24" s="85" t="s">
        <v>877</v>
      </c>
      <c r="H24" s="87">
        <v>265</v>
      </c>
      <c r="I24" s="94">
        <v>1</v>
      </c>
      <c r="J24" s="93">
        <v>45156</v>
      </c>
      <c r="K24" s="85" t="s">
        <v>878</v>
      </c>
      <c r="L24" s="87">
        <v>130</v>
      </c>
      <c r="M24" s="94">
        <v>3</v>
      </c>
      <c r="N24" s="93">
        <v>45461</v>
      </c>
      <c r="O24" s="93" t="s">
        <v>2946</v>
      </c>
      <c r="P24" s="148">
        <v>98</v>
      </c>
      <c r="Q24" s="94"/>
      <c r="R24" s="93"/>
      <c r="S24" s="85"/>
      <c r="U24" s="94"/>
      <c r="V24" s="93"/>
      <c r="W24" s="85"/>
      <c r="Y24" s="94"/>
      <c r="Z24" s="93"/>
      <c r="AA24" s="85"/>
      <c r="AC24" s="94"/>
      <c r="AD24" s="93"/>
      <c r="AE24" s="85"/>
    </row>
    <row r="25" spans="5:31" ht="17.149999999999999" customHeight="1" x14ac:dyDescent="0.35">
      <c r="E25" s="92">
        <v>1</v>
      </c>
      <c r="F25" s="93">
        <v>44935</v>
      </c>
      <c r="G25" s="85" t="s">
        <v>879</v>
      </c>
      <c r="H25" s="87">
        <v>970</v>
      </c>
      <c r="I25" s="94">
        <v>1</v>
      </c>
      <c r="J25" s="93">
        <v>45183</v>
      </c>
      <c r="K25" s="96" t="s">
        <v>880</v>
      </c>
      <c r="L25" s="87">
        <v>7269.5</v>
      </c>
      <c r="M25" s="94">
        <v>3</v>
      </c>
      <c r="N25" s="93">
        <v>45477</v>
      </c>
      <c r="O25" s="93" t="s">
        <v>2946</v>
      </c>
      <c r="P25" s="87">
        <v>266</v>
      </c>
      <c r="Q25" s="94"/>
      <c r="R25" s="93"/>
      <c r="S25" s="85"/>
      <c r="U25" s="94"/>
      <c r="V25" s="93"/>
      <c r="W25" s="85"/>
      <c r="Y25" s="94"/>
      <c r="Z25" s="93"/>
      <c r="AA25" s="85"/>
      <c r="AC25" s="94"/>
      <c r="AD25" s="93"/>
      <c r="AE25" s="85"/>
    </row>
    <row r="26" spans="5:31" ht="17.149999999999999" customHeight="1" x14ac:dyDescent="0.35">
      <c r="E26" s="92">
        <v>4</v>
      </c>
      <c r="F26" s="93">
        <v>44978</v>
      </c>
      <c r="G26" s="85" t="s">
        <v>877</v>
      </c>
      <c r="H26" s="87">
        <v>289</v>
      </c>
      <c r="I26" s="95">
        <v>1</v>
      </c>
      <c r="J26" s="106">
        <v>45188</v>
      </c>
      <c r="K26" s="96" t="s">
        <v>881</v>
      </c>
      <c r="L26" s="87">
        <v>2125</v>
      </c>
      <c r="M26" s="94">
        <v>3</v>
      </c>
      <c r="N26" s="93">
        <v>45494</v>
      </c>
      <c r="O26" s="93" t="s">
        <v>2946</v>
      </c>
      <c r="P26" s="87">
        <v>182</v>
      </c>
      <c r="Q26" s="94"/>
      <c r="R26" s="93"/>
      <c r="S26" s="85"/>
      <c r="U26" s="94"/>
      <c r="V26" s="93"/>
      <c r="W26" s="85"/>
      <c r="Y26" s="94"/>
      <c r="Z26" s="93"/>
      <c r="AA26" s="85"/>
      <c r="AC26" s="94"/>
      <c r="AD26" s="93"/>
      <c r="AE26" s="85"/>
    </row>
    <row r="27" spans="5:31" ht="17.149999999999999" customHeight="1" x14ac:dyDescent="0.35">
      <c r="E27" s="92">
        <v>2</v>
      </c>
      <c r="F27" s="93">
        <v>45009</v>
      </c>
      <c r="G27" s="85" t="s">
        <v>882</v>
      </c>
      <c r="H27" s="87">
        <v>-2295</v>
      </c>
      <c r="I27" s="95">
        <v>6</v>
      </c>
      <c r="J27" s="96" t="s">
        <v>491</v>
      </c>
      <c r="K27" s="96" t="s">
        <v>2104</v>
      </c>
      <c r="L27" s="87">
        <f>42875-L28</f>
        <v>36223.81</v>
      </c>
      <c r="M27" s="95">
        <v>4</v>
      </c>
      <c r="N27" s="96" t="s">
        <v>491</v>
      </c>
      <c r="O27" s="96" t="s">
        <v>3173</v>
      </c>
      <c r="Q27" s="94"/>
      <c r="R27" s="93"/>
      <c r="S27" s="85"/>
      <c r="U27" s="94"/>
      <c r="V27" s="93"/>
      <c r="W27" s="85"/>
      <c r="Y27" s="94"/>
      <c r="Z27" s="93"/>
      <c r="AA27" s="85"/>
      <c r="AC27" s="94"/>
      <c r="AD27" s="93"/>
      <c r="AE27" s="85"/>
    </row>
    <row r="28" spans="5:31" ht="17.149999999999999" customHeight="1" x14ac:dyDescent="0.35">
      <c r="E28" s="92">
        <v>4</v>
      </c>
      <c r="F28" s="93">
        <v>45014</v>
      </c>
      <c r="G28" s="85" t="s">
        <v>884</v>
      </c>
      <c r="H28" s="87">
        <v>60.95</v>
      </c>
      <c r="I28" s="93" t="s">
        <v>23</v>
      </c>
      <c r="J28" s="93" t="s">
        <v>23</v>
      </c>
      <c r="K28" s="85" t="s">
        <v>2103</v>
      </c>
      <c r="L28" s="87">
        <v>6651.19</v>
      </c>
      <c r="M28" s="95"/>
      <c r="N28" s="96"/>
      <c r="O28" s="96"/>
      <c r="Q28" s="94"/>
      <c r="R28" s="93"/>
      <c r="S28" s="85"/>
      <c r="U28" s="94"/>
      <c r="V28" s="93"/>
      <c r="W28" s="85"/>
      <c r="Y28" s="94"/>
      <c r="Z28" s="93"/>
      <c r="AA28" s="85"/>
      <c r="AC28" s="94"/>
      <c r="AD28" s="93"/>
      <c r="AE28" s="85"/>
    </row>
    <row r="29" spans="5:31" ht="17.149999999999999" customHeight="1" x14ac:dyDescent="0.35">
      <c r="G29" s="85"/>
      <c r="H29" s="87"/>
      <c r="I29" s="94">
        <v>4</v>
      </c>
      <c r="J29" s="93">
        <v>45274</v>
      </c>
      <c r="K29" s="96" t="s">
        <v>2381</v>
      </c>
      <c r="L29" s="87">
        <v>750</v>
      </c>
      <c r="M29" s="95"/>
      <c r="N29" s="96"/>
      <c r="O29" s="96"/>
      <c r="Q29" s="95"/>
      <c r="R29" s="93"/>
      <c r="S29" s="85"/>
      <c r="U29" s="94"/>
      <c r="V29" s="93"/>
      <c r="W29" s="85"/>
      <c r="Y29" s="94"/>
      <c r="Z29" s="93"/>
      <c r="AA29" s="85"/>
      <c r="AC29" s="94"/>
      <c r="AD29" s="93"/>
      <c r="AE29" s="85"/>
    </row>
    <row r="30" spans="5:31" ht="17.149999999999999" customHeight="1" x14ac:dyDescent="0.35">
      <c r="G30" s="85"/>
      <c r="H30" s="87"/>
      <c r="I30" s="94">
        <v>4</v>
      </c>
      <c r="J30" s="93">
        <v>45351</v>
      </c>
      <c r="K30" s="87" t="s">
        <v>2631</v>
      </c>
      <c r="L30" s="87">
        <v>7260</v>
      </c>
      <c r="M30" s="94"/>
      <c r="N30" s="93"/>
      <c r="O30" s="85"/>
      <c r="Q30" s="95"/>
      <c r="R30" s="93"/>
      <c r="S30" s="85"/>
      <c r="U30" s="94"/>
      <c r="V30" s="93"/>
      <c r="W30" s="85"/>
      <c r="Y30" s="94"/>
      <c r="Z30" s="93"/>
      <c r="AA30" s="85"/>
      <c r="AC30" s="94"/>
      <c r="AD30" s="93"/>
      <c r="AE30" s="85"/>
    </row>
    <row r="31" spans="5:31" ht="17.149999999999999" customHeight="1" x14ac:dyDescent="0.35">
      <c r="G31" s="85"/>
      <c r="H31" s="87"/>
      <c r="I31" s="94">
        <v>4</v>
      </c>
      <c r="J31" s="107">
        <v>45355</v>
      </c>
      <c r="K31" s="87" t="s">
        <v>2636</v>
      </c>
      <c r="L31" s="87">
        <v>735</v>
      </c>
      <c r="M31" s="95"/>
      <c r="N31" s="96"/>
      <c r="O31" s="96"/>
      <c r="P31" s="96"/>
      <c r="Q31" s="95"/>
      <c r="R31" s="93"/>
      <c r="S31" s="85"/>
      <c r="U31" s="94"/>
      <c r="V31" s="93"/>
      <c r="W31" s="85"/>
      <c r="Y31" s="94"/>
      <c r="Z31" s="93"/>
      <c r="AA31" s="85"/>
      <c r="AC31" s="94"/>
      <c r="AD31" s="93"/>
      <c r="AE31" s="85"/>
    </row>
    <row r="32" spans="5:31" ht="17.149999999999999" customHeight="1" x14ac:dyDescent="0.35">
      <c r="G32" s="85"/>
      <c r="H32" s="87"/>
      <c r="I32" s="95"/>
      <c r="J32" s="96"/>
      <c r="K32" s="96"/>
      <c r="L32" s="96"/>
      <c r="M32" s="95"/>
      <c r="N32" s="96"/>
      <c r="O32" s="96"/>
      <c r="P32" s="96"/>
      <c r="Q32" s="95"/>
      <c r="R32" s="93"/>
      <c r="S32" s="85"/>
      <c r="U32" s="94"/>
      <c r="V32" s="93"/>
      <c r="W32" s="85"/>
      <c r="Y32" s="94"/>
      <c r="Z32" s="93"/>
      <c r="AA32" s="85"/>
      <c r="AC32" s="94"/>
      <c r="AD32" s="93"/>
      <c r="AE32" s="85"/>
    </row>
    <row r="33" spans="7:31" ht="17.149999999999999" customHeight="1" x14ac:dyDescent="0.35">
      <c r="G33" s="85"/>
      <c r="H33" s="87"/>
      <c r="I33" s="95"/>
      <c r="J33" s="96"/>
      <c r="K33" s="96"/>
      <c r="L33" s="96"/>
      <c r="M33" s="95"/>
      <c r="N33" s="96"/>
      <c r="O33" s="96"/>
      <c r="P33" s="96"/>
      <c r="Q33" s="95"/>
      <c r="R33" s="93"/>
      <c r="S33" s="85"/>
      <c r="U33" s="94"/>
      <c r="V33" s="93"/>
      <c r="W33" s="85"/>
      <c r="Y33" s="94"/>
      <c r="Z33" s="93"/>
      <c r="AA33" s="85"/>
      <c r="AC33" s="94"/>
      <c r="AD33" s="93"/>
      <c r="AE33" s="85"/>
    </row>
    <row r="34" spans="7:31" ht="17.149999999999999" customHeight="1" x14ac:dyDescent="0.35">
      <c r="G34" s="85"/>
      <c r="H34" s="87"/>
      <c r="I34" s="95"/>
      <c r="J34" s="96"/>
      <c r="K34" s="96"/>
      <c r="L34" s="96"/>
      <c r="M34" s="95"/>
      <c r="N34" s="96"/>
      <c r="O34" s="96"/>
      <c r="P34" s="96"/>
      <c r="Q34" s="95"/>
      <c r="R34" s="93"/>
      <c r="S34" s="85"/>
      <c r="U34" s="94"/>
      <c r="V34" s="93"/>
      <c r="W34" s="85"/>
      <c r="Y34" s="94"/>
      <c r="Z34" s="93"/>
      <c r="AA34" s="85"/>
      <c r="AC34" s="94"/>
      <c r="AD34" s="93"/>
      <c r="AE34" s="85"/>
    </row>
    <row r="35" spans="7:31" ht="17.149999999999999" customHeight="1" x14ac:dyDescent="0.35">
      <c r="G35" s="85"/>
      <c r="H35" s="87"/>
      <c r="I35" s="95"/>
      <c r="J35" s="96"/>
      <c r="K35" s="96"/>
      <c r="L35" s="96"/>
      <c r="M35" s="95"/>
      <c r="N35" s="96"/>
      <c r="O35" s="96"/>
      <c r="P35" s="96"/>
      <c r="Q35" s="95"/>
      <c r="R35" s="93"/>
      <c r="S35" s="85"/>
      <c r="U35" s="94"/>
      <c r="V35" s="93"/>
      <c r="W35" s="85"/>
      <c r="Y35" s="94"/>
      <c r="Z35" s="93"/>
      <c r="AA35" s="85"/>
      <c r="AC35" s="94"/>
      <c r="AD35" s="93"/>
      <c r="AE35" s="85"/>
    </row>
    <row r="36" spans="7:31" ht="17.149999999999999" customHeight="1" x14ac:dyDescent="0.35">
      <c r="G36" s="85"/>
      <c r="H36" s="87"/>
      <c r="I36" s="95"/>
      <c r="J36" s="96"/>
      <c r="K36" s="96"/>
      <c r="L36" s="96"/>
      <c r="M36" s="95"/>
      <c r="N36" s="96"/>
      <c r="O36" s="96"/>
      <c r="P36" s="96"/>
      <c r="Q36" s="95"/>
      <c r="R36" s="93"/>
      <c r="S36" s="85"/>
      <c r="U36" s="94"/>
      <c r="V36" s="93"/>
      <c r="W36" s="85"/>
      <c r="Y36" s="94"/>
      <c r="Z36" s="93"/>
      <c r="AA36" s="85"/>
      <c r="AC36" s="94"/>
      <c r="AD36" s="93"/>
      <c r="AE36" s="85"/>
    </row>
    <row r="37" spans="7:31" ht="17.149999999999999" customHeight="1" x14ac:dyDescent="0.35">
      <c r="G37" s="85"/>
      <c r="H37" s="87"/>
      <c r="I37" s="95"/>
      <c r="J37" s="96"/>
      <c r="K37" s="96"/>
      <c r="L37" s="96"/>
      <c r="M37" s="95"/>
      <c r="N37" s="96"/>
      <c r="O37" s="96"/>
      <c r="P37" s="96"/>
      <c r="Q37" s="95"/>
      <c r="R37" s="93"/>
      <c r="S37" s="85"/>
      <c r="U37" s="94"/>
      <c r="V37" s="93"/>
      <c r="W37" s="85"/>
      <c r="Y37" s="94"/>
      <c r="Z37" s="93"/>
      <c r="AA37" s="85"/>
      <c r="AC37" s="94"/>
      <c r="AD37" s="93"/>
      <c r="AE37" s="85"/>
    </row>
    <row r="38" spans="7:31" ht="17.149999999999999" customHeight="1" x14ac:dyDescent="0.35">
      <c r="G38" s="85"/>
      <c r="H38" s="87"/>
      <c r="I38" s="95"/>
      <c r="J38" s="96"/>
      <c r="K38" s="96"/>
      <c r="L38" s="96"/>
      <c r="M38" s="95"/>
      <c r="N38" s="96"/>
      <c r="O38" s="96"/>
      <c r="P38" s="96"/>
      <c r="Q38" s="95"/>
      <c r="R38" s="93"/>
      <c r="S38" s="85"/>
      <c r="U38" s="94"/>
      <c r="V38" s="93"/>
      <c r="W38" s="85"/>
      <c r="Y38" s="94"/>
      <c r="Z38" s="93"/>
      <c r="AA38" s="85"/>
      <c r="AC38" s="94"/>
      <c r="AD38" s="93"/>
      <c r="AE38" s="85"/>
    </row>
    <row r="39" spans="7:31" ht="17.149999999999999" customHeight="1" x14ac:dyDescent="0.35">
      <c r="G39" s="85"/>
      <c r="H39" s="87"/>
      <c r="I39" s="95"/>
      <c r="J39" s="96"/>
      <c r="K39" s="96"/>
      <c r="L39" s="96"/>
      <c r="M39" s="95"/>
      <c r="N39" s="96"/>
      <c r="O39" s="96"/>
      <c r="P39" s="96"/>
      <c r="Q39" s="94"/>
      <c r="R39" s="93"/>
      <c r="S39" s="85"/>
      <c r="U39" s="94"/>
      <c r="V39" s="93"/>
      <c r="W39" s="85"/>
      <c r="Y39" s="94"/>
      <c r="Z39" s="93"/>
      <c r="AA39" s="85"/>
      <c r="AC39" s="94"/>
      <c r="AD39" s="93"/>
      <c r="AE39" s="85"/>
    </row>
    <row r="40" spans="7:31" ht="17.149999999999999" customHeight="1" x14ac:dyDescent="0.35">
      <c r="G40" s="85"/>
      <c r="H40" s="87"/>
      <c r="I40" s="95"/>
      <c r="J40" s="96"/>
      <c r="K40" s="96"/>
      <c r="L40" s="96"/>
      <c r="M40" s="95"/>
      <c r="N40" s="96"/>
      <c r="O40" s="96"/>
      <c r="P40" s="96"/>
      <c r="Q40" s="94"/>
      <c r="R40" s="93"/>
      <c r="S40" s="85"/>
      <c r="U40" s="94"/>
      <c r="V40" s="93"/>
      <c r="W40" s="85"/>
      <c r="Y40" s="94"/>
      <c r="Z40" s="93"/>
      <c r="AA40" s="85"/>
      <c r="AC40" s="94"/>
      <c r="AD40" s="93"/>
      <c r="AE40" s="85"/>
    </row>
    <row r="41" spans="7:31" ht="17.149999999999999" customHeight="1" x14ac:dyDescent="0.35">
      <c r="G41" s="85"/>
      <c r="H41" s="87"/>
      <c r="I41" s="94"/>
      <c r="J41" s="93"/>
      <c r="K41" s="85"/>
      <c r="M41" s="94"/>
      <c r="N41" s="93"/>
      <c r="O41" s="85"/>
      <c r="Q41" s="94"/>
      <c r="R41" s="93"/>
      <c r="S41" s="85"/>
      <c r="U41" s="94"/>
      <c r="V41" s="93"/>
      <c r="W41" s="85"/>
      <c r="Y41" s="94"/>
      <c r="Z41" s="93"/>
      <c r="AA41" s="85"/>
      <c r="AC41" s="94"/>
      <c r="AD41" s="93"/>
      <c r="AE41" s="85"/>
    </row>
    <row r="42" spans="7:31" ht="17.149999999999999" customHeight="1" x14ac:dyDescent="0.35">
      <c r="G42" s="85"/>
      <c r="H42" s="87"/>
      <c r="I42" s="94"/>
      <c r="J42" s="93"/>
      <c r="K42" s="85"/>
      <c r="M42" s="94"/>
      <c r="N42" s="93"/>
      <c r="O42" s="85"/>
      <c r="Q42" s="94"/>
      <c r="R42" s="93"/>
      <c r="S42" s="85"/>
      <c r="U42" s="94"/>
      <c r="V42" s="93"/>
      <c r="W42" s="85"/>
      <c r="Y42" s="94"/>
      <c r="Z42" s="93"/>
      <c r="AA42" s="85"/>
      <c r="AC42" s="94"/>
      <c r="AD42" s="93"/>
      <c r="AE42" s="85"/>
    </row>
    <row r="43" spans="7:31" ht="17.149999999999999" customHeight="1" x14ac:dyDescent="0.35">
      <c r="G43" s="85"/>
      <c r="H43" s="87"/>
      <c r="I43" s="94"/>
      <c r="J43" s="93"/>
      <c r="K43" s="85"/>
      <c r="M43" s="94"/>
      <c r="N43" s="93"/>
      <c r="O43" s="85"/>
      <c r="Q43" s="94"/>
      <c r="R43" s="93"/>
      <c r="S43" s="85"/>
      <c r="U43" s="94"/>
      <c r="V43" s="93"/>
      <c r="W43" s="85"/>
      <c r="Y43" s="94"/>
      <c r="Z43" s="93"/>
      <c r="AA43" s="85"/>
      <c r="AC43" s="94"/>
      <c r="AD43" s="93"/>
      <c r="AE43" s="85"/>
    </row>
    <row r="44" spans="7:31" ht="17.149999999999999" customHeight="1" x14ac:dyDescent="0.35">
      <c r="G44" s="85"/>
      <c r="H44" s="87"/>
      <c r="I44" s="94"/>
      <c r="J44" s="93"/>
      <c r="K44" s="85"/>
      <c r="M44" s="94"/>
      <c r="N44" s="93"/>
      <c r="O44" s="85"/>
      <c r="Q44" s="94"/>
      <c r="R44" s="93"/>
      <c r="S44" s="85"/>
      <c r="U44" s="94"/>
      <c r="V44" s="93"/>
      <c r="W44" s="85"/>
      <c r="Y44" s="94"/>
      <c r="Z44" s="93"/>
      <c r="AA44" s="85"/>
      <c r="AC44" s="94"/>
      <c r="AD44" s="93"/>
      <c r="AE44" s="85"/>
    </row>
    <row r="45" spans="7:31" ht="17.149999999999999" customHeight="1" x14ac:dyDescent="0.35">
      <c r="G45" s="85"/>
      <c r="H45" s="87"/>
      <c r="I45" s="94"/>
      <c r="J45" s="93"/>
      <c r="K45" s="85"/>
      <c r="M45" s="94"/>
      <c r="N45" s="93"/>
      <c r="O45" s="85"/>
      <c r="Q45" s="94"/>
      <c r="R45" s="93"/>
      <c r="S45" s="85"/>
      <c r="U45" s="94"/>
      <c r="V45" s="93"/>
      <c r="W45" s="85"/>
      <c r="Y45" s="94"/>
      <c r="Z45" s="93"/>
      <c r="AA45" s="85"/>
      <c r="AC45" s="94"/>
      <c r="AD45" s="93"/>
      <c r="AE45" s="85"/>
    </row>
    <row r="46" spans="7:31" ht="17.149999999999999" customHeight="1" x14ac:dyDescent="0.35">
      <c r="G46" s="85"/>
      <c r="H46" s="87"/>
      <c r="I46" s="94"/>
      <c r="J46" s="93"/>
      <c r="K46" s="85"/>
      <c r="M46" s="94"/>
      <c r="N46" s="93"/>
      <c r="O46" s="85"/>
      <c r="Q46" s="94"/>
      <c r="R46" s="93"/>
      <c r="S46" s="85"/>
      <c r="U46" s="94"/>
      <c r="V46" s="93"/>
      <c r="W46" s="85"/>
      <c r="Y46" s="94"/>
      <c r="Z46" s="93"/>
      <c r="AA46" s="85"/>
      <c r="AC46" s="94"/>
      <c r="AD46" s="93"/>
      <c r="AE46" s="85"/>
    </row>
    <row r="47" spans="7:31" ht="17.149999999999999" customHeight="1" x14ac:dyDescent="0.35">
      <c r="G47" s="85"/>
      <c r="H47" s="87"/>
      <c r="I47" s="94"/>
      <c r="J47" s="93"/>
      <c r="K47" s="85"/>
      <c r="M47" s="94"/>
      <c r="N47" s="93"/>
      <c r="O47" s="85"/>
      <c r="Q47" s="94"/>
      <c r="R47" s="93"/>
      <c r="S47" s="85"/>
      <c r="U47" s="94"/>
      <c r="V47" s="93"/>
      <c r="W47" s="85"/>
      <c r="Y47" s="94"/>
      <c r="Z47" s="93"/>
      <c r="AA47" s="85"/>
      <c r="AC47" s="94"/>
      <c r="AD47" s="93"/>
      <c r="AE47" s="85"/>
    </row>
    <row r="48" spans="7:31" ht="17.149999999999999" customHeight="1" x14ac:dyDescent="0.35">
      <c r="G48" s="85"/>
      <c r="H48" s="87"/>
      <c r="I48" s="94"/>
      <c r="J48" s="93"/>
      <c r="K48" s="85"/>
      <c r="M48" s="94"/>
      <c r="N48" s="93"/>
      <c r="O48" s="85"/>
      <c r="Q48" s="94"/>
      <c r="R48" s="93"/>
      <c r="S48" s="85"/>
      <c r="U48" s="94"/>
      <c r="V48" s="93"/>
      <c r="W48" s="85"/>
      <c r="Y48" s="94"/>
      <c r="Z48" s="93"/>
      <c r="AA48" s="85"/>
      <c r="AC48" s="94"/>
      <c r="AD48" s="93"/>
      <c r="AE48" s="85"/>
    </row>
    <row r="49" spans="7:31" ht="17.149999999999999" customHeight="1" x14ac:dyDescent="0.35">
      <c r="G49" s="85"/>
      <c r="H49" s="87"/>
      <c r="I49" s="94"/>
      <c r="J49" s="93"/>
      <c r="K49" s="85"/>
      <c r="M49" s="94"/>
      <c r="N49" s="93"/>
      <c r="O49" s="85"/>
      <c r="Q49" s="94"/>
      <c r="R49" s="93"/>
      <c r="S49" s="85"/>
      <c r="U49" s="94"/>
      <c r="V49" s="93"/>
      <c r="W49" s="85"/>
      <c r="Y49" s="94"/>
      <c r="Z49" s="93"/>
      <c r="AA49" s="85"/>
      <c r="AC49" s="94"/>
      <c r="AD49" s="93"/>
      <c r="AE49" s="85"/>
    </row>
    <row r="50" spans="7:31" ht="17.149999999999999" customHeight="1" x14ac:dyDescent="0.35">
      <c r="G50" s="85"/>
      <c r="H50" s="87"/>
      <c r="I50" s="94"/>
      <c r="J50" s="93"/>
      <c r="K50" s="85"/>
      <c r="M50" s="94"/>
      <c r="N50" s="93"/>
      <c r="O50" s="85"/>
      <c r="Q50" s="94"/>
      <c r="R50" s="93"/>
      <c r="S50" s="85"/>
      <c r="U50" s="94"/>
      <c r="V50" s="93"/>
      <c r="W50" s="85"/>
      <c r="Y50" s="94"/>
      <c r="Z50" s="93"/>
      <c r="AA50" s="85"/>
      <c r="AC50" s="94"/>
      <c r="AD50" s="93"/>
      <c r="AE50" s="85"/>
    </row>
    <row r="51" spans="7:31" ht="17.149999999999999" customHeight="1" x14ac:dyDescent="0.35">
      <c r="G51" s="85"/>
      <c r="H51" s="87"/>
      <c r="I51" s="94"/>
      <c r="J51" s="93"/>
      <c r="K51" s="85"/>
      <c r="M51" s="94"/>
      <c r="N51" s="93"/>
      <c r="O51" s="85"/>
      <c r="Q51" s="94"/>
      <c r="R51" s="93"/>
      <c r="S51" s="85"/>
      <c r="U51" s="94"/>
      <c r="V51" s="93"/>
      <c r="W51" s="85"/>
      <c r="Y51" s="94"/>
      <c r="Z51" s="93"/>
      <c r="AA51" s="85"/>
      <c r="AC51" s="94"/>
      <c r="AD51" s="93"/>
      <c r="AE51" s="85"/>
    </row>
    <row r="52" spans="7:31" ht="17.149999999999999" customHeight="1" x14ac:dyDescent="0.35">
      <c r="G52" s="85"/>
      <c r="H52" s="87"/>
      <c r="I52" s="94"/>
      <c r="J52" s="93"/>
      <c r="K52" s="85"/>
      <c r="M52" s="94"/>
      <c r="N52" s="93"/>
      <c r="O52" s="85"/>
      <c r="Q52" s="94"/>
      <c r="R52" s="93"/>
      <c r="S52" s="85"/>
      <c r="U52" s="94"/>
      <c r="V52" s="93"/>
      <c r="W52" s="85"/>
      <c r="Y52" s="94"/>
      <c r="Z52" s="93"/>
      <c r="AA52" s="85"/>
      <c r="AC52" s="94"/>
      <c r="AD52" s="93"/>
      <c r="AE52" s="85"/>
    </row>
    <row r="53" spans="7:31" ht="17.149999999999999" customHeight="1" x14ac:dyDescent="0.35">
      <c r="G53" s="85"/>
      <c r="H53" s="87"/>
      <c r="I53" s="94"/>
      <c r="J53" s="93"/>
      <c r="K53" s="85"/>
      <c r="M53" s="94"/>
      <c r="N53" s="93"/>
      <c r="O53" s="85"/>
      <c r="Q53" s="94"/>
      <c r="R53" s="93"/>
      <c r="S53" s="85"/>
      <c r="U53" s="94"/>
      <c r="V53" s="93"/>
      <c r="W53" s="85"/>
      <c r="Y53" s="94"/>
      <c r="Z53" s="93"/>
      <c r="AA53" s="85"/>
      <c r="AC53" s="94"/>
      <c r="AD53" s="93"/>
      <c r="AE53" s="85"/>
    </row>
    <row r="54" spans="7:31" ht="17.149999999999999" customHeight="1" x14ac:dyDescent="0.35">
      <c r="G54" s="85"/>
      <c r="H54" s="87"/>
      <c r="I54" s="94"/>
      <c r="J54" s="93"/>
      <c r="K54" s="85"/>
      <c r="M54" s="94"/>
      <c r="N54" s="93"/>
      <c r="O54" s="85"/>
      <c r="Q54" s="94"/>
      <c r="R54" s="93"/>
      <c r="S54" s="85"/>
      <c r="U54" s="94"/>
      <c r="V54" s="93"/>
      <c r="W54" s="85"/>
      <c r="Y54" s="94"/>
      <c r="Z54" s="93"/>
      <c r="AA54" s="85"/>
      <c r="AC54" s="94"/>
      <c r="AD54" s="93"/>
      <c r="AE54" s="85"/>
    </row>
    <row r="55" spans="7:31" ht="17.149999999999999" customHeight="1" x14ac:dyDescent="0.35">
      <c r="G55" s="85"/>
      <c r="H55" s="87"/>
      <c r="I55" s="94"/>
      <c r="J55" s="93"/>
      <c r="K55" s="85"/>
      <c r="M55" s="94"/>
      <c r="N55" s="93"/>
      <c r="O55" s="85"/>
      <c r="Q55" s="94"/>
      <c r="R55" s="93"/>
      <c r="S55" s="85"/>
      <c r="U55" s="94"/>
      <c r="V55" s="93"/>
      <c r="W55" s="85"/>
      <c r="Y55" s="94"/>
      <c r="Z55" s="93"/>
      <c r="AA55" s="85"/>
      <c r="AC55" s="94"/>
      <c r="AD55" s="93"/>
      <c r="AE55" s="85"/>
    </row>
    <row r="56" spans="7:31" ht="17.149999999999999" customHeight="1" x14ac:dyDescent="0.35">
      <c r="G56" s="85"/>
      <c r="H56" s="87"/>
      <c r="I56" s="94"/>
      <c r="J56" s="93"/>
      <c r="K56" s="85"/>
      <c r="M56" s="94"/>
      <c r="N56" s="93"/>
      <c r="O56" s="85"/>
      <c r="Q56" s="94"/>
      <c r="R56" s="93"/>
      <c r="S56" s="85"/>
      <c r="U56" s="94"/>
      <c r="V56" s="93"/>
      <c r="W56" s="85"/>
      <c r="Y56" s="94"/>
      <c r="Z56" s="93"/>
      <c r="AA56" s="85"/>
      <c r="AC56" s="94"/>
      <c r="AD56" s="93"/>
      <c r="AE56" s="85"/>
    </row>
    <row r="57" spans="7:31" ht="17.149999999999999" customHeight="1" x14ac:dyDescent="0.35">
      <c r="G57" s="85"/>
      <c r="H57" s="87"/>
      <c r="I57" s="94"/>
      <c r="J57" s="93"/>
      <c r="K57" s="85"/>
      <c r="M57" s="94"/>
      <c r="N57" s="93"/>
      <c r="O57" s="85"/>
      <c r="Q57" s="94"/>
      <c r="R57" s="93"/>
      <c r="S57" s="85"/>
      <c r="U57" s="94"/>
      <c r="V57" s="93"/>
      <c r="W57" s="85"/>
      <c r="Y57" s="94"/>
      <c r="Z57" s="93"/>
      <c r="AA57" s="85"/>
      <c r="AC57" s="94"/>
      <c r="AD57" s="93"/>
      <c r="AE57" s="85"/>
    </row>
    <row r="58" spans="7:31" ht="17.149999999999999" customHeight="1" x14ac:dyDescent="0.35">
      <c r="G58" s="85"/>
      <c r="H58" s="87"/>
      <c r="I58" s="94"/>
      <c r="J58" s="93"/>
      <c r="K58" s="85"/>
      <c r="M58" s="94"/>
      <c r="N58" s="93"/>
      <c r="O58" s="85"/>
      <c r="Q58" s="94"/>
      <c r="R58" s="93"/>
      <c r="S58" s="85"/>
      <c r="U58" s="94"/>
      <c r="V58" s="93"/>
      <c r="W58" s="85"/>
      <c r="Y58" s="94"/>
      <c r="Z58" s="93"/>
      <c r="AA58" s="85"/>
      <c r="AC58" s="94"/>
      <c r="AD58" s="93"/>
      <c r="AE58" s="85"/>
    </row>
    <row r="59" spans="7:31" ht="17.149999999999999" customHeight="1" x14ac:dyDescent="0.35">
      <c r="G59" s="85"/>
      <c r="H59" s="87"/>
      <c r="I59" s="94"/>
      <c r="J59" s="93"/>
      <c r="K59" s="85"/>
      <c r="M59" s="94"/>
      <c r="N59" s="93"/>
      <c r="O59" s="85"/>
      <c r="Q59" s="94"/>
      <c r="R59" s="93"/>
      <c r="S59" s="85"/>
      <c r="U59" s="94"/>
      <c r="V59" s="93"/>
      <c r="W59" s="85"/>
      <c r="Y59" s="94"/>
      <c r="Z59" s="93"/>
      <c r="AA59" s="85"/>
      <c r="AC59" s="94"/>
      <c r="AD59" s="93"/>
      <c r="AE59" s="85"/>
    </row>
    <row r="60" spans="7:31" ht="17.149999999999999" customHeight="1" x14ac:dyDescent="0.35">
      <c r="G60" s="85"/>
      <c r="H60" s="87"/>
      <c r="I60" s="94"/>
      <c r="J60" s="93"/>
      <c r="K60" s="85"/>
      <c r="M60" s="94"/>
      <c r="N60" s="93"/>
      <c r="O60" s="85"/>
      <c r="Q60" s="94"/>
      <c r="R60" s="93"/>
      <c r="S60" s="85"/>
      <c r="U60" s="94"/>
      <c r="V60" s="93"/>
      <c r="W60" s="85"/>
      <c r="Y60" s="94"/>
      <c r="Z60" s="93"/>
      <c r="AA60" s="85"/>
      <c r="AC60" s="94"/>
      <c r="AD60" s="93"/>
      <c r="AE60" s="85"/>
    </row>
    <row r="61" spans="7:31" ht="17.149999999999999" customHeight="1" x14ac:dyDescent="0.35">
      <c r="G61" s="85"/>
      <c r="H61" s="87"/>
      <c r="I61" s="94"/>
      <c r="J61" s="93"/>
      <c r="K61" s="85"/>
      <c r="M61" s="94"/>
      <c r="N61" s="93"/>
      <c r="O61" s="85"/>
      <c r="Q61" s="94"/>
      <c r="R61" s="93"/>
      <c r="S61" s="85"/>
      <c r="U61" s="94"/>
      <c r="V61" s="93"/>
      <c r="W61" s="85"/>
      <c r="Y61" s="94"/>
      <c r="Z61" s="93"/>
      <c r="AA61" s="85"/>
      <c r="AC61" s="94"/>
      <c r="AD61" s="93"/>
      <c r="AE61" s="85"/>
    </row>
    <row r="62" spans="7:31" ht="17.149999999999999" customHeight="1" x14ac:dyDescent="0.35">
      <c r="G62" s="85"/>
      <c r="H62" s="87"/>
      <c r="I62" s="94"/>
      <c r="J62" s="93"/>
      <c r="K62" s="85"/>
      <c r="M62" s="94"/>
      <c r="N62" s="93"/>
      <c r="O62" s="85"/>
      <c r="Q62" s="94"/>
      <c r="R62" s="93"/>
      <c r="S62" s="85"/>
      <c r="U62" s="94"/>
      <c r="V62" s="93"/>
      <c r="W62" s="85"/>
      <c r="Y62" s="94"/>
      <c r="Z62" s="93"/>
      <c r="AA62" s="85"/>
      <c r="AC62" s="94"/>
      <c r="AD62" s="93"/>
      <c r="AE62" s="85"/>
    </row>
    <row r="63" spans="7:31" ht="17.149999999999999" customHeight="1" x14ac:dyDescent="0.35">
      <c r="G63" s="85"/>
      <c r="H63" s="87"/>
      <c r="I63" s="94"/>
      <c r="J63" s="93"/>
      <c r="K63" s="85"/>
      <c r="M63" s="94"/>
      <c r="N63" s="93"/>
      <c r="O63" s="85"/>
      <c r="Q63" s="94"/>
      <c r="R63" s="93"/>
      <c r="S63" s="85"/>
      <c r="U63" s="94"/>
      <c r="V63" s="93"/>
      <c r="W63" s="85"/>
      <c r="Y63" s="94"/>
      <c r="Z63" s="93"/>
      <c r="AA63" s="85"/>
      <c r="AC63" s="94"/>
      <c r="AD63" s="93"/>
      <c r="AE63" s="85"/>
    </row>
    <row r="64" spans="7:31" ht="17.149999999999999" customHeight="1" x14ac:dyDescent="0.35">
      <c r="G64" s="85"/>
      <c r="H64" s="87"/>
      <c r="I64" s="94"/>
      <c r="J64" s="93"/>
      <c r="K64" s="85"/>
      <c r="M64" s="94"/>
      <c r="N64" s="93"/>
      <c r="O64" s="85"/>
      <c r="Q64" s="94"/>
      <c r="R64" s="93"/>
      <c r="S64" s="85"/>
      <c r="U64" s="94"/>
      <c r="V64" s="93"/>
      <c r="W64" s="85"/>
      <c r="Y64" s="94"/>
      <c r="Z64" s="93"/>
      <c r="AA64" s="85"/>
      <c r="AC64" s="94"/>
      <c r="AD64" s="93"/>
      <c r="AE64" s="85"/>
    </row>
    <row r="65" spans="7:31" ht="17.149999999999999" customHeight="1" x14ac:dyDescent="0.35">
      <c r="G65" s="85"/>
      <c r="H65" s="87"/>
      <c r="I65" s="94"/>
      <c r="J65" s="93"/>
      <c r="K65" s="85"/>
      <c r="M65" s="94"/>
      <c r="N65" s="93"/>
      <c r="O65" s="85"/>
      <c r="Q65" s="94"/>
      <c r="R65" s="93"/>
      <c r="S65" s="85"/>
      <c r="U65" s="94"/>
      <c r="V65" s="93"/>
      <c r="W65" s="85"/>
      <c r="Y65" s="94"/>
      <c r="Z65" s="93"/>
      <c r="AA65" s="85"/>
      <c r="AC65" s="94"/>
      <c r="AD65" s="93"/>
      <c r="AE65" s="85"/>
    </row>
    <row r="66" spans="7:31" ht="17.149999999999999" customHeight="1" x14ac:dyDescent="0.35">
      <c r="G66" s="85"/>
      <c r="H66" s="87"/>
      <c r="I66" s="94"/>
      <c r="J66" s="93"/>
      <c r="K66" s="85"/>
      <c r="M66" s="94"/>
      <c r="N66" s="93"/>
      <c r="O66" s="85"/>
      <c r="Q66" s="94"/>
      <c r="R66" s="93"/>
      <c r="S66" s="85"/>
      <c r="U66" s="94"/>
      <c r="V66" s="93"/>
      <c r="W66" s="85"/>
      <c r="Y66" s="94"/>
      <c r="Z66" s="93"/>
      <c r="AA66" s="85"/>
      <c r="AC66" s="94"/>
      <c r="AD66" s="93"/>
      <c r="AE66" s="85"/>
    </row>
    <row r="67" spans="7:31" ht="17.149999999999999" customHeight="1" x14ac:dyDescent="0.35">
      <c r="G67" s="85"/>
      <c r="H67" s="87"/>
      <c r="I67" s="94"/>
      <c r="J67" s="93"/>
      <c r="K67" s="85"/>
      <c r="M67" s="94"/>
      <c r="N67" s="93"/>
      <c r="O67" s="85"/>
      <c r="Q67" s="94"/>
      <c r="R67" s="93"/>
      <c r="S67" s="85"/>
      <c r="U67" s="94"/>
      <c r="V67" s="93"/>
      <c r="W67" s="85"/>
      <c r="Y67" s="94"/>
      <c r="Z67" s="93"/>
      <c r="AA67" s="85"/>
      <c r="AC67" s="94"/>
      <c r="AD67" s="93"/>
      <c r="AE67" s="85"/>
    </row>
    <row r="68" spans="7:31" ht="17.149999999999999" customHeight="1" x14ac:dyDescent="0.35">
      <c r="G68" s="85"/>
      <c r="H68" s="87"/>
      <c r="I68" s="94"/>
      <c r="J68" s="93"/>
      <c r="K68" s="85"/>
      <c r="M68" s="94"/>
      <c r="N68" s="93"/>
      <c r="O68" s="85"/>
      <c r="Q68" s="94"/>
      <c r="R68" s="93"/>
      <c r="S68" s="85"/>
      <c r="U68" s="94"/>
      <c r="V68" s="93"/>
      <c r="W68" s="85"/>
      <c r="Y68" s="94"/>
      <c r="Z68" s="93"/>
      <c r="AA68" s="85"/>
      <c r="AC68" s="94"/>
      <c r="AD68" s="93"/>
      <c r="AE68" s="85"/>
    </row>
    <row r="69" spans="7:31" ht="17.149999999999999" customHeight="1" x14ac:dyDescent="0.35">
      <c r="G69" s="85"/>
      <c r="H69" s="87"/>
      <c r="I69" s="94"/>
      <c r="J69" s="93"/>
      <c r="K69" s="85"/>
      <c r="M69" s="94"/>
      <c r="N69" s="93"/>
      <c r="O69" s="85"/>
      <c r="Q69" s="94"/>
      <c r="R69" s="93"/>
      <c r="S69" s="85"/>
      <c r="U69" s="94"/>
      <c r="V69" s="93"/>
      <c r="W69" s="85"/>
      <c r="Y69" s="94"/>
      <c r="Z69" s="93"/>
      <c r="AA69" s="85"/>
      <c r="AC69" s="94"/>
      <c r="AD69" s="93"/>
      <c r="AE69" s="85"/>
    </row>
    <row r="70" spans="7:31" ht="17.149999999999999" customHeight="1" x14ac:dyDescent="0.35">
      <c r="G70" s="85"/>
      <c r="H70" s="87"/>
      <c r="I70" s="94"/>
      <c r="J70" s="93"/>
      <c r="K70" s="85"/>
      <c r="M70" s="94"/>
      <c r="N70" s="93"/>
      <c r="O70" s="85"/>
      <c r="Q70" s="94"/>
      <c r="R70" s="93"/>
      <c r="S70" s="85"/>
      <c r="U70" s="94"/>
      <c r="V70" s="93"/>
      <c r="W70" s="85"/>
      <c r="Y70" s="94"/>
      <c r="Z70" s="93"/>
      <c r="AA70" s="85"/>
      <c r="AC70" s="94"/>
      <c r="AD70" s="93"/>
      <c r="AE70" s="85"/>
    </row>
    <row r="71" spans="7:31" ht="17.149999999999999" customHeight="1" x14ac:dyDescent="0.35">
      <c r="G71" s="85"/>
      <c r="H71" s="87"/>
      <c r="I71" s="94"/>
      <c r="J71" s="93"/>
      <c r="K71" s="85"/>
      <c r="M71" s="94"/>
      <c r="N71" s="93"/>
      <c r="O71" s="85"/>
      <c r="Q71" s="94"/>
      <c r="R71" s="93"/>
      <c r="S71" s="85"/>
      <c r="U71" s="94"/>
      <c r="V71" s="93"/>
      <c r="W71" s="85"/>
      <c r="Y71" s="94"/>
      <c r="Z71" s="93"/>
      <c r="AA71" s="85"/>
      <c r="AC71" s="94"/>
      <c r="AD71" s="93"/>
      <c r="AE71" s="85"/>
    </row>
    <row r="72" spans="7:31" ht="17.149999999999999" customHeight="1" x14ac:dyDescent="0.35">
      <c r="G72" s="85"/>
      <c r="H72" s="87"/>
      <c r="I72" s="94"/>
      <c r="J72" s="93"/>
      <c r="K72" s="85"/>
      <c r="M72" s="94"/>
      <c r="N72" s="93"/>
      <c r="O72" s="85"/>
      <c r="Q72" s="94"/>
      <c r="R72" s="93"/>
      <c r="S72" s="85"/>
      <c r="U72" s="94"/>
      <c r="V72" s="93"/>
      <c r="W72" s="85"/>
      <c r="Y72" s="94"/>
      <c r="Z72" s="93"/>
      <c r="AA72" s="85"/>
      <c r="AC72" s="94"/>
      <c r="AD72" s="93"/>
      <c r="AE72" s="85"/>
    </row>
    <row r="73" spans="7:31" ht="17.149999999999999" customHeight="1" x14ac:dyDescent="0.35">
      <c r="G73" s="85"/>
      <c r="H73" s="87"/>
      <c r="I73" s="94"/>
      <c r="J73" s="93"/>
      <c r="K73" s="85"/>
      <c r="M73" s="94"/>
      <c r="N73" s="93"/>
      <c r="O73" s="85"/>
      <c r="Q73" s="94"/>
      <c r="R73" s="93"/>
      <c r="S73" s="85"/>
      <c r="U73" s="94"/>
      <c r="V73" s="93"/>
      <c r="W73" s="85"/>
      <c r="Y73" s="94"/>
      <c r="Z73" s="93"/>
      <c r="AA73" s="85"/>
      <c r="AC73" s="94"/>
      <c r="AD73" s="93"/>
      <c r="AE73" s="85"/>
    </row>
    <row r="74" spans="7:31" ht="17.149999999999999" customHeight="1" x14ac:dyDescent="0.35">
      <c r="G74" s="85"/>
      <c r="H74" s="87"/>
      <c r="I74" s="94"/>
      <c r="J74" s="93"/>
      <c r="K74" s="85"/>
      <c r="M74" s="94"/>
      <c r="N74" s="93"/>
      <c r="O74" s="85"/>
      <c r="Q74" s="94"/>
      <c r="R74" s="93"/>
      <c r="S74" s="85"/>
      <c r="U74" s="94"/>
      <c r="V74" s="93"/>
      <c r="W74" s="85"/>
      <c r="Y74" s="94"/>
      <c r="Z74" s="93"/>
      <c r="AA74" s="85"/>
      <c r="AC74" s="94"/>
      <c r="AD74" s="93"/>
      <c r="AE74" s="85"/>
    </row>
    <row r="75" spans="7:31" ht="17.149999999999999" customHeight="1" x14ac:dyDescent="0.35">
      <c r="G75" s="85"/>
      <c r="H75" s="87"/>
      <c r="I75" s="94"/>
      <c r="J75" s="93"/>
      <c r="K75" s="85"/>
      <c r="M75" s="94"/>
      <c r="N75" s="93"/>
      <c r="O75" s="85"/>
      <c r="Q75" s="94"/>
      <c r="R75" s="93"/>
      <c r="S75" s="85"/>
      <c r="U75" s="94"/>
      <c r="V75" s="93"/>
      <c r="W75" s="85"/>
      <c r="Y75" s="94"/>
      <c r="Z75" s="93"/>
      <c r="AA75" s="85"/>
      <c r="AC75" s="94"/>
      <c r="AD75" s="93"/>
      <c r="AE75" s="85"/>
    </row>
    <row r="76" spans="7:31" ht="17.149999999999999" customHeight="1" x14ac:dyDescent="0.35">
      <c r="G76" s="85"/>
      <c r="H76" s="87"/>
      <c r="I76" s="94"/>
      <c r="J76" s="93"/>
      <c r="K76" s="85"/>
      <c r="M76" s="94"/>
      <c r="N76" s="93"/>
      <c r="O76" s="85"/>
      <c r="Q76" s="94"/>
      <c r="R76" s="93"/>
      <c r="S76" s="85"/>
      <c r="U76" s="94"/>
      <c r="V76" s="93"/>
      <c r="W76" s="85"/>
      <c r="Y76" s="94"/>
      <c r="Z76" s="93"/>
      <c r="AA76" s="85"/>
      <c r="AC76" s="94"/>
      <c r="AD76" s="93"/>
      <c r="AE76" s="85"/>
    </row>
    <row r="77" spans="7:31" ht="17.149999999999999" customHeight="1" x14ac:dyDescent="0.35">
      <c r="G77" s="85"/>
      <c r="H77" s="87"/>
      <c r="I77" s="94"/>
      <c r="J77" s="93"/>
      <c r="K77" s="85"/>
      <c r="M77" s="94"/>
      <c r="N77" s="93"/>
      <c r="O77" s="85"/>
      <c r="Q77" s="94"/>
      <c r="R77" s="93"/>
      <c r="S77" s="85"/>
      <c r="U77" s="94"/>
      <c r="V77" s="93"/>
      <c r="W77" s="85"/>
      <c r="Y77" s="94"/>
      <c r="Z77" s="93"/>
      <c r="AA77" s="85"/>
      <c r="AC77" s="94"/>
      <c r="AD77" s="93"/>
      <c r="AE77" s="85"/>
    </row>
    <row r="78" spans="7:31" ht="17.149999999999999" customHeight="1" x14ac:dyDescent="0.35">
      <c r="G78" s="85"/>
      <c r="H78" s="87"/>
      <c r="I78" s="94"/>
      <c r="J78" s="93"/>
      <c r="K78" s="85"/>
      <c r="M78" s="94"/>
      <c r="N78" s="93"/>
      <c r="O78" s="85"/>
      <c r="Q78" s="94"/>
      <c r="R78" s="93"/>
      <c r="S78" s="85"/>
      <c r="U78" s="94"/>
      <c r="V78" s="93"/>
      <c r="W78" s="85"/>
      <c r="Y78" s="94"/>
      <c r="Z78" s="93"/>
      <c r="AA78" s="85"/>
      <c r="AC78" s="94"/>
      <c r="AD78" s="93"/>
      <c r="AE78" s="85"/>
    </row>
    <row r="79" spans="7:31" ht="17.149999999999999" customHeight="1" x14ac:dyDescent="0.35">
      <c r="G79" s="85"/>
      <c r="H79" s="87"/>
      <c r="I79" s="94"/>
      <c r="J79" s="93"/>
      <c r="K79" s="85"/>
      <c r="M79" s="94"/>
      <c r="N79" s="93"/>
      <c r="O79" s="85"/>
      <c r="Q79" s="94"/>
      <c r="R79" s="93"/>
      <c r="S79" s="85"/>
      <c r="U79" s="94"/>
      <c r="V79" s="93"/>
      <c r="W79" s="85"/>
      <c r="Y79" s="94"/>
      <c r="Z79" s="93"/>
      <c r="AA79" s="85"/>
      <c r="AC79" s="94"/>
      <c r="AD79" s="93"/>
      <c r="AE79" s="85"/>
    </row>
    <row r="80" spans="7:31" ht="17.149999999999999" customHeight="1" x14ac:dyDescent="0.35">
      <c r="G80" s="85"/>
      <c r="H80" s="87"/>
      <c r="I80" s="94"/>
      <c r="J80" s="93"/>
      <c r="K80" s="85"/>
      <c r="M80" s="94"/>
      <c r="N80" s="93"/>
      <c r="O80" s="85"/>
      <c r="Q80" s="94"/>
      <c r="R80" s="93"/>
      <c r="S80" s="85"/>
      <c r="U80" s="94"/>
      <c r="V80" s="93"/>
      <c r="W80" s="85"/>
      <c r="Y80" s="94"/>
      <c r="Z80" s="93"/>
      <c r="AA80" s="85"/>
      <c r="AC80" s="94"/>
      <c r="AD80" s="93"/>
      <c r="AE80" s="85"/>
    </row>
    <row r="81" spans="7:31" ht="17.149999999999999" customHeight="1" x14ac:dyDescent="0.35">
      <c r="G81" s="85"/>
      <c r="H81" s="87"/>
      <c r="I81" s="94"/>
      <c r="J81" s="93"/>
      <c r="K81" s="85"/>
      <c r="M81" s="94"/>
      <c r="N81" s="93"/>
      <c r="O81" s="85"/>
      <c r="Q81" s="94"/>
      <c r="R81" s="93"/>
      <c r="S81" s="85"/>
      <c r="U81" s="94"/>
      <c r="V81" s="93"/>
      <c r="W81" s="85"/>
      <c r="Y81" s="94"/>
      <c r="Z81" s="93"/>
      <c r="AA81" s="85"/>
      <c r="AC81" s="94"/>
      <c r="AD81" s="93"/>
      <c r="AE81" s="85"/>
    </row>
    <row r="82" spans="7:31" ht="17.149999999999999" customHeight="1" x14ac:dyDescent="0.35">
      <c r="G82" s="85"/>
      <c r="H82" s="87"/>
      <c r="I82" s="94"/>
      <c r="J82" s="93"/>
      <c r="K82" s="85"/>
      <c r="M82" s="94"/>
      <c r="N82" s="93"/>
      <c r="O82" s="85"/>
      <c r="Q82" s="94"/>
      <c r="R82" s="93"/>
      <c r="S82" s="85"/>
      <c r="U82" s="94"/>
      <c r="V82" s="93"/>
      <c r="W82" s="85"/>
      <c r="Y82" s="94"/>
      <c r="Z82" s="93"/>
      <c r="AA82" s="85"/>
      <c r="AC82" s="94"/>
      <c r="AD82" s="93"/>
      <c r="AE82" s="85"/>
    </row>
    <row r="83" spans="7:31" ht="17.149999999999999" customHeight="1" x14ac:dyDescent="0.35">
      <c r="G83" s="85"/>
      <c r="H83" s="87"/>
      <c r="I83" s="94"/>
      <c r="J83" s="93"/>
      <c r="K83" s="85"/>
      <c r="M83" s="94"/>
      <c r="N83" s="93"/>
      <c r="O83" s="85"/>
      <c r="Q83" s="94"/>
      <c r="R83" s="93"/>
      <c r="S83" s="85"/>
      <c r="U83" s="94"/>
      <c r="V83" s="93"/>
      <c r="W83" s="85"/>
      <c r="Y83" s="94"/>
      <c r="Z83" s="93"/>
      <c r="AA83" s="85"/>
      <c r="AC83" s="94"/>
      <c r="AD83" s="93"/>
      <c r="AE83" s="85"/>
    </row>
    <row r="84" spans="7:31" ht="17.149999999999999" customHeight="1" x14ac:dyDescent="0.35">
      <c r="G84" s="85"/>
      <c r="H84" s="87"/>
      <c r="I84" s="94"/>
      <c r="J84" s="93"/>
      <c r="K84" s="85"/>
      <c r="M84" s="94"/>
      <c r="N84" s="93"/>
      <c r="O84" s="85"/>
      <c r="Q84" s="94"/>
      <c r="R84" s="93"/>
      <c r="S84" s="85"/>
      <c r="U84" s="94"/>
      <c r="V84" s="93"/>
      <c r="W84" s="85"/>
      <c r="Y84" s="94"/>
      <c r="Z84" s="93"/>
      <c r="AA84" s="85"/>
      <c r="AC84" s="94"/>
      <c r="AD84" s="93"/>
      <c r="AE84" s="85"/>
    </row>
    <row r="85" spans="7:31" ht="17.149999999999999" customHeight="1" x14ac:dyDescent="0.35">
      <c r="G85" s="85"/>
      <c r="H85" s="87"/>
      <c r="I85" s="94"/>
      <c r="J85" s="93"/>
      <c r="K85" s="85"/>
      <c r="M85" s="94"/>
      <c r="N85" s="93"/>
      <c r="O85" s="85"/>
      <c r="Q85" s="94"/>
      <c r="R85" s="93"/>
      <c r="S85" s="85"/>
      <c r="U85" s="94"/>
      <c r="V85" s="93"/>
      <c r="W85" s="85"/>
      <c r="Y85" s="94"/>
      <c r="Z85" s="93"/>
      <c r="AA85" s="85"/>
      <c r="AC85" s="94"/>
      <c r="AD85" s="93"/>
      <c r="AE85" s="85"/>
    </row>
    <row r="86" spans="7:31" ht="17.149999999999999" customHeight="1" x14ac:dyDescent="0.35">
      <c r="G86" s="85"/>
      <c r="H86" s="87"/>
      <c r="I86" s="94"/>
      <c r="J86" s="93"/>
      <c r="K86" s="85"/>
      <c r="M86" s="94"/>
      <c r="N86" s="93"/>
      <c r="O86" s="85"/>
      <c r="Q86" s="94"/>
      <c r="R86" s="93"/>
      <c r="S86" s="85"/>
      <c r="U86" s="94"/>
      <c r="V86" s="93"/>
      <c r="W86" s="85"/>
      <c r="Y86" s="94"/>
      <c r="Z86" s="93"/>
      <c r="AA86" s="85"/>
      <c r="AC86" s="94"/>
      <c r="AD86" s="93"/>
      <c r="AE86" s="85"/>
    </row>
    <row r="87" spans="7:31" ht="17.149999999999999" customHeight="1" x14ac:dyDescent="0.35">
      <c r="G87" s="85"/>
      <c r="H87" s="87"/>
      <c r="I87" s="94"/>
      <c r="J87" s="93"/>
      <c r="K87" s="85"/>
      <c r="M87" s="94"/>
      <c r="N87" s="93"/>
      <c r="O87" s="85"/>
      <c r="Q87" s="94"/>
      <c r="R87" s="93"/>
      <c r="S87" s="85"/>
      <c r="U87" s="94"/>
      <c r="V87" s="93"/>
      <c r="W87" s="85"/>
      <c r="Y87" s="94"/>
      <c r="Z87" s="93"/>
      <c r="AA87" s="85"/>
      <c r="AC87" s="94"/>
      <c r="AD87" s="93"/>
      <c r="AE87" s="85"/>
    </row>
    <row r="88" spans="7:31" ht="17.149999999999999" customHeight="1" x14ac:dyDescent="0.35">
      <c r="G88" s="85"/>
      <c r="H88" s="87"/>
      <c r="I88" s="94"/>
      <c r="J88" s="93"/>
      <c r="K88" s="85"/>
      <c r="M88" s="94"/>
      <c r="N88" s="93"/>
      <c r="O88" s="85"/>
      <c r="Q88" s="94"/>
      <c r="R88" s="93"/>
      <c r="S88" s="85"/>
      <c r="U88" s="94"/>
      <c r="V88" s="93"/>
      <c r="W88" s="85"/>
      <c r="Y88" s="94"/>
      <c r="Z88" s="93"/>
      <c r="AA88" s="85"/>
      <c r="AC88" s="94"/>
      <c r="AD88" s="93"/>
      <c r="AE88" s="85"/>
    </row>
    <row r="89" spans="7:31" ht="17.149999999999999" customHeight="1" x14ac:dyDescent="0.35">
      <c r="G89" s="85"/>
      <c r="H89" s="87"/>
      <c r="I89" s="94"/>
      <c r="J89" s="93"/>
      <c r="K89" s="85"/>
      <c r="M89" s="94"/>
      <c r="N89" s="93"/>
      <c r="O89" s="85"/>
      <c r="Q89" s="94"/>
      <c r="R89" s="93"/>
      <c r="S89" s="85"/>
      <c r="U89" s="94"/>
      <c r="V89" s="93"/>
      <c r="W89" s="85"/>
      <c r="Y89" s="94"/>
      <c r="Z89" s="93"/>
      <c r="AA89" s="85"/>
      <c r="AC89" s="94"/>
      <c r="AD89" s="93"/>
      <c r="AE89" s="85"/>
    </row>
    <row r="90" spans="7:31" ht="17.149999999999999" customHeight="1" x14ac:dyDescent="0.35">
      <c r="G90" s="85"/>
      <c r="H90" s="87"/>
      <c r="I90" s="94"/>
      <c r="J90" s="93"/>
      <c r="K90" s="85"/>
      <c r="M90" s="94"/>
      <c r="N90" s="93"/>
      <c r="O90" s="85"/>
      <c r="Q90" s="94"/>
      <c r="R90" s="93"/>
      <c r="S90" s="85"/>
      <c r="U90" s="94"/>
      <c r="V90" s="93"/>
      <c r="W90" s="85"/>
      <c r="Y90" s="94"/>
      <c r="Z90" s="93"/>
      <c r="AA90" s="85"/>
      <c r="AC90" s="94"/>
      <c r="AD90" s="93"/>
      <c r="AE90" s="85"/>
    </row>
    <row r="91" spans="7:31" ht="17.149999999999999" customHeight="1" x14ac:dyDescent="0.35">
      <c r="G91" s="85"/>
      <c r="H91" s="87"/>
      <c r="I91" s="94"/>
      <c r="J91" s="93"/>
      <c r="K91" s="85"/>
      <c r="M91" s="94"/>
      <c r="N91" s="93"/>
      <c r="O91" s="85"/>
      <c r="Q91" s="94"/>
      <c r="R91" s="93"/>
      <c r="S91" s="85"/>
      <c r="U91" s="94"/>
      <c r="V91" s="93"/>
      <c r="W91" s="85"/>
      <c r="Y91" s="94"/>
      <c r="Z91" s="93"/>
      <c r="AA91" s="85"/>
      <c r="AC91" s="94"/>
      <c r="AD91" s="93"/>
      <c r="AE91" s="85"/>
    </row>
    <row r="92" spans="7:31" ht="17.149999999999999" customHeight="1" x14ac:dyDescent="0.35">
      <c r="G92" s="85"/>
      <c r="H92" s="87"/>
      <c r="I92" s="94"/>
      <c r="J92" s="93"/>
      <c r="K92" s="85"/>
      <c r="M92" s="94"/>
      <c r="N92" s="93"/>
      <c r="O92" s="85"/>
      <c r="Q92" s="94"/>
      <c r="R92" s="93"/>
      <c r="S92" s="85"/>
      <c r="U92" s="94"/>
      <c r="V92" s="93"/>
      <c r="W92" s="85"/>
      <c r="Y92" s="94"/>
      <c r="Z92" s="93"/>
      <c r="AA92" s="85"/>
      <c r="AC92" s="94"/>
      <c r="AD92" s="93"/>
      <c r="AE92" s="85"/>
    </row>
    <row r="93" spans="7:31" ht="17.149999999999999" customHeight="1" x14ac:dyDescent="0.35">
      <c r="G93" s="85"/>
      <c r="H93" s="87"/>
      <c r="I93" s="94"/>
      <c r="J93" s="93"/>
      <c r="K93" s="85"/>
      <c r="M93" s="94"/>
      <c r="N93" s="93"/>
      <c r="O93" s="85"/>
      <c r="Q93" s="94"/>
      <c r="R93" s="93"/>
      <c r="S93" s="85"/>
      <c r="U93" s="94"/>
      <c r="V93" s="93"/>
      <c r="W93" s="85"/>
      <c r="Y93" s="94"/>
      <c r="Z93" s="93"/>
      <c r="AA93" s="85"/>
      <c r="AC93" s="94"/>
      <c r="AD93" s="93"/>
      <c r="AE93" s="85"/>
    </row>
    <row r="94" spans="7:31" ht="17.149999999999999" customHeight="1" x14ac:dyDescent="0.35">
      <c r="G94" s="85"/>
      <c r="H94" s="87"/>
      <c r="I94" s="94"/>
      <c r="J94" s="93"/>
      <c r="K94" s="85"/>
      <c r="M94" s="94"/>
      <c r="N94" s="93"/>
      <c r="O94" s="85"/>
      <c r="Q94" s="94"/>
      <c r="R94" s="93"/>
      <c r="S94" s="85"/>
      <c r="U94" s="94"/>
      <c r="V94" s="93"/>
      <c r="W94" s="85"/>
      <c r="Y94" s="94"/>
      <c r="Z94" s="93"/>
      <c r="AA94" s="85"/>
      <c r="AC94" s="94"/>
      <c r="AD94" s="93"/>
      <c r="AE94" s="85"/>
    </row>
    <row r="95" spans="7:31" ht="17.149999999999999" customHeight="1" x14ac:dyDescent="0.35">
      <c r="G95" s="85"/>
      <c r="H95" s="87"/>
      <c r="I95" s="94"/>
      <c r="J95" s="93"/>
      <c r="K95" s="85"/>
      <c r="M95" s="94"/>
      <c r="N95" s="93"/>
      <c r="O95" s="85"/>
      <c r="Q95" s="94"/>
      <c r="R95" s="93"/>
      <c r="S95" s="85"/>
      <c r="U95" s="94"/>
      <c r="V95" s="93"/>
      <c r="W95" s="85"/>
      <c r="Y95" s="94"/>
      <c r="Z95" s="93"/>
      <c r="AA95" s="85"/>
      <c r="AC95" s="94"/>
      <c r="AD95" s="93"/>
      <c r="AE95" s="85"/>
    </row>
    <row r="96" spans="7:31" ht="17.149999999999999" customHeight="1" x14ac:dyDescent="0.35">
      <c r="G96" s="85"/>
      <c r="H96" s="87"/>
      <c r="I96" s="94"/>
      <c r="J96" s="93"/>
      <c r="K96" s="85"/>
      <c r="M96" s="94"/>
      <c r="N96" s="93"/>
      <c r="O96" s="85"/>
      <c r="Q96" s="94"/>
      <c r="R96" s="93"/>
      <c r="S96" s="85"/>
      <c r="U96" s="94"/>
      <c r="V96" s="93"/>
      <c r="W96" s="85"/>
      <c r="Y96" s="94"/>
      <c r="Z96" s="93"/>
      <c r="AA96" s="85"/>
      <c r="AC96" s="94"/>
      <c r="AD96" s="93"/>
      <c r="AE96" s="85"/>
    </row>
    <row r="97" spans="7:31" ht="17.149999999999999" customHeight="1" x14ac:dyDescent="0.35">
      <c r="G97" s="85"/>
      <c r="H97" s="87"/>
      <c r="I97" s="94"/>
      <c r="J97" s="93"/>
      <c r="K97" s="85"/>
      <c r="M97" s="94"/>
      <c r="N97" s="93"/>
      <c r="O97" s="85"/>
      <c r="Q97" s="94"/>
      <c r="R97" s="93"/>
      <c r="S97" s="85"/>
      <c r="U97" s="94"/>
      <c r="V97" s="93"/>
      <c r="W97" s="85"/>
      <c r="Y97" s="94"/>
      <c r="Z97" s="93"/>
      <c r="AA97" s="85"/>
      <c r="AC97" s="94"/>
      <c r="AD97" s="93"/>
      <c r="AE97" s="85"/>
    </row>
    <row r="98" spans="7:31" ht="17.149999999999999" customHeight="1" x14ac:dyDescent="0.35">
      <c r="G98" s="85"/>
      <c r="H98" s="87"/>
      <c r="I98" s="94"/>
      <c r="J98" s="93"/>
      <c r="K98" s="85"/>
      <c r="M98" s="94"/>
      <c r="N98" s="93"/>
      <c r="O98" s="85"/>
      <c r="Q98" s="94"/>
      <c r="R98" s="93"/>
      <c r="S98" s="85"/>
      <c r="U98" s="94"/>
      <c r="V98" s="93"/>
      <c r="W98" s="85"/>
      <c r="Y98" s="94"/>
      <c r="Z98" s="93"/>
      <c r="AA98" s="85"/>
      <c r="AC98" s="94"/>
      <c r="AD98" s="93"/>
      <c r="AE98" s="85"/>
    </row>
    <row r="99" spans="7:31" ht="17.149999999999999" customHeight="1" x14ac:dyDescent="0.35">
      <c r="G99" s="85"/>
      <c r="H99" s="87"/>
      <c r="I99" s="94"/>
      <c r="J99" s="93"/>
      <c r="K99" s="85"/>
      <c r="M99" s="94"/>
      <c r="N99" s="93"/>
      <c r="O99" s="85"/>
      <c r="Q99" s="94"/>
      <c r="R99" s="93"/>
      <c r="S99" s="85"/>
      <c r="U99" s="94"/>
      <c r="V99" s="93"/>
      <c r="W99" s="85"/>
      <c r="Y99" s="94"/>
      <c r="Z99" s="93"/>
      <c r="AA99" s="85"/>
      <c r="AC99" s="94"/>
      <c r="AD99" s="93"/>
      <c r="AE99" s="85"/>
    </row>
    <row r="100" spans="7:31" ht="17.149999999999999" customHeight="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ht="17.149999999999999" customHeight="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ht="17.149999999999999" customHeight="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ht="17.149999999999999" customHeight="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ht="17.149999999999999" customHeight="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ht="17.149999999999999" customHeight="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ht="17.149999999999999" customHeight="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ht="17.149999999999999" customHeight="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ht="17.149999999999999" customHeight="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ht="17.149999999999999" customHeight="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ht="17.149999999999999" customHeight="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ht="17.149999999999999" customHeight="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ht="17.149999999999999" customHeight="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ht="17.149999999999999" customHeight="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ht="17.149999999999999" customHeight="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ht="17.149999999999999" customHeight="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ht="17.149999999999999" customHeight="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ht="17.149999999999999" customHeight="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ht="17.149999999999999" customHeight="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ht="17.149999999999999" customHeight="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ht="17.149999999999999" customHeight="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ht="17.149999999999999" customHeight="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ht="17.149999999999999" customHeight="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ht="17.149999999999999" customHeight="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ht="17.149999999999999" customHeight="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ht="17.149999999999999" customHeight="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ht="17.149999999999999" customHeight="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ht="17.149999999999999" customHeight="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ht="17.149999999999999" customHeight="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ht="17.149999999999999" customHeight="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ht="17.149999999999999" customHeight="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ht="17.149999999999999" customHeight="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ht="17.149999999999999" customHeight="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ht="17.149999999999999" customHeight="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ht="17.149999999999999" customHeight="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ht="17.149999999999999" customHeight="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ht="17.149999999999999" customHeight="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ht="17.149999999999999" customHeight="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ht="17.149999999999999" customHeight="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ht="17.149999999999999" customHeight="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ht="17.149999999999999" customHeight="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ht="17.149999999999999" customHeight="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ht="17.149999999999999" customHeight="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ht="17.149999999999999" customHeight="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ht="17.149999999999999" customHeight="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ht="17.149999999999999" customHeight="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ht="17.149999999999999" customHeight="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ht="17.149999999999999" customHeight="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ht="17.149999999999999" customHeight="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ht="17.149999999999999" customHeight="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ht="17.149999999999999" customHeight="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ht="17.149999999999999" customHeight="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ht="17.149999999999999" customHeight="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ht="17.149999999999999" customHeight="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ht="17.149999999999999" customHeight="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ht="17.149999999999999" customHeight="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ht="17.149999999999999" customHeight="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ht="17.149999999999999" customHeight="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ht="17.149999999999999" customHeight="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ht="17.149999999999999" customHeight="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ht="17.149999999999999" customHeight="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ht="17.149999999999999" customHeight="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ht="17.149999999999999" customHeight="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ht="17.149999999999999" customHeight="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ht="17.149999999999999" customHeight="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ht="17.149999999999999" customHeight="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ht="17.149999999999999" customHeight="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ht="17.149999999999999" customHeight="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ht="17.149999999999999" customHeight="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ht="17.149999999999999" customHeight="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ht="17.149999999999999" customHeight="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ht="17.149999999999999" customHeight="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ht="17.149999999999999" customHeight="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ht="17.149999999999999" customHeight="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ht="17.149999999999999" customHeight="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ht="17.149999999999999" customHeight="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ht="17.149999999999999" customHeight="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ht="17.149999999999999" customHeight="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ht="17.149999999999999" customHeight="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ht="17.149999999999999" customHeight="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ht="17.149999999999999" customHeight="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ht="17.149999999999999" customHeight="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ht="17.149999999999999" customHeight="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ht="17.149999999999999" customHeight="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ht="17.149999999999999" customHeight="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ht="17.149999999999999" customHeight="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ht="17.149999999999999" customHeight="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ht="17.149999999999999" customHeight="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ht="17.149999999999999" customHeight="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ht="17.149999999999999" customHeight="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ht="17.149999999999999" customHeight="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ht="17.149999999999999" customHeight="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ht="17.149999999999999" customHeight="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ht="17.149999999999999" customHeight="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ht="17.149999999999999" customHeight="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ht="17.149999999999999" customHeight="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ht="17.149999999999999" customHeight="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ht="17.149999999999999" customHeight="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ht="17.149999999999999" customHeight="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ht="17.149999999999999" customHeight="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ht="17.149999999999999" customHeight="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ht="17.149999999999999" customHeight="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ht="17.149999999999999" customHeight="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ht="17.149999999999999" customHeight="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ht="17.149999999999999" customHeight="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ht="17.149999999999999" customHeight="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ht="17.149999999999999" customHeight="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ht="17.149999999999999" customHeight="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ht="17.149999999999999" customHeight="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ht="17.149999999999999" customHeight="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ht="17.149999999999999" customHeight="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ht="17.149999999999999" customHeight="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ht="17.149999999999999" customHeight="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ht="17.149999999999999" customHeight="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ht="17.149999999999999" customHeight="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ht="17.149999999999999" customHeight="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ht="17.149999999999999" customHeight="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ht="17.149999999999999" customHeight="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ht="17.149999999999999" customHeight="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ht="17.149999999999999" customHeight="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ht="17.149999999999999" customHeight="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ht="17.149999999999999" customHeight="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ht="17.149999999999999" customHeight="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ht="17.149999999999999" customHeight="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ht="17.149999999999999" customHeight="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ht="17.149999999999999" customHeight="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ht="17.149999999999999" customHeight="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ht="17.149999999999999" customHeight="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ht="17.149999999999999" customHeight="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ht="17.149999999999999" customHeight="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ht="17.149999999999999" customHeight="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ht="17.149999999999999" customHeight="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ht="17.149999999999999" customHeight="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ht="17.149999999999999" customHeight="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ht="17.149999999999999" customHeight="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ht="17.149999999999999" customHeight="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ht="17.149999999999999" customHeight="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ht="17.149999999999999" customHeight="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ht="17.149999999999999" customHeight="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ht="17.149999999999999" customHeight="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ht="17.149999999999999" customHeight="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ht="17.149999999999999" customHeight="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ht="17.149999999999999" customHeight="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ht="17.149999999999999" customHeight="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ht="17.149999999999999" customHeight="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ht="17.149999999999999" customHeight="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ht="17.149999999999999" customHeight="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ht="17.149999999999999" customHeight="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ht="17.149999999999999" customHeight="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ht="17.149999999999999" customHeight="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ht="17.149999999999999" customHeight="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ht="17.149999999999999" customHeight="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ht="17.149999999999999" customHeight="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ht="17.149999999999999" customHeight="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ht="17.149999999999999" customHeight="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ht="17.149999999999999" customHeight="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ht="17.149999999999999" customHeight="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ht="17.149999999999999" customHeight="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ht="17.149999999999999" customHeight="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ht="17.149999999999999" customHeight="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ht="17.149999999999999" customHeight="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ht="17.149999999999999" customHeight="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ht="17.149999999999999" customHeight="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ht="17.149999999999999" customHeight="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ht="17.149999999999999" customHeight="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ht="17.149999999999999" customHeight="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ht="17.149999999999999" customHeight="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ht="17.149999999999999" customHeight="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ht="17.149999999999999" customHeight="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ht="17.149999999999999" customHeight="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ht="17.149999999999999" customHeight="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ht="17.149999999999999" customHeight="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ht="17.149999999999999" customHeight="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ht="17.149999999999999" customHeight="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ht="17.149999999999999" customHeight="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ht="17.149999999999999" customHeight="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ht="17.149999999999999" customHeight="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ht="17.149999999999999" customHeight="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ht="17.149999999999999" customHeight="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ht="17.149999999999999" customHeight="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ht="17.149999999999999" customHeight="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ht="17.149999999999999" customHeight="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ht="17.149999999999999" customHeight="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ht="17.149999999999999" customHeight="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ht="17.149999999999999" customHeight="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ht="17.149999999999999" customHeight="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ht="17.149999999999999" customHeight="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ht="17.149999999999999" customHeight="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ht="17.149999999999999" customHeight="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ht="17.149999999999999" customHeight="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ht="17.149999999999999" customHeight="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ht="17.149999999999999" customHeight="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ht="17.149999999999999" customHeight="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ht="17.149999999999999" customHeight="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ht="17.149999999999999" customHeight="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ht="17.149999999999999" customHeight="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ht="17.149999999999999" customHeight="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ht="17.149999999999999" customHeight="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ht="17.149999999999999" customHeight="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ht="17.149999999999999" customHeight="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ht="17.149999999999999" customHeight="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ht="17.149999999999999" customHeight="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ht="17.149999999999999" customHeight="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ht="17.149999999999999" customHeight="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ht="17.149999999999999" customHeight="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ht="17.149999999999999" customHeight="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ht="17.149999999999999" customHeight="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ht="17.149999999999999" customHeight="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ht="17.149999999999999" customHeight="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ht="17.149999999999999" customHeight="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ht="17.149999999999999" customHeight="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ht="17.149999999999999" customHeight="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ht="17.149999999999999" customHeight="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ht="17.149999999999999" customHeight="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ht="17.149999999999999" customHeight="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ht="17.149999999999999" customHeight="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ht="17.149999999999999" customHeight="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ht="17.149999999999999" customHeight="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ht="17.149999999999999" customHeight="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ht="17.149999999999999" customHeight="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ht="17.149999999999999" customHeight="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ht="17.149999999999999" customHeight="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ht="17.149999999999999" customHeight="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ht="17.149999999999999" customHeight="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ht="17.149999999999999" customHeight="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ht="17.149999999999999" customHeight="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ht="17.149999999999999" customHeight="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ht="17.149999999999999" customHeight="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ht="17.149999999999999" customHeight="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ht="17.149999999999999" customHeight="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ht="17.149999999999999" customHeight="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ht="17.149999999999999" customHeight="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ht="17.149999999999999" customHeight="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ht="17.149999999999999" customHeight="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ht="17.149999999999999" customHeight="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ht="17.149999999999999" customHeight="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ht="17.149999999999999" customHeight="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ht="17.149999999999999" customHeight="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ht="17.149999999999999" customHeight="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ht="17.149999999999999" customHeight="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ht="17.149999999999999" customHeight="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ht="17.149999999999999" customHeight="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ht="17.149999999999999" customHeight="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ht="17.149999999999999" customHeight="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ht="17.149999999999999" customHeight="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ht="17.149999999999999" customHeight="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ht="17.149999999999999" customHeight="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ht="17.149999999999999" customHeight="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ht="17.149999999999999" customHeight="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ht="17.149999999999999" customHeight="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ht="17.149999999999999" customHeight="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ht="17.149999999999999" customHeight="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ht="17.149999999999999" customHeight="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ht="17.149999999999999" customHeight="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ht="17.149999999999999" customHeight="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ht="17.149999999999999" customHeight="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ht="17.149999999999999" customHeight="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ht="17.149999999999999" customHeight="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ht="17.149999999999999" customHeight="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ht="17.149999999999999" customHeight="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ht="17.149999999999999" customHeight="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ht="17.149999999999999" customHeight="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ht="17.149999999999999" customHeight="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ht="17.149999999999999" customHeight="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ht="17.149999999999999" customHeight="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ht="17.149999999999999" customHeight="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ht="17.149999999999999" customHeight="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ht="17.149999999999999" customHeight="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ht="17.149999999999999" customHeight="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ht="17.149999999999999" customHeight="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ht="17.149999999999999" customHeight="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ht="17.149999999999999" customHeight="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ht="17.149999999999999" customHeight="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ht="17.149999999999999" customHeight="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ht="17.149999999999999" customHeight="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ht="17.149999999999999" customHeight="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ht="17.149999999999999" customHeight="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ht="17.149999999999999" customHeight="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ht="17.149999999999999" customHeight="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ht="17.149999999999999" customHeight="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ht="17.149999999999999" customHeight="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ht="17.149999999999999" customHeight="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ht="17.149999999999999" customHeight="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ht="17.149999999999999" customHeight="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ht="17.149999999999999" customHeight="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ht="17.149999999999999" customHeight="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ht="17.149999999999999" customHeight="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ht="17.149999999999999" customHeight="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ht="17.149999999999999" customHeight="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ht="17.149999999999999" customHeight="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ht="17.149999999999999" customHeight="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ht="17.149999999999999" customHeight="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ht="17.149999999999999" customHeight="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ht="17.149999999999999" customHeight="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ht="17.149999999999999" customHeight="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ht="17.149999999999999" customHeight="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ht="17.149999999999999" customHeight="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ht="17.149999999999999" customHeight="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ht="17.149999999999999" customHeight="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ht="17.149999999999999" customHeight="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ht="17.149999999999999" customHeight="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ht="17.149999999999999" customHeight="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ht="17.149999999999999" customHeight="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ht="17.149999999999999" customHeight="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ht="17.149999999999999" customHeight="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ht="17.149999999999999" customHeight="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ht="17.149999999999999" customHeight="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ht="17.149999999999999" customHeight="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ht="17.149999999999999" customHeight="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ht="17.149999999999999" customHeight="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ht="17.149999999999999" customHeight="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ht="17.149999999999999" customHeight="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ht="17.149999999999999" customHeight="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ht="17.149999999999999" customHeight="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ht="17.149999999999999" customHeight="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ht="17.149999999999999" customHeight="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ht="17.149999999999999" customHeight="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ht="17.149999999999999" customHeight="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ht="17.149999999999999" customHeight="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ht="17.149999999999999" customHeight="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ht="17.149999999999999" customHeight="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ht="17.149999999999999" customHeight="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ht="17.149999999999999" customHeight="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ht="17.149999999999999" customHeight="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ht="17.149999999999999" customHeight="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ht="17.149999999999999" customHeight="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ht="17.149999999999999" customHeight="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ht="17.149999999999999" customHeight="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ht="17.149999999999999" customHeight="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ht="17.149999999999999" customHeight="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ht="17.149999999999999" customHeight="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ht="17.149999999999999" customHeight="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ht="17.149999999999999" customHeight="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ht="17.149999999999999" customHeight="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ht="17.149999999999999" customHeight="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ht="17.149999999999999" customHeight="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ht="17.149999999999999" customHeight="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ht="17.149999999999999" customHeight="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ht="17.149999999999999" customHeight="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ht="17.149999999999999" customHeight="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ht="17.149999999999999" customHeight="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ht="17.149999999999999" customHeight="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ht="17.149999999999999" customHeight="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ht="17.149999999999999" customHeight="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ht="17.149999999999999" customHeight="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ht="17.149999999999999" customHeight="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ht="17.149999999999999" customHeight="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ht="17.149999999999999" customHeight="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ht="17.149999999999999" customHeight="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ht="17.149999999999999" customHeight="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ht="17.149999999999999" customHeight="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ht="17.149999999999999" customHeight="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ht="17.149999999999999" customHeight="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ht="17.149999999999999" customHeight="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ht="17.149999999999999" customHeight="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ht="17.149999999999999" customHeight="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ht="17.149999999999999" customHeight="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ht="17.149999999999999" customHeight="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ht="17.149999999999999" customHeight="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ht="17.149999999999999" customHeight="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ht="17.149999999999999" customHeight="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ht="17.149999999999999" customHeight="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ht="17.149999999999999" customHeight="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ht="17.149999999999999" customHeight="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ht="17.149999999999999" customHeight="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ht="17.149999999999999" customHeight="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ht="17.149999999999999" customHeight="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ht="17.149999999999999" customHeight="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ht="17.149999999999999" customHeight="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ht="17.149999999999999" customHeight="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ht="17.149999999999999" customHeight="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ht="17.149999999999999" customHeight="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ht="17.149999999999999" customHeight="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ht="17.149999999999999" customHeight="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ht="17.149999999999999" customHeight="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ht="17.149999999999999" customHeight="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ht="17.149999999999999" customHeight="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ht="17.149999999999999" customHeight="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ht="17.149999999999999" customHeight="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ht="17.149999999999999" customHeight="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ht="17.149999999999999" customHeight="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ht="17.149999999999999" customHeight="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ht="17.149999999999999" customHeight="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ht="17.149999999999999" customHeight="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ht="17.149999999999999" customHeight="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ht="17.149999999999999" customHeight="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ht="17.149999999999999" customHeight="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ht="17.149999999999999" customHeight="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ht="17.149999999999999" customHeight="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ht="17.149999999999999" customHeight="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ht="17.149999999999999" customHeight="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ht="17.149999999999999" customHeight="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ht="17.149999999999999" customHeight="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ht="17.149999999999999" customHeight="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ht="17.149999999999999" customHeight="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ht="17.149999999999999" customHeight="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ht="17.149999999999999" customHeight="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ht="17.149999999999999" customHeight="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ht="17.149999999999999" customHeight="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ht="17.149999999999999" customHeight="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ht="17.149999999999999" customHeight="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ht="17.149999999999999" customHeight="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ht="17.149999999999999" customHeight="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ht="17.149999999999999" customHeight="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ht="17.149999999999999" customHeight="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ht="17.149999999999999" customHeight="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ht="17.149999999999999" customHeight="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ht="17.149999999999999" customHeight="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ht="17.149999999999999" customHeight="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ht="17.149999999999999" customHeight="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ht="17.149999999999999" customHeight="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ht="17.149999999999999" customHeight="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ht="17.149999999999999" customHeight="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ht="17.149999999999999" customHeight="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ht="17.149999999999999" customHeight="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ht="17.149999999999999" customHeight="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ht="17.149999999999999" customHeight="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ht="17.149999999999999" customHeight="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ht="17.149999999999999" customHeight="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ht="17.149999999999999" customHeight="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ht="17.149999999999999" customHeight="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ht="17.149999999999999" customHeight="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ht="17.149999999999999" customHeight="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ht="17.149999999999999" customHeight="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ht="17.149999999999999" customHeight="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ht="17.149999999999999" customHeight="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ht="17.149999999999999" customHeight="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ht="17.149999999999999" customHeight="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ht="17.149999999999999" customHeight="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ht="17.149999999999999" customHeight="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ht="17.149999999999999" customHeight="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ht="17.149999999999999" customHeight="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ht="17.149999999999999" customHeight="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ht="17.149999999999999" customHeight="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ht="17.149999999999999" customHeight="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ht="17.149999999999999" customHeight="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ht="17.149999999999999" customHeight="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ht="17.149999999999999" customHeight="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ht="17.149999999999999" customHeight="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ht="17.149999999999999" customHeight="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ht="17.149999999999999" customHeight="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ht="17.149999999999999" customHeight="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ht="17.149999999999999" customHeight="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ht="17.149999999999999" customHeight="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ht="17.149999999999999" customHeight="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ht="17.149999999999999" customHeight="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ht="17.149999999999999" customHeight="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ht="17.149999999999999" customHeight="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ht="17.149999999999999" customHeight="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ht="17.149999999999999" customHeight="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ht="17.149999999999999" customHeight="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ht="17.149999999999999" customHeight="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ht="17.149999999999999" customHeight="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ht="17.149999999999999" customHeight="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ht="17.149999999999999" customHeight="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ht="17.149999999999999" customHeight="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ht="17.149999999999999" customHeight="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ht="17.149999999999999" customHeight="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ht="17.149999999999999" customHeight="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ht="17.149999999999999" customHeight="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ht="17.149999999999999" customHeight="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ht="17.149999999999999" customHeight="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ht="17.149999999999999" customHeight="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ht="17.149999999999999" customHeight="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ht="17.149999999999999" customHeight="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ht="17.149999999999999" customHeight="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ht="17.149999999999999" customHeight="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ht="17.149999999999999" customHeight="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ht="17.149999999999999" customHeight="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ht="17.149999999999999" customHeight="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ht="17.149999999999999" customHeight="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ht="17.149999999999999" customHeight="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ht="17.149999999999999" customHeight="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ht="17.149999999999999" customHeight="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ht="17.149999999999999" customHeight="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ht="17.149999999999999" customHeight="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ht="17.149999999999999" customHeight="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ht="17.149999999999999" customHeight="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ht="17.149999999999999" customHeight="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ht="17.149999999999999" customHeight="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ht="17.149999999999999" customHeight="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ht="17.149999999999999" customHeight="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ht="17.149999999999999" customHeight="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ht="17.149999999999999" customHeight="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ht="17.149999999999999" customHeight="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ht="17.149999999999999" customHeight="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ht="17.149999999999999" customHeight="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ht="17.149999999999999" customHeight="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ht="17.149999999999999" customHeight="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ht="17.149999999999999" customHeight="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ht="17.149999999999999" customHeight="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ht="17.149999999999999" customHeight="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ht="17.149999999999999" customHeight="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ht="17.149999999999999" customHeight="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ht="17.149999999999999" customHeight="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ht="17.149999999999999" customHeight="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ht="17.149999999999999" customHeight="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ht="17.149999999999999" customHeight="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ht="17.149999999999999" customHeight="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ht="17.149999999999999" customHeight="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ht="17.149999999999999" customHeight="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ht="17.149999999999999" customHeight="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ht="17.149999999999999" customHeight="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ht="17.149999999999999" customHeight="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ht="17.149999999999999" customHeight="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ht="17.149999999999999" customHeight="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ht="17.149999999999999" customHeight="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ht="17.149999999999999" customHeight="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ht="17.149999999999999" customHeight="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ht="17.149999999999999" customHeight="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ht="17.149999999999999" customHeight="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ht="17.149999999999999" customHeight="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ht="17.149999999999999" customHeight="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ht="17.149999999999999" customHeight="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ht="17.149999999999999" customHeight="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ht="17.149999999999999" customHeight="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ht="17.149999999999999" customHeight="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ht="17.149999999999999" customHeight="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ht="17.149999999999999" customHeight="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ht="17.149999999999999" customHeight="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ht="17.149999999999999" customHeight="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ht="17.149999999999999" customHeight="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ht="17.149999999999999" customHeight="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ht="17.149999999999999" customHeight="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ht="17.149999999999999" customHeight="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ht="17.149999999999999" customHeight="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ht="17.149999999999999" customHeight="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ht="17.149999999999999" customHeight="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ht="17.149999999999999" customHeight="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ht="17.149999999999999" customHeight="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ht="17.149999999999999" customHeight="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ht="17.149999999999999" customHeight="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ht="17.149999999999999" customHeight="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ht="17.149999999999999" customHeight="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ht="17.149999999999999" customHeight="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ht="17.149999999999999" customHeight="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ht="17.149999999999999" customHeight="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ht="17.149999999999999" customHeight="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ht="17.149999999999999" customHeight="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ht="17.149999999999999" customHeight="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ht="17.149999999999999" customHeight="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ht="17.149999999999999" customHeight="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ht="17.149999999999999" customHeight="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ht="17.149999999999999" customHeight="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ht="17.149999999999999" customHeight="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ht="17.149999999999999" customHeight="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ht="17.149999999999999" customHeight="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ht="17.149999999999999" customHeight="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ht="17.149999999999999" customHeight="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ht="17.149999999999999" customHeight="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ht="17.149999999999999" customHeight="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ht="17.149999999999999" customHeight="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ht="17.149999999999999" customHeight="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ht="17.149999999999999" customHeight="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ht="17.149999999999999" customHeight="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ht="17.149999999999999" customHeight="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ht="17.149999999999999" customHeight="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ht="17.149999999999999" customHeight="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ht="17.149999999999999" customHeight="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ht="17.149999999999999" customHeight="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ht="17.149999999999999" customHeight="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ht="17.149999999999999" customHeight="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ht="17.149999999999999" customHeight="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ht="17.149999999999999" customHeight="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ht="17.149999999999999" customHeight="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ht="17.149999999999999" customHeight="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ht="17.149999999999999" customHeight="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ht="17.149999999999999" customHeight="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ht="17.149999999999999" customHeight="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ht="17.149999999999999" customHeight="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ht="17.149999999999999" customHeight="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ht="17.149999999999999" customHeight="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ht="17.149999999999999" customHeight="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ht="17.149999999999999" customHeight="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ht="17.149999999999999" customHeight="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ht="17.149999999999999" customHeight="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ht="17.149999999999999" customHeight="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ht="17.149999999999999" customHeight="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ht="17.149999999999999" customHeight="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ht="17.149999999999999" customHeight="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ht="17.149999999999999" customHeight="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ht="17.149999999999999" customHeight="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ht="17.149999999999999" customHeight="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ht="17.149999999999999" customHeight="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ht="17.149999999999999" customHeight="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ht="17.149999999999999" customHeight="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ht="17.149999999999999" customHeight="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ht="17.149999999999999" customHeight="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ht="17.149999999999999" customHeight="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ht="17.149999999999999" customHeight="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ht="17.149999999999999" customHeight="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ht="17.149999999999999" customHeight="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ht="17.149999999999999" customHeight="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ht="17.149999999999999" customHeight="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ht="17.149999999999999" customHeight="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ht="17.149999999999999" customHeight="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ht="17.149999999999999" customHeight="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ht="17.149999999999999" customHeight="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ht="17.149999999999999" customHeight="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ht="17.149999999999999" customHeight="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ht="17.149999999999999" customHeight="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ht="17.149999999999999" customHeight="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ht="17.149999999999999" customHeight="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ht="17.149999999999999" customHeight="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ht="17.149999999999999" customHeight="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ht="17.149999999999999" customHeight="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ht="17.149999999999999" customHeight="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ht="17.149999999999999" customHeight="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ht="17.149999999999999" customHeight="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ht="17.149999999999999" customHeight="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ht="17.149999999999999" customHeight="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ht="17.149999999999999" customHeight="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ht="17.149999999999999" customHeight="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ht="17.149999999999999" customHeight="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ht="17.149999999999999" customHeight="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ht="17.149999999999999" customHeight="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ht="17.149999999999999" customHeight="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ht="17.149999999999999" customHeight="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ht="17.149999999999999" customHeight="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ht="17.149999999999999" customHeight="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ht="17.149999999999999" customHeight="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ht="17.149999999999999" customHeight="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ht="17.149999999999999" customHeight="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ht="17.149999999999999" customHeight="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ht="17.149999999999999" customHeight="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ht="17.149999999999999" customHeight="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ht="17.149999999999999" customHeight="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ht="17.149999999999999" customHeight="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ht="17.149999999999999" customHeight="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ht="17.149999999999999" customHeight="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ht="17.149999999999999" customHeight="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ht="17.149999999999999" customHeight="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ht="17.149999999999999" customHeight="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ht="17.149999999999999" customHeight="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ht="17.149999999999999" customHeight="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ht="17.149999999999999" customHeight="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ht="17.149999999999999" customHeight="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ht="17.149999999999999" customHeight="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ht="17.149999999999999" customHeight="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ht="17.149999999999999" customHeight="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ht="17.149999999999999" customHeight="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ht="17.149999999999999" customHeight="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ht="17.149999999999999" customHeight="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ht="17.149999999999999" customHeight="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ht="17.149999999999999" customHeight="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ht="17.149999999999999" customHeight="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ht="17.149999999999999" customHeight="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ht="17.149999999999999" customHeight="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ht="17.149999999999999" customHeight="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ht="17.149999999999999" customHeight="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ht="17.149999999999999" customHeight="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ht="17.149999999999999" customHeight="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ht="17.149999999999999" customHeight="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ht="17.149999999999999" customHeight="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ht="17.149999999999999" customHeight="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ht="17.149999999999999" customHeight="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ht="17.149999999999999" customHeight="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ht="17.149999999999999" customHeight="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ht="17.149999999999999" customHeight="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ht="17.149999999999999" customHeight="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ht="17.149999999999999" customHeight="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ht="17.149999999999999" customHeight="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ht="17.149999999999999" customHeight="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ht="17.149999999999999" customHeight="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ht="17.149999999999999" customHeight="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ht="17.149999999999999" customHeight="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ht="17.149999999999999" customHeight="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ht="17.149999999999999" customHeight="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ht="17.149999999999999" customHeight="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ht="17.149999999999999" customHeight="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ht="17.149999999999999" customHeight="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ht="17.149999999999999" customHeight="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ht="17.149999999999999" customHeight="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ht="17.149999999999999" customHeight="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ht="17.149999999999999" customHeight="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ht="17.149999999999999" customHeight="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ht="17.149999999999999" customHeight="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ht="17.149999999999999" customHeight="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ht="17.149999999999999" customHeight="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ht="17.149999999999999" customHeight="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ht="17.149999999999999" customHeight="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ht="17.149999999999999" customHeight="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ht="17.149999999999999" customHeight="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ht="17.149999999999999" customHeight="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ht="17.149999999999999" customHeight="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ht="17.149999999999999" customHeight="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ht="17.149999999999999" customHeight="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ht="17.149999999999999" customHeight="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ht="17.149999999999999" customHeight="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ht="17.149999999999999" customHeight="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ht="17.149999999999999" customHeight="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ht="17.149999999999999" customHeight="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ht="17.149999999999999" customHeight="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ht="17.149999999999999" customHeight="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ht="17.149999999999999" customHeight="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ht="17.149999999999999" customHeight="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ht="17.149999999999999" customHeight="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ht="17.149999999999999" customHeight="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ht="17.149999999999999" customHeight="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ht="17.149999999999999" customHeight="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ht="17.149999999999999" customHeight="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ht="17.149999999999999" customHeight="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ht="17.149999999999999" customHeight="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ht="17.149999999999999" customHeight="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ht="17.149999999999999" customHeight="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ht="17.149999999999999" customHeight="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ht="17.149999999999999" customHeight="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ht="17.149999999999999" customHeight="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ht="17.149999999999999" customHeight="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ht="17.149999999999999" customHeight="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ht="17.149999999999999" customHeight="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ht="17.149999999999999" customHeight="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ht="17.149999999999999" customHeight="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ht="17.149999999999999" customHeight="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ht="17.149999999999999" customHeight="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ht="17.149999999999999" customHeight="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ht="17.149999999999999" customHeight="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ht="17.149999999999999" customHeight="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ht="17.149999999999999" customHeight="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ht="17.149999999999999" customHeight="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ht="17.149999999999999" customHeight="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ht="17.149999999999999" customHeight="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ht="17.149999999999999" customHeight="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ht="17.149999999999999" customHeight="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ht="17.149999999999999" customHeight="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ht="17.149999999999999" customHeight="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ht="17.149999999999999" customHeight="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ht="17.149999999999999" customHeight="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ht="17.149999999999999" customHeight="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ht="17.149999999999999" customHeight="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ht="17.149999999999999" customHeight="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ht="17.149999999999999" customHeight="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ht="17.149999999999999" customHeight="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ht="17.149999999999999" customHeight="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ht="17.149999999999999" customHeight="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ht="17.149999999999999" customHeight="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ht="17.149999999999999" customHeight="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ht="17.149999999999999" customHeight="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ht="17.149999999999999" customHeight="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ht="17.149999999999999" customHeight="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ht="17.149999999999999" customHeight="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ht="17.149999999999999" customHeight="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ht="17.149999999999999" customHeight="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ht="17.149999999999999" customHeight="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ht="17.149999999999999" customHeight="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ht="17.149999999999999" customHeight="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ht="17.149999999999999" customHeight="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ht="17.149999999999999" customHeight="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ht="17.149999999999999" customHeight="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ht="17.149999999999999" customHeight="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ht="17.149999999999999" customHeight="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ht="17.149999999999999" customHeight="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ht="17.149999999999999" customHeight="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ht="17.149999999999999" customHeight="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ht="17.149999999999999" customHeight="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ht="17.149999999999999" customHeight="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ht="17.149999999999999" customHeight="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ht="17.149999999999999" customHeight="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ht="17.149999999999999" customHeight="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ht="17.149999999999999" customHeight="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ht="17.149999999999999" customHeight="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ht="17.149999999999999" customHeight="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ht="17.149999999999999" customHeight="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ht="17.149999999999999" customHeight="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ht="17.149999999999999" customHeight="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ht="17.149999999999999" customHeight="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ht="17.149999999999999" customHeight="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ht="17.149999999999999" customHeight="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ht="17.149999999999999" customHeight="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ht="17.149999999999999" customHeight="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ht="17.149999999999999" customHeight="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ht="17.149999999999999" customHeight="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ht="17.149999999999999" customHeight="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ht="17.149999999999999" customHeight="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ht="17.149999999999999" customHeight="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ht="17.149999999999999" customHeight="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ht="17.149999999999999" customHeight="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ht="17.149999999999999" customHeight="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ht="17.149999999999999" customHeight="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ht="17.149999999999999" customHeight="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ht="17.149999999999999" customHeight="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ht="17.149999999999999" customHeight="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ht="17.149999999999999" customHeight="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ht="17.149999999999999" customHeight="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ht="17.149999999999999" customHeight="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ht="17.149999999999999" customHeight="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ht="17.149999999999999" customHeight="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ht="17.149999999999999" customHeight="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ht="17.149999999999999" customHeight="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ht="17.149999999999999" customHeight="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ht="17.149999999999999" customHeight="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ht="17.149999999999999" customHeight="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ht="17.149999999999999" customHeight="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ht="17.149999999999999" customHeight="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ht="17.149999999999999" customHeight="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ht="17.149999999999999" customHeight="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ht="17.149999999999999" customHeight="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ht="17.149999999999999" customHeight="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ht="17.149999999999999" customHeight="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ht="17.149999999999999" customHeight="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ht="17.149999999999999" customHeight="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ht="17.149999999999999" customHeight="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ht="17.149999999999999" customHeight="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ht="17.149999999999999" customHeight="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ht="17.149999999999999" customHeight="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ht="17.149999999999999" customHeight="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ht="17.149999999999999" customHeight="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ht="17.149999999999999" customHeight="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ht="17.149999999999999" customHeight="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ht="17.149999999999999" customHeight="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ht="17.149999999999999" customHeight="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ht="17.149999999999999" customHeight="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ht="17.149999999999999" customHeight="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ht="17.149999999999999" customHeight="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ht="17.149999999999999" customHeight="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ht="17.149999999999999" customHeight="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ht="17.149999999999999" customHeight="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ht="17.149999999999999" customHeight="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ht="17.149999999999999" customHeight="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ht="17.149999999999999" customHeight="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ht="17.149999999999999" customHeight="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ht="17.149999999999999" customHeight="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ht="17.149999999999999" customHeight="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ht="17.149999999999999" customHeight="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ht="17.149999999999999" customHeight="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ht="17.149999999999999" customHeight="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ht="17.149999999999999" customHeight="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ht="17.149999999999999" customHeight="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ht="17.149999999999999" customHeight="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ht="17.149999999999999" customHeight="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ht="17.149999999999999" customHeight="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ht="17.149999999999999" customHeight="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ht="17.149999999999999" customHeight="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ht="17.149999999999999" customHeight="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ht="17.149999999999999" customHeight="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ht="17.149999999999999" customHeight="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ht="17.149999999999999" customHeight="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ht="17.149999999999999" customHeight="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ht="17.149999999999999" customHeight="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ht="17.149999999999999" customHeight="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ht="17.149999999999999" customHeight="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ht="17.149999999999999" customHeight="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ht="17.149999999999999" customHeight="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ht="17.149999999999999" customHeight="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ht="17.149999999999999" customHeight="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ht="17.149999999999999" customHeight="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ht="17.149999999999999" customHeight="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ht="17.149999999999999" customHeight="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ht="17.149999999999999" customHeight="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ht="17.149999999999999" customHeight="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ht="17.149999999999999" customHeight="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ht="17.149999999999999" customHeight="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ht="17.149999999999999" customHeight="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ht="17.149999999999999" customHeight="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ht="17.149999999999999" customHeight="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ht="17.149999999999999" customHeight="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ht="17.149999999999999" customHeight="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ht="17.149999999999999" customHeight="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ht="17.149999999999999" customHeight="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ht="17.149999999999999" customHeight="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ht="17.149999999999999" customHeight="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ht="17.149999999999999" customHeight="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ht="17.149999999999999" customHeight="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ht="17.149999999999999" customHeight="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ht="17.149999999999999" customHeight="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ht="17.149999999999999" customHeight="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ht="17.149999999999999" customHeight="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ht="17.149999999999999" customHeight="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ht="17.149999999999999" customHeight="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ht="17.149999999999999" customHeight="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ht="17.149999999999999" customHeight="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ht="17.149999999999999" customHeight="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ht="17.149999999999999" customHeight="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ht="17.149999999999999" customHeight="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ht="17.149999999999999" customHeight="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ht="17.149999999999999" customHeight="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ht="17.149999999999999" customHeight="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ht="17.149999999999999" customHeight="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ht="17.149999999999999" customHeight="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ht="17.149999999999999" customHeight="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ht="17.149999999999999" customHeight="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ht="17.149999999999999" customHeight="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ht="17.149999999999999" customHeight="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ht="17.149999999999999" customHeight="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ht="17.149999999999999" customHeight="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ht="17.149999999999999" customHeight="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ht="17.149999999999999" customHeight="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ht="17.149999999999999" customHeight="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ht="17.149999999999999" customHeight="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ht="17.149999999999999" customHeight="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ht="17.149999999999999" customHeight="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ht="17.149999999999999" customHeight="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ht="17.149999999999999" customHeight="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ht="17.149999999999999" customHeight="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ht="17.149999999999999" customHeight="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ht="17.149999999999999" customHeight="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ht="17.149999999999999" customHeight="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ht="17.149999999999999" customHeight="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ht="17.149999999999999" customHeight="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ht="17.149999999999999" customHeight="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ht="17.149999999999999" customHeight="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ht="17.149999999999999" customHeight="1" x14ac:dyDescent="0.35">
      <c r="G1001" s="85"/>
      <c r="H1001" s="87"/>
      <c r="M1001" s="94"/>
      <c r="N1001" s="93"/>
      <c r="O1001" s="85"/>
      <c r="Q1001" s="94"/>
      <c r="R1001" s="93"/>
      <c r="S1001" s="85"/>
      <c r="U1001" s="94"/>
      <c r="V1001" s="93"/>
      <c r="W1001" s="85"/>
      <c r="Y1001" s="94"/>
      <c r="Z1001" s="93"/>
      <c r="AA1001" s="85"/>
      <c r="AC1001" s="94"/>
      <c r="AD1001" s="93"/>
      <c r="AE1001" s="85"/>
    </row>
    <row r="1002" spans="7:31" ht="17.149999999999999" customHeight="1" x14ac:dyDescent="0.35">
      <c r="M1002" s="94"/>
      <c r="N1002" s="93"/>
      <c r="O1002" s="85"/>
    </row>
    <row r="1003" spans="7:31" ht="17.149999999999999" customHeight="1" x14ac:dyDescent="0.35">
      <c r="M1003" s="94"/>
      <c r="N1003" s="93"/>
      <c r="O1003" s="85"/>
    </row>
  </sheetData>
  <conditionalFormatting sqref="A16:L1048576 Q16:AG1048576 M16:P17 A1:AG15">
    <cfRule type="expression" dxfId="83" priority="1">
      <formula>$A4="Spend to Date"</formula>
    </cfRule>
    <cfRule type="expression" dxfId="82" priority="2">
      <formula>$A4="Spend to Date"</formula>
    </cfRule>
  </conditionalFormatting>
  <conditionalFormatting sqref="M18:P1048576">
    <cfRule type="expression" dxfId="81" priority="49">
      <formula>$A19="Spend to Date"</formula>
    </cfRule>
    <cfRule type="expression" dxfId="80" priority="50">
      <formula>$A19="Spend to Date"</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G1009"/>
  <sheetViews>
    <sheetView zoomScaleNormal="100" workbookViewId="0">
      <pane xSplit="2" ySplit="1" topLeftCell="I2" activePane="bottomRight" state="frozen"/>
      <selection pane="topRight" activeCell="C1" sqref="C1"/>
      <selection pane="bottomLeft" activeCell="A2" sqref="A2"/>
      <selection pane="bottomRight" activeCell="P14" sqref="P14"/>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0.81640625" style="87" bestFit="1" customWidth="1"/>
    <col min="8" max="8" width="12.7265625" style="88" bestFit="1" customWidth="1"/>
    <col min="9" max="9" width="13.81640625" style="94" bestFit="1" customWidth="1"/>
    <col min="10" max="10" width="19.54296875" style="93" bestFit="1" customWidth="1"/>
    <col min="11" max="11" width="11" style="87" bestFit="1" customWidth="1"/>
    <col min="12" max="12" width="18.453125" style="87" customWidth="1"/>
    <col min="13" max="13" width="17" style="89" customWidth="1"/>
    <col min="14" max="14" width="13.81640625" style="87" customWidth="1"/>
    <col min="15" max="15" width="16.453125" style="87" customWidth="1"/>
    <col min="16" max="16" width="28.542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9" x14ac:dyDescent="0.35">
      <c r="A1" s="84" t="s">
        <v>57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SUM(E3:E4)</f>
        <v>0</v>
      </c>
      <c r="F2" s="87">
        <f>SUM(F3:F3)</f>
        <v>15449.47</v>
      </c>
      <c r="I2" s="89">
        <f>SUM(I3:I4)</f>
        <v>-7500</v>
      </c>
      <c r="J2" s="87">
        <f>SUM(J3:J4)</f>
        <v>0</v>
      </c>
      <c r="M2" s="89">
        <f>SUM(M3:M4)</f>
        <v>-52000</v>
      </c>
      <c r="N2" s="87">
        <f>SUM(N3:N4)</f>
        <v>18019.400000000001</v>
      </c>
      <c r="Q2" s="89">
        <f>SUM(Q3:Q4)</f>
        <v>0</v>
      </c>
      <c r="R2" s="87">
        <f>SUM(R3:R4)</f>
        <v>0</v>
      </c>
      <c r="U2" s="89">
        <f>SUM(U3:U4)</f>
        <v>0</v>
      </c>
      <c r="V2" s="87">
        <f>SUM(V3:V4)</f>
        <v>0</v>
      </c>
      <c r="Y2" s="89">
        <f>SUM(Y3:Y4)</f>
        <v>0</v>
      </c>
      <c r="Z2" s="87">
        <f>SUM(Z3:Z4)</f>
        <v>0</v>
      </c>
      <c r="AC2" s="89">
        <f>SUM(AC3:AC4)</f>
        <v>0</v>
      </c>
      <c r="AD2" s="87">
        <f>SUM(AD3:AD4)</f>
        <v>0</v>
      </c>
    </row>
    <row r="3" spans="1:33" ht="29" x14ac:dyDescent="0.35">
      <c r="A3" s="84" t="s">
        <v>57</v>
      </c>
      <c r="B3" s="85">
        <v>1</v>
      </c>
      <c r="D3" s="86">
        <v>21500</v>
      </c>
      <c r="E3" s="87">
        <v>0</v>
      </c>
      <c r="F3" s="87">
        <f>SUMIFS(H$23:H$1007,E$23:E$1007,1)</f>
        <v>15449.47</v>
      </c>
      <c r="G3" s="87">
        <f>D3+E3-F3+SUMIFS(E$7:E$15,$C$7:$C$15,$A3)-SUMIFS(F$7:F$15,$C$7:$C$15,$A3)</f>
        <v>3200.9799999999996</v>
      </c>
      <c r="I3" s="89">
        <v>0</v>
      </c>
      <c r="J3" s="87">
        <f>SUMIFS(L$23:L$1005,I$23:I$1005,1)</f>
        <v>0</v>
      </c>
      <c r="K3" s="87">
        <f>G3+I3-J3+SUMIFS(I$7:I$17,$C$7:$C$17,$A3)-SUMIFS(J$7:J$17,$C$7:$C$17,$A3)</f>
        <v>67606.06</v>
      </c>
      <c r="L3" s="86"/>
      <c r="M3" s="89">
        <v>-50000</v>
      </c>
      <c r="N3" s="87">
        <f>SUMIFS(P$23:P$1014,M$23:M$1014,1)</f>
        <v>18019.400000000001</v>
      </c>
      <c r="O3" s="87">
        <f>K3+M3-N3+SUMIFS(M$7:M$17,$C$7:$C$17,$A3)-SUMIFS(N$7:N$17,$C$7:$C$17,$A3)</f>
        <v>28199.80333333333</v>
      </c>
      <c r="R3" s="87">
        <f>SUMIFS(T$23:T$1008,Q$23:Q$1008,1)</f>
        <v>0</v>
      </c>
      <c r="S3" s="87">
        <f>O3+Q3-R3+SUMIFS(Q$7:Q$15,$C$7:$C$15,$A3)-SUMIFS(R$7:R$15,$C$7:$C$15,$A3)</f>
        <v>37060.80333333333</v>
      </c>
      <c r="V3" s="87">
        <f>SUMIFS(X$23:X$1008,U$23:U$1008,1)</f>
        <v>0</v>
      </c>
      <c r="W3" s="87">
        <f>S3+U3-V3+SUMIFS(U$7:U$15,$C$7:$C$15,$A3)-SUMIFS(V$7:V$15,$C$7:$C$15,$A3)</f>
        <v>46187.80333333333</v>
      </c>
      <c r="Z3" s="87">
        <f>SUMIFS(AB$23:AB$1008,Y$23:Y$1008,1)</f>
        <v>0</v>
      </c>
      <c r="AA3" s="87">
        <f>W3+Y3-Z3+SUMIFS(Y$7:Y$15,$C$7:$C$15,$A3)-SUMIFS(Z$7:Z$15,$C$7:$C$15,$A3)</f>
        <v>55586.80333333333</v>
      </c>
      <c r="AD3" s="87">
        <f>SUMIFS(AF$23:AF$1008,AC$23:AC$1008,1)</f>
        <v>0</v>
      </c>
      <c r="AE3" s="87">
        <f>AA3+AC3-AD3+SUMIFS(AC$7:AC$15,$C$7:$C$15,$A3)-SUMIFS(AD$7:AD$15,$C$7:$C$15,$A3)</f>
        <v>65266.80333333333</v>
      </c>
      <c r="AG3" s="87">
        <v>50000</v>
      </c>
    </row>
    <row r="4" spans="1:33" x14ac:dyDescent="0.35">
      <c r="A4" s="84" t="s">
        <v>58</v>
      </c>
      <c r="B4" s="85">
        <v>2</v>
      </c>
      <c r="D4" s="86">
        <v>7140</v>
      </c>
      <c r="E4" s="87">
        <v>0</v>
      </c>
      <c r="F4" s="87">
        <v>0</v>
      </c>
      <c r="G4" s="87">
        <f>D4+E4-F4+SUMIFS(E$7:E$15,$C$7:$C$15,$A4)-SUMIFS(F$7:F$15,$C$7:$C$15,$A4)</f>
        <v>13583.59</v>
      </c>
      <c r="I4" s="89">
        <v>-7500</v>
      </c>
      <c r="J4" s="87">
        <f>SUMIFS(L$23:L$1005,I$23:I$1005,2)</f>
        <v>0</v>
      </c>
      <c r="K4" s="87">
        <f>G4+I4-J4+SUMIFS(I$7:I$17,$C$7:$C$17,$A4)-SUMIFS(J$7:J$17,$C$7:$C$17,$A4)</f>
        <v>4115.9700000000048</v>
      </c>
      <c r="L4" s="86"/>
      <c r="M4" s="89">
        <v>-2000</v>
      </c>
      <c r="N4" s="87">
        <f>SUMIFS(P$23:P$1014,M$23:M$1014,2)</f>
        <v>0</v>
      </c>
      <c r="O4" s="87">
        <f>K4+M4-N4+SUMIFS(M$7:M$17,$C$7:$C$17,$A4)-SUMIFS(N$7:N$17,$C$7:$C$17,$A4)</f>
        <v>9046.7800000000043</v>
      </c>
      <c r="R4" s="87">
        <f>SUMIFS(T$23:T$1008,Q$23:Q$1008,2)</f>
        <v>0</v>
      </c>
      <c r="S4" s="87">
        <f>O4+Q4-R4+SUMIFS(Q$7:Q$15,$C$7:$C$15,$A4)-SUMIFS(R$7:R$15,$C$7:$C$15,$A4)</f>
        <v>9046.7800000000061</v>
      </c>
      <c r="V4" s="87">
        <f>SUMIFS(X$23:X$1008,U$23:U$1008,2)</f>
        <v>0</v>
      </c>
      <c r="W4" s="87">
        <f>S4+U4-V4+SUMIFS(U$7:U$15,$C$7:$C$15,$A4)-SUMIFS(V$7:V$15,$C$7:$C$15,$A4)</f>
        <v>9046.7800000000061</v>
      </c>
      <c r="Z4" s="87">
        <f>SUMIFS(AB$23:AB$1008,Y$23:Y$1008,2)</f>
        <v>0</v>
      </c>
      <c r="AA4" s="87">
        <f>W4+Y4-Z4+SUMIFS(Y$7:Y$15,$C$7:$C$15,$A4)-SUMIFS(Z$7:Z$15,$C$7:$C$15,$A4)</f>
        <v>9046.7800000000061</v>
      </c>
      <c r="AD4" s="87">
        <f>SUMIFS(AF$23:AF$1008,AC$23:AC$1008,2)</f>
        <v>0</v>
      </c>
      <c r="AE4" s="87">
        <f>AA4+AC4-AD4+SUMIFS(AC$7:AC$15,$C$7:$C$15,$A4)-SUMIFS(AD$7:AD$15,$C$7:$C$15,$A4)</f>
        <v>9046.7800000000061</v>
      </c>
      <c r="AG4" s="87">
        <v>50000</v>
      </c>
    </row>
    <row r="5" spans="1:33" x14ac:dyDescent="0.35">
      <c r="E5" s="87"/>
      <c r="F5" s="87"/>
      <c r="I5" s="89"/>
      <c r="J5" s="87"/>
    </row>
    <row r="6" spans="1:33" x14ac:dyDescent="0.35">
      <c r="A6" s="84" t="s">
        <v>59</v>
      </c>
      <c r="D6" s="84"/>
      <c r="E6" s="87">
        <f>SUM(E7:E17)</f>
        <v>20860</v>
      </c>
      <c r="F6" s="87">
        <f>SUM(F7:F17)</f>
        <v>17265.96</v>
      </c>
      <c r="I6" s="87">
        <f>SUM(I7:I17)</f>
        <v>120226</v>
      </c>
      <c r="J6" s="87">
        <f>SUM(J7:J17)</f>
        <v>57788.539999999994</v>
      </c>
      <c r="M6" s="87">
        <f>SUM(M7:M17)</f>
        <v>66280</v>
      </c>
      <c r="N6" s="87">
        <f>SUM(N7:N17)</f>
        <v>30736.046666666669</v>
      </c>
      <c r="Q6" s="89">
        <f>SUM(Q7:Q15)</f>
        <v>65565</v>
      </c>
      <c r="R6" s="87">
        <f>$Q$6</f>
        <v>65565</v>
      </c>
      <c r="U6" s="89">
        <f>SUM(U7:U15)</f>
        <v>67534</v>
      </c>
      <c r="V6" s="87">
        <f>$U$6</f>
        <v>67534</v>
      </c>
      <c r="Y6" s="89">
        <f>SUM(Y7:Y15)</f>
        <v>69563</v>
      </c>
      <c r="Z6" s="87">
        <f>$Y$6</f>
        <v>69563</v>
      </c>
      <c r="AC6" s="89">
        <f>SUM(AC7:AC15)</f>
        <v>71652</v>
      </c>
      <c r="AD6" s="87">
        <f>$AC$6</f>
        <v>71652</v>
      </c>
    </row>
    <row r="7" spans="1:33" ht="29" x14ac:dyDescent="0.35">
      <c r="A7" s="86" t="s">
        <v>60</v>
      </c>
      <c r="B7" s="85">
        <v>3</v>
      </c>
      <c r="C7" s="85" t="s">
        <v>57</v>
      </c>
      <c r="E7" s="87">
        <v>12500</v>
      </c>
      <c r="F7" s="87">
        <f>SUMIFS(H$23:H$1007,E$23:E$1007,$B7)</f>
        <v>15349.55</v>
      </c>
      <c r="I7" s="89">
        <v>35000</v>
      </c>
      <c r="J7" s="87">
        <f t="shared" ref="J7:J16" si="0">SUMIFS(L$23:L$1004,I$23:I$1004,$B7)</f>
        <v>9765.9500000000007</v>
      </c>
      <c r="M7" s="89">
        <v>15000</v>
      </c>
      <c r="N7" s="87">
        <f t="shared" ref="N7:N17" si="1">SUMIFS(P$23:P$1010,M$23:M$1010,$B7)</f>
        <v>5122.68</v>
      </c>
      <c r="Q7" s="89">
        <f t="shared" ref="Q7:Q15" si="2">ROUNDUP((M7)*RPI,0)</f>
        <v>15450</v>
      </c>
      <c r="R7" s="87">
        <f>$Q$7</f>
        <v>15450</v>
      </c>
      <c r="U7" s="89">
        <f t="shared" ref="U7:U15" si="3">ROUNDUP((Q7)*RPI,0)</f>
        <v>15914</v>
      </c>
      <c r="V7" s="87">
        <f>$U$7</f>
        <v>15914</v>
      </c>
      <c r="Y7" s="89">
        <f t="shared" ref="Y7:Y15" si="4">ROUNDUP((U7)*RPI,0)</f>
        <v>16392</v>
      </c>
      <c r="Z7" s="87">
        <f>$Y$7</f>
        <v>16392</v>
      </c>
      <c r="AC7" s="89">
        <f t="shared" ref="AC7:AC15" si="5">ROUNDUP((Y7)*RPI,0)</f>
        <v>16884</v>
      </c>
      <c r="AD7" s="87">
        <f>$AC$7</f>
        <v>16884</v>
      </c>
    </row>
    <row r="8" spans="1:33" ht="14.5" customHeight="1" x14ac:dyDescent="0.35">
      <c r="A8" s="86" t="s">
        <v>61</v>
      </c>
      <c r="B8" s="85">
        <v>4</v>
      </c>
      <c r="C8" s="87" t="s">
        <v>58</v>
      </c>
      <c r="E8" s="87">
        <v>7860</v>
      </c>
      <c r="F8" s="87">
        <f>SUMIFS(H$23:H$1007,E$23:E$1007,$B8)</f>
        <v>56</v>
      </c>
      <c r="I8" s="89">
        <v>0</v>
      </c>
      <c r="J8" s="87">
        <f t="shared" si="0"/>
        <v>0</v>
      </c>
      <c r="M8" s="89">
        <f>ROUNDUP((I8)*RPI,0)</f>
        <v>0</v>
      </c>
      <c r="N8" s="87">
        <f t="shared" si="1"/>
        <v>0</v>
      </c>
      <c r="Q8" s="89">
        <f t="shared" si="2"/>
        <v>0</v>
      </c>
      <c r="R8" s="87">
        <f>$Q$8</f>
        <v>0</v>
      </c>
      <c r="U8" s="89">
        <f t="shared" si="3"/>
        <v>0</v>
      </c>
      <c r="V8" s="87">
        <f>$U$8</f>
        <v>0</v>
      </c>
      <c r="Y8" s="89">
        <f t="shared" si="4"/>
        <v>0</v>
      </c>
      <c r="Z8" s="87">
        <f>$Y$8</f>
        <v>0</v>
      </c>
      <c r="AC8" s="89">
        <f t="shared" si="5"/>
        <v>0</v>
      </c>
      <c r="AD8" s="87">
        <f>$AC$8</f>
        <v>0</v>
      </c>
    </row>
    <row r="9" spans="1:33" x14ac:dyDescent="0.35">
      <c r="A9" s="86" t="s">
        <v>885</v>
      </c>
      <c r="B9" s="85">
        <v>5</v>
      </c>
      <c r="C9" s="87" t="s">
        <v>58</v>
      </c>
      <c r="E9" s="87">
        <v>500</v>
      </c>
      <c r="F9" s="87">
        <f>SUMIFS(H$23:H$1007,E$23:E$1007,$B9)</f>
        <v>1860.41</v>
      </c>
      <c r="I9" s="89">
        <f>7*846+3078</f>
        <v>9000</v>
      </c>
      <c r="J9" s="87">
        <f t="shared" si="0"/>
        <v>10967.619999999995</v>
      </c>
      <c r="M9" s="89">
        <v>10500</v>
      </c>
      <c r="N9" s="87">
        <f t="shared" si="1"/>
        <v>3569.19</v>
      </c>
      <c r="O9" s="86"/>
      <c r="P9" s="86"/>
      <c r="Q9" s="89">
        <f t="shared" si="2"/>
        <v>10815</v>
      </c>
      <c r="R9" s="87">
        <f>$Q$9</f>
        <v>10815</v>
      </c>
      <c r="U9" s="89">
        <f t="shared" si="3"/>
        <v>11140</v>
      </c>
      <c r="V9" s="87">
        <f>$U$9</f>
        <v>11140</v>
      </c>
      <c r="Y9" s="89">
        <f t="shared" si="4"/>
        <v>11475</v>
      </c>
      <c r="Z9" s="87">
        <f>$Y$9</f>
        <v>11475</v>
      </c>
      <c r="AC9" s="89">
        <f t="shared" si="5"/>
        <v>11820</v>
      </c>
      <c r="AD9" s="87">
        <f>$AC$9</f>
        <v>11820</v>
      </c>
    </row>
    <row r="10" spans="1:33" x14ac:dyDescent="0.35">
      <c r="A10" s="86" t="s">
        <v>63</v>
      </c>
      <c r="B10" s="85">
        <v>6</v>
      </c>
      <c r="C10" s="92" t="s">
        <v>57</v>
      </c>
      <c r="D10" s="84"/>
      <c r="E10" s="87">
        <v>0</v>
      </c>
      <c r="F10" s="87">
        <f>SUMIFS(H$23:H$1007,E$23:E$1007,$B10)</f>
        <v>0</v>
      </c>
      <c r="I10" s="89">
        <v>25000</v>
      </c>
      <c r="J10" s="87">
        <f t="shared" si="0"/>
        <v>13730.5</v>
      </c>
      <c r="M10" s="89">
        <f>ROUNDUP((5/12*(I10*1.085)),0)</f>
        <v>11303</v>
      </c>
      <c r="N10" s="87">
        <f t="shared" si="1"/>
        <v>14615.416666666664</v>
      </c>
      <c r="P10" s="86"/>
      <c r="Q10" s="89">
        <f t="shared" si="2"/>
        <v>11643</v>
      </c>
      <c r="R10" s="87">
        <f>$Q$10</f>
        <v>11643</v>
      </c>
      <c r="U10" s="89">
        <f t="shared" si="3"/>
        <v>11993</v>
      </c>
      <c r="V10" s="87">
        <f>$U$10</f>
        <v>11993</v>
      </c>
      <c r="Y10" s="89">
        <f t="shared" si="4"/>
        <v>12353</v>
      </c>
      <c r="Z10" s="87">
        <f>$Y$10</f>
        <v>12353</v>
      </c>
      <c r="AC10" s="89">
        <f t="shared" si="5"/>
        <v>12724</v>
      </c>
      <c r="AD10" s="87">
        <f>$AC$10</f>
        <v>12724</v>
      </c>
    </row>
    <row r="11" spans="1:33" x14ac:dyDescent="0.35">
      <c r="A11" s="86" t="s">
        <v>64</v>
      </c>
      <c r="B11" s="85">
        <v>7</v>
      </c>
      <c r="C11" s="85" t="s">
        <v>57</v>
      </c>
      <c r="E11" s="87">
        <v>0</v>
      </c>
      <c r="F11" s="87">
        <v>0</v>
      </c>
      <c r="I11" s="89">
        <v>22000</v>
      </c>
      <c r="J11" s="87">
        <f t="shared" si="0"/>
        <v>3250</v>
      </c>
      <c r="L11" s="87" t="s">
        <v>886</v>
      </c>
      <c r="M11" s="89">
        <v>0</v>
      </c>
      <c r="N11" s="87">
        <f t="shared" si="1"/>
        <v>0</v>
      </c>
      <c r="Q11" s="89">
        <f>ROUNDUP((M11)*RPI,0)</f>
        <v>0</v>
      </c>
      <c r="R11" s="87">
        <f>$Q$11</f>
        <v>0</v>
      </c>
      <c r="U11" s="89">
        <f>ROUNDUP((Q11)*RPI,0)</f>
        <v>0</v>
      </c>
      <c r="V11" s="87">
        <f>$U$11</f>
        <v>0</v>
      </c>
      <c r="Y11" s="89">
        <f>ROUNDUP((U11)*RPI,0)</f>
        <v>0</v>
      </c>
      <c r="Z11" s="87">
        <f>$Y$11</f>
        <v>0</v>
      </c>
      <c r="AC11" s="89">
        <f>ROUNDUP((Y11)*RPI,0)</f>
        <v>0</v>
      </c>
      <c r="AD11" s="87">
        <f>$AC$11</f>
        <v>0</v>
      </c>
    </row>
    <row r="12" spans="1:33" ht="29" x14ac:dyDescent="0.35">
      <c r="A12" s="86" t="s">
        <v>887</v>
      </c>
      <c r="B12" s="85">
        <v>8</v>
      </c>
      <c r="C12" s="85" t="s">
        <v>57</v>
      </c>
      <c r="E12" s="87">
        <v>0</v>
      </c>
      <c r="F12" s="87">
        <f>SUMIFS(H$23:H$1007,E$23:E$1007,$B12)</f>
        <v>0</v>
      </c>
      <c r="I12" s="89">
        <f>12813+3619.2</f>
        <v>16432.2</v>
      </c>
      <c r="J12" s="87">
        <f t="shared" si="0"/>
        <v>14935.470000000001</v>
      </c>
      <c r="L12" s="87" t="s">
        <v>886</v>
      </c>
      <c r="M12" s="89">
        <f>ROUNDUP(22288.76,0)</f>
        <v>22289</v>
      </c>
      <c r="N12" s="87">
        <f t="shared" si="1"/>
        <v>7428.76</v>
      </c>
      <c r="P12" s="105"/>
      <c r="Q12" s="89">
        <f t="shared" si="2"/>
        <v>22958</v>
      </c>
      <c r="R12" s="87">
        <f>$Q$15</f>
        <v>4699</v>
      </c>
      <c r="U12" s="89">
        <f t="shared" si="3"/>
        <v>23647</v>
      </c>
      <c r="V12" s="87">
        <f>$U$15</f>
        <v>4840</v>
      </c>
      <c r="Y12" s="89">
        <f t="shared" si="4"/>
        <v>24357</v>
      </c>
      <c r="Z12" s="87">
        <f>$Y$15</f>
        <v>4986</v>
      </c>
      <c r="AC12" s="89">
        <f t="shared" si="5"/>
        <v>25088</v>
      </c>
      <c r="AD12" s="87">
        <f>$AC$15</f>
        <v>5136</v>
      </c>
    </row>
    <row r="13" spans="1:33" ht="29" x14ac:dyDescent="0.35">
      <c r="A13" s="86" t="s">
        <v>67</v>
      </c>
      <c r="B13" s="85">
        <v>9</v>
      </c>
      <c r="C13" s="85" t="s">
        <v>57</v>
      </c>
      <c r="E13" s="87">
        <v>0</v>
      </c>
      <c r="F13" s="87">
        <f>SUMIFS(H$23:H$1007,E$23:E$1007,$B13)</f>
        <v>0</v>
      </c>
      <c r="I13" s="89">
        <v>8000</v>
      </c>
      <c r="J13" s="87">
        <f t="shared" si="0"/>
        <v>710</v>
      </c>
      <c r="L13" s="87" t="s">
        <v>886</v>
      </c>
      <c r="M13" s="89">
        <v>0</v>
      </c>
      <c r="N13" s="87">
        <f t="shared" si="1"/>
        <v>0</v>
      </c>
      <c r="Q13" s="89">
        <f>ROUNDUP((M13)*RPI,0)</f>
        <v>0</v>
      </c>
      <c r="R13" s="87">
        <f>$Q$15</f>
        <v>4699</v>
      </c>
      <c r="U13" s="89">
        <f>ROUNDUP((Q13)*RPI,0)</f>
        <v>0</v>
      </c>
      <c r="V13" s="87">
        <f>$U$15</f>
        <v>4840</v>
      </c>
      <c r="Y13" s="89">
        <f>ROUNDUP((U13)*RPI,0)</f>
        <v>0</v>
      </c>
      <c r="Z13" s="87">
        <f>$Y$15</f>
        <v>4986</v>
      </c>
      <c r="AC13" s="89">
        <f>ROUNDUP((Y13)*RPI,0)</f>
        <v>0</v>
      </c>
      <c r="AD13" s="87">
        <f>$AC$15</f>
        <v>5136</v>
      </c>
    </row>
    <row r="14" spans="1:33" ht="29" x14ac:dyDescent="0.35">
      <c r="A14" s="86" t="s">
        <v>68</v>
      </c>
      <c r="B14" s="85">
        <v>10</v>
      </c>
      <c r="C14" s="85" t="s">
        <v>57</v>
      </c>
      <c r="E14" s="87">
        <v>0</v>
      </c>
      <c r="F14" s="87">
        <f>SUMIFS(H$23:H$1007,E$23:E$1007,$B14)</f>
        <v>0</v>
      </c>
      <c r="I14" s="89">
        <v>364.8</v>
      </c>
      <c r="J14" s="87">
        <f t="shared" si="0"/>
        <v>0</v>
      </c>
      <c r="L14" s="87" t="s">
        <v>886</v>
      </c>
      <c r="M14" s="89">
        <v>0</v>
      </c>
      <c r="N14" s="87">
        <f t="shared" si="1"/>
        <v>0</v>
      </c>
      <c r="Q14" s="89">
        <f>ROUNDUP((M14)*RPI,0)</f>
        <v>0</v>
      </c>
      <c r="R14" s="87">
        <f>$Q$15</f>
        <v>4699</v>
      </c>
      <c r="U14" s="89">
        <f>ROUNDUP((Q14)*RPI,0)</f>
        <v>0</v>
      </c>
      <c r="V14" s="87">
        <f>$U$15</f>
        <v>4840</v>
      </c>
      <c r="Y14" s="89">
        <f>ROUNDUP((U14)*RPI,0)</f>
        <v>0</v>
      </c>
      <c r="Z14" s="87">
        <f>$Y$15</f>
        <v>4986</v>
      </c>
      <c r="AC14" s="89">
        <f>ROUNDUP((Y14)*RPI,0)</f>
        <v>0</v>
      </c>
      <c r="AD14" s="87">
        <f>$AC$15</f>
        <v>5136</v>
      </c>
    </row>
    <row r="15" spans="1:33" x14ac:dyDescent="0.35">
      <c r="A15" s="86" t="s">
        <v>69</v>
      </c>
      <c r="B15" s="85">
        <v>11</v>
      </c>
      <c r="C15" s="92" t="s">
        <v>57</v>
      </c>
      <c r="D15" s="84"/>
      <c r="E15" s="87">
        <v>0</v>
      </c>
      <c r="F15" s="87">
        <f>SUMIFS(H$23:H$1007,E$23:E$1007,$B15)</f>
        <v>0</v>
      </c>
      <c r="I15" s="89">
        <f>ROUNDUP((2201.5)*RPICurrent+2040,0)</f>
        <v>4429</v>
      </c>
      <c r="J15" s="87">
        <f t="shared" si="0"/>
        <v>4429</v>
      </c>
      <c r="M15" s="89">
        <f>ROUNDUP((I15)*RPI,0)</f>
        <v>4562</v>
      </c>
      <c r="N15" s="87">
        <f t="shared" si="1"/>
        <v>0</v>
      </c>
      <c r="P15" s="105"/>
      <c r="Q15" s="89">
        <f t="shared" si="2"/>
        <v>4699</v>
      </c>
      <c r="R15" s="87">
        <f>$Q$15</f>
        <v>4699</v>
      </c>
      <c r="U15" s="89">
        <f t="shared" si="3"/>
        <v>4840</v>
      </c>
      <c r="V15" s="87">
        <f>$U$15</f>
        <v>4840</v>
      </c>
      <c r="Y15" s="89">
        <f t="shared" si="4"/>
        <v>4986</v>
      </c>
      <c r="Z15" s="87">
        <f>$Y$15</f>
        <v>4986</v>
      </c>
      <c r="AC15" s="89">
        <f t="shared" si="5"/>
        <v>5136</v>
      </c>
      <c r="AD15" s="87">
        <f>$AC$15</f>
        <v>5136</v>
      </c>
    </row>
    <row r="16" spans="1:33" ht="33" customHeight="1" x14ac:dyDescent="0.35">
      <c r="A16" s="105" t="s">
        <v>889</v>
      </c>
      <c r="B16" s="96">
        <v>12</v>
      </c>
      <c r="C16" s="160" t="s">
        <v>57</v>
      </c>
      <c r="D16" s="160"/>
      <c r="E16" s="87">
        <v>0</v>
      </c>
      <c r="F16" s="87">
        <v>0</v>
      </c>
      <c r="G16" s="96"/>
      <c r="H16" s="96"/>
      <c r="I16" s="89">
        <v>0</v>
      </c>
      <c r="J16" s="87">
        <f t="shared" si="0"/>
        <v>0</v>
      </c>
      <c r="K16" s="96"/>
      <c r="L16" s="96" t="s">
        <v>886</v>
      </c>
      <c r="M16" s="89">
        <v>898</v>
      </c>
      <c r="N16" s="87">
        <f t="shared" si="1"/>
        <v>0</v>
      </c>
      <c r="O16" s="96"/>
      <c r="P16" s="105"/>
    </row>
    <row r="17" spans="1:31" ht="42" customHeight="1" x14ac:dyDescent="0.35">
      <c r="A17" s="105" t="s">
        <v>890</v>
      </c>
      <c r="B17" s="96">
        <v>13</v>
      </c>
      <c r="C17" s="160" t="s">
        <v>57</v>
      </c>
      <c r="D17" s="160"/>
      <c r="E17" s="87">
        <v>0</v>
      </c>
      <c r="F17" s="87">
        <v>0</v>
      </c>
      <c r="G17" s="96"/>
      <c r="H17" s="96"/>
      <c r="I17" s="89">
        <v>0</v>
      </c>
      <c r="J17" s="87">
        <f>SUMIFS(L$23:L$1004,I$23:I$1004,$B17)</f>
        <v>0</v>
      </c>
      <c r="K17" s="96"/>
      <c r="L17" s="96" t="s">
        <v>886</v>
      </c>
      <c r="M17" s="89">
        <v>1728</v>
      </c>
      <c r="N17" s="87">
        <f t="shared" si="1"/>
        <v>0</v>
      </c>
      <c r="O17" s="96"/>
      <c r="P17" s="105"/>
    </row>
    <row r="18" spans="1:31" x14ac:dyDescent="0.35">
      <c r="E18" s="87"/>
      <c r="F18" s="87"/>
      <c r="I18" s="89"/>
      <c r="J18" s="87"/>
    </row>
    <row r="19" spans="1:31" x14ac:dyDescent="0.35">
      <c r="E19" s="87"/>
      <c r="F19" s="87"/>
      <c r="I19" s="89"/>
      <c r="J19" s="87"/>
    </row>
    <row r="20" spans="1:31" x14ac:dyDescent="0.35">
      <c r="E20" s="87"/>
      <c r="F20" s="87"/>
      <c r="I20" s="89"/>
      <c r="J20" s="87"/>
    </row>
    <row r="21" spans="1:31" x14ac:dyDescent="0.35">
      <c r="A21" s="84" t="s">
        <v>487</v>
      </c>
      <c r="G21" s="85"/>
      <c r="H21" s="87"/>
      <c r="K21" s="85"/>
      <c r="M21" s="94"/>
      <c r="N21" s="93"/>
      <c r="O21" s="85"/>
      <c r="Q21" s="94"/>
      <c r="R21" s="93"/>
      <c r="S21" s="85"/>
      <c r="U21" s="94"/>
      <c r="V21" s="93"/>
      <c r="W21" s="85"/>
      <c r="Y21" s="94"/>
      <c r="Z21" s="93"/>
      <c r="AA21" s="85"/>
      <c r="AC21" s="94"/>
      <c r="AD21" s="93"/>
      <c r="AE21" s="85"/>
    </row>
    <row r="22" spans="1:31" x14ac:dyDescent="0.35">
      <c r="E22" s="85" t="s">
        <v>484</v>
      </c>
      <c r="F22" s="93" t="s">
        <v>488</v>
      </c>
      <c r="G22" s="85" t="s">
        <v>489</v>
      </c>
      <c r="H22" s="87" t="s">
        <v>475</v>
      </c>
      <c r="I22" s="94" t="s">
        <v>484</v>
      </c>
      <c r="J22" s="93" t="s">
        <v>488</v>
      </c>
      <c r="K22" s="85" t="s">
        <v>489</v>
      </c>
      <c r="L22" s="87" t="s">
        <v>475</v>
      </c>
      <c r="M22" s="94" t="s">
        <v>484</v>
      </c>
      <c r="N22" s="93" t="s">
        <v>488</v>
      </c>
      <c r="O22" s="85" t="s">
        <v>489</v>
      </c>
      <c r="P22" s="87" t="s">
        <v>475</v>
      </c>
      <c r="Q22" s="94"/>
      <c r="R22" s="93"/>
      <c r="S22" s="85"/>
      <c r="U22" s="94"/>
      <c r="V22" s="93"/>
      <c r="W22" s="85"/>
      <c r="Y22" s="94"/>
      <c r="Z22" s="93"/>
      <c r="AA22" s="85"/>
      <c r="AC22" s="94"/>
      <c r="AD22" s="93"/>
      <c r="AE22" s="85"/>
    </row>
    <row r="23" spans="1:31" x14ac:dyDescent="0.35">
      <c r="A23" s="85"/>
      <c r="D23" s="85"/>
      <c r="E23" s="92">
        <v>5</v>
      </c>
      <c r="F23" s="97" t="s">
        <v>891</v>
      </c>
      <c r="G23" s="92" t="s">
        <v>62</v>
      </c>
      <c r="H23" s="90">
        <f>6.3+36.9+1.8+45.45+9+4.5+7.2+26.55+73.8+7.74+4.5+28.8+54+6.75+53.1+7.65+60.2+7.2+54.45+53.1+6.75+50.85+22.5+27.9+103.5+52.65+1.8+27.9+26.55+32.85+27.9+1.8+11.66+21.15+12.6+114.04</f>
        <v>1091.3899999999999</v>
      </c>
      <c r="I23" s="94">
        <v>5</v>
      </c>
      <c r="J23" s="93" t="s">
        <v>676</v>
      </c>
      <c r="K23" s="85" t="s">
        <v>892</v>
      </c>
      <c r="L23" s="87">
        <f>846*5+125.57</f>
        <v>4355.57</v>
      </c>
      <c r="M23" s="94">
        <v>1</v>
      </c>
      <c r="N23" s="93" t="s">
        <v>2885</v>
      </c>
      <c r="O23" s="85" t="s">
        <v>2884</v>
      </c>
      <c r="P23" s="87">
        <v>11270</v>
      </c>
      <c r="Q23" s="94"/>
      <c r="R23" s="93"/>
      <c r="S23" s="85"/>
      <c r="U23" s="94"/>
      <c r="V23" s="93"/>
      <c r="W23" s="85"/>
      <c r="Y23" s="94"/>
      <c r="Z23" s="93"/>
      <c r="AA23" s="85"/>
      <c r="AC23" s="94"/>
      <c r="AD23" s="93"/>
      <c r="AE23" s="85"/>
    </row>
    <row r="24" spans="1:31" x14ac:dyDescent="0.35">
      <c r="A24" s="85"/>
      <c r="D24" s="85"/>
      <c r="E24" s="92">
        <v>5</v>
      </c>
      <c r="F24" s="97" t="s">
        <v>891</v>
      </c>
      <c r="G24" s="92" t="s">
        <v>893</v>
      </c>
      <c r="H24" s="90">
        <f>57.6+86.32+14.4+14.4</f>
        <v>172.72</v>
      </c>
      <c r="I24" s="94">
        <v>5</v>
      </c>
      <c r="J24" s="93">
        <v>45019</v>
      </c>
      <c r="K24" s="85" t="s">
        <v>894</v>
      </c>
      <c r="L24" s="87">
        <v>36.76</v>
      </c>
      <c r="M24" s="94">
        <v>6</v>
      </c>
      <c r="N24" s="93" t="s">
        <v>2885</v>
      </c>
      <c r="O24" s="85" t="s">
        <v>2884</v>
      </c>
      <c r="P24" s="87">
        <f>-P23</f>
        <v>-11270</v>
      </c>
      <c r="Q24" s="94"/>
      <c r="R24" s="93"/>
      <c r="S24" s="85"/>
      <c r="U24" s="94"/>
      <c r="V24" s="93"/>
      <c r="W24" s="85"/>
      <c r="Y24" s="94"/>
      <c r="Z24" s="93"/>
      <c r="AA24" s="85"/>
      <c r="AC24" s="94"/>
      <c r="AD24" s="93"/>
      <c r="AE24" s="85"/>
    </row>
    <row r="25" spans="1:31" x14ac:dyDescent="0.35">
      <c r="A25" s="85"/>
      <c r="D25" s="85"/>
      <c r="E25" s="92">
        <v>5</v>
      </c>
      <c r="F25" s="97" t="s">
        <v>891</v>
      </c>
      <c r="G25" s="92" t="s">
        <v>895</v>
      </c>
      <c r="H25" s="90">
        <f>40.95+49.05+48.6+45.95+23.4+43.2</f>
        <v>251.15000000000003</v>
      </c>
      <c r="I25" s="94">
        <v>5</v>
      </c>
      <c r="J25" s="93">
        <v>45021</v>
      </c>
      <c r="K25" s="85" t="s">
        <v>896</v>
      </c>
      <c r="L25" s="87">
        <v>17</v>
      </c>
      <c r="M25" s="94">
        <v>1</v>
      </c>
      <c r="N25" s="93" t="s">
        <v>676</v>
      </c>
      <c r="O25" s="85" t="s">
        <v>2152</v>
      </c>
      <c r="P25" s="87">
        <v>5949.4</v>
      </c>
      <c r="Q25" s="94"/>
      <c r="R25" s="93"/>
      <c r="S25" s="85"/>
      <c r="U25" s="94"/>
      <c r="V25" s="93"/>
      <c r="W25" s="85"/>
      <c r="Y25" s="94"/>
      <c r="Z25" s="93"/>
      <c r="AA25" s="85"/>
      <c r="AC25" s="94"/>
      <c r="AD25" s="93"/>
      <c r="AE25" s="85"/>
    </row>
    <row r="26" spans="1:31" x14ac:dyDescent="0.35">
      <c r="A26" s="85"/>
      <c r="D26" s="85"/>
      <c r="E26" s="85">
        <v>4</v>
      </c>
      <c r="F26" s="93">
        <v>44662</v>
      </c>
      <c r="G26" s="85" t="s">
        <v>897</v>
      </c>
      <c r="H26" s="87">
        <v>56</v>
      </c>
      <c r="I26" s="94">
        <v>5</v>
      </c>
      <c r="J26" s="93">
        <v>45040</v>
      </c>
      <c r="K26" s="85" t="s">
        <v>896</v>
      </c>
      <c r="L26" s="87">
        <v>97.35</v>
      </c>
      <c r="M26" s="94">
        <v>1</v>
      </c>
      <c r="N26" s="93" t="s">
        <v>676</v>
      </c>
      <c r="O26" s="85" t="s">
        <v>2153</v>
      </c>
      <c r="P26" s="87">
        <v>800</v>
      </c>
      <c r="Q26" s="94"/>
      <c r="R26" s="93"/>
      <c r="S26" s="85"/>
      <c r="U26" s="94"/>
      <c r="V26" s="93"/>
      <c r="W26" s="85"/>
      <c r="Y26" s="94"/>
      <c r="Z26" s="93"/>
      <c r="AA26" s="85"/>
      <c r="AC26" s="94"/>
      <c r="AD26" s="93"/>
      <c r="AE26" s="85"/>
    </row>
    <row r="27" spans="1:31" x14ac:dyDescent="0.35">
      <c r="E27" s="92">
        <v>1</v>
      </c>
      <c r="F27" s="93">
        <v>44652</v>
      </c>
      <c r="G27" s="85" t="s">
        <v>898</v>
      </c>
      <c r="H27" s="87">
        <v>546.20000000000005</v>
      </c>
      <c r="I27" s="94">
        <v>5</v>
      </c>
      <c r="J27" s="93">
        <v>45040</v>
      </c>
      <c r="K27" s="85" t="s">
        <v>899</v>
      </c>
      <c r="L27" s="87">
        <v>2.16</v>
      </c>
      <c r="M27" s="94">
        <v>6</v>
      </c>
      <c r="N27" s="93" t="s">
        <v>790</v>
      </c>
      <c r="O27" s="85" t="s">
        <v>2886</v>
      </c>
      <c r="P27" s="87">
        <f>25000*7/12+25000*5/12*1.085-SUMIF(M28:M505,6,P28:P505)</f>
        <v>18346.916666666664</v>
      </c>
      <c r="Q27" s="94"/>
      <c r="R27" s="93"/>
      <c r="S27" s="85"/>
      <c r="U27" s="94"/>
      <c r="V27" s="93"/>
      <c r="W27" s="85"/>
      <c r="Y27" s="94"/>
      <c r="Z27" s="93"/>
      <c r="AA27" s="85"/>
      <c r="AC27" s="94"/>
      <c r="AD27" s="93"/>
      <c r="AE27" s="85"/>
    </row>
    <row r="28" spans="1:31" x14ac:dyDescent="0.35">
      <c r="E28" s="85">
        <v>3</v>
      </c>
      <c r="F28" s="93">
        <v>44673</v>
      </c>
      <c r="G28" s="85" t="s">
        <v>900</v>
      </c>
      <c r="H28" s="87">
        <f>20.8+13.2</f>
        <v>34</v>
      </c>
      <c r="I28" s="94">
        <v>5</v>
      </c>
      <c r="J28" s="93">
        <v>45055</v>
      </c>
      <c r="K28" s="85" t="s">
        <v>896</v>
      </c>
      <c r="L28" s="87">
        <v>17</v>
      </c>
      <c r="M28" s="94">
        <v>6</v>
      </c>
      <c r="N28" s="93">
        <v>45397</v>
      </c>
      <c r="O28" s="85" t="s">
        <v>2843</v>
      </c>
      <c r="P28" s="148">
        <v>1622.5</v>
      </c>
      <c r="Q28" s="94"/>
      <c r="R28" s="93"/>
      <c r="S28" s="85"/>
      <c r="U28" s="94"/>
      <c r="V28" s="93"/>
      <c r="W28" s="85"/>
      <c r="Y28" s="94"/>
      <c r="Z28" s="93"/>
      <c r="AA28" s="85"/>
      <c r="AC28" s="94"/>
      <c r="AD28" s="93"/>
      <c r="AE28" s="85"/>
    </row>
    <row r="29" spans="1:31" x14ac:dyDescent="0.35">
      <c r="E29" s="85">
        <v>3</v>
      </c>
      <c r="F29" s="93">
        <v>44762</v>
      </c>
      <c r="G29" s="85" t="s">
        <v>901</v>
      </c>
      <c r="H29" s="87">
        <f>71.5+143</f>
        <v>214.5</v>
      </c>
      <c r="I29" s="94">
        <v>5</v>
      </c>
      <c r="J29" s="93">
        <v>45061</v>
      </c>
      <c r="K29" s="85" t="s">
        <v>896</v>
      </c>
      <c r="L29" s="87">
        <v>83.33</v>
      </c>
      <c r="M29" s="94">
        <v>8</v>
      </c>
      <c r="N29" s="93">
        <v>45412</v>
      </c>
      <c r="O29" s="85" t="s">
        <v>2480</v>
      </c>
      <c r="P29" s="148">
        <v>361.5</v>
      </c>
      <c r="Q29" s="94"/>
      <c r="R29" s="93"/>
      <c r="S29" s="85"/>
      <c r="U29" s="94"/>
      <c r="V29" s="93"/>
      <c r="W29" s="85"/>
      <c r="Y29" s="94"/>
      <c r="Z29" s="93"/>
      <c r="AA29" s="85"/>
      <c r="AC29" s="94"/>
      <c r="AD29" s="93"/>
      <c r="AE29" s="85"/>
    </row>
    <row r="30" spans="1:31" x14ac:dyDescent="0.35">
      <c r="E30" s="85">
        <v>3</v>
      </c>
      <c r="F30" s="93">
        <v>44793</v>
      </c>
      <c r="G30" s="85" t="s">
        <v>902</v>
      </c>
      <c r="H30" s="87">
        <v>379</v>
      </c>
      <c r="I30" s="94">
        <v>5</v>
      </c>
      <c r="J30" s="93">
        <v>45061</v>
      </c>
      <c r="K30" s="85" t="s">
        <v>899</v>
      </c>
      <c r="L30" s="87">
        <v>9.23</v>
      </c>
      <c r="M30" s="94">
        <v>8</v>
      </c>
      <c r="N30" s="93">
        <v>45412</v>
      </c>
      <c r="O30" s="85" t="s">
        <v>2480</v>
      </c>
      <c r="P30" s="148">
        <v>85</v>
      </c>
      <c r="Q30" s="94"/>
      <c r="R30" s="93"/>
      <c r="S30" s="85"/>
      <c r="U30" s="94"/>
      <c r="V30" s="93"/>
      <c r="W30" s="85"/>
      <c r="Y30" s="94"/>
      <c r="Z30" s="93"/>
      <c r="AA30" s="85"/>
      <c r="AC30" s="94"/>
      <c r="AD30" s="93"/>
      <c r="AE30" s="85"/>
    </row>
    <row r="31" spans="1:31" x14ac:dyDescent="0.35">
      <c r="E31" s="85">
        <v>3</v>
      </c>
      <c r="F31" s="93">
        <v>44784</v>
      </c>
      <c r="G31" s="85" t="s">
        <v>903</v>
      </c>
      <c r="H31" s="87">
        <v>510</v>
      </c>
      <c r="I31" s="94">
        <v>5</v>
      </c>
      <c r="J31" s="93">
        <v>45061</v>
      </c>
      <c r="K31" s="85" t="s">
        <v>904</v>
      </c>
      <c r="L31" s="87">
        <v>6.86</v>
      </c>
      <c r="M31" s="94">
        <v>8</v>
      </c>
      <c r="N31" s="93">
        <v>45422</v>
      </c>
      <c r="O31" s="85" t="s">
        <v>908</v>
      </c>
      <c r="P31" s="148">
        <v>649.5</v>
      </c>
      <c r="Q31" s="94"/>
      <c r="R31" s="93"/>
      <c r="S31" s="85"/>
      <c r="U31" s="94"/>
      <c r="V31" s="93"/>
      <c r="W31" s="85"/>
      <c r="Y31" s="94"/>
      <c r="Z31" s="93"/>
      <c r="AA31" s="85"/>
      <c r="AC31" s="94"/>
      <c r="AD31" s="93"/>
      <c r="AE31" s="85"/>
    </row>
    <row r="32" spans="1:31" x14ac:dyDescent="0.35">
      <c r="F32" s="93" t="s">
        <v>819</v>
      </c>
      <c r="G32" s="85" t="s">
        <v>905</v>
      </c>
      <c r="H32" s="87">
        <f>4250-H40-H41-H42-H45</f>
        <v>2444.5499999999997</v>
      </c>
      <c r="I32" s="94">
        <v>8</v>
      </c>
      <c r="J32" s="93">
        <v>45044</v>
      </c>
      <c r="K32" s="85" t="s">
        <v>906</v>
      </c>
      <c r="L32" s="87">
        <v>526</v>
      </c>
      <c r="M32" s="94">
        <v>8</v>
      </c>
      <c r="N32" s="93">
        <v>45428</v>
      </c>
      <c r="O32" s="85" t="s">
        <v>2480</v>
      </c>
      <c r="P32" s="148">
        <v>299.25</v>
      </c>
      <c r="Q32" s="94"/>
      <c r="R32" s="93"/>
      <c r="S32" s="85"/>
      <c r="U32" s="94"/>
      <c r="V32" s="93"/>
      <c r="W32" s="85"/>
      <c r="Y32" s="94"/>
      <c r="Z32" s="93"/>
      <c r="AA32" s="85"/>
      <c r="AC32" s="94"/>
      <c r="AD32" s="93"/>
      <c r="AE32" s="85"/>
    </row>
    <row r="33" spans="5:31" x14ac:dyDescent="0.35">
      <c r="E33" s="85">
        <v>3</v>
      </c>
      <c r="F33" s="93">
        <v>44876</v>
      </c>
      <c r="G33" s="85" t="s">
        <v>907</v>
      </c>
      <c r="H33" s="87">
        <v>143</v>
      </c>
      <c r="I33" s="94">
        <v>8</v>
      </c>
      <c r="J33" s="93">
        <v>45071</v>
      </c>
      <c r="K33" s="85" t="s">
        <v>908</v>
      </c>
      <c r="L33" s="87">
        <v>146</v>
      </c>
      <c r="M33" s="94">
        <v>6</v>
      </c>
      <c r="N33" s="93">
        <v>45435</v>
      </c>
      <c r="O33" s="85" t="s">
        <v>2899</v>
      </c>
      <c r="P33" s="148">
        <v>1304</v>
      </c>
      <c r="Q33" s="94"/>
      <c r="R33" s="93"/>
      <c r="S33" s="85"/>
      <c r="U33" s="94"/>
      <c r="V33" s="93"/>
      <c r="W33" s="85"/>
      <c r="Y33" s="94"/>
      <c r="Z33" s="93"/>
      <c r="AA33" s="85"/>
      <c r="AC33" s="94"/>
      <c r="AD33" s="93"/>
      <c r="AE33" s="85"/>
    </row>
    <row r="34" spans="5:31" x14ac:dyDescent="0.35">
      <c r="E34" s="92">
        <v>1</v>
      </c>
      <c r="F34" s="93">
        <v>44896</v>
      </c>
      <c r="G34" s="85" t="s">
        <v>909</v>
      </c>
      <c r="H34" s="87">
        <v>2201.5</v>
      </c>
      <c r="I34" s="94">
        <v>5</v>
      </c>
      <c r="J34" s="93">
        <v>45072</v>
      </c>
      <c r="K34" s="85" t="s">
        <v>904</v>
      </c>
      <c r="L34" s="87">
        <f>15.2+6.5+6.5+0.73</f>
        <v>28.93</v>
      </c>
      <c r="M34" s="94">
        <v>6</v>
      </c>
      <c r="N34" s="93">
        <v>45443</v>
      </c>
      <c r="O34" s="85" t="s">
        <v>2899</v>
      </c>
      <c r="P34" s="148">
        <v>643</v>
      </c>
      <c r="Q34" s="94"/>
      <c r="R34" s="93"/>
      <c r="S34" s="85"/>
      <c r="U34" s="94"/>
      <c r="V34" s="93"/>
      <c r="W34" s="85"/>
      <c r="Y34" s="94"/>
      <c r="Z34" s="93"/>
      <c r="AA34" s="85"/>
      <c r="AC34" s="94"/>
      <c r="AD34" s="93"/>
      <c r="AE34" s="85"/>
    </row>
    <row r="35" spans="5:31" x14ac:dyDescent="0.35">
      <c r="E35" s="85">
        <v>3</v>
      </c>
      <c r="F35" s="93">
        <v>44873</v>
      </c>
      <c r="G35" s="85" t="s">
        <v>910</v>
      </c>
      <c r="H35" s="87">
        <v>400.48</v>
      </c>
      <c r="I35" s="94">
        <v>5</v>
      </c>
      <c r="J35" s="93">
        <v>45072</v>
      </c>
      <c r="K35" s="85" t="s">
        <v>911</v>
      </c>
      <c r="L35" s="87">
        <v>14.76</v>
      </c>
      <c r="M35" s="94">
        <v>8</v>
      </c>
      <c r="N35" s="93">
        <v>45436</v>
      </c>
      <c r="O35" s="85" t="s">
        <v>2900</v>
      </c>
      <c r="P35" s="148">
        <v>2294.5</v>
      </c>
      <c r="Q35" s="94"/>
      <c r="R35" s="93"/>
      <c r="S35" s="85"/>
      <c r="U35" s="94"/>
      <c r="V35" s="93"/>
      <c r="W35" s="85"/>
      <c r="Y35" s="94"/>
      <c r="Z35" s="93"/>
      <c r="AA35" s="85"/>
      <c r="AC35" s="94"/>
      <c r="AD35" s="93"/>
      <c r="AE35" s="85"/>
    </row>
    <row r="36" spans="5:31" x14ac:dyDescent="0.35">
      <c r="E36" s="85">
        <v>1</v>
      </c>
      <c r="F36" s="93">
        <v>44896</v>
      </c>
      <c r="G36" s="85" t="s">
        <v>912</v>
      </c>
      <c r="H36" s="87">
        <f>3627.62-H34</f>
        <v>1426.12</v>
      </c>
      <c r="I36" s="94">
        <v>5</v>
      </c>
      <c r="J36" s="93">
        <v>45072</v>
      </c>
      <c r="K36" s="85" t="s">
        <v>899</v>
      </c>
      <c r="L36" s="87">
        <v>0.74</v>
      </c>
      <c r="M36" s="94">
        <v>8</v>
      </c>
      <c r="N36" s="93">
        <v>45443</v>
      </c>
      <c r="O36" s="85" t="s">
        <v>2901</v>
      </c>
      <c r="P36" s="148">
        <v>530.26</v>
      </c>
      <c r="Q36" s="94"/>
      <c r="R36" s="93"/>
      <c r="S36" s="85"/>
      <c r="U36" s="94"/>
      <c r="V36" s="93"/>
      <c r="W36" s="85"/>
      <c r="Y36" s="94"/>
      <c r="Z36" s="93"/>
      <c r="AA36" s="85"/>
      <c r="AC36" s="94"/>
      <c r="AD36" s="93"/>
      <c r="AE36" s="85"/>
    </row>
    <row r="37" spans="5:31" x14ac:dyDescent="0.35">
      <c r="E37" s="85">
        <v>3</v>
      </c>
      <c r="F37" s="93">
        <v>44896</v>
      </c>
      <c r="G37" s="85" t="s">
        <v>912</v>
      </c>
      <c r="H37" s="87">
        <v>9762.82</v>
      </c>
      <c r="I37" s="94">
        <v>9</v>
      </c>
      <c r="J37" s="93">
        <v>45082</v>
      </c>
      <c r="K37" s="85" t="s">
        <v>914</v>
      </c>
      <c r="L37" s="87">
        <v>710</v>
      </c>
      <c r="M37" s="94">
        <v>8</v>
      </c>
      <c r="N37" s="93">
        <v>45443</v>
      </c>
      <c r="O37" s="85" t="s">
        <v>2901</v>
      </c>
      <c r="P37" s="148">
        <v>85</v>
      </c>
      <c r="Q37" s="94"/>
      <c r="R37" s="93"/>
      <c r="S37" s="85"/>
      <c r="U37" s="94"/>
      <c r="V37" s="93"/>
      <c r="W37" s="85"/>
      <c r="Y37" s="94"/>
      <c r="Z37" s="93"/>
      <c r="AA37" s="85"/>
      <c r="AC37" s="94"/>
      <c r="AD37" s="93"/>
      <c r="AE37" s="85"/>
    </row>
    <row r="38" spans="5:31" x14ac:dyDescent="0.35">
      <c r="E38" s="85">
        <v>3</v>
      </c>
      <c r="F38" s="93">
        <v>44958</v>
      </c>
      <c r="G38" s="85" t="s">
        <v>913</v>
      </c>
      <c r="H38" s="87">
        <v>510</v>
      </c>
      <c r="I38" s="94">
        <v>5</v>
      </c>
      <c r="J38" s="93">
        <v>45061</v>
      </c>
      <c r="K38" s="85" t="s">
        <v>896</v>
      </c>
      <c r="L38" s="87">
        <v>85.24</v>
      </c>
      <c r="M38" s="94">
        <v>3</v>
      </c>
      <c r="N38" s="93">
        <v>45401</v>
      </c>
      <c r="O38" s="85" t="s">
        <v>2927</v>
      </c>
      <c r="P38" s="148">
        <v>57.68</v>
      </c>
      <c r="Q38" s="94"/>
      <c r="R38" s="93"/>
      <c r="S38" s="85"/>
      <c r="U38" s="94"/>
      <c r="V38" s="93"/>
      <c r="W38" s="85"/>
      <c r="Y38" s="94"/>
      <c r="Z38" s="93"/>
      <c r="AA38" s="85"/>
      <c r="AC38" s="94"/>
      <c r="AD38" s="93"/>
      <c r="AE38" s="85"/>
    </row>
    <row r="39" spans="5:31" x14ac:dyDescent="0.35">
      <c r="E39" s="85">
        <v>1</v>
      </c>
      <c r="F39" s="93">
        <v>44987</v>
      </c>
      <c r="G39" s="85" t="s">
        <v>915</v>
      </c>
      <c r="H39" s="87">
        <v>10000</v>
      </c>
      <c r="I39" s="94">
        <v>8</v>
      </c>
      <c r="J39" s="93">
        <v>45086</v>
      </c>
      <c r="K39" s="85" t="s">
        <v>917</v>
      </c>
      <c r="L39" s="87">
        <v>390</v>
      </c>
      <c r="M39" s="94">
        <v>5</v>
      </c>
      <c r="N39" s="93">
        <v>45390</v>
      </c>
      <c r="O39" s="85" t="s">
        <v>3120</v>
      </c>
      <c r="P39" s="148">
        <v>12.61</v>
      </c>
      <c r="Q39" s="94"/>
      <c r="R39" s="93"/>
      <c r="S39" s="85"/>
      <c r="U39" s="94"/>
      <c r="V39" s="93"/>
      <c r="W39" s="85"/>
      <c r="Y39" s="94"/>
      <c r="Z39" s="93"/>
      <c r="AA39" s="85"/>
      <c r="AC39" s="94"/>
      <c r="AD39" s="93"/>
      <c r="AE39" s="85"/>
    </row>
    <row r="40" spans="5:31" x14ac:dyDescent="0.35">
      <c r="E40" s="92">
        <v>1</v>
      </c>
      <c r="F40" s="93">
        <v>44929</v>
      </c>
      <c r="G40" s="85" t="s">
        <v>916</v>
      </c>
      <c r="H40" s="87">
        <v>174.79</v>
      </c>
      <c r="I40" s="94">
        <v>5</v>
      </c>
      <c r="J40" s="93">
        <v>45061</v>
      </c>
      <c r="K40" s="85" t="s">
        <v>896</v>
      </c>
      <c r="L40" s="87">
        <v>31.59</v>
      </c>
      <c r="M40" s="94">
        <v>5</v>
      </c>
      <c r="N40" s="93">
        <v>45390</v>
      </c>
      <c r="O40" s="85" t="s">
        <v>3120</v>
      </c>
      <c r="P40" s="148">
        <v>34.5</v>
      </c>
      <c r="Q40" s="94"/>
      <c r="R40" s="93"/>
      <c r="S40" s="85"/>
      <c r="U40" s="94"/>
      <c r="V40" s="93"/>
      <c r="W40" s="85"/>
      <c r="Y40" s="94"/>
      <c r="Z40" s="93"/>
      <c r="AA40" s="85"/>
      <c r="AC40" s="94"/>
      <c r="AD40" s="93"/>
      <c r="AE40" s="85"/>
    </row>
    <row r="41" spans="5:31" x14ac:dyDescent="0.35">
      <c r="E41" s="92">
        <v>1</v>
      </c>
      <c r="F41" s="93">
        <v>44938</v>
      </c>
      <c r="G41" s="85" t="s">
        <v>918</v>
      </c>
      <c r="H41" s="87">
        <f>475.68+198.43</f>
        <v>674.11</v>
      </c>
      <c r="I41" s="94">
        <v>5</v>
      </c>
      <c r="J41" s="93">
        <v>45096</v>
      </c>
      <c r="K41" s="85" t="s">
        <v>899</v>
      </c>
      <c r="L41" s="87">
        <v>2.95</v>
      </c>
      <c r="M41" s="94">
        <v>5</v>
      </c>
      <c r="N41" s="93">
        <v>45397</v>
      </c>
      <c r="O41" s="85" t="s">
        <v>2290</v>
      </c>
      <c r="P41" s="148">
        <v>202.86</v>
      </c>
      <c r="Q41" s="94"/>
      <c r="R41" s="93"/>
      <c r="S41" s="85"/>
      <c r="U41" s="94"/>
      <c r="V41" s="93"/>
      <c r="W41" s="85"/>
      <c r="Y41" s="94"/>
      <c r="Z41" s="93"/>
      <c r="AA41" s="85"/>
      <c r="AC41" s="94"/>
      <c r="AD41" s="93"/>
      <c r="AE41" s="85"/>
    </row>
    <row r="42" spans="5:31" x14ac:dyDescent="0.35">
      <c r="E42" s="92">
        <v>1</v>
      </c>
      <c r="F42" s="93">
        <v>44949</v>
      </c>
      <c r="G42" s="85" t="s">
        <v>919</v>
      </c>
      <c r="H42" s="87">
        <f>26.84+16.96</f>
        <v>43.8</v>
      </c>
      <c r="I42" s="94">
        <v>5</v>
      </c>
      <c r="J42" s="93">
        <v>45058</v>
      </c>
      <c r="K42" s="85" t="s">
        <v>920</v>
      </c>
      <c r="L42" s="87">
        <v>102.3</v>
      </c>
      <c r="M42" s="94">
        <v>5</v>
      </c>
      <c r="N42" s="93">
        <v>45404</v>
      </c>
      <c r="O42" s="85" t="s">
        <v>2290</v>
      </c>
      <c r="P42" s="148">
        <v>39.380000000000003</v>
      </c>
      <c r="Q42" s="94"/>
      <c r="R42" s="93"/>
      <c r="S42" s="85"/>
      <c r="U42" s="94"/>
      <c r="V42" s="93"/>
      <c r="W42" s="85"/>
      <c r="Y42" s="94"/>
      <c r="Z42" s="93"/>
      <c r="AA42" s="85"/>
      <c r="AC42" s="94"/>
      <c r="AD42" s="93"/>
      <c r="AE42" s="85"/>
    </row>
    <row r="43" spans="5:31" x14ac:dyDescent="0.35">
      <c r="E43" s="92">
        <v>3</v>
      </c>
      <c r="F43" s="93">
        <v>44935</v>
      </c>
      <c r="G43" s="85" t="s">
        <v>902</v>
      </c>
      <c r="H43" s="87">
        <v>108</v>
      </c>
      <c r="I43" s="94">
        <v>5</v>
      </c>
      <c r="J43" s="93">
        <v>45064</v>
      </c>
      <c r="K43" s="85" t="s">
        <v>920</v>
      </c>
      <c r="L43" s="87">
        <v>65.5</v>
      </c>
      <c r="M43" s="94">
        <v>5</v>
      </c>
      <c r="N43" s="93">
        <v>45419</v>
      </c>
      <c r="O43" s="85" t="s">
        <v>2290</v>
      </c>
      <c r="P43" s="148">
        <v>253.9</v>
      </c>
      <c r="Q43" s="94"/>
      <c r="R43" s="93"/>
      <c r="S43" s="85"/>
      <c r="U43" s="94"/>
      <c r="V43" s="93"/>
      <c r="W43" s="85"/>
      <c r="Y43" s="94"/>
      <c r="Z43" s="93"/>
      <c r="AA43" s="85"/>
      <c r="AC43" s="94"/>
      <c r="AD43" s="93"/>
      <c r="AE43" s="85"/>
    </row>
    <row r="44" spans="5:31" x14ac:dyDescent="0.35">
      <c r="E44" s="92">
        <v>3</v>
      </c>
      <c r="F44" s="93">
        <v>44958</v>
      </c>
      <c r="G44" s="85" t="s">
        <v>921</v>
      </c>
      <c r="H44" s="87">
        <v>2375</v>
      </c>
      <c r="I44" s="94">
        <v>8</v>
      </c>
      <c r="J44" s="93">
        <v>45105</v>
      </c>
      <c r="K44" s="85" t="s">
        <v>906</v>
      </c>
      <c r="L44" s="87">
        <v>284</v>
      </c>
      <c r="M44" s="94">
        <v>5</v>
      </c>
      <c r="N44" s="93">
        <v>45425</v>
      </c>
      <c r="O44" s="85" t="s">
        <v>2290</v>
      </c>
      <c r="P44" s="148">
        <v>176.18</v>
      </c>
      <c r="Q44" s="94"/>
      <c r="R44" s="93"/>
      <c r="S44" s="85"/>
      <c r="U44" s="94"/>
      <c r="V44" s="93"/>
      <c r="W44" s="85"/>
      <c r="Y44" s="94"/>
      <c r="Z44" s="93"/>
      <c r="AA44" s="85"/>
      <c r="AC44" s="94"/>
      <c r="AD44" s="93"/>
      <c r="AE44" s="85"/>
    </row>
    <row r="45" spans="5:31" x14ac:dyDescent="0.35">
      <c r="E45" s="92">
        <v>3</v>
      </c>
      <c r="F45" s="93">
        <v>44958</v>
      </c>
      <c r="G45" s="85" t="s">
        <v>922</v>
      </c>
      <c r="H45" s="87">
        <f>182.55*5</f>
        <v>912.75</v>
      </c>
      <c r="I45" s="94">
        <v>5</v>
      </c>
      <c r="J45" s="93">
        <v>45110</v>
      </c>
      <c r="K45" s="85" t="s">
        <v>896</v>
      </c>
      <c r="L45" s="87">
        <v>75.95</v>
      </c>
      <c r="M45" s="94">
        <v>5</v>
      </c>
      <c r="N45" s="93">
        <v>45419</v>
      </c>
      <c r="O45" s="85" t="s">
        <v>2290</v>
      </c>
      <c r="P45" s="148">
        <v>304.27</v>
      </c>
      <c r="Q45" s="94"/>
      <c r="R45" s="93"/>
      <c r="S45" s="85"/>
      <c r="U45" s="94"/>
      <c r="V45" s="93"/>
      <c r="W45" s="85"/>
      <c r="Y45" s="94"/>
      <c r="Z45" s="93"/>
      <c r="AA45" s="85"/>
      <c r="AC45" s="94"/>
      <c r="AD45" s="93"/>
      <c r="AE45" s="85"/>
    </row>
    <row r="46" spans="5:31" x14ac:dyDescent="0.35">
      <c r="E46" s="92">
        <v>5</v>
      </c>
      <c r="F46" s="93">
        <v>44959</v>
      </c>
      <c r="G46" s="85" t="s">
        <v>923</v>
      </c>
      <c r="H46" s="87">
        <v>12.6</v>
      </c>
      <c r="I46" s="94">
        <v>5</v>
      </c>
      <c r="J46" s="93">
        <v>45111</v>
      </c>
      <c r="K46" s="85" t="s">
        <v>925</v>
      </c>
      <c r="L46" s="87">
        <v>25</v>
      </c>
      <c r="M46" s="94">
        <v>5</v>
      </c>
      <c r="N46" s="93">
        <v>45419</v>
      </c>
      <c r="O46" s="85" t="s">
        <v>2291</v>
      </c>
      <c r="P46" s="148">
        <v>15.3</v>
      </c>
      <c r="Q46" s="94"/>
      <c r="R46" s="93"/>
      <c r="S46" s="85"/>
      <c r="U46" s="94"/>
      <c r="V46" s="93"/>
      <c r="W46" s="85"/>
      <c r="Y46" s="94"/>
      <c r="Z46" s="93"/>
      <c r="AA46" s="85"/>
      <c r="AC46" s="94"/>
      <c r="AD46" s="93"/>
      <c r="AE46" s="85"/>
    </row>
    <row r="47" spans="5:31" x14ac:dyDescent="0.35">
      <c r="E47" s="92">
        <v>1</v>
      </c>
      <c r="F47" s="93">
        <v>44960</v>
      </c>
      <c r="G47" s="85" t="s">
        <v>924</v>
      </c>
      <c r="H47" s="87">
        <v>14.63</v>
      </c>
      <c r="I47" s="94">
        <v>5</v>
      </c>
      <c r="J47" s="93">
        <v>45112</v>
      </c>
      <c r="K47" s="85" t="s">
        <v>911</v>
      </c>
      <c r="L47" s="87">
        <v>31</v>
      </c>
      <c r="M47" s="94">
        <v>5</v>
      </c>
      <c r="N47" s="93">
        <v>45419</v>
      </c>
      <c r="O47" s="85" t="s">
        <v>911</v>
      </c>
      <c r="P47" s="148">
        <v>38.369999999999997</v>
      </c>
      <c r="Q47" s="94"/>
      <c r="R47" s="93"/>
      <c r="S47" s="85"/>
      <c r="U47" s="94"/>
      <c r="V47" s="93"/>
      <c r="W47" s="85"/>
      <c r="Y47" s="94"/>
      <c r="Z47" s="93"/>
      <c r="AA47" s="85"/>
      <c r="AC47" s="94"/>
      <c r="AD47" s="93"/>
      <c r="AE47" s="85"/>
    </row>
    <row r="48" spans="5:31" x14ac:dyDescent="0.35">
      <c r="E48" s="92">
        <v>5</v>
      </c>
      <c r="F48" s="93">
        <v>44960</v>
      </c>
      <c r="G48" s="85" t="s">
        <v>926</v>
      </c>
      <c r="H48" s="87">
        <f>4.5+1.35</f>
        <v>5.85</v>
      </c>
      <c r="I48" s="94">
        <v>3</v>
      </c>
      <c r="J48" s="93">
        <v>45126</v>
      </c>
      <c r="K48" s="85" t="s">
        <v>927</v>
      </c>
      <c r="L48" s="87">
        <v>199.43</v>
      </c>
      <c r="M48" s="94">
        <v>5</v>
      </c>
      <c r="N48" s="93">
        <v>45429</v>
      </c>
      <c r="O48" s="85" t="s">
        <v>899</v>
      </c>
      <c r="P48" s="148">
        <v>2.58</v>
      </c>
      <c r="Q48" s="94"/>
      <c r="R48" s="93"/>
      <c r="S48" s="85"/>
      <c r="U48" s="94"/>
      <c r="V48" s="93"/>
      <c r="W48" s="85"/>
      <c r="Y48" s="94"/>
      <c r="Z48" s="93"/>
      <c r="AA48" s="85"/>
      <c r="AC48" s="94"/>
      <c r="AD48" s="93"/>
      <c r="AE48" s="85"/>
    </row>
    <row r="49" spans="5:31" x14ac:dyDescent="0.35">
      <c r="E49" s="92">
        <v>5</v>
      </c>
      <c r="F49" s="93">
        <v>44970</v>
      </c>
      <c r="G49" s="85" t="s">
        <v>893</v>
      </c>
      <c r="H49" s="87">
        <v>20.399999999999999</v>
      </c>
      <c r="I49" s="94">
        <v>3</v>
      </c>
      <c r="J49" s="93">
        <v>45126</v>
      </c>
      <c r="K49" s="85" t="s">
        <v>927</v>
      </c>
      <c r="L49" s="87">
        <v>10.67</v>
      </c>
      <c r="M49" s="94">
        <v>5</v>
      </c>
      <c r="N49" s="93">
        <v>45432</v>
      </c>
      <c r="O49" s="85" t="s">
        <v>2290</v>
      </c>
      <c r="P49" s="148">
        <v>304</v>
      </c>
      <c r="Q49" s="94"/>
      <c r="R49" s="93"/>
      <c r="S49" s="85"/>
      <c r="U49" s="94"/>
      <c r="V49" s="93"/>
      <c r="W49" s="85"/>
      <c r="Y49" s="94"/>
      <c r="Z49" s="93"/>
      <c r="AA49" s="85"/>
      <c r="AC49" s="94"/>
      <c r="AD49" s="93"/>
      <c r="AE49" s="85"/>
    </row>
    <row r="50" spans="5:31" x14ac:dyDescent="0.35">
      <c r="E50" s="92">
        <v>5</v>
      </c>
      <c r="F50" s="93">
        <v>44977</v>
      </c>
      <c r="G50" s="85" t="s">
        <v>893</v>
      </c>
      <c r="H50" s="87">
        <v>78.94</v>
      </c>
      <c r="I50" s="94">
        <v>8</v>
      </c>
      <c r="J50" s="93">
        <v>45120</v>
      </c>
      <c r="K50" s="85" t="s">
        <v>908</v>
      </c>
      <c r="L50" s="87">
        <v>146</v>
      </c>
      <c r="M50" s="94">
        <v>5</v>
      </c>
      <c r="N50" s="93">
        <v>45440</v>
      </c>
      <c r="O50" s="85" t="s">
        <v>2290</v>
      </c>
      <c r="P50" s="148">
        <v>121.89</v>
      </c>
      <c r="Q50" s="94"/>
      <c r="R50" s="93"/>
      <c r="S50" s="85"/>
      <c r="U50" s="94"/>
      <c r="V50" s="93"/>
      <c r="W50" s="85"/>
      <c r="Y50" s="94"/>
      <c r="Z50" s="93"/>
      <c r="AA50" s="85"/>
      <c r="AC50" s="94"/>
      <c r="AD50" s="93"/>
      <c r="AE50" s="85"/>
    </row>
    <row r="51" spans="5:31" x14ac:dyDescent="0.35">
      <c r="E51" s="92">
        <v>5</v>
      </c>
      <c r="F51" s="93">
        <v>44984</v>
      </c>
      <c r="G51" s="85" t="s">
        <v>928</v>
      </c>
      <c r="H51" s="87">
        <v>1.8</v>
      </c>
      <c r="I51" s="94">
        <v>3</v>
      </c>
      <c r="J51" s="93">
        <v>45126</v>
      </c>
      <c r="K51" s="85" t="s">
        <v>927</v>
      </c>
      <c r="L51" s="87">
        <v>8.5500000000000007</v>
      </c>
      <c r="M51" s="94">
        <v>5</v>
      </c>
      <c r="N51" s="93">
        <v>45440</v>
      </c>
      <c r="O51" s="85" t="s">
        <v>911</v>
      </c>
      <c r="P51" s="148">
        <v>83.39</v>
      </c>
      <c r="Q51" s="94"/>
      <c r="R51" s="93"/>
      <c r="S51" s="85"/>
      <c r="U51" s="94"/>
      <c r="V51" s="93"/>
      <c r="W51" s="85"/>
      <c r="Y51" s="94"/>
      <c r="Z51" s="93"/>
      <c r="AA51" s="85"/>
      <c r="AC51" s="94"/>
      <c r="AD51" s="93"/>
      <c r="AE51" s="85"/>
    </row>
    <row r="52" spans="5:31" x14ac:dyDescent="0.35">
      <c r="E52" s="92">
        <v>1</v>
      </c>
      <c r="F52" s="93">
        <v>44984</v>
      </c>
      <c r="G52" s="85" t="s">
        <v>929</v>
      </c>
      <c r="H52" s="87">
        <v>16.64</v>
      </c>
      <c r="I52" s="94">
        <v>5</v>
      </c>
      <c r="J52" s="93">
        <v>45117</v>
      </c>
      <c r="K52" s="85" t="s">
        <v>896</v>
      </c>
      <c r="L52" s="87">
        <v>90.35</v>
      </c>
      <c r="M52" s="94">
        <v>5</v>
      </c>
      <c r="N52" s="93">
        <v>45440</v>
      </c>
      <c r="O52" s="85" t="s">
        <v>2290</v>
      </c>
      <c r="P52" s="148">
        <v>41.73</v>
      </c>
      <c r="Q52" s="94"/>
      <c r="R52" s="93"/>
      <c r="S52" s="85"/>
      <c r="U52" s="94"/>
      <c r="V52" s="93"/>
      <c r="W52" s="85"/>
      <c r="Y52" s="94"/>
      <c r="Z52" s="93"/>
      <c r="AA52" s="85"/>
      <c r="AC52" s="94"/>
      <c r="AD52" s="93"/>
      <c r="AE52" s="85"/>
    </row>
    <row r="53" spans="5:31" x14ac:dyDescent="0.35">
      <c r="E53" s="92">
        <v>5</v>
      </c>
      <c r="F53" s="93">
        <v>44993</v>
      </c>
      <c r="G53" s="85" t="s">
        <v>924</v>
      </c>
      <c r="H53" s="87">
        <v>4.95</v>
      </c>
      <c r="I53" s="94">
        <v>5</v>
      </c>
      <c r="J53" s="93">
        <v>45131</v>
      </c>
      <c r="K53" s="85" t="s">
        <v>896</v>
      </c>
      <c r="L53" s="87">
        <v>42.56</v>
      </c>
      <c r="M53" s="94">
        <v>8</v>
      </c>
      <c r="N53" s="93">
        <v>45456</v>
      </c>
      <c r="O53" s="85" t="s">
        <v>2480</v>
      </c>
      <c r="P53" s="148">
        <v>299.25</v>
      </c>
      <c r="Q53" s="94"/>
      <c r="R53" s="93"/>
      <c r="S53" s="85"/>
      <c r="U53" s="94"/>
      <c r="V53" s="93"/>
      <c r="W53" s="85"/>
      <c r="Y53" s="94"/>
      <c r="Z53" s="93"/>
      <c r="AA53" s="85"/>
      <c r="AC53" s="94"/>
      <c r="AD53" s="93"/>
      <c r="AE53" s="85"/>
    </row>
    <row r="54" spans="5:31" x14ac:dyDescent="0.35">
      <c r="E54" s="92">
        <v>5</v>
      </c>
      <c r="F54" s="93">
        <v>44995</v>
      </c>
      <c r="G54" s="85" t="s">
        <v>895</v>
      </c>
      <c r="H54" s="87">
        <v>40.950000000000003</v>
      </c>
      <c r="I54" s="94">
        <v>5</v>
      </c>
      <c r="J54" s="93">
        <v>45138</v>
      </c>
      <c r="K54" s="85" t="s">
        <v>896</v>
      </c>
      <c r="L54" s="87">
        <v>21.04</v>
      </c>
      <c r="M54" s="94">
        <v>5</v>
      </c>
      <c r="N54" s="93">
        <v>45446</v>
      </c>
      <c r="O54" s="85" t="s">
        <v>2290</v>
      </c>
      <c r="P54" s="148">
        <v>197.97</v>
      </c>
      <c r="Q54" s="94"/>
      <c r="R54" s="93"/>
      <c r="S54" s="85"/>
      <c r="U54" s="94"/>
      <c r="V54" s="93"/>
      <c r="W54" s="85"/>
      <c r="Y54" s="94"/>
      <c r="Z54" s="93"/>
      <c r="AA54" s="85"/>
      <c r="AC54" s="94"/>
      <c r="AD54" s="93"/>
      <c r="AE54" s="85"/>
    </row>
    <row r="55" spans="5:31" x14ac:dyDescent="0.35">
      <c r="E55" s="92">
        <v>5</v>
      </c>
      <c r="F55" s="93">
        <v>44998</v>
      </c>
      <c r="G55" s="85" t="s">
        <v>893</v>
      </c>
      <c r="H55" s="87">
        <v>122.51</v>
      </c>
      <c r="I55" s="94">
        <v>8</v>
      </c>
      <c r="J55" s="93">
        <v>45090</v>
      </c>
      <c r="K55" s="85" t="s">
        <v>932</v>
      </c>
      <c r="L55" s="87">
        <v>124.72</v>
      </c>
      <c r="M55" s="94">
        <v>5</v>
      </c>
      <c r="N55" s="93">
        <v>45453</v>
      </c>
      <c r="O55" s="85" t="s">
        <v>2290</v>
      </c>
      <c r="P55" s="148">
        <v>254.88</v>
      </c>
      <c r="Q55" s="94"/>
      <c r="R55" s="93"/>
      <c r="S55" s="85"/>
      <c r="U55" s="94"/>
      <c r="V55" s="93"/>
      <c r="W55" s="85"/>
      <c r="Y55" s="94"/>
      <c r="Z55" s="93"/>
      <c r="AA55" s="85"/>
      <c r="AC55" s="94"/>
      <c r="AD55" s="93"/>
      <c r="AE55" s="85"/>
    </row>
    <row r="56" spans="5:31" x14ac:dyDescent="0.35">
      <c r="E56" s="92">
        <v>5</v>
      </c>
      <c r="F56" s="93">
        <v>45002</v>
      </c>
      <c r="G56" s="85" t="s">
        <v>930</v>
      </c>
      <c r="H56" s="87">
        <v>8.5500000000000007</v>
      </c>
      <c r="I56" s="94">
        <v>5</v>
      </c>
      <c r="J56" s="93">
        <v>45142</v>
      </c>
      <c r="K56" s="85" t="s">
        <v>899</v>
      </c>
      <c r="L56" s="87">
        <v>2.95</v>
      </c>
      <c r="M56" s="94">
        <v>5</v>
      </c>
      <c r="N56" s="93">
        <v>45460</v>
      </c>
      <c r="O56" s="85" t="s">
        <v>2290</v>
      </c>
      <c r="P56" s="148">
        <v>329.04</v>
      </c>
      <c r="Q56" s="94"/>
      <c r="R56" s="93"/>
      <c r="S56" s="85"/>
      <c r="U56" s="94"/>
      <c r="V56" s="93"/>
      <c r="W56" s="85"/>
      <c r="Y56" s="94"/>
      <c r="Z56" s="93"/>
      <c r="AA56" s="85"/>
      <c r="AC56" s="94"/>
      <c r="AD56" s="93"/>
      <c r="AE56" s="85"/>
    </row>
    <row r="57" spans="5:31" x14ac:dyDescent="0.35">
      <c r="E57" s="92">
        <v>5</v>
      </c>
      <c r="F57" s="93">
        <v>45002</v>
      </c>
      <c r="G57" s="85" t="s">
        <v>931</v>
      </c>
      <c r="H57" s="87">
        <v>17.100000000000001</v>
      </c>
      <c r="I57" s="94">
        <v>5</v>
      </c>
      <c r="J57" s="93">
        <v>45145</v>
      </c>
      <c r="K57" s="85" t="s">
        <v>896</v>
      </c>
      <c r="L57" s="87">
        <v>212.98</v>
      </c>
      <c r="M57" s="94">
        <v>5</v>
      </c>
      <c r="N57" s="93">
        <v>45467</v>
      </c>
      <c r="O57" s="85" t="s">
        <v>2290</v>
      </c>
      <c r="P57" s="148">
        <v>199.4</v>
      </c>
      <c r="Q57" s="94"/>
      <c r="R57" s="93"/>
      <c r="S57" s="85"/>
      <c r="U57" s="94"/>
      <c r="V57" s="93"/>
      <c r="W57" s="85"/>
      <c r="Y57" s="94"/>
      <c r="Z57" s="93"/>
      <c r="AA57" s="85"/>
      <c r="AC57" s="94"/>
      <c r="AD57" s="93"/>
      <c r="AE57" s="85"/>
    </row>
    <row r="58" spans="5:31" x14ac:dyDescent="0.35">
      <c r="E58" s="92">
        <v>5</v>
      </c>
      <c r="F58" s="93">
        <v>45002</v>
      </c>
      <c r="G58" s="85" t="s">
        <v>933</v>
      </c>
      <c r="H58" s="87">
        <v>0.9</v>
      </c>
      <c r="I58" s="94">
        <v>5</v>
      </c>
      <c r="J58" s="93">
        <v>45145</v>
      </c>
      <c r="K58" s="85" t="s">
        <v>936</v>
      </c>
      <c r="L58" s="87">
        <v>5.5</v>
      </c>
      <c r="M58" s="94">
        <v>6</v>
      </c>
      <c r="N58" s="93">
        <v>45468</v>
      </c>
      <c r="O58" s="85" t="s">
        <v>2974</v>
      </c>
      <c r="P58" s="148">
        <v>1167</v>
      </c>
      <c r="Q58" s="94"/>
      <c r="R58" s="93"/>
      <c r="S58" s="85"/>
      <c r="U58" s="94"/>
      <c r="V58" s="93"/>
      <c r="W58" s="85"/>
      <c r="Y58" s="94"/>
      <c r="Z58" s="93"/>
      <c r="AA58" s="85"/>
      <c r="AC58" s="94"/>
      <c r="AD58" s="93"/>
      <c r="AE58" s="85"/>
    </row>
    <row r="59" spans="5:31" x14ac:dyDescent="0.35">
      <c r="E59" s="92">
        <v>5</v>
      </c>
      <c r="F59" s="93">
        <v>45002</v>
      </c>
      <c r="G59" s="85" t="s">
        <v>934</v>
      </c>
      <c r="H59" s="87">
        <v>15.3</v>
      </c>
      <c r="I59" s="94">
        <v>5</v>
      </c>
      <c r="J59" s="93">
        <v>45152</v>
      </c>
      <c r="K59" s="85" t="s">
        <v>896</v>
      </c>
      <c r="L59" s="87">
        <v>80.709999999999994</v>
      </c>
      <c r="M59" s="94">
        <v>5</v>
      </c>
      <c r="N59" s="93">
        <v>45471</v>
      </c>
      <c r="O59" s="85" t="s">
        <v>2291</v>
      </c>
      <c r="P59" s="148">
        <v>22.5</v>
      </c>
      <c r="Q59" s="94"/>
      <c r="R59" s="93"/>
      <c r="S59" s="85"/>
      <c r="U59" s="94"/>
      <c r="V59" s="93"/>
      <c r="W59" s="85"/>
      <c r="Y59" s="94"/>
      <c r="Z59" s="93"/>
      <c r="AA59" s="85"/>
      <c r="AC59" s="94"/>
      <c r="AD59" s="93"/>
      <c r="AE59" s="85"/>
    </row>
    <row r="60" spans="5:31" x14ac:dyDescent="0.35">
      <c r="E60" s="92">
        <v>5</v>
      </c>
      <c r="F60" s="93">
        <v>45016</v>
      </c>
      <c r="G60" s="85" t="s">
        <v>935</v>
      </c>
      <c r="H60" s="87">
        <v>7.65</v>
      </c>
      <c r="I60" s="94">
        <v>11</v>
      </c>
      <c r="J60" s="93">
        <v>45148</v>
      </c>
      <c r="K60" s="85" t="s">
        <v>939</v>
      </c>
      <c r="L60" s="87">
        <v>559.47</v>
      </c>
      <c r="M60" s="94">
        <v>3</v>
      </c>
      <c r="N60" s="93">
        <v>45471</v>
      </c>
      <c r="O60" s="85" t="s">
        <v>2982</v>
      </c>
      <c r="P60" s="148">
        <v>9</v>
      </c>
      <c r="Q60" s="94"/>
      <c r="R60" s="93"/>
      <c r="S60" s="85"/>
      <c r="U60" s="94"/>
      <c r="V60" s="93"/>
      <c r="W60" s="85"/>
      <c r="Y60" s="94"/>
      <c r="Z60" s="93"/>
      <c r="AA60" s="85"/>
      <c r="AC60" s="94"/>
      <c r="AD60" s="93"/>
      <c r="AE60" s="85"/>
    </row>
    <row r="61" spans="5:31" x14ac:dyDescent="0.35">
      <c r="E61" s="92">
        <v>5</v>
      </c>
      <c r="F61" s="93">
        <v>45016</v>
      </c>
      <c r="G61" s="85" t="s">
        <v>937</v>
      </c>
      <c r="H61" s="87">
        <v>3.15</v>
      </c>
      <c r="I61" s="94">
        <v>11</v>
      </c>
      <c r="J61" s="93">
        <v>45057</v>
      </c>
      <c r="K61" s="85" t="s">
        <v>941</v>
      </c>
      <c r="L61" s="87">
        <v>510</v>
      </c>
      <c r="M61" s="94">
        <v>8</v>
      </c>
      <c r="N61" s="93">
        <v>45473</v>
      </c>
      <c r="O61" s="85" t="s">
        <v>3022</v>
      </c>
      <c r="P61" s="148">
        <v>445</v>
      </c>
      <c r="Q61" s="94"/>
      <c r="R61" s="93"/>
      <c r="S61" s="85"/>
      <c r="U61" s="94"/>
      <c r="V61" s="93"/>
      <c r="W61" s="85"/>
      <c r="Y61" s="94"/>
      <c r="Z61" s="93"/>
      <c r="AA61" s="85"/>
      <c r="AC61" s="94"/>
      <c r="AD61" s="93"/>
      <c r="AE61" s="85"/>
    </row>
    <row r="62" spans="5:31" x14ac:dyDescent="0.35">
      <c r="E62" s="92">
        <v>5</v>
      </c>
      <c r="F62" s="93">
        <v>45016</v>
      </c>
      <c r="G62" s="85" t="s">
        <v>938</v>
      </c>
      <c r="H62" s="87">
        <v>4.5</v>
      </c>
      <c r="I62" s="94">
        <v>11</v>
      </c>
      <c r="J62" s="93">
        <v>45017</v>
      </c>
      <c r="K62" s="85" t="s">
        <v>942</v>
      </c>
      <c r="L62" s="87">
        <v>510</v>
      </c>
      <c r="M62" s="94">
        <v>8</v>
      </c>
      <c r="N62" s="93">
        <v>45473</v>
      </c>
      <c r="O62" s="85" t="s">
        <v>3022</v>
      </c>
      <c r="P62" s="148">
        <v>85</v>
      </c>
      <c r="Q62" s="94"/>
      <c r="R62" s="93"/>
      <c r="S62" s="85"/>
      <c r="U62" s="94"/>
      <c r="V62" s="93"/>
      <c r="W62" s="85"/>
      <c r="Y62" s="94"/>
      <c r="Z62" s="93"/>
      <c r="AA62" s="85"/>
      <c r="AC62" s="94"/>
      <c r="AD62" s="93"/>
      <c r="AE62" s="85"/>
    </row>
    <row r="63" spans="5:31" x14ac:dyDescent="0.35">
      <c r="E63" s="92">
        <v>1</v>
      </c>
      <c r="F63" s="93">
        <v>44970</v>
      </c>
      <c r="G63" s="85" t="s">
        <v>929</v>
      </c>
      <c r="H63" s="87">
        <v>60.98</v>
      </c>
      <c r="I63" s="94">
        <v>8</v>
      </c>
      <c r="J63" s="93" t="s">
        <v>943</v>
      </c>
      <c r="K63" s="93" t="s">
        <v>944</v>
      </c>
      <c r="L63" s="87">
        <f>221*3+442-368.34-90.48</f>
        <v>646.18000000000006</v>
      </c>
      <c r="M63" s="94">
        <v>5</v>
      </c>
      <c r="N63" s="93">
        <v>45474</v>
      </c>
      <c r="O63" s="85" t="s">
        <v>2290</v>
      </c>
      <c r="P63" s="87">
        <v>149.65</v>
      </c>
      <c r="Q63" s="94"/>
      <c r="R63" s="93"/>
      <c r="S63" s="85"/>
      <c r="U63" s="94"/>
      <c r="V63" s="93"/>
      <c r="W63" s="85"/>
      <c r="Y63" s="94"/>
      <c r="Z63" s="93"/>
      <c r="AA63" s="85"/>
      <c r="AC63" s="94"/>
      <c r="AD63" s="93"/>
      <c r="AE63" s="85"/>
    </row>
    <row r="64" spans="5:31" x14ac:dyDescent="0.35">
      <c r="E64" s="92">
        <v>1</v>
      </c>
      <c r="F64" s="93">
        <v>44970</v>
      </c>
      <c r="G64" s="85" t="s">
        <v>940</v>
      </c>
      <c r="H64" s="87">
        <v>290.7</v>
      </c>
      <c r="I64" s="94">
        <v>8</v>
      </c>
      <c r="J64" s="93">
        <v>45182</v>
      </c>
      <c r="K64" s="85" t="s">
        <v>908</v>
      </c>
      <c r="L64" s="87">
        <v>270</v>
      </c>
      <c r="M64" s="94">
        <v>5</v>
      </c>
      <c r="N64" s="93">
        <v>45481</v>
      </c>
      <c r="O64" s="85" t="s">
        <v>2290</v>
      </c>
      <c r="P64" s="87">
        <v>250.11</v>
      </c>
      <c r="Q64" s="94"/>
      <c r="R64" s="93"/>
      <c r="S64" s="85"/>
      <c r="U64" s="94"/>
      <c r="V64" s="93"/>
      <c r="W64" s="85"/>
      <c r="Y64" s="94"/>
      <c r="Z64" s="93"/>
      <c r="AA64" s="85"/>
      <c r="AC64" s="94"/>
      <c r="AD64" s="93"/>
      <c r="AE64" s="85"/>
    </row>
    <row r="65" spans="7:31" x14ac:dyDescent="0.35">
      <c r="G65" s="85"/>
      <c r="H65" s="87"/>
      <c r="I65" s="94">
        <v>8</v>
      </c>
      <c r="J65" s="93">
        <v>45156</v>
      </c>
      <c r="K65" s="85" t="s">
        <v>908</v>
      </c>
      <c r="L65" s="87">
        <v>157.5</v>
      </c>
      <c r="M65" s="94">
        <v>5</v>
      </c>
      <c r="N65" s="93">
        <v>45488</v>
      </c>
      <c r="O65" s="85" t="s">
        <v>2290</v>
      </c>
      <c r="P65" s="87">
        <v>94.39</v>
      </c>
      <c r="Q65" s="94"/>
      <c r="R65" s="93"/>
      <c r="S65" s="85"/>
      <c r="U65" s="94"/>
      <c r="V65" s="93"/>
      <c r="W65" s="85"/>
      <c r="Y65" s="94"/>
      <c r="Z65" s="93"/>
      <c r="AA65" s="85"/>
      <c r="AC65" s="94"/>
      <c r="AD65" s="93"/>
      <c r="AE65" s="85"/>
    </row>
    <row r="66" spans="7:31" x14ac:dyDescent="0.35">
      <c r="G66" s="85"/>
      <c r="H66" s="87"/>
      <c r="I66" s="94">
        <v>5</v>
      </c>
      <c r="J66" s="93">
        <v>45173</v>
      </c>
      <c r="K66" s="85" t="s">
        <v>896</v>
      </c>
      <c r="L66" s="87">
        <v>221.49</v>
      </c>
      <c r="M66" s="94">
        <v>3</v>
      </c>
      <c r="N66" s="93">
        <v>45412</v>
      </c>
      <c r="O66" s="85" t="s">
        <v>3136</v>
      </c>
      <c r="P66" s="148">
        <v>56</v>
      </c>
      <c r="Q66" s="94"/>
      <c r="R66" s="93"/>
      <c r="S66" s="85"/>
      <c r="U66" s="94"/>
      <c r="V66" s="93"/>
      <c r="W66" s="85"/>
      <c r="Y66" s="94"/>
      <c r="Z66" s="93"/>
      <c r="AA66" s="85"/>
      <c r="AC66" s="94"/>
      <c r="AD66" s="93"/>
      <c r="AE66" s="85"/>
    </row>
    <row r="67" spans="7:31" x14ac:dyDescent="0.35">
      <c r="G67" s="85"/>
      <c r="H67" s="87"/>
      <c r="I67" s="94">
        <v>5</v>
      </c>
      <c r="J67" s="93">
        <v>45173</v>
      </c>
      <c r="K67" s="85" t="s">
        <v>899</v>
      </c>
      <c r="L67" s="87">
        <v>8.1300000000000008</v>
      </c>
      <c r="M67" s="94">
        <v>6</v>
      </c>
      <c r="N67" s="93">
        <v>45410</v>
      </c>
      <c r="O67" s="85" t="s">
        <v>2843</v>
      </c>
      <c r="P67" s="148">
        <v>416</v>
      </c>
      <c r="Q67" s="94"/>
      <c r="R67" s="93"/>
      <c r="S67" s="85"/>
      <c r="U67" s="94"/>
      <c r="V67" s="93"/>
      <c r="W67" s="85"/>
      <c r="Y67" s="94"/>
      <c r="Z67" s="93"/>
      <c r="AA67" s="85"/>
      <c r="AC67" s="94"/>
      <c r="AD67" s="93"/>
      <c r="AE67" s="85"/>
    </row>
    <row r="68" spans="7:31" x14ac:dyDescent="0.35">
      <c r="G68" s="85"/>
      <c r="H68" s="87"/>
      <c r="I68" s="94">
        <v>5</v>
      </c>
      <c r="J68" s="93">
        <v>45180</v>
      </c>
      <c r="K68" s="85" t="s">
        <v>896</v>
      </c>
      <c r="L68" s="87">
        <v>94.24</v>
      </c>
      <c r="M68" s="94">
        <v>6</v>
      </c>
      <c r="N68" s="93">
        <v>45458</v>
      </c>
      <c r="O68" s="85" t="s">
        <v>2974</v>
      </c>
      <c r="P68" s="148">
        <v>907</v>
      </c>
      <c r="Q68" s="94"/>
      <c r="R68" s="93"/>
      <c r="S68" s="85"/>
      <c r="U68" s="94"/>
      <c r="V68" s="93"/>
      <c r="W68" s="85"/>
      <c r="Y68" s="94"/>
      <c r="Z68" s="93"/>
      <c r="AA68" s="85"/>
      <c r="AC68" s="94"/>
      <c r="AD68" s="93"/>
      <c r="AE68" s="85"/>
    </row>
    <row r="69" spans="7:31" x14ac:dyDescent="0.35">
      <c r="G69" s="85"/>
      <c r="H69" s="87"/>
      <c r="I69" s="94">
        <v>5</v>
      </c>
      <c r="J69" s="93">
        <v>45187</v>
      </c>
      <c r="K69" s="85" t="s">
        <v>896</v>
      </c>
      <c r="L69" s="87">
        <v>177.26</v>
      </c>
      <c r="M69" s="94">
        <v>8</v>
      </c>
      <c r="N69" s="93">
        <v>45474</v>
      </c>
      <c r="O69" s="85" t="s">
        <v>3142</v>
      </c>
      <c r="P69" s="87">
        <v>2294.5</v>
      </c>
      <c r="Q69" s="94"/>
      <c r="R69" s="93"/>
      <c r="S69" s="85"/>
      <c r="U69" s="94"/>
      <c r="V69" s="93"/>
      <c r="W69" s="85"/>
      <c r="Y69" s="94"/>
      <c r="Z69" s="93"/>
      <c r="AA69" s="85"/>
      <c r="AC69" s="94"/>
      <c r="AD69" s="93"/>
      <c r="AE69" s="85"/>
    </row>
    <row r="70" spans="7:31" x14ac:dyDescent="0.35">
      <c r="G70" s="85"/>
      <c r="H70" s="87"/>
      <c r="I70" s="94">
        <v>5</v>
      </c>
      <c r="J70" s="93">
        <v>45187</v>
      </c>
      <c r="K70" s="85" t="s">
        <v>945</v>
      </c>
      <c r="L70" s="87">
        <v>4.4000000000000004</v>
      </c>
      <c r="M70" s="94">
        <v>6</v>
      </c>
      <c r="N70" s="93">
        <v>45488</v>
      </c>
      <c r="O70" s="85" t="s">
        <v>3151</v>
      </c>
      <c r="P70" s="87">
        <v>1479</v>
      </c>
      <c r="Q70" s="94"/>
      <c r="R70" s="93"/>
      <c r="S70" s="85"/>
      <c r="U70" s="94"/>
      <c r="V70" s="93"/>
      <c r="W70" s="85"/>
      <c r="Y70" s="94"/>
      <c r="Z70" s="93"/>
      <c r="AA70" s="85"/>
      <c r="AC70" s="94"/>
      <c r="AD70" s="93"/>
      <c r="AE70" s="85"/>
    </row>
    <row r="71" spans="7:31" x14ac:dyDescent="0.35">
      <c r="G71" s="85"/>
      <c r="H71" s="87"/>
      <c r="I71" s="94">
        <v>5</v>
      </c>
      <c r="J71" s="93">
        <v>45194</v>
      </c>
      <c r="K71" s="85" t="s">
        <v>896</v>
      </c>
      <c r="L71" s="87">
        <v>82.16</v>
      </c>
      <c r="M71" s="94">
        <v>5</v>
      </c>
      <c r="N71" s="93">
        <v>45502</v>
      </c>
      <c r="O71" s="85" t="s">
        <v>2290</v>
      </c>
      <c r="P71" s="87">
        <v>250.39</v>
      </c>
      <c r="Q71" s="94"/>
      <c r="R71" s="93"/>
      <c r="S71" s="85"/>
      <c r="U71" s="94"/>
      <c r="V71" s="93"/>
      <c r="W71" s="85"/>
      <c r="Y71" s="94"/>
      <c r="Z71" s="93"/>
      <c r="AA71" s="85"/>
      <c r="AC71" s="94"/>
      <c r="AD71" s="93"/>
      <c r="AE71" s="85"/>
    </row>
    <row r="72" spans="7:31" x14ac:dyDescent="0.35">
      <c r="G72" s="85"/>
      <c r="H72" s="87"/>
      <c r="I72" s="94">
        <v>7</v>
      </c>
      <c r="J72" s="93">
        <v>45195</v>
      </c>
      <c r="K72" s="85" t="s">
        <v>946</v>
      </c>
      <c r="L72" s="87">
        <v>3250</v>
      </c>
      <c r="M72" s="94">
        <v>5</v>
      </c>
      <c r="N72" s="93">
        <v>45497</v>
      </c>
      <c r="O72" s="85" t="s">
        <v>3163</v>
      </c>
      <c r="P72" s="87">
        <v>9.81</v>
      </c>
      <c r="Q72" s="94"/>
      <c r="R72" s="93"/>
      <c r="S72" s="85"/>
      <c r="U72" s="94"/>
      <c r="V72" s="93"/>
      <c r="W72" s="85"/>
      <c r="Y72" s="94"/>
      <c r="Z72" s="93"/>
      <c r="AA72" s="85"/>
      <c r="AC72" s="94"/>
      <c r="AD72" s="93"/>
      <c r="AE72" s="85"/>
    </row>
    <row r="73" spans="7:31" x14ac:dyDescent="0.35">
      <c r="G73" s="85"/>
      <c r="H73" s="87"/>
      <c r="I73" s="94">
        <v>5</v>
      </c>
      <c r="J73" s="93" t="s">
        <v>947</v>
      </c>
      <c r="K73" s="85" t="s">
        <v>948</v>
      </c>
      <c r="L73" s="87">
        <f>1.48+23.48+8.86+22.88</f>
        <v>56.7</v>
      </c>
      <c r="M73" s="94">
        <v>5</v>
      </c>
      <c r="N73" s="93">
        <v>45495</v>
      </c>
      <c r="O73" s="85" t="s">
        <v>2290</v>
      </c>
      <c r="P73" s="87">
        <v>172.99</v>
      </c>
      <c r="Q73" s="94"/>
      <c r="R73" s="93"/>
      <c r="S73" s="85"/>
      <c r="U73" s="94"/>
      <c r="V73" s="93"/>
      <c r="W73" s="85"/>
      <c r="Y73" s="94"/>
      <c r="Z73" s="93"/>
      <c r="AA73" s="85"/>
      <c r="AC73" s="94"/>
      <c r="AD73" s="93"/>
      <c r="AE73" s="85"/>
    </row>
    <row r="74" spans="7:31" x14ac:dyDescent="0.35">
      <c r="G74" s="85"/>
      <c r="H74" s="87"/>
      <c r="I74" s="94">
        <v>5</v>
      </c>
      <c r="J74" s="93" t="s">
        <v>949</v>
      </c>
      <c r="K74" s="85" t="s">
        <v>950</v>
      </c>
      <c r="L74" s="87">
        <f>194.85+135.05</f>
        <v>329.9</v>
      </c>
      <c r="M74" s="94">
        <v>5</v>
      </c>
      <c r="N74" s="93">
        <v>45502</v>
      </c>
      <c r="O74" s="85" t="s">
        <v>3172</v>
      </c>
      <c r="P74" s="87">
        <v>7.1</v>
      </c>
      <c r="Q74" s="94"/>
      <c r="R74" s="93"/>
      <c r="S74" s="85"/>
      <c r="U74" s="94"/>
      <c r="V74" s="93"/>
      <c r="W74" s="85"/>
      <c r="Y74" s="94"/>
      <c r="Z74" s="93"/>
      <c r="AA74" s="85"/>
      <c r="AC74" s="94"/>
      <c r="AD74" s="93"/>
      <c r="AE74" s="85"/>
    </row>
    <row r="75" spans="7:31" x14ac:dyDescent="0.35">
      <c r="G75" s="85"/>
      <c r="H75" s="87"/>
      <c r="I75" s="94">
        <v>5</v>
      </c>
      <c r="J75" s="93" t="s">
        <v>951</v>
      </c>
      <c r="K75" s="85" t="s">
        <v>952</v>
      </c>
      <c r="L75" s="87">
        <f>8.87+34.33+9.9</f>
        <v>53.099999999999994</v>
      </c>
      <c r="M75" s="94">
        <v>3</v>
      </c>
      <c r="N75" s="93" t="s">
        <v>491</v>
      </c>
      <c r="O75" s="85" t="s">
        <v>3177</v>
      </c>
      <c r="P75" s="87">
        <v>5000</v>
      </c>
      <c r="Q75" s="94"/>
      <c r="R75" s="93"/>
      <c r="S75" s="85"/>
      <c r="U75" s="94"/>
      <c r="V75" s="93"/>
      <c r="W75" s="85"/>
      <c r="Y75" s="94"/>
      <c r="Z75" s="93"/>
      <c r="AA75" s="85"/>
      <c r="AC75" s="94"/>
      <c r="AD75" s="93"/>
      <c r="AE75" s="85"/>
    </row>
    <row r="76" spans="7:31" x14ac:dyDescent="0.35">
      <c r="G76" s="85"/>
      <c r="H76" s="87"/>
      <c r="I76" s="94">
        <v>5</v>
      </c>
      <c r="J76" s="93">
        <v>45201</v>
      </c>
      <c r="K76" s="85" t="s">
        <v>896</v>
      </c>
      <c r="L76" s="87">
        <v>214.25</v>
      </c>
      <c r="M76" s="94"/>
      <c r="N76" s="93"/>
      <c r="O76" s="85"/>
      <c r="Q76" s="94"/>
      <c r="R76" s="93"/>
      <c r="S76" s="85"/>
      <c r="U76" s="94"/>
      <c r="V76" s="93"/>
      <c r="W76" s="85"/>
      <c r="Y76" s="94"/>
      <c r="Z76" s="93"/>
      <c r="AA76" s="85"/>
      <c r="AC76" s="94"/>
      <c r="AD76" s="93"/>
      <c r="AE76" s="85"/>
    </row>
    <row r="77" spans="7:31" x14ac:dyDescent="0.35">
      <c r="G77" s="85"/>
      <c r="H77" s="87"/>
      <c r="I77" s="94">
        <v>5</v>
      </c>
      <c r="J77" s="93">
        <v>45201</v>
      </c>
      <c r="K77" s="85" t="s">
        <v>904</v>
      </c>
      <c r="L77" s="87">
        <v>8.1199999999999992</v>
      </c>
      <c r="M77" s="94"/>
      <c r="N77" s="93"/>
      <c r="O77" s="85"/>
      <c r="Q77" s="94"/>
      <c r="R77" s="93"/>
      <c r="S77" s="85"/>
      <c r="U77" s="94"/>
      <c r="V77" s="93"/>
      <c r="W77" s="85"/>
      <c r="Y77" s="94"/>
      <c r="Z77" s="93"/>
      <c r="AA77" s="85"/>
      <c r="AC77" s="94"/>
      <c r="AD77" s="93"/>
      <c r="AE77" s="85"/>
    </row>
    <row r="78" spans="7:31" x14ac:dyDescent="0.35">
      <c r="G78" s="85"/>
      <c r="H78" s="87"/>
      <c r="I78" s="94">
        <v>5</v>
      </c>
      <c r="J78" s="93">
        <v>45208</v>
      </c>
      <c r="K78" s="85" t="s">
        <v>896</v>
      </c>
      <c r="L78" s="87">
        <v>265.24</v>
      </c>
      <c r="M78" s="94"/>
      <c r="N78" s="93"/>
      <c r="O78" s="85"/>
      <c r="Q78" s="94"/>
      <c r="R78" s="93"/>
      <c r="S78" s="85"/>
      <c r="U78" s="94"/>
      <c r="V78" s="93"/>
      <c r="W78" s="85"/>
      <c r="Y78" s="94"/>
      <c r="Z78" s="93"/>
      <c r="AA78" s="85"/>
      <c r="AC78" s="94"/>
      <c r="AD78" s="93"/>
      <c r="AE78" s="85"/>
    </row>
    <row r="79" spans="7:31" x14ac:dyDescent="0.35">
      <c r="G79" s="85"/>
      <c r="H79" s="87"/>
      <c r="I79" s="94">
        <v>11</v>
      </c>
      <c r="J79" s="93">
        <v>45219</v>
      </c>
      <c r="K79" s="85" t="s">
        <v>2150</v>
      </c>
      <c r="L79" s="87">
        <v>2136</v>
      </c>
      <c r="M79" s="94"/>
      <c r="N79" s="93"/>
      <c r="O79" s="85"/>
      <c r="Q79" s="94"/>
      <c r="R79" s="93"/>
      <c r="S79" s="85"/>
      <c r="U79" s="94"/>
      <c r="V79" s="93"/>
      <c r="W79" s="85"/>
      <c r="Y79" s="94"/>
      <c r="Z79" s="93"/>
      <c r="AA79" s="85"/>
      <c r="AC79" s="94"/>
      <c r="AD79" s="93"/>
      <c r="AE79" s="85"/>
    </row>
    <row r="80" spans="7:31" x14ac:dyDescent="0.35">
      <c r="G80" s="85"/>
      <c r="H80" s="87"/>
      <c r="J80" s="93" t="s">
        <v>2803</v>
      </c>
      <c r="K80" s="85" t="s">
        <v>2151</v>
      </c>
      <c r="L80" s="87">
        <f>2*(445+72.56*12)*5/12</f>
        <v>1096.4333333333334</v>
      </c>
      <c r="M80" s="94"/>
      <c r="N80" s="93"/>
      <c r="O80" s="85"/>
      <c r="Q80" s="94"/>
      <c r="R80" s="93"/>
      <c r="S80" s="85"/>
      <c r="U80" s="94"/>
      <c r="V80" s="93"/>
      <c r="W80" s="85"/>
      <c r="Y80" s="94"/>
      <c r="Z80" s="93"/>
      <c r="AA80" s="85"/>
      <c r="AC80" s="94"/>
      <c r="AD80" s="93"/>
      <c r="AE80" s="85"/>
    </row>
    <row r="81" spans="7:31" x14ac:dyDescent="0.35">
      <c r="G81" s="85"/>
      <c r="H81" s="87"/>
      <c r="I81" s="94" t="s">
        <v>23</v>
      </c>
      <c r="J81" s="93" t="s">
        <v>676</v>
      </c>
      <c r="K81" s="85" t="s">
        <v>2152</v>
      </c>
      <c r="L81" s="87">
        <v>5949.4</v>
      </c>
      <c r="M81" s="94"/>
      <c r="N81" s="93"/>
      <c r="O81" s="85"/>
      <c r="Q81" s="94"/>
      <c r="R81" s="93"/>
      <c r="S81" s="85"/>
      <c r="U81" s="94"/>
      <c r="V81" s="93"/>
      <c r="W81" s="85"/>
      <c r="Y81" s="94"/>
      <c r="Z81" s="93"/>
      <c r="AA81" s="85"/>
      <c r="AC81" s="94"/>
      <c r="AD81" s="93"/>
      <c r="AE81" s="85"/>
    </row>
    <row r="82" spans="7:31" x14ac:dyDescent="0.35">
      <c r="G82" s="85"/>
      <c r="H82" s="87"/>
      <c r="I82" s="94" t="s">
        <v>23</v>
      </c>
      <c r="J82" s="93" t="s">
        <v>676</v>
      </c>
      <c r="K82" s="85" t="s">
        <v>2153</v>
      </c>
      <c r="L82" s="87">
        <v>800</v>
      </c>
      <c r="M82" s="94"/>
      <c r="N82" s="93"/>
      <c r="O82" s="85"/>
      <c r="Q82" s="94"/>
      <c r="R82" s="93"/>
      <c r="S82" s="85"/>
      <c r="U82" s="94"/>
      <c r="V82" s="93"/>
      <c r="W82" s="85"/>
      <c r="Y82" s="94"/>
      <c r="Z82" s="93"/>
      <c r="AA82" s="85"/>
      <c r="AC82" s="94"/>
      <c r="AD82" s="93"/>
      <c r="AE82" s="85"/>
    </row>
    <row r="83" spans="7:31" x14ac:dyDescent="0.35">
      <c r="G83" s="85"/>
      <c r="H83" s="87"/>
      <c r="I83" s="94">
        <v>3</v>
      </c>
      <c r="J83" s="93">
        <v>45232</v>
      </c>
      <c r="K83" s="85" t="s">
        <v>2154</v>
      </c>
      <c r="L83" s="87">
        <v>1665</v>
      </c>
      <c r="M83" s="94"/>
      <c r="N83" s="93"/>
      <c r="O83" s="85"/>
      <c r="Q83" s="94"/>
      <c r="R83" s="93"/>
      <c r="S83" s="85"/>
      <c r="U83" s="94"/>
      <c r="V83" s="93"/>
      <c r="W83" s="85"/>
      <c r="Y83" s="94"/>
      <c r="Z83" s="93"/>
      <c r="AA83" s="85"/>
      <c r="AC83" s="94"/>
      <c r="AD83" s="93"/>
      <c r="AE83" s="85"/>
    </row>
    <row r="84" spans="7:31" x14ac:dyDescent="0.35">
      <c r="G84" s="85"/>
      <c r="H84" s="87"/>
      <c r="I84" s="94">
        <v>5</v>
      </c>
      <c r="J84" s="93">
        <v>45226</v>
      </c>
      <c r="K84" s="85" t="s">
        <v>896</v>
      </c>
      <c r="L84" s="87">
        <v>47.02</v>
      </c>
      <c r="M84" s="94"/>
      <c r="N84" s="93"/>
      <c r="O84" s="85"/>
      <c r="Q84" s="94"/>
      <c r="R84" s="93"/>
      <c r="S84" s="85"/>
      <c r="U84" s="94"/>
      <c r="V84" s="93"/>
      <c r="W84" s="85"/>
      <c r="Y84" s="94"/>
      <c r="Z84" s="93"/>
      <c r="AA84" s="85"/>
      <c r="AC84" s="94"/>
      <c r="AD84" s="93"/>
      <c r="AE84" s="85"/>
    </row>
    <row r="85" spans="7:31" x14ac:dyDescent="0.35">
      <c r="G85" s="85"/>
      <c r="H85" s="87"/>
      <c r="I85" s="94">
        <v>5</v>
      </c>
      <c r="J85" s="93">
        <v>45236</v>
      </c>
      <c r="K85" s="85" t="s">
        <v>896</v>
      </c>
      <c r="L85" s="87">
        <v>165.6</v>
      </c>
      <c r="M85" s="94"/>
      <c r="N85" s="93"/>
      <c r="O85" s="85"/>
      <c r="Q85" s="94"/>
      <c r="R85" s="93"/>
      <c r="S85" s="85"/>
      <c r="U85" s="94"/>
      <c r="V85" s="93"/>
      <c r="W85" s="85"/>
      <c r="Y85" s="94"/>
      <c r="Z85" s="93"/>
      <c r="AA85" s="85"/>
      <c r="AC85" s="94"/>
      <c r="AD85" s="93"/>
      <c r="AE85" s="85"/>
    </row>
    <row r="86" spans="7:31" x14ac:dyDescent="0.35">
      <c r="G86" s="85"/>
      <c r="H86" s="87"/>
      <c r="I86" s="94">
        <v>5</v>
      </c>
      <c r="J86" s="93">
        <v>45236</v>
      </c>
      <c r="K86" s="85" t="s">
        <v>899</v>
      </c>
      <c r="L86" s="87">
        <v>3.73</v>
      </c>
      <c r="M86" s="94"/>
      <c r="N86" s="93"/>
      <c r="O86" s="85"/>
      <c r="Q86" s="94"/>
      <c r="R86" s="93"/>
      <c r="S86" s="85"/>
      <c r="U86" s="94"/>
      <c r="V86" s="93"/>
      <c r="W86" s="85"/>
      <c r="Y86" s="94"/>
      <c r="Z86" s="93"/>
      <c r="AA86" s="85"/>
      <c r="AC86" s="94"/>
      <c r="AD86" s="93"/>
      <c r="AE86" s="85"/>
    </row>
    <row r="87" spans="7:31" x14ac:dyDescent="0.35">
      <c r="G87" s="85"/>
      <c r="H87" s="87"/>
      <c r="I87" s="94">
        <v>8</v>
      </c>
      <c r="J87" s="93">
        <v>45224</v>
      </c>
      <c r="K87" s="85" t="s">
        <v>906</v>
      </c>
      <c r="L87" s="87">
        <v>284</v>
      </c>
      <c r="M87" s="94"/>
      <c r="N87" s="93"/>
      <c r="O87" s="85"/>
      <c r="Q87" s="94"/>
      <c r="R87" s="93"/>
      <c r="S87" s="85"/>
      <c r="U87" s="94"/>
      <c r="V87" s="93"/>
      <c r="W87" s="85"/>
      <c r="Y87" s="94"/>
      <c r="Z87" s="93"/>
      <c r="AA87" s="85"/>
      <c r="AC87" s="94"/>
      <c r="AD87" s="93"/>
      <c r="AE87" s="85"/>
    </row>
    <row r="88" spans="7:31" x14ac:dyDescent="0.35">
      <c r="G88" s="85"/>
      <c r="H88" s="87"/>
      <c r="I88" s="94">
        <v>5</v>
      </c>
      <c r="J88" s="93">
        <v>45243</v>
      </c>
      <c r="K88" s="85" t="s">
        <v>896</v>
      </c>
      <c r="L88" s="87">
        <v>162.44999999999999</v>
      </c>
      <c r="M88" s="94"/>
      <c r="N88" s="93"/>
      <c r="O88" s="85"/>
      <c r="Q88" s="94"/>
      <c r="R88" s="93"/>
      <c r="S88" s="85"/>
      <c r="U88" s="94"/>
      <c r="V88" s="93"/>
      <c r="W88" s="85"/>
      <c r="Y88" s="94"/>
      <c r="Z88" s="93"/>
      <c r="AA88" s="85"/>
      <c r="AC88" s="94"/>
      <c r="AD88" s="93"/>
      <c r="AE88" s="85"/>
    </row>
    <row r="89" spans="7:31" x14ac:dyDescent="0.35">
      <c r="G89" s="85"/>
      <c r="H89" s="87"/>
      <c r="I89" s="94">
        <v>5</v>
      </c>
      <c r="J89" s="93">
        <v>45250</v>
      </c>
      <c r="K89" s="85" t="s">
        <v>896</v>
      </c>
      <c r="L89" s="87">
        <v>135.19</v>
      </c>
      <c r="M89" s="94"/>
      <c r="N89" s="93"/>
      <c r="O89" s="85"/>
      <c r="Q89" s="94"/>
      <c r="R89" s="93"/>
      <c r="S89" s="85"/>
      <c r="U89" s="94"/>
      <c r="V89" s="93"/>
      <c r="W89" s="85"/>
      <c r="Y89" s="94"/>
      <c r="Z89" s="93"/>
      <c r="AA89" s="85"/>
      <c r="AC89" s="94"/>
      <c r="AD89" s="93"/>
      <c r="AE89" s="85"/>
    </row>
    <row r="90" spans="7:31" x14ac:dyDescent="0.35">
      <c r="G90" s="85"/>
      <c r="H90" s="87"/>
      <c r="I90" s="94">
        <v>6</v>
      </c>
      <c r="J90" s="93">
        <v>45241</v>
      </c>
      <c r="K90" s="85" t="s">
        <v>63</v>
      </c>
      <c r="L90" s="87">
        <v>1894.5</v>
      </c>
      <c r="M90" s="94"/>
      <c r="N90" s="93"/>
      <c r="O90" s="85"/>
      <c r="Q90" s="94"/>
      <c r="R90" s="93"/>
      <c r="S90" s="85"/>
      <c r="U90" s="94"/>
      <c r="V90" s="93"/>
      <c r="W90" s="85"/>
      <c r="Y90" s="94"/>
      <c r="Z90" s="93"/>
      <c r="AA90" s="85"/>
      <c r="AC90" s="94"/>
      <c r="AD90" s="93"/>
      <c r="AE90" s="85"/>
    </row>
    <row r="91" spans="7:31" x14ac:dyDescent="0.35">
      <c r="G91" s="85"/>
      <c r="H91" s="87"/>
      <c r="I91" s="94">
        <v>6</v>
      </c>
      <c r="J91" s="93">
        <v>45254</v>
      </c>
      <c r="K91" s="85" t="s">
        <v>63</v>
      </c>
      <c r="L91" s="87">
        <v>2764.5</v>
      </c>
      <c r="M91" s="94"/>
      <c r="N91" s="93"/>
      <c r="O91" s="85"/>
      <c r="Q91" s="94"/>
      <c r="R91" s="93"/>
      <c r="S91" s="85"/>
      <c r="U91" s="94"/>
      <c r="V91" s="93"/>
      <c r="W91" s="85"/>
      <c r="Y91" s="94"/>
      <c r="Z91" s="93"/>
      <c r="AA91" s="85"/>
      <c r="AC91" s="94"/>
      <c r="AD91" s="93"/>
      <c r="AE91" s="85"/>
    </row>
    <row r="92" spans="7:31" x14ac:dyDescent="0.35">
      <c r="G92" s="85"/>
      <c r="H92" s="87"/>
      <c r="I92" s="94">
        <v>5</v>
      </c>
      <c r="J92" s="93">
        <v>45257</v>
      </c>
      <c r="K92" s="85" t="s">
        <v>896</v>
      </c>
      <c r="L92" s="87">
        <v>209.49</v>
      </c>
      <c r="M92" s="94"/>
      <c r="N92" s="93"/>
      <c r="O92" s="85"/>
      <c r="Q92" s="94"/>
      <c r="R92" s="93"/>
      <c r="S92" s="85"/>
      <c r="U92" s="94"/>
      <c r="V92" s="93"/>
      <c r="W92" s="85"/>
      <c r="Y92" s="94"/>
      <c r="Z92" s="93"/>
      <c r="AA92" s="85"/>
      <c r="AC92" s="94"/>
      <c r="AD92" s="93"/>
      <c r="AE92" s="85"/>
    </row>
    <row r="93" spans="7:31" x14ac:dyDescent="0.35">
      <c r="G93" s="85"/>
      <c r="H93" s="87"/>
      <c r="I93" s="94">
        <v>5</v>
      </c>
      <c r="J93" s="93">
        <v>45264</v>
      </c>
      <c r="K93" s="85" t="s">
        <v>896</v>
      </c>
      <c r="L93" s="87">
        <v>158.72999999999999</v>
      </c>
      <c r="M93" s="94"/>
      <c r="N93" s="93"/>
      <c r="O93" s="85"/>
      <c r="Q93" s="94"/>
      <c r="R93" s="93"/>
      <c r="S93" s="85"/>
      <c r="U93" s="94"/>
      <c r="V93" s="93"/>
      <c r="W93" s="85"/>
      <c r="Y93" s="94"/>
      <c r="Z93" s="93"/>
      <c r="AA93" s="85"/>
      <c r="AC93" s="94"/>
      <c r="AD93" s="93"/>
      <c r="AE93" s="85"/>
    </row>
    <row r="94" spans="7:31" x14ac:dyDescent="0.35">
      <c r="G94" s="85"/>
      <c r="H94" s="87"/>
      <c r="I94" s="94">
        <v>6</v>
      </c>
      <c r="J94" s="93">
        <v>45266</v>
      </c>
      <c r="K94" s="87" t="s">
        <v>63</v>
      </c>
      <c r="L94" s="87">
        <v>635</v>
      </c>
      <c r="M94" s="95" t="s">
        <v>953</v>
      </c>
      <c r="N94" s="93"/>
      <c r="O94" s="85"/>
      <c r="Q94" s="94"/>
      <c r="R94" s="93"/>
      <c r="S94" s="85"/>
      <c r="U94" s="94"/>
      <c r="V94" s="93"/>
      <c r="W94" s="85"/>
      <c r="Y94" s="94"/>
      <c r="Z94" s="93"/>
      <c r="AA94" s="85"/>
      <c r="AC94" s="94"/>
      <c r="AD94" s="93"/>
      <c r="AE94" s="85"/>
    </row>
    <row r="95" spans="7:31" x14ac:dyDescent="0.35">
      <c r="G95" s="85"/>
      <c r="H95" s="87"/>
      <c r="I95" s="94">
        <v>5</v>
      </c>
      <c r="J95" s="93">
        <v>45271</v>
      </c>
      <c r="K95" s="87" t="s">
        <v>896</v>
      </c>
      <c r="L95" s="87">
        <v>67.31</v>
      </c>
      <c r="M95" s="95" t="s">
        <v>954</v>
      </c>
      <c r="N95" s="93"/>
      <c r="O95" s="85"/>
      <c r="Q95" s="94"/>
      <c r="R95" s="93"/>
      <c r="S95" s="85"/>
      <c r="U95" s="94"/>
      <c r="V95" s="93"/>
      <c r="W95" s="85"/>
      <c r="Y95" s="94"/>
      <c r="Z95" s="93"/>
      <c r="AA95" s="85"/>
      <c r="AC95" s="94"/>
      <c r="AD95" s="93"/>
      <c r="AE95" s="85"/>
    </row>
    <row r="96" spans="7:31" x14ac:dyDescent="0.35">
      <c r="G96" s="85"/>
      <c r="H96" s="87"/>
      <c r="I96" s="94">
        <v>5</v>
      </c>
      <c r="J96" s="93">
        <v>45272</v>
      </c>
      <c r="K96" s="87" t="s">
        <v>2255</v>
      </c>
      <c r="L96" s="87">
        <v>115.87</v>
      </c>
      <c r="M96" s="95" t="s">
        <v>955</v>
      </c>
      <c r="N96" s="93"/>
      <c r="O96" s="85"/>
      <c r="Q96" s="94"/>
      <c r="R96" s="93"/>
      <c r="S96" s="85"/>
      <c r="U96" s="94"/>
      <c r="V96" s="93"/>
      <c r="W96" s="85"/>
      <c r="Y96" s="94"/>
      <c r="Z96" s="93"/>
      <c r="AA96" s="85"/>
      <c r="AC96" s="94"/>
      <c r="AD96" s="93"/>
      <c r="AE96" s="85"/>
    </row>
    <row r="97" spans="7:31" x14ac:dyDescent="0.35">
      <c r="G97" s="85"/>
      <c r="H97" s="87"/>
      <c r="I97" s="94">
        <v>8</v>
      </c>
      <c r="J97" s="93">
        <v>45279</v>
      </c>
      <c r="K97" s="87" t="s">
        <v>908</v>
      </c>
      <c r="L97" s="87">
        <v>175</v>
      </c>
      <c r="M97" s="95"/>
      <c r="N97" s="93"/>
      <c r="O97" s="85"/>
      <c r="Q97" s="94"/>
      <c r="R97" s="93"/>
      <c r="S97" s="85"/>
      <c r="U97" s="94"/>
      <c r="V97" s="93"/>
      <c r="W97" s="85"/>
      <c r="Y97" s="94"/>
      <c r="Z97" s="93"/>
      <c r="AA97" s="85"/>
      <c r="AC97" s="94"/>
      <c r="AD97" s="93"/>
      <c r="AE97" s="85"/>
    </row>
    <row r="98" spans="7:31" x14ac:dyDescent="0.35">
      <c r="G98" s="85"/>
      <c r="H98" s="87"/>
      <c r="I98" s="94">
        <v>6</v>
      </c>
      <c r="J98" s="93">
        <v>45275</v>
      </c>
      <c r="K98" s="87" t="s">
        <v>63</v>
      </c>
      <c r="L98" s="87">
        <v>1767.5</v>
      </c>
      <c r="M98" s="95" t="s">
        <v>956</v>
      </c>
      <c r="N98" s="93"/>
      <c r="O98" s="85"/>
      <c r="Q98" s="94"/>
      <c r="R98" s="93"/>
      <c r="S98" s="85"/>
      <c r="U98" s="94"/>
      <c r="V98" s="93"/>
      <c r="W98" s="85"/>
      <c r="Y98" s="94"/>
      <c r="Z98" s="93"/>
      <c r="AA98" s="85"/>
      <c r="AC98" s="94"/>
      <c r="AD98" s="93"/>
      <c r="AE98" s="85"/>
    </row>
    <row r="99" spans="7:31" x14ac:dyDescent="0.35">
      <c r="G99" s="85"/>
      <c r="H99" s="87"/>
      <c r="I99" s="94">
        <v>5</v>
      </c>
      <c r="J99" s="93">
        <v>45275</v>
      </c>
      <c r="K99" s="87" t="s">
        <v>911</v>
      </c>
      <c r="L99" s="87">
        <v>212.54</v>
      </c>
      <c r="M99" s="95" t="s">
        <v>957</v>
      </c>
      <c r="N99" s="93"/>
      <c r="O99" s="85"/>
      <c r="Q99" s="94"/>
      <c r="R99" s="93"/>
      <c r="S99" s="85"/>
      <c r="U99" s="94"/>
      <c r="V99" s="93"/>
      <c r="W99" s="85"/>
      <c r="Y99" s="94"/>
      <c r="Z99" s="93"/>
      <c r="AA99" s="85"/>
      <c r="AC99" s="94"/>
      <c r="AD99" s="93"/>
      <c r="AE99" s="85"/>
    </row>
    <row r="100" spans="7:31" x14ac:dyDescent="0.35">
      <c r="G100" s="85"/>
      <c r="H100" s="87"/>
      <c r="I100" s="94">
        <v>5</v>
      </c>
      <c r="J100" s="93">
        <v>45275</v>
      </c>
      <c r="K100" s="87" t="s">
        <v>936</v>
      </c>
      <c r="L100" s="87">
        <v>8.26</v>
      </c>
      <c r="M100" s="95"/>
      <c r="N100" s="93"/>
      <c r="O100" s="85"/>
      <c r="Q100" s="94"/>
      <c r="R100" s="93"/>
      <c r="S100" s="85"/>
      <c r="U100" s="94"/>
      <c r="V100" s="93"/>
      <c r="W100" s="85"/>
      <c r="Y100" s="94"/>
      <c r="Z100" s="93"/>
      <c r="AA100" s="85"/>
      <c r="AC100" s="94"/>
      <c r="AD100" s="93"/>
      <c r="AE100" s="85"/>
    </row>
    <row r="101" spans="7:31" x14ac:dyDescent="0.35">
      <c r="G101" s="85"/>
      <c r="H101" s="87"/>
      <c r="I101" s="94">
        <v>5</v>
      </c>
      <c r="J101" s="93">
        <v>45278</v>
      </c>
      <c r="K101" s="87" t="s">
        <v>2290</v>
      </c>
      <c r="L101" s="87">
        <v>140.91999999999999</v>
      </c>
      <c r="M101" s="95" t="s">
        <v>958</v>
      </c>
      <c r="N101" s="93"/>
      <c r="O101" s="85"/>
      <c r="Q101" s="94"/>
      <c r="R101" s="93"/>
      <c r="S101" s="85"/>
      <c r="U101" s="94"/>
      <c r="V101" s="93"/>
      <c r="W101" s="85"/>
      <c r="Y101" s="94"/>
      <c r="Z101" s="93"/>
      <c r="AA101" s="85"/>
      <c r="AC101" s="94"/>
      <c r="AD101" s="93"/>
      <c r="AE101" s="85"/>
    </row>
    <row r="102" spans="7:31" x14ac:dyDescent="0.35">
      <c r="G102" s="85"/>
      <c r="H102" s="87"/>
      <c r="I102" s="94">
        <v>5</v>
      </c>
      <c r="J102" s="93">
        <v>45278</v>
      </c>
      <c r="K102" s="87" t="s">
        <v>899</v>
      </c>
      <c r="L102" s="87">
        <v>5.54</v>
      </c>
      <c r="M102" s="95" t="s">
        <v>959</v>
      </c>
      <c r="N102" s="93"/>
      <c r="O102" s="85"/>
      <c r="Q102" s="94"/>
      <c r="R102" s="93"/>
      <c r="S102" s="85"/>
      <c r="U102" s="94"/>
      <c r="V102" s="93"/>
      <c r="W102" s="85"/>
      <c r="Y102" s="94"/>
      <c r="Z102" s="93"/>
      <c r="AA102" s="85"/>
      <c r="AC102" s="94"/>
      <c r="AD102" s="93"/>
      <c r="AE102" s="85"/>
    </row>
    <row r="103" spans="7:31" x14ac:dyDescent="0.35">
      <c r="G103" s="85"/>
      <c r="H103" s="87"/>
      <c r="I103" s="94">
        <v>5</v>
      </c>
      <c r="J103" s="93">
        <v>45280</v>
      </c>
      <c r="K103" s="85" t="s">
        <v>2291</v>
      </c>
      <c r="L103" s="87">
        <v>9.9</v>
      </c>
      <c r="M103" s="95" t="s">
        <v>960</v>
      </c>
      <c r="N103" s="93"/>
      <c r="O103" s="85"/>
      <c r="Q103" s="94"/>
      <c r="R103" s="93"/>
      <c r="S103" s="85"/>
      <c r="U103" s="94"/>
      <c r="V103" s="93"/>
      <c r="W103" s="85"/>
      <c r="Y103" s="94"/>
      <c r="Z103" s="93"/>
      <c r="AA103" s="85"/>
      <c r="AC103" s="94"/>
      <c r="AD103" s="93"/>
      <c r="AE103" s="85"/>
    </row>
    <row r="104" spans="7:31" x14ac:dyDescent="0.35">
      <c r="G104" s="85"/>
      <c r="H104" s="87"/>
      <c r="I104" s="94">
        <v>5</v>
      </c>
      <c r="J104" s="93">
        <v>45293</v>
      </c>
      <c r="K104" s="85" t="s">
        <v>2290</v>
      </c>
      <c r="L104" s="87">
        <v>140.25</v>
      </c>
      <c r="M104" s="95" t="s">
        <v>961</v>
      </c>
      <c r="N104" s="93"/>
      <c r="O104" s="85"/>
      <c r="Q104" s="94"/>
      <c r="R104" s="93"/>
      <c r="S104" s="85"/>
      <c r="U104" s="94"/>
      <c r="V104" s="93"/>
      <c r="W104" s="85"/>
      <c r="Y104" s="94"/>
      <c r="Z104" s="93"/>
      <c r="AA104" s="85"/>
      <c r="AC104" s="94"/>
      <c r="AD104" s="93"/>
      <c r="AE104" s="85"/>
    </row>
    <row r="105" spans="7:31" x14ac:dyDescent="0.35">
      <c r="G105" s="85"/>
      <c r="H105" s="87"/>
      <c r="I105" s="94">
        <v>5</v>
      </c>
      <c r="J105" s="93">
        <v>45299</v>
      </c>
      <c r="K105" s="85" t="s">
        <v>2290</v>
      </c>
      <c r="L105" s="87">
        <v>17</v>
      </c>
      <c r="M105" s="95" t="s">
        <v>962</v>
      </c>
      <c r="N105" s="93"/>
      <c r="O105" s="85"/>
      <c r="Q105" s="94"/>
      <c r="R105" s="93"/>
      <c r="S105" s="85"/>
      <c r="U105" s="94"/>
      <c r="V105" s="93"/>
      <c r="W105" s="85"/>
      <c r="Y105" s="94"/>
      <c r="Z105" s="93"/>
      <c r="AA105" s="85"/>
      <c r="AC105" s="94"/>
      <c r="AD105" s="93"/>
      <c r="AE105" s="85"/>
    </row>
    <row r="106" spans="7:31" x14ac:dyDescent="0.35">
      <c r="G106" s="85"/>
      <c r="H106" s="87"/>
      <c r="I106" s="94">
        <v>6</v>
      </c>
      <c r="J106" s="93">
        <v>45294</v>
      </c>
      <c r="K106" s="85" t="s">
        <v>63</v>
      </c>
      <c r="L106" s="87">
        <v>431</v>
      </c>
      <c r="M106" s="95"/>
      <c r="N106" s="93"/>
      <c r="O106" s="85"/>
      <c r="Q106" s="94"/>
      <c r="R106" s="93"/>
      <c r="S106" s="85"/>
      <c r="U106" s="94"/>
      <c r="V106" s="93"/>
      <c r="W106" s="85"/>
      <c r="Y106" s="94"/>
      <c r="Z106" s="93"/>
      <c r="AA106" s="85"/>
      <c r="AC106" s="94"/>
      <c r="AD106" s="93"/>
      <c r="AE106" s="85"/>
    </row>
    <row r="107" spans="7:31" x14ac:dyDescent="0.35">
      <c r="G107" s="85"/>
      <c r="H107" s="87"/>
      <c r="I107" s="94">
        <v>5</v>
      </c>
      <c r="J107" s="93">
        <v>45211</v>
      </c>
      <c r="K107" s="85" t="s">
        <v>2367</v>
      </c>
      <c r="L107" s="87">
        <v>8</v>
      </c>
      <c r="M107" s="95" t="s">
        <v>963</v>
      </c>
      <c r="N107" s="93"/>
      <c r="O107" s="85"/>
      <c r="Q107" s="94"/>
      <c r="R107" s="93"/>
      <c r="S107" s="85"/>
      <c r="U107" s="94"/>
      <c r="V107" s="93"/>
      <c r="W107" s="85"/>
      <c r="Y107" s="94"/>
      <c r="Z107" s="93"/>
      <c r="AA107" s="85"/>
      <c r="AC107" s="94"/>
      <c r="AD107" s="93"/>
      <c r="AE107" s="85"/>
    </row>
    <row r="108" spans="7:31" x14ac:dyDescent="0.35">
      <c r="G108" s="85"/>
      <c r="H108" s="87"/>
      <c r="I108" s="94">
        <v>5</v>
      </c>
      <c r="J108" s="93">
        <v>45215</v>
      </c>
      <c r="K108" s="85" t="s">
        <v>896</v>
      </c>
      <c r="L108" s="87">
        <v>57.74</v>
      </c>
      <c r="M108" s="95" t="s">
        <v>964</v>
      </c>
      <c r="N108" s="93"/>
      <c r="O108" s="85"/>
      <c r="Q108" s="94"/>
      <c r="R108" s="93"/>
      <c r="S108" s="85"/>
      <c r="U108" s="94"/>
      <c r="V108" s="93"/>
      <c r="W108" s="85"/>
      <c r="Y108" s="94"/>
      <c r="Z108" s="93"/>
      <c r="AA108" s="85"/>
      <c r="AC108" s="94"/>
      <c r="AD108" s="93"/>
      <c r="AE108" s="85"/>
    </row>
    <row r="109" spans="7:31" x14ac:dyDescent="0.35">
      <c r="G109" s="85"/>
      <c r="H109" s="87"/>
      <c r="I109" s="94">
        <v>5</v>
      </c>
      <c r="J109" s="93">
        <v>45219</v>
      </c>
      <c r="K109" s="85" t="s">
        <v>896</v>
      </c>
      <c r="L109" s="87">
        <v>149.41</v>
      </c>
      <c r="M109" s="94"/>
      <c r="N109" s="93"/>
      <c r="O109" s="85"/>
      <c r="Q109" s="94"/>
      <c r="R109" s="93"/>
      <c r="S109" s="85"/>
      <c r="U109" s="94"/>
      <c r="V109" s="93"/>
      <c r="W109" s="85"/>
      <c r="Y109" s="94"/>
      <c r="Z109" s="93"/>
      <c r="AA109" s="85"/>
      <c r="AC109" s="94"/>
      <c r="AD109" s="93"/>
      <c r="AE109" s="85"/>
    </row>
    <row r="110" spans="7:31" x14ac:dyDescent="0.35">
      <c r="G110" s="85"/>
      <c r="H110" s="87"/>
      <c r="I110" s="94">
        <v>5</v>
      </c>
      <c r="J110" s="93">
        <v>45306</v>
      </c>
      <c r="K110" s="85" t="s">
        <v>896</v>
      </c>
      <c r="L110" s="87">
        <v>203.91</v>
      </c>
      <c r="M110" s="94" t="s">
        <v>965</v>
      </c>
      <c r="N110" s="93"/>
      <c r="O110" s="85"/>
      <c r="Q110" s="94"/>
      <c r="R110" s="93"/>
      <c r="S110" s="85"/>
      <c r="U110" s="94"/>
      <c r="V110" s="93"/>
      <c r="W110" s="85"/>
      <c r="Y110" s="94"/>
      <c r="Z110" s="93"/>
      <c r="AA110" s="85"/>
      <c r="AC110" s="94"/>
      <c r="AD110" s="93"/>
      <c r="AE110" s="85"/>
    </row>
    <row r="111" spans="7:31" x14ac:dyDescent="0.35">
      <c r="G111" s="85"/>
      <c r="H111" s="87"/>
      <c r="I111" s="94">
        <v>8</v>
      </c>
      <c r="J111" s="93">
        <v>45306</v>
      </c>
      <c r="K111" s="85" t="s">
        <v>906</v>
      </c>
      <c r="L111" s="87">
        <v>284</v>
      </c>
      <c r="M111" s="94" t="s">
        <v>966</v>
      </c>
      <c r="N111" s="93"/>
      <c r="O111" s="85"/>
      <c r="Q111" s="94"/>
      <c r="R111" s="93"/>
      <c r="S111" s="85"/>
      <c r="U111" s="94"/>
      <c r="V111" s="93"/>
      <c r="W111" s="85"/>
      <c r="Y111" s="94"/>
      <c r="Z111" s="93"/>
      <c r="AA111" s="85"/>
      <c r="AC111" s="94"/>
      <c r="AD111" s="93"/>
      <c r="AE111" s="85"/>
    </row>
    <row r="112" spans="7:31" x14ac:dyDescent="0.35">
      <c r="G112" s="85"/>
      <c r="H112" s="87"/>
      <c r="I112" s="94">
        <v>5</v>
      </c>
      <c r="J112" s="93">
        <v>45313</v>
      </c>
      <c r="K112" s="85" t="s">
        <v>896</v>
      </c>
      <c r="L112" s="87">
        <v>142.29</v>
      </c>
      <c r="M112" s="94"/>
      <c r="N112" s="93"/>
      <c r="O112" s="85"/>
      <c r="Q112" s="94"/>
      <c r="R112" s="93"/>
      <c r="S112" s="85"/>
      <c r="U112" s="94"/>
      <c r="V112" s="93"/>
      <c r="W112" s="85"/>
      <c r="Y112" s="94"/>
      <c r="Z112" s="93"/>
      <c r="AA112" s="85"/>
      <c r="AC112" s="94"/>
      <c r="AD112" s="93"/>
      <c r="AE112" s="85"/>
    </row>
    <row r="113" spans="7:31" x14ac:dyDescent="0.35">
      <c r="G113" s="85"/>
      <c r="H113" s="87"/>
      <c r="I113" s="94">
        <v>3</v>
      </c>
      <c r="J113" s="93">
        <v>45323</v>
      </c>
      <c r="K113" s="85" t="s">
        <v>2547</v>
      </c>
      <c r="L113" s="87">
        <v>20.83</v>
      </c>
      <c r="M113" s="94"/>
      <c r="N113" s="93"/>
      <c r="O113" s="85"/>
      <c r="Q113" s="94"/>
      <c r="R113" s="93"/>
      <c r="S113" s="85"/>
      <c r="U113" s="94"/>
      <c r="V113" s="93"/>
      <c r="W113" s="85"/>
      <c r="Y113" s="94"/>
      <c r="Z113" s="93"/>
      <c r="AA113" s="85"/>
      <c r="AC113" s="94"/>
      <c r="AD113" s="93"/>
      <c r="AE113" s="85"/>
    </row>
    <row r="114" spans="7:31" x14ac:dyDescent="0.35">
      <c r="G114" s="85"/>
      <c r="H114" s="87"/>
      <c r="I114" s="94">
        <v>6</v>
      </c>
      <c r="J114" s="93">
        <v>45306</v>
      </c>
      <c r="K114" s="85" t="s">
        <v>63</v>
      </c>
      <c r="L114" s="87">
        <v>880.5</v>
      </c>
      <c r="M114" s="94"/>
      <c r="N114" s="93"/>
      <c r="O114" s="85"/>
      <c r="Q114" s="94"/>
      <c r="R114" s="93"/>
      <c r="S114" s="85"/>
      <c r="U114" s="94"/>
      <c r="V114" s="93"/>
      <c r="W114" s="85"/>
      <c r="Y114" s="94"/>
      <c r="Z114" s="93"/>
      <c r="AA114" s="85"/>
      <c r="AC114" s="94"/>
      <c r="AD114" s="93"/>
      <c r="AE114" s="85"/>
    </row>
    <row r="115" spans="7:31" x14ac:dyDescent="0.35">
      <c r="G115" s="85"/>
      <c r="H115" s="87"/>
      <c r="I115" s="94">
        <v>6</v>
      </c>
      <c r="J115" s="93">
        <v>45319</v>
      </c>
      <c r="K115" s="85" t="s">
        <v>63</v>
      </c>
      <c r="L115" s="87">
        <v>1196</v>
      </c>
      <c r="M115" s="94"/>
      <c r="N115" s="93"/>
      <c r="O115" s="85"/>
      <c r="Q115" s="94"/>
      <c r="R115" s="93"/>
      <c r="S115" s="85"/>
      <c r="U115" s="94"/>
      <c r="V115" s="93"/>
      <c r="W115" s="85"/>
      <c r="Y115" s="94"/>
      <c r="Z115" s="93"/>
      <c r="AA115" s="85"/>
      <c r="AC115" s="94"/>
      <c r="AD115" s="93"/>
      <c r="AE115" s="85"/>
    </row>
    <row r="116" spans="7:31" x14ac:dyDescent="0.35">
      <c r="G116" s="85"/>
      <c r="H116" s="87"/>
      <c r="I116" s="94">
        <v>6</v>
      </c>
      <c r="J116" s="93">
        <v>45338</v>
      </c>
      <c r="K116" s="85" t="s">
        <v>63</v>
      </c>
      <c r="L116" s="87">
        <v>1039</v>
      </c>
      <c r="M116" s="94"/>
      <c r="N116" s="93"/>
      <c r="O116" s="85"/>
      <c r="Q116" s="94"/>
      <c r="R116" s="93"/>
      <c r="S116" s="85"/>
      <c r="U116" s="94"/>
      <c r="V116" s="93"/>
      <c r="W116" s="85"/>
      <c r="Y116" s="94"/>
      <c r="Z116" s="93"/>
      <c r="AA116" s="85"/>
      <c r="AC116" s="94"/>
      <c r="AD116" s="93"/>
      <c r="AE116" s="85"/>
    </row>
    <row r="117" spans="7:31" x14ac:dyDescent="0.35">
      <c r="G117" s="85"/>
      <c r="H117" s="87"/>
      <c r="I117" s="94">
        <v>6</v>
      </c>
      <c r="J117" s="93">
        <v>45349</v>
      </c>
      <c r="K117" s="85" t="s">
        <v>63</v>
      </c>
      <c r="L117" s="87">
        <v>1039.5</v>
      </c>
      <c r="M117" s="94"/>
      <c r="N117" s="93"/>
      <c r="O117" s="85"/>
      <c r="Q117" s="94"/>
      <c r="R117" s="93"/>
      <c r="S117" s="85"/>
      <c r="U117" s="94"/>
      <c r="V117" s="93"/>
      <c r="W117" s="85"/>
      <c r="Y117" s="94"/>
      <c r="Z117" s="93"/>
      <c r="AA117" s="85"/>
      <c r="AC117" s="94"/>
      <c r="AD117" s="93"/>
      <c r="AE117" s="85"/>
    </row>
    <row r="118" spans="7:31" x14ac:dyDescent="0.35">
      <c r="G118" s="85"/>
      <c r="H118" s="87"/>
      <c r="I118" s="94">
        <v>5</v>
      </c>
      <c r="J118" s="93">
        <v>45324</v>
      </c>
      <c r="K118" s="85" t="s">
        <v>2591</v>
      </c>
      <c r="L118" s="87">
        <v>26.64</v>
      </c>
      <c r="M118" s="94"/>
      <c r="N118" s="93"/>
      <c r="O118" s="85"/>
      <c r="Q118" s="94"/>
      <c r="R118" s="93"/>
      <c r="S118" s="85"/>
      <c r="U118" s="94"/>
      <c r="V118" s="93"/>
      <c r="W118" s="85"/>
      <c r="Y118" s="94"/>
      <c r="Z118" s="93"/>
      <c r="AA118" s="85"/>
      <c r="AC118" s="94"/>
      <c r="AD118" s="93"/>
      <c r="AE118" s="85"/>
    </row>
    <row r="119" spans="7:31" x14ac:dyDescent="0.35">
      <c r="G119" s="85"/>
      <c r="H119" s="87"/>
      <c r="I119" s="94">
        <v>5</v>
      </c>
      <c r="J119" s="93">
        <v>45324</v>
      </c>
      <c r="K119" s="85" t="s">
        <v>904</v>
      </c>
      <c r="L119" s="87">
        <v>2.58</v>
      </c>
      <c r="M119" s="94"/>
      <c r="N119" s="93"/>
      <c r="O119" s="85"/>
      <c r="Q119" s="94"/>
      <c r="R119" s="93"/>
      <c r="S119" s="85"/>
      <c r="U119" s="94"/>
      <c r="V119" s="93"/>
      <c r="W119" s="85"/>
      <c r="Y119" s="94"/>
      <c r="Z119" s="93"/>
      <c r="AA119" s="85"/>
      <c r="AC119" s="94"/>
      <c r="AD119" s="93"/>
      <c r="AE119" s="85"/>
    </row>
    <row r="120" spans="7:31" x14ac:dyDescent="0.35">
      <c r="G120" s="85"/>
      <c r="H120" s="87"/>
      <c r="I120" s="94">
        <v>5</v>
      </c>
      <c r="J120" s="93">
        <v>45327</v>
      </c>
      <c r="K120" s="85" t="s">
        <v>2290</v>
      </c>
      <c r="L120" s="87">
        <v>66.56</v>
      </c>
      <c r="M120" s="94"/>
      <c r="N120" s="93"/>
      <c r="O120" s="85"/>
      <c r="Q120" s="94"/>
      <c r="R120" s="93"/>
      <c r="S120" s="85"/>
      <c r="U120" s="94"/>
      <c r="V120" s="93"/>
      <c r="W120" s="85"/>
      <c r="Y120" s="94"/>
      <c r="Z120" s="93"/>
      <c r="AA120" s="85"/>
      <c r="AC120" s="94"/>
      <c r="AD120" s="93"/>
      <c r="AE120" s="85"/>
    </row>
    <row r="121" spans="7:31" x14ac:dyDescent="0.35">
      <c r="G121" s="85"/>
      <c r="H121" s="87"/>
      <c r="I121" s="94">
        <v>5</v>
      </c>
      <c r="J121" s="93">
        <v>45330</v>
      </c>
      <c r="K121" s="85" t="s">
        <v>899</v>
      </c>
      <c r="L121" s="87">
        <v>5.39</v>
      </c>
      <c r="M121" s="94"/>
      <c r="N121" s="93"/>
      <c r="O121" s="85"/>
      <c r="Q121" s="94"/>
      <c r="R121" s="93"/>
      <c r="S121" s="85"/>
      <c r="U121" s="94"/>
      <c r="V121" s="93"/>
      <c r="W121" s="85"/>
      <c r="Y121" s="94"/>
      <c r="Z121" s="93"/>
      <c r="AA121" s="85"/>
      <c r="AC121" s="94"/>
      <c r="AD121" s="93"/>
      <c r="AE121" s="85"/>
    </row>
    <row r="122" spans="7:31" x14ac:dyDescent="0.35">
      <c r="G122" s="85"/>
      <c r="H122" s="87"/>
      <c r="I122" s="94">
        <v>5</v>
      </c>
      <c r="J122" s="93">
        <v>45330</v>
      </c>
      <c r="K122" s="85" t="s">
        <v>2290</v>
      </c>
      <c r="L122" s="87">
        <v>133.49</v>
      </c>
      <c r="M122" s="94"/>
      <c r="N122" s="93"/>
      <c r="O122" s="85"/>
      <c r="Q122" s="94"/>
      <c r="R122" s="93"/>
      <c r="S122" s="85"/>
      <c r="U122" s="94"/>
      <c r="V122" s="93"/>
      <c r="W122" s="85"/>
      <c r="Y122" s="94"/>
      <c r="Z122" s="93"/>
      <c r="AA122" s="85"/>
      <c r="AC122" s="94"/>
      <c r="AD122" s="93"/>
      <c r="AE122" s="85"/>
    </row>
    <row r="123" spans="7:31" x14ac:dyDescent="0.35">
      <c r="G123" s="85"/>
      <c r="H123" s="87"/>
      <c r="I123" s="94">
        <v>5</v>
      </c>
      <c r="J123" s="93">
        <v>45341</v>
      </c>
      <c r="K123" s="85" t="s">
        <v>2290</v>
      </c>
      <c r="L123" s="87">
        <v>154.91999999999999</v>
      </c>
      <c r="M123" s="94"/>
      <c r="N123" s="93"/>
      <c r="O123" s="85"/>
      <c r="Q123" s="94"/>
      <c r="R123" s="93"/>
      <c r="S123" s="85"/>
      <c r="U123" s="94"/>
      <c r="V123" s="93"/>
      <c r="W123" s="85"/>
      <c r="Y123" s="94"/>
      <c r="Z123" s="93"/>
      <c r="AA123" s="85"/>
      <c r="AC123" s="94"/>
      <c r="AD123" s="93"/>
      <c r="AE123" s="85"/>
    </row>
    <row r="124" spans="7:31" x14ac:dyDescent="0.35">
      <c r="G124" s="85"/>
      <c r="H124" s="87"/>
      <c r="I124" s="94">
        <v>5</v>
      </c>
      <c r="J124" s="93">
        <v>45348</v>
      </c>
      <c r="K124" s="85" t="s">
        <v>2290</v>
      </c>
      <c r="L124" s="87">
        <v>153.82</v>
      </c>
      <c r="M124" s="94"/>
      <c r="N124" s="93"/>
      <c r="O124" s="85"/>
      <c r="Q124" s="94"/>
      <c r="R124" s="93"/>
      <c r="S124" s="85"/>
      <c r="U124" s="94"/>
      <c r="V124" s="93"/>
      <c r="W124" s="85"/>
      <c r="Y124" s="94"/>
      <c r="Z124" s="93"/>
      <c r="AA124" s="85"/>
      <c r="AC124" s="94"/>
      <c r="AD124" s="93"/>
      <c r="AE124" s="85"/>
    </row>
    <row r="125" spans="7:31" x14ac:dyDescent="0.35">
      <c r="G125" s="85"/>
      <c r="H125" s="87"/>
      <c r="I125" s="94">
        <v>5</v>
      </c>
      <c r="J125" s="93">
        <v>45355</v>
      </c>
      <c r="K125" s="85" t="s">
        <v>2290</v>
      </c>
      <c r="L125" s="87">
        <v>202.96</v>
      </c>
      <c r="M125" s="94"/>
      <c r="N125" s="93"/>
      <c r="O125" s="85"/>
      <c r="Q125" s="94"/>
      <c r="R125" s="93"/>
      <c r="S125" s="85"/>
      <c r="U125" s="94"/>
      <c r="V125" s="93"/>
      <c r="W125" s="85"/>
      <c r="Y125" s="94"/>
      <c r="Z125" s="93"/>
      <c r="AA125" s="85"/>
      <c r="AC125" s="94"/>
      <c r="AD125" s="93"/>
      <c r="AE125" s="85"/>
    </row>
    <row r="126" spans="7:31" x14ac:dyDescent="0.35">
      <c r="G126" s="85"/>
      <c r="H126" s="87"/>
      <c r="I126" s="94">
        <v>5</v>
      </c>
      <c r="J126" s="93">
        <v>45355</v>
      </c>
      <c r="K126" s="85" t="s">
        <v>904</v>
      </c>
      <c r="L126" s="87">
        <v>2.57</v>
      </c>
      <c r="M126" s="94"/>
      <c r="N126" s="93"/>
      <c r="O126" s="85"/>
      <c r="Q126" s="94"/>
      <c r="R126" s="93"/>
      <c r="S126" s="85"/>
      <c r="U126" s="94"/>
      <c r="V126" s="93"/>
      <c r="W126" s="85"/>
      <c r="Y126" s="94"/>
      <c r="Z126" s="93"/>
      <c r="AA126" s="85"/>
      <c r="AC126" s="94"/>
      <c r="AD126" s="93"/>
      <c r="AE126" s="85"/>
    </row>
    <row r="127" spans="7:31" x14ac:dyDescent="0.35">
      <c r="G127" s="85"/>
      <c r="H127" s="87"/>
      <c r="I127" s="94">
        <v>5</v>
      </c>
      <c r="J127" s="93">
        <v>45359</v>
      </c>
      <c r="K127" s="85" t="s">
        <v>899</v>
      </c>
      <c r="L127" s="87">
        <v>1.1100000000000001</v>
      </c>
      <c r="M127" s="94"/>
      <c r="N127" s="93"/>
      <c r="O127" s="85"/>
      <c r="Q127" s="94"/>
      <c r="R127" s="93"/>
      <c r="S127" s="85"/>
      <c r="U127" s="94"/>
      <c r="V127" s="93"/>
      <c r="W127" s="85"/>
      <c r="Y127" s="94"/>
      <c r="Z127" s="93"/>
      <c r="AA127" s="85"/>
      <c r="AC127" s="94"/>
      <c r="AD127" s="93"/>
      <c r="AE127" s="85"/>
    </row>
    <row r="128" spans="7:31" x14ac:dyDescent="0.35">
      <c r="G128" s="85"/>
      <c r="H128" s="87"/>
      <c r="I128" s="94">
        <v>5</v>
      </c>
      <c r="J128" s="93">
        <v>45369</v>
      </c>
      <c r="K128" s="85" t="s">
        <v>2290</v>
      </c>
      <c r="L128" s="87">
        <v>173</v>
      </c>
      <c r="M128" s="94"/>
      <c r="N128" s="93"/>
      <c r="O128" s="85"/>
      <c r="Q128" s="94"/>
      <c r="R128" s="93"/>
      <c r="S128" s="85"/>
      <c r="U128" s="94"/>
      <c r="V128" s="93"/>
      <c r="W128" s="85"/>
      <c r="Y128" s="94"/>
      <c r="Z128" s="93"/>
      <c r="AA128" s="85"/>
      <c r="AC128" s="94"/>
      <c r="AD128" s="93"/>
      <c r="AE128" s="85"/>
    </row>
    <row r="129" spans="7:31" x14ac:dyDescent="0.35">
      <c r="G129" s="85"/>
      <c r="H129" s="87"/>
      <c r="I129" s="94">
        <v>8</v>
      </c>
      <c r="J129" s="93">
        <v>45373</v>
      </c>
      <c r="K129" s="85" t="s">
        <v>2661</v>
      </c>
      <c r="L129" s="87">
        <v>1463.8</v>
      </c>
      <c r="M129" s="94"/>
      <c r="N129" s="93"/>
      <c r="O129" s="85"/>
      <c r="Q129" s="94"/>
      <c r="R129" s="93"/>
      <c r="S129" s="85"/>
      <c r="U129" s="94"/>
      <c r="V129" s="93"/>
      <c r="W129" s="85"/>
      <c r="Y129" s="94"/>
      <c r="Z129" s="93"/>
      <c r="AA129" s="85"/>
      <c r="AC129" s="94"/>
      <c r="AD129" s="93"/>
      <c r="AE129" s="85"/>
    </row>
    <row r="130" spans="7:31" x14ac:dyDescent="0.35">
      <c r="G130" s="85"/>
      <c r="H130" s="87"/>
      <c r="I130" s="94">
        <v>5</v>
      </c>
      <c r="J130" s="93">
        <v>45373</v>
      </c>
      <c r="K130" s="85" t="s">
        <v>911</v>
      </c>
      <c r="L130" s="87">
        <v>108.85</v>
      </c>
      <c r="M130" s="94"/>
      <c r="N130" s="93"/>
      <c r="O130" s="85"/>
      <c r="Q130" s="94"/>
      <c r="R130" s="93"/>
      <c r="S130" s="85"/>
      <c r="U130" s="94"/>
      <c r="V130" s="93"/>
      <c r="W130" s="85"/>
      <c r="Y130" s="94"/>
      <c r="Z130" s="93"/>
      <c r="AA130" s="85"/>
      <c r="AC130" s="94"/>
      <c r="AD130" s="93"/>
      <c r="AE130" s="85"/>
    </row>
    <row r="131" spans="7:31" x14ac:dyDescent="0.35">
      <c r="G131" s="85"/>
      <c r="H131" s="87"/>
      <c r="I131" s="94">
        <v>5</v>
      </c>
      <c r="J131" s="93">
        <v>45362</v>
      </c>
      <c r="K131" s="85" t="s">
        <v>2290</v>
      </c>
      <c r="L131" s="87">
        <v>115.33</v>
      </c>
      <c r="M131" s="94"/>
      <c r="N131" s="93"/>
      <c r="O131" s="85"/>
      <c r="Q131" s="94"/>
      <c r="R131" s="93"/>
      <c r="S131" s="85"/>
      <c r="U131" s="94"/>
      <c r="V131" s="93"/>
      <c r="W131" s="85"/>
      <c r="Y131" s="94"/>
      <c r="Z131" s="93"/>
      <c r="AA131" s="85"/>
      <c r="AC131" s="94"/>
      <c r="AD131" s="93"/>
      <c r="AE131" s="85"/>
    </row>
    <row r="132" spans="7:31" x14ac:dyDescent="0.35">
      <c r="G132" s="85"/>
      <c r="H132" s="87"/>
      <c r="I132" s="94">
        <v>5</v>
      </c>
      <c r="J132" s="93">
        <v>45320</v>
      </c>
      <c r="K132" s="85" t="s">
        <v>2290</v>
      </c>
      <c r="L132" s="87">
        <v>47.57</v>
      </c>
      <c r="M132" s="94"/>
      <c r="N132" s="93"/>
      <c r="O132" s="85"/>
      <c r="Q132" s="94"/>
      <c r="R132" s="93"/>
      <c r="S132" s="85"/>
      <c r="U132" s="94"/>
      <c r="V132" s="93"/>
      <c r="W132" s="85"/>
      <c r="Y132" s="94"/>
      <c r="Z132" s="93"/>
      <c r="AA132" s="85"/>
      <c r="AC132" s="94"/>
      <c r="AD132" s="93"/>
      <c r="AE132" s="85"/>
    </row>
    <row r="133" spans="7:31" x14ac:dyDescent="0.35">
      <c r="G133" s="85"/>
      <c r="H133" s="87"/>
      <c r="I133" s="94">
        <v>6</v>
      </c>
      <c r="J133" s="93">
        <v>45366</v>
      </c>
      <c r="K133" s="85" t="s">
        <v>63</v>
      </c>
      <c r="L133" s="87">
        <v>2083</v>
      </c>
      <c r="M133" s="94"/>
      <c r="N133" s="93"/>
      <c r="O133" s="85"/>
      <c r="Q133" s="94"/>
      <c r="R133" s="93"/>
      <c r="S133" s="85"/>
      <c r="U133" s="94"/>
      <c r="V133" s="93"/>
      <c r="W133" s="85"/>
      <c r="Y133" s="94"/>
      <c r="Z133" s="93"/>
      <c r="AA133" s="85"/>
      <c r="AC133" s="94"/>
      <c r="AD133" s="93"/>
      <c r="AE133" s="85"/>
    </row>
    <row r="134" spans="7:31" x14ac:dyDescent="0.35">
      <c r="G134" s="85"/>
      <c r="H134" s="87"/>
      <c r="I134" s="94">
        <v>8</v>
      </c>
      <c r="J134" s="93" t="s">
        <v>790</v>
      </c>
      <c r="K134" s="85" t="s">
        <v>2720</v>
      </c>
      <c r="L134" s="87">
        <f>610.5+85+689+85+803.28+85+85+425.5+295+85+329+85+272+85+85+361.5+85+303.5</f>
        <v>4854.28</v>
      </c>
      <c r="M134" s="94"/>
      <c r="N134" s="93"/>
      <c r="O134" s="85"/>
      <c r="Q134" s="94"/>
      <c r="R134" s="93"/>
      <c r="S134" s="85"/>
      <c r="U134" s="94"/>
      <c r="V134" s="93"/>
      <c r="W134" s="85"/>
      <c r="Y134" s="94"/>
      <c r="Z134" s="93"/>
      <c r="AA134" s="85"/>
      <c r="AC134" s="94"/>
      <c r="AD134" s="93"/>
      <c r="AE134" s="85"/>
    </row>
    <row r="135" spans="7:31" x14ac:dyDescent="0.35">
      <c r="G135" s="85"/>
      <c r="H135" s="87"/>
      <c r="I135" s="94">
        <v>8</v>
      </c>
      <c r="J135" s="93">
        <v>45317</v>
      </c>
      <c r="K135" s="85" t="s">
        <v>2661</v>
      </c>
      <c r="L135" s="87">
        <v>1237.5999999999999</v>
      </c>
      <c r="M135" s="94"/>
      <c r="N135" s="93"/>
      <c r="O135" s="85"/>
      <c r="Q135" s="94"/>
      <c r="R135" s="93"/>
      <c r="S135" s="85"/>
      <c r="U135" s="94"/>
      <c r="V135" s="93"/>
      <c r="W135" s="85"/>
      <c r="Y135" s="94"/>
      <c r="Z135" s="93"/>
      <c r="AA135" s="85"/>
      <c r="AC135" s="94"/>
      <c r="AD135" s="93"/>
      <c r="AE135" s="85"/>
    </row>
    <row r="136" spans="7:31" x14ac:dyDescent="0.35">
      <c r="G136" s="85"/>
      <c r="H136" s="87"/>
      <c r="I136" s="94">
        <v>8</v>
      </c>
      <c r="J136" s="93">
        <v>45327</v>
      </c>
      <c r="K136" s="85" t="s">
        <v>2721</v>
      </c>
      <c r="L136" s="87">
        <f>1157+1742.39+390.25</f>
        <v>3289.6400000000003</v>
      </c>
      <c r="M136" s="94"/>
      <c r="N136" s="93"/>
      <c r="O136" s="85"/>
      <c r="Q136" s="94"/>
      <c r="R136" s="93"/>
      <c r="S136" s="85"/>
      <c r="U136" s="94"/>
      <c r="V136" s="93"/>
      <c r="W136" s="85"/>
      <c r="Y136" s="94"/>
      <c r="Z136" s="93"/>
      <c r="AA136" s="85"/>
      <c r="AC136" s="94"/>
      <c r="AD136" s="93"/>
      <c r="AE136" s="85"/>
    </row>
    <row r="137" spans="7:31" x14ac:dyDescent="0.35">
      <c r="G137" s="85"/>
      <c r="H137" s="87"/>
      <c r="I137" s="94">
        <v>8</v>
      </c>
      <c r="J137" s="93">
        <v>45364</v>
      </c>
      <c r="K137" s="85" t="s">
        <v>908</v>
      </c>
      <c r="L137" s="87">
        <v>218.75</v>
      </c>
      <c r="M137" s="94"/>
      <c r="N137" s="93"/>
      <c r="O137" s="85"/>
      <c r="Q137" s="94"/>
      <c r="R137" s="93"/>
      <c r="S137" s="85"/>
      <c r="U137" s="94"/>
      <c r="V137" s="93"/>
      <c r="W137" s="85"/>
      <c r="Y137" s="94"/>
      <c r="Z137" s="93"/>
      <c r="AA137" s="85"/>
      <c r="AC137" s="94"/>
      <c r="AD137" s="93"/>
      <c r="AE137" s="85"/>
    </row>
    <row r="138" spans="7:31" x14ac:dyDescent="0.35">
      <c r="G138" s="85"/>
      <c r="H138" s="87"/>
      <c r="I138" s="94">
        <v>5</v>
      </c>
      <c r="J138" s="93">
        <v>45376</v>
      </c>
      <c r="K138" s="85" t="s">
        <v>2290</v>
      </c>
      <c r="L138" s="87">
        <v>251.83</v>
      </c>
      <c r="M138" s="94"/>
      <c r="N138" s="93"/>
      <c r="O138" s="85"/>
      <c r="Q138" s="94"/>
      <c r="R138" s="93"/>
      <c r="S138" s="85"/>
      <c r="U138" s="94"/>
      <c r="V138" s="93"/>
      <c r="W138" s="85"/>
      <c r="Y138" s="94"/>
      <c r="Z138" s="93"/>
      <c r="AA138" s="85"/>
      <c r="AC138" s="94"/>
      <c r="AD138" s="93"/>
      <c r="AE138" s="85"/>
    </row>
    <row r="139" spans="7:31" x14ac:dyDescent="0.35">
      <c r="G139" s="85"/>
      <c r="H139" s="87"/>
      <c r="I139" s="94">
        <v>5</v>
      </c>
      <c r="J139" s="93">
        <v>45379</v>
      </c>
      <c r="K139" s="85" t="s">
        <v>899</v>
      </c>
      <c r="L139" s="87">
        <v>10.3</v>
      </c>
      <c r="M139" s="94"/>
      <c r="N139" s="93"/>
      <c r="O139" s="85"/>
      <c r="Q139" s="94"/>
      <c r="R139" s="93"/>
      <c r="S139" s="85"/>
      <c r="U139" s="94"/>
      <c r="V139" s="93"/>
      <c r="W139" s="85"/>
      <c r="Y139" s="94"/>
      <c r="Z139" s="93"/>
      <c r="AA139" s="85"/>
      <c r="AC139" s="94"/>
      <c r="AD139" s="93"/>
      <c r="AE139" s="85"/>
    </row>
    <row r="140" spans="7:31" x14ac:dyDescent="0.35">
      <c r="G140" s="85"/>
      <c r="H140" s="87"/>
      <c r="I140" s="94">
        <v>5</v>
      </c>
      <c r="J140" s="93">
        <v>45379</v>
      </c>
      <c r="K140" s="85" t="s">
        <v>2255</v>
      </c>
      <c r="L140" s="87">
        <v>94.46</v>
      </c>
      <c r="M140" s="94"/>
      <c r="N140" s="93"/>
      <c r="O140" s="85"/>
      <c r="Q140" s="94"/>
      <c r="R140" s="93"/>
      <c r="S140" s="85"/>
      <c r="U140" s="94"/>
      <c r="V140" s="93"/>
      <c r="W140" s="85"/>
      <c r="Y140" s="94"/>
      <c r="Z140" s="93"/>
      <c r="AA140" s="85"/>
      <c r="AC140" s="94"/>
      <c r="AD140" s="93"/>
      <c r="AE140" s="85"/>
    </row>
    <row r="141" spans="7:31" x14ac:dyDescent="0.35">
      <c r="G141" s="85"/>
      <c r="H141" s="87"/>
      <c r="I141" s="94">
        <v>5</v>
      </c>
      <c r="J141" s="93">
        <v>45379</v>
      </c>
      <c r="K141" s="85" t="s">
        <v>2291</v>
      </c>
      <c r="L141" s="87">
        <v>6.02</v>
      </c>
      <c r="M141" s="94"/>
      <c r="N141" s="93"/>
      <c r="O141" s="85"/>
      <c r="Q141" s="94"/>
      <c r="R141" s="93"/>
      <c r="S141" s="85"/>
      <c r="U141" s="94"/>
      <c r="V141" s="93"/>
      <c r="W141" s="85"/>
      <c r="Y141" s="94"/>
      <c r="Z141" s="93"/>
      <c r="AA141" s="85"/>
      <c r="AC141" s="94"/>
      <c r="AD141" s="93"/>
      <c r="AE141" s="85"/>
    </row>
    <row r="142" spans="7:31" x14ac:dyDescent="0.35">
      <c r="G142" s="85"/>
      <c r="H142" s="87"/>
      <c r="I142" s="94">
        <v>8</v>
      </c>
      <c r="J142" s="93">
        <v>45379</v>
      </c>
      <c r="K142" s="85" t="s">
        <v>2768</v>
      </c>
      <c r="L142" s="87">
        <v>353</v>
      </c>
      <c r="M142" s="94"/>
      <c r="N142" s="93"/>
      <c r="O142" s="85"/>
      <c r="Q142" s="94"/>
      <c r="R142" s="93"/>
      <c r="S142" s="85"/>
      <c r="U142" s="94"/>
      <c r="V142" s="93"/>
      <c r="W142" s="85"/>
      <c r="Y142" s="94"/>
      <c r="Z142" s="93"/>
      <c r="AA142" s="85"/>
      <c r="AC142" s="94"/>
      <c r="AD142" s="93"/>
      <c r="AE142" s="85"/>
    </row>
    <row r="143" spans="7:31" x14ac:dyDescent="0.35">
      <c r="G143" s="85"/>
      <c r="H143" s="87"/>
      <c r="I143" s="94">
        <v>8</v>
      </c>
      <c r="J143" s="93">
        <v>45379</v>
      </c>
      <c r="K143" s="85" t="s">
        <v>2768</v>
      </c>
      <c r="L143" s="87">
        <v>85</v>
      </c>
      <c r="M143" s="94"/>
      <c r="N143" s="93"/>
      <c r="O143" s="85"/>
      <c r="Q143" s="94"/>
      <c r="R143" s="93"/>
      <c r="S143" s="85"/>
      <c r="U143" s="94"/>
      <c r="V143" s="93"/>
      <c r="W143" s="85"/>
      <c r="Y143" s="94"/>
      <c r="Z143" s="93"/>
      <c r="AA143" s="85"/>
      <c r="AC143" s="94"/>
      <c r="AD143" s="93"/>
      <c r="AE143" s="85"/>
    </row>
    <row r="144" spans="7:31" x14ac:dyDescent="0.35">
      <c r="G144" s="85"/>
      <c r="H144" s="87"/>
      <c r="I144" s="94">
        <v>11</v>
      </c>
      <c r="J144" s="93">
        <v>45329</v>
      </c>
      <c r="K144" s="85" t="s">
        <v>2568</v>
      </c>
      <c r="L144" s="87">
        <v>713.53</v>
      </c>
      <c r="M144" s="94"/>
      <c r="N144" s="93"/>
      <c r="O144" s="85"/>
      <c r="Q144" s="94"/>
      <c r="R144" s="93"/>
      <c r="S144" s="85"/>
      <c r="U144" s="94"/>
      <c r="V144" s="93"/>
      <c r="W144" s="85"/>
      <c r="Y144" s="94"/>
      <c r="Z144" s="93"/>
      <c r="AA144" s="85"/>
      <c r="AC144" s="94"/>
      <c r="AD144" s="93"/>
      <c r="AE144" s="85"/>
    </row>
    <row r="145" spans="7:31" x14ac:dyDescent="0.35">
      <c r="G145" s="85"/>
      <c r="H145" s="87"/>
      <c r="I145" s="94">
        <v>3</v>
      </c>
      <c r="J145" s="93">
        <v>45329</v>
      </c>
      <c r="K145" s="85" t="s">
        <v>2568</v>
      </c>
      <c r="L145" s="87">
        <f>8575-L144</f>
        <v>7861.47</v>
      </c>
      <c r="M145" s="94"/>
      <c r="N145" s="93"/>
      <c r="O145" s="85"/>
      <c r="Q145" s="94"/>
      <c r="R145" s="93"/>
      <c r="S145" s="85"/>
      <c r="U145" s="94"/>
      <c r="V145" s="93"/>
      <c r="W145" s="85"/>
      <c r="Y145" s="94"/>
      <c r="Z145" s="93"/>
      <c r="AA145" s="85"/>
      <c r="AC145" s="94"/>
      <c r="AD145" s="93"/>
      <c r="AE145" s="85"/>
    </row>
    <row r="146" spans="7:31" x14ac:dyDescent="0.35">
      <c r="G146" s="85"/>
      <c r="H146" s="87"/>
      <c r="I146" s="94">
        <v>5</v>
      </c>
      <c r="J146" s="93">
        <v>45382</v>
      </c>
      <c r="K146" s="85" t="s">
        <v>2783</v>
      </c>
      <c r="L146" s="87">
        <v>188.77</v>
      </c>
      <c r="M146" s="94"/>
      <c r="N146" s="93"/>
      <c r="O146" s="85"/>
      <c r="Q146" s="94"/>
      <c r="R146" s="93"/>
      <c r="S146" s="85"/>
      <c r="U146" s="94"/>
      <c r="V146" s="93"/>
      <c r="W146" s="85"/>
      <c r="Y146" s="94"/>
      <c r="Z146" s="93"/>
      <c r="AA146" s="85"/>
      <c r="AC146" s="94"/>
      <c r="AD146" s="93"/>
      <c r="AE146" s="85"/>
    </row>
    <row r="147" spans="7:31" x14ac:dyDescent="0.35">
      <c r="G147" s="85"/>
      <c r="H147" s="87"/>
      <c r="K147" s="85"/>
      <c r="M147" s="94"/>
      <c r="N147" s="93"/>
      <c r="O147" s="85"/>
      <c r="Q147" s="94"/>
      <c r="R147" s="93"/>
      <c r="S147" s="85"/>
      <c r="U147" s="94"/>
      <c r="V147" s="93"/>
      <c r="W147" s="85"/>
      <c r="Y147" s="94"/>
      <c r="Z147" s="93"/>
      <c r="AA147" s="85"/>
      <c r="AC147" s="94"/>
      <c r="AD147" s="93"/>
      <c r="AE147" s="85"/>
    </row>
    <row r="148" spans="7:31" x14ac:dyDescent="0.35">
      <c r="G148" s="85"/>
      <c r="H148" s="87"/>
      <c r="K148" s="85"/>
      <c r="M148" s="94"/>
      <c r="N148" s="93"/>
      <c r="O148" s="85"/>
      <c r="Q148" s="94"/>
      <c r="R148" s="93"/>
      <c r="S148" s="85"/>
      <c r="U148" s="94"/>
      <c r="V148" s="93"/>
      <c r="W148" s="85"/>
      <c r="Y148" s="94"/>
      <c r="Z148" s="93"/>
      <c r="AA148" s="85"/>
      <c r="AC148" s="94"/>
      <c r="AD148" s="93"/>
      <c r="AE148" s="85"/>
    </row>
    <row r="149" spans="7:31" x14ac:dyDescent="0.35">
      <c r="G149" s="85"/>
      <c r="H149" s="87"/>
      <c r="K149" s="85"/>
      <c r="M149" s="94"/>
      <c r="N149" s="93"/>
      <c r="O149" s="85"/>
      <c r="Q149" s="94"/>
      <c r="R149" s="93"/>
      <c r="S149" s="85"/>
      <c r="U149" s="94"/>
      <c r="V149" s="93"/>
      <c r="W149" s="85"/>
      <c r="Y149" s="94"/>
      <c r="Z149" s="93"/>
      <c r="AA149" s="85"/>
      <c r="AC149" s="94"/>
      <c r="AD149" s="93"/>
      <c r="AE149" s="85"/>
    </row>
    <row r="150" spans="7:31" x14ac:dyDescent="0.35">
      <c r="G150" s="85"/>
      <c r="H150" s="87"/>
      <c r="K150" s="85"/>
      <c r="M150" s="94"/>
      <c r="N150" s="93"/>
      <c r="O150" s="85"/>
      <c r="Q150" s="94"/>
      <c r="R150" s="93"/>
      <c r="S150" s="85"/>
      <c r="U150" s="94"/>
      <c r="V150" s="93"/>
      <c r="W150" s="85"/>
      <c r="Y150" s="94"/>
      <c r="Z150" s="93"/>
      <c r="AA150" s="85"/>
      <c r="AC150" s="94"/>
      <c r="AD150" s="93"/>
      <c r="AE150" s="85"/>
    </row>
    <row r="151" spans="7:31" x14ac:dyDescent="0.35">
      <c r="G151" s="85"/>
      <c r="H151" s="87"/>
      <c r="K151" s="85"/>
      <c r="M151" s="94"/>
      <c r="N151" s="93"/>
      <c r="O151" s="85"/>
      <c r="Q151" s="94"/>
      <c r="R151" s="93"/>
      <c r="S151" s="85"/>
      <c r="U151" s="94"/>
      <c r="V151" s="93"/>
      <c r="W151" s="85"/>
      <c r="Y151" s="94"/>
      <c r="Z151" s="93"/>
      <c r="AA151" s="85"/>
      <c r="AC151" s="94"/>
      <c r="AD151" s="93"/>
      <c r="AE151" s="85"/>
    </row>
    <row r="152" spans="7:31" x14ac:dyDescent="0.35">
      <c r="G152" s="85"/>
      <c r="H152" s="87"/>
      <c r="K152" s="85"/>
      <c r="M152" s="94"/>
      <c r="N152" s="93"/>
      <c r="O152" s="85"/>
      <c r="Q152" s="94"/>
      <c r="R152" s="93"/>
      <c r="S152" s="85"/>
      <c r="U152" s="94"/>
      <c r="V152" s="93"/>
      <c r="W152" s="85"/>
      <c r="Y152" s="94"/>
      <c r="Z152" s="93"/>
      <c r="AA152" s="85"/>
      <c r="AC152" s="94"/>
      <c r="AD152" s="93"/>
      <c r="AE152" s="85"/>
    </row>
    <row r="153" spans="7:31" x14ac:dyDescent="0.35">
      <c r="G153" s="85"/>
      <c r="H153" s="87"/>
      <c r="K153" s="85"/>
      <c r="M153" s="94"/>
      <c r="N153" s="93"/>
      <c r="O153" s="85"/>
      <c r="Q153" s="94"/>
      <c r="R153" s="93"/>
      <c r="S153" s="85"/>
      <c r="U153" s="94"/>
      <c r="V153" s="93"/>
      <c r="W153" s="85"/>
      <c r="Y153" s="94"/>
      <c r="Z153" s="93"/>
      <c r="AA153" s="85"/>
      <c r="AC153" s="94"/>
      <c r="AD153" s="93"/>
      <c r="AE153" s="85"/>
    </row>
    <row r="154" spans="7:31" x14ac:dyDescent="0.35">
      <c r="G154" s="85"/>
      <c r="H154" s="87"/>
      <c r="K154" s="85"/>
      <c r="M154" s="94"/>
      <c r="N154" s="93"/>
      <c r="O154" s="85"/>
      <c r="Q154" s="94"/>
      <c r="R154" s="93"/>
      <c r="S154" s="85"/>
      <c r="U154" s="94"/>
      <c r="V154" s="93"/>
      <c r="W154" s="85"/>
      <c r="Y154" s="94"/>
      <c r="Z154" s="93"/>
      <c r="AA154" s="85"/>
      <c r="AC154" s="94"/>
      <c r="AD154" s="93"/>
      <c r="AE154" s="85"/>
    </row>
    <row r="155" spans="7:31" x14ac:dyDescent="0.35">
      <c r="G155" s="85"/>
      <c r="H155" s="87"/>
      <c r="K155" s="85"/>
      <c r="M155" s="94"/>
      <c r="N155" s="93"/>
      <c r="O155" s="85"/>
      <c r="Q155" s="94"/>
      <c r="R155" s="93"/>
      <c r="S155" s="85"/>
      <c r="U155" s="94"/>
      <c r="V155" s="93"/>
      <c r="W155" s="85"/>
      <c r="Y155" s="94"/>
      <c r="Z155" s="93"/>
      <c r="AA155" s="85"/>
      <c r="AC155" s="94"/>
      <c r="AD155" s="93"/>
      <c r="AE155" s="85"/>
    </row>
    <row r="156" spans="7:31" x14ac:dyDescent="0.35">
      <c r="G156" s="85"/>
      <c r="H156" s="87"/>
      <c r="K156" s="85"/>
      <c r="M156" s="94"/>
      <c r="N156" s="93"/>
      <c r="O156" s="85"/>
      <c r="Q156" s="94"/>
      <c r="R156" s="93"/>
      <c r="S156" s="85"/>
      <c r="U156" s="94"/>
      <c r="V156" s="93"/>
      <c r="W156" s="85"/>
      <c r="Y156" s="94"/>
      <c r="Z156" s="93"/>
      <c r="AA156" s="85"/>
      <c r="AC156" s="94"/>
      <c r="AD156" s="93"/>
      <c r="AE156" s="85"/>
    </row>
    <row r="157" spans="7:31" x14ac:dyDescent="0.35">
      <c r="G157" s="85"/>
      <c r="H157" s="87"/>
      <c r="K157" s="85"/>
      <c r="M157" s="94"/>
      <c r="N157" s="93"/>
      <c r="O157" s="85"/>
      <c r="Q157" s="94"/>
      <c r="R157" s="93"/>
      <c r="S157" s="85"/>
      <c r="U157" s="94"/>
      <c r="V157" s="93"/>
      <c r="W157" s="85"/>
      <c r="Y157" s="94"/>
      <c r="Z157" s="93"/>
      <c r="AA157" s="85"/>
      <c r="AC157" s="94"/>
      <c r="AD157" s="93"/>
      <c r="AE157" s="85"/>
    </row>
    <row r="158" spans="7:31" x14ac:dyDescent="0.35">
      <c r="G158" s="85"/>
      <c r="H158" s="87"/>
      <c r="K158" s="85"/>
      <c r="M158" s="94"/>
      <c r="N158" s="93"/>
      <c r="O158" s="85"/>
      <c r="Q158" s="94"/>
      <c r="R158" s="93"/>
      <c r="S158" s="85"/>
      <c r="U158" s="94"/>
      <c r="V158" s="93"/>
      <c r="W158" s="85"/>
      <c r="Y158" s="94"/>
      <c r="Z158" s="93"/>
      <c r="AA158" s="85"/>
      <c r="AC158" s="94"/>
      <c r="AD158" s="93"/>
      <c r="AE158" s="85"/>
    </row>
    <row r="159" spans="7:31" x14ac:dyDescent="0.35">
      <c r="G159" s="85"/>
      <c r="H159" s="87"/>
      <c r="K159" s="85"/>
      <c r="M159" s="94"/>
      <c r="N159" s="93"/>
      <c r="O159" s="85"/>
      <c r="Q159" s="94"/>
      <c r="R159" s="93"/>
      <c r="S159" s="85"/>
      <c r="U159" s="94"/>
      <c r="V159" s="93"/>
      <c r="W159" s="85"/>
      <c r="Y159" s="94"/>
      <c r="Z159" s="93"/>
      <c r="AA159" s="85"/>
      <c r="AC159" s="94"/>
      <c r="AD159" s="93"/>
      <c r="AE159" s="85"/>
    </row>
    <row r="160" spans="7:31" x14ac:dyDescent="0.35">
      <c r="G160" s="85"/>
      <c r="H160" s="87"/>
      <c r="K160" s="85"/>
      <c r="M160" s="94"/>
      <c r="N160" s="93"/>
      <c r="O160" s="85"/>
      <c r="Q160" s="94"/>
      <c r="R160" s="93"/>
      <c r="S160" s="85"/>
      <c r="U160" s="94"/>
      <c r="V160" s="93"/>
      <c r="W160" s="85"/>
      <c r="Y160" s="94"/>
      <c r="Z160" s="93"/>
      <c r="AA160" s="85"/>
      <c r="AC160" s="94"/>
      <c r="AD160" s="93"/>
      <c r="AE160" s="85"/>
    </row>
    <row r="161" spans="7:31" x14ac:dyDescent="0.35">
      <c r="G161" s="85"/>
      <c r="H161" s="87"/>
      <c r="K161" s="85"/>
      <c r="M161" s="94"/>
      <c r="N161" s="93"/>
      <c r="O161" s="85"/>
      <c r="Q161" s="94"/>
      <c r="R161" s="93"/>
      <c r="S161" s="85"/>
      <c r="U161" s="94"/>
      <c r="V161" s="93"/>
      <c r="W161" s="85"/>
      <c r="Y161" s="94"/>
      <c r="Z161" s="93"/>
      <c r="AA161" s="85"/>
      <c r="AC161" s="94"/>
      <c r="AD161" s="93"/>
      <c r="AE161" s="85"/>
    </row>
    <row r="162" spans="7:31" x14ac:dyDescent="0.35">
      <c r="G162" s="85"/>
      <c r="H162" s="87"/>
      <c r="K162" s="85"/>
      <c r="M162" s="94"/>
      <c r="N162" s="93"/>
      <c r="O162" s="85"/>
      <c r="Q162" s="94"/>
      <c r="R162" s="93"/>
      <c r="S162" s="85"/>
      <c r="U162" s="94"/>
      <c r="V162" s="93"/>
      <c r="W162" s="85"/>
      <c r="Y162" s="94"/>
      <c r="Z162" s="93"/>
      <c r="AA162" s="85"/>
      <c r="AC162" s="94"/>
      <c r="AD162" s="93"/>
      <c r="AE162" s="85"/>
    </row>
    <row r="163" spans="7:31" x14ac:dyDescent="0.35">
      <c r="G163" s="85"/>
      <c r="H163" s="87"/>
      <c r="K163" s="85"/>
      <c r="M163" s="94"/>
      <c r="N163" s="93"/>
      <c r="O163" s="85"/>
      <c r="Q163" s="94"/>
      <c r="R163" s="93"/>
      <c r="S163" s="85"/>
      <c r="U163" s="94"/>
      <c r="V163" s="93"/>
      <c r="W163" s="85"/>
      <c r="Y163" s="94"/>
      <c r="Z163" s="93"/>
      <c r="AA163" s="85"/>
      <c r="AC163" s="94"/>
      <c r="AD163" s="93"/>
      <c r="AE163" s="85"/>
    </row>
    <row r="164" spans="7:31" x14ac:dyDescent="0.35">
      <c r="G164" s="85"/>
      <c r="H164" s="87"/>
      <c r="K164" s="85"/>
      <c r="M164" s="94"/>
      <c r="N164" s="93"/>
      <c r="O164" s="85"/>
      <c r="Q164" s="94"/>
      <c r="R164" s="93"/>
      <c r="S164" s="85"/>
      <c r="U164" s="94"/>
      <c r="V164" s="93"/>
      <c r="W164" s="85"/>
      <c r="Y164" s="94"/>
      <c r="Z164" s="93"/>
      <c r="AA164" s="85"/>
      <c r="AC164" s="94"/>
      <c r="AD164" s="93"/>
      <c r="AE164" s="85"/>
    </row>
    <row r="165" spans="7:31" x14ac:dyDescent="0.35">
      <c r="G165" s="85"/>
      <c r="H165" s="87"/>
      <c r="K165" s="85"/>
      <c r="M165" s="94"/>
      <c r="N165" s="93"/>
      <c r="O165" s="85"/>
      <c r="Q165" s="94"/>
      <c r="R165" s="93"/>
      <c r="S165" s="85"/>
      <c r="U165" s="94"/>
      <c r="V165" s="93"/>
      <c r="W165" s="85"/>
      <c r="Y165" s="94"/>
      <c r="Z165" s="93"/>
      <c r="AA165" s="85"/>
      <c r="AC165" s="94"/>
      <c r="AD165" s="93"/>
      <c r="AE165" s="85"/>
    </row>
    <row r="166" spans="7:31" x14ac:dyDescent="0.35">
      <c r="G166" s="85"/>
      <c r="H166" s="87"/>
      <c r="K166" s="85"/>
      <c r="M166" s="94"/>
      <c r="N166" s="93"/>
      <c r="O166" s="85"/>
      <c r="Q166" s="94"/>
      <c r="R166" s="93"/>
      <c r="S166" s="85"/>
      <c r="U166" s="94"/>
      <c r="V166" s="93"/>
      <c r="W166" s="85"/>
      <c r="Y166" s="94"/>
      <c r="Z166" s="93"/>
      <c r="AA166" s="85"/>
      <c r="AC166" s="94"/>
      <c r="AD166" s="93"/>
      <c r="AE166" s="85"/>
    </row>
    <row r="167" spans="7:31" x14ac:dyDescent="0.35">
      <c r="G167" s="85"/>
      <c r="H167" s="87"/>
      <c r="K167" s="85"/>
      <c r="M167" s="94"/>
      <c r="N167" s="93"/>
      <c r="O167" s="85"/>
      <c r="Q167" s="94"/>
      <c r="R167" s="93"/>
      <c r="S167" s="85"/>
      <c r="U167" s="94"/>
      <c r="V167" s="93"/>
      <c r="W167" s="85"/>
      <c r="Y167" s="94"/>
      <c r="Z167" s="93"/>
      <c r="AA167" s="85"/>
      <c r="AC167" s="94"/>
      <c r="AD167" s="93"/>
      <c r="AE167" s="85"/>
    </row>
    <row r="168" spans="7:31" x14ac:dyDescent="0.35">
      <c r="G168" s="85"/>
      <c r="H168" s="87"/>
      <c r="K168" s="85"/>
      <c r="M168" s="94"/>
      <c r="N168" s="93"/>
      <c r="O168" s="85"/>
      <c r="Q168" s="94"/>
      <c r="R168" s="93"/>
      <c r="S168" s="85"/>
      <c r="U168" s="94"/>
      <c r="V168" s="93"/>
      <c r="W168" s="85"/>
      <c r="Y168" s="94"/>
      <c r="Z168" s="93"/>
      <c r="AA168" s="85"/>
      <c r="AC168" s="94"/>
      <c r="AD168" s="93"/>
      <c r="AE168" s="85"/>
    </row>
    <row r="169" spans="7:31" x14ac:dyDescent="0.35">
      <c r="G169" s="85"/>
      <c r="H169" s="87"/>
      <c r="K169" s="85"/>
      <c r="M169" s="94"/>
      <c r="N169" s="93"/>
      <c r="O169" s="85"/>
      <c r="Q169" s="94"/>
      <c r="R169" s="93"/>
      <c r="S169" s="85"/>
      <c r="U169" s="94"/>
      <c r="V169" s="93"/>
      <c r="W169" s="85"/>
      <c r="Y169" s="94"/>
      <c r="Z169" s="93"/>
      <c r="AA169" s="85"/>
      <c r="AC169" s="94"/>
      <c r="AD169" s="93"/>
      <c r="AE169" s="85"/>
    </row>
    <row r="170" spans="7:31" x14ac:dyDescent="0.35">
      <c r="G170" s="85"/>
      <c r="H170" s="87"/>
      <c r="K170" s="85"/>
      <c r="M170" s="94"/>
      <c r="N170" s="93"/>
      <c r="O170" s="85"/>
      <c r="Q170" s="94"/>
      <c r="R170" s="93"/>
      <c r="S170" s="85"/>
      <c r="U170" s="94"/>
      <c r="V170" s="93"/>
      <c r="W170" s="85"/>
      <c r="Y170" s="94"/>
      <c r="Z170" s="93"/>
      <c r="AA170" s="85"/>
      <c r="AC170" s="94"/>
      <c r="AD170" s="93"/>
      <c r="AE170" s="85"/>
    </row>
    <row r="171" spans="7:31" x14ac:dyDescent="0.35">
      <c r="G171" s="85"/>
      <c r="H171" s="87"/>
      <c r="K171" s="85"/>
      <c r="M171" s="94"/>
      <c r="N171" s="93"/>
      <c r="O171" s="85"/>
      <c r="Q171" s="94"/>
      <c r="R171" s="93"/>
      <c r="S171" s="85"/>
      <c r="U171" s="94"/>
      <c r="V171" s="93"/>
      <c r="W171" s="85"/>
      <c r="Y171" s="94"/>
      <c r="Z171" s="93"/>
      <c r="AA171" s="85"/>
      <c r="AC171" s="94"/>
      <c r="AD171" s="93"/>
      <c r="AE171" s="85"/>
    </row>
    <row r="172" spans="7:31" x14ac:dyDescent="0.35">
      <c r="G172" s="85"/>
      <c r="H172" s="87"/>
      <c r="K172" s="85"/>
      <c r="M172" s="94"/>
      <c r="N172" s="93"/>
      <c r="O172" s="85"/>
      <c r="Q172" s="94"/>
      <c r="R172" s="93"/>
      <c r="S172" s="85"/>
      <c r="U172" s="94"/>
      <c r="V172" s="93"/>
      <c r="W172" s="85"/>
      <c r="Y172" s="94"/>
      <c r="Z172" s="93"/>
      <c r="AA172" s="85"/>
      <c r="AC172" s="94"/>
      <c r="AD172" s="93"/>
      <c r="AE172" s="85"/>
    </row>
    <row r="173" spans="7:31" x14ac:dyDescent="0.35">
      <c r="G173" s="85"/>
      <c r="H173" s="87"/>
      <c r="K173" s="85"/>
      <c r="M173" s="94"/>
      <c r="N173" s="93"/>
      <c r="O173" s="85"/>
      <c r="Q173" s="94"/>
      <c r="R173" s="93"/>
      <c r="S173" s="85"/>
      <c r="U173" s="94"/>
      <c r="V173" s="93"/>
      <c r="W173" s="85"/>
      <c r="Y173" s="94"/>
      <c r="Z173" s="93"/>
      <c r="AA173" s="85"/>
      <c r="AC173" s="94"/>
      <c r="AD173" s="93"/>
      <c r="AE173" s="85"/>
    </row>
    <row r="174" spans="7:31" x14ac:dyDescent="0.35">
      <c r="G174" s="85"/>
      <c r="H174" s="87"/>
      <c r="K174" s="85"/>
      <c r="M174" s="94"/>
      <c r="N174" s="93"/>
      <c r="O174" s="85"/>
      <c r="Q174" s="94"/>
      <c r="R174" s="93"/>
      <c r="S174" s="85"/>
      <c r="U174" s="94"/>
      <c r="V174" s="93"/>
      <c r="W174" s="85"/>
      <c r="Y174" s="94"/>
      <c r="Z174" s="93"/>
      <c r="AA174" s="85"/>
      <c r="AC174" s="94"/>
      <c r="AD174" s="93"/>
      <c r="AE174" s="85"/>
    </row>
    <row r="175" spans="7:31" x14ac:dyDescent="0.35">
      <c r="G175" s="85"/>
      <c r="H175" s="87"/>
      <c r="K175" s="85"/>
      <c r="M175" s="94"/>
      <c r="N175" s="93"/>
      <c r="O175" s="85"/>
      <c r="Q175" s="94"/>
      <c r="R175" s="93"/>
      <c r="S175" s="85"/>
      <c r="U175" s="94"/>
      <c r="V175" s="93"/>
      <c r="W175" s="85"/>
      <c r="Y175" s="94"/>
      <c r="Z175" s="93"/>
      <c r="AA175" s="85"/>
      <c r="AC175" s="94"/>
      <c r="AD175" s="93"/>
      <c r="AE175" s="85"/>
    </row>
    <row r="176" spans="7:31" x14ac:dyDescent="0.35">
      <c r="G176" s="85"/>
      <c r="H176" s="87"/>
      <c r="K176" s="85"/>
      <c r="M176" s="94"/>
      <c r="N176" s="93"/>
      <c r="O176" s="85"/>
      <c r="Q176" s="94"/>
      <c r="R176" s="93"/>
      <c r="S176" s="85"/>
      <c r="U176" s="94"/>
      <c r="V176" s="93"/>
      <c r="W176" s="85"/>
      <c r="Y176" s="94"/>
      <c r="Z176" s="93"/>
      <c r="AA176" s="85"/>
      <c r="AC176" s="94"/>
      <c r="AD176" s="93"/>
      <c r="AE176" s="85"/>
    </row>
    <row r="177" spans="7:31" x14ac:dyDescent="0.35">
      <c r="G177" s="85"/>
      <c r="H177" s="87"/>
      <c r="K177" s="85"/>
      <c r="M177" s="94"/>
      <c r="N177" s="93"/>
      <c r="O177" s="85"/>
      <c r="Q177" s="94"/>
      <c r="R177" s="93"/>
      <c r="S177" s="85"/>
      <c r="U177" s="94"/>
      <c r="V177" s="93"/>
      <c r="W177" s="85"/>
      <c r="Y177" s="94"/>
      <c r="Z177" s="93"/>
      <c r="AA177" s="85"/>
      <c r="AC177" s="94"/>
      <c r="AD177" s="93"/>
      <c r="AE177" s="85"/>
    </row>
    <row r="178" spans="7:31" x14ac:dyDescent="0.35">
      <c r="G178" s="85"/>
      <c r="H178" s="87"/>
      <c r="K178" s="85"/>
      <c r="M178" s="94"/>
      <c r="N178" s="93"/>
      <c r="O178" s="85"/>
      <c r="Q178" s="94"/>
      <c r="R178" s="93"/>
      <c r="S178" s="85"/>
      <c r="U178" s="94"/>
      <c r="V178" s="93"/>
      <c r="W178" s="85"/>
      <c r="Y178" s="94"/>
      <c r="Z178" s="93"/>
      <c r="AA178" s="85"/>
      <c r="AC178" s="94"/>
      <c r="AD178" s="93"/>
      <c r="AE178" s="85"/>
    </row>
    <row r="179" spans="7:31" x14ac:dyDescent="0.35">
      <c r="G179" s="85"/>
      <c r="H179" s="87"/>
      <c r="K179" s="85"/>
      <c r="M179" s="94"/>
      <c r="N179" s="93"/>
      <c r="O179" s="85"/>
      <c r="Q179" s="94"/>
      <c r="R179" s="93"/>
      <c r="S179" s="85"/>
      <c r="U179" s="94"/>
      <c r="V179" s="93"/>
      <c r="W179" s="85"/>
      <c r="Y179" s="94"/>
      <c r="Z179" s="93"/>
      <c r="AA179" s="85"/>
      <c r="AC179" s="94"/>
      <c r="AD179" s="93"/>
      <c r="AE179" s="85"/>
    </row>
    <row r="180" spans="7:31" x14ac:dyDescent="0.35">
      <c r="G180" s="85"/>
      <c r="H180" s="87"/>
      <c r="K180" s="85"/>
      <c r="M180" s="94"/>
      <c r="N180" s="93"/>
      <c r="O180" s="85"/>
      <c r="Q180" s="94"/>
      <c r="R180" s="93"/>
      <c r="S180" s="85"/>
      <c r="U180" s="94"/>
      <c r="V180" s="93"/>
      <c r="W180" s="85"/>
      <c r="Y180" s="94"/>
      <c r="Z180" s="93"/>
      <c r="AA180" s="85"/>
      <c r="AC180" s="94"/>
      <c r="AD180" s="93"/>
      <c r="AE180" s="85"/>
    </row>
    <row r="181" spans="7:31" x14ac:dyDescent="0.35">
      <c r="G181" s="85"/>
      <c r="H181" s="87"/>
      <c r="K181" s="85"/>
      <c r="M181" s="94"/>
      <c r="N181" s="93"/>
      <c r="O181" s="85"/>
      <c r="Q181" s="94"/>
      <c r="R181" s="93"/>
      <c r="S181" s="85"/>
      <c r="U181" s="94"/>
      <c r="V181" s="93"/>
      <c r="W181" s="85"/>
      <c r="Y181" s="94"/>
      <c r="Z181" s="93"/>
      <c r="AA181" s="85"/>
      <c r="AC181" s="94"/>
      <c r="AD181" s="93"/>
      <c r="AE181" s="85"/>
    </row>
    <row r="182" spans="7:31" x14ac:dyDescent="0.35">
      <c r="G182" s="85"/>
      <c r="H182" s="87"/>
      <c r="K182" s="85"/>
      <c r="M182" s="94"/>
      <c r="N182" s="93"/>
      <c r="O182" s="85"/>
      <c r="Q182" s="94"/>
      <c r="R182" s="93"/>
      <c r="S182" s="85"/>
      <c r="U182" s="94"/>
      <c r="V182" s="93"/>
      <c r="W182" s="85"/>
      <c r="Y182" s="94"/>
      <c r="Z182" s="93"/>
      <c r="AA182" s="85"/>
      <c r="AC182" s="94"/>
      <c r="AD182" s="93"/>
      <c r="AE182" s="85"/>
    </row>
    <row r="183" spans="7:31" x14ac:dyDescent="0.35">
      <c r="G183" s="85"/>
      <c r="H183" s="87"/>
      <c r="K183" s="85"/>
      <c r="M183" s="94"/>
      <c r="N183" s="93"/>
      <c r="O183" s="85"/>
      <c r="Q183" s="94"/>
      <c r="R183" s="93"/>
      <c r="S183" s="85"/>
      <c r="U183" s="94"/>
      <c r="V183" s="93"/>
      <c r="W183" s="85"/>
      <c r="Y183" s="94"/>
      <c r="Z183" s="93"/>
      <c r="AA183" s="85"/>
      <c r="AC183" s="94"/>
      <c r="AD183" s="93"/>
      <c r="AE183" s="85"/>
    </row>
    <row r="184" spans="7:31" x14ac:dyDescent="0.35">
      <c r="G184" s="85"/>
      <c r="H184" s="87"/>
      <c r="K184" s="85"/>
      <c r="M184" s="94"/>
      <c r="N184" s="93"/>
      <c r="O184" s="85"/>
      <c r="Q184" s="94"/>
      <c r="R184" s="93"/>
      <c r="S184" s="85"/>
      <c r="U184" s="94"/>
      <c r="V184" s="93"/>
      <c r="W184" s="85"/>
      <c r="Y184" s="94"/>
      <c r="Z184" s="93"/>
      <c r="AA184" s="85"/>
      <c r="AC184" s="94"/>
      <c r="AD184" s="93"/>
      <c r="AE184" s="85"/>
    </row>
    <row r="185" spans="7:31" x14ac:dyDescent="0.35">
      <c r="G185" s="85"/>
      <c r="H185" s="87"/>
      <c r="K185" s="85"/>
      <c r="M185" s="94"/>
      <c r="N185" s="93"/>
      <c r="O185" s="85"/>
      <c r="Q185" s="94"/>
      <c r="R185" s="93"/>
      <c r="S185" s="85"/>
      <c r="U185" s="94"/>
      <c r="V185" s="93"/>
      <c r="W185" s="85"/>
      <c r="Y185" s="94"/>
      <c r="Z185" s="93"/>
      <c r="AA185" s="85"/>
      <c r="AC185" s="94"/>
      <c r="AD185" s="93"/>
      <c r="AE185" s="85"/>
    </row>
    <row r="186" spans="7:31" x14ac:dyDescent="0.35">
      <c r="G186" s="85"/>
      <c r="H186" s="87"/>
      <c r="K186" s="85"/>
      <c r="M186" s="94"/>
      <c r="N186" s="93"/>
      <c r="O186" s="85"/>
      <c r="Q186" s="94"/>
      <c r="R186" s="93"/>
      <c r="S186" s="85"/>
      <c r="U186" s="94"/>
      <c r="V186" s="93"/>
      <c r="W186" s="85"/>
      <c r="Y186" s="94"/>
      <c r="Z186" s="93"/>
      <c r="AA186" s="85"/>
      <c r="AC186" s="94"/>
      <c r="AD186" s="93"/>
      <c r="AE186" s="85"/>
    </row>
    <row r="187" spans="7:31" x14ac:dyDescent="0.35">
      <c r="G187" s="85"/>
      <c r="H187" s="87"/>
      <c r="K187" s="85"/>
      <c r="M187" s="94"/>
      <c r="N187" s="93"/>
      <c r="O187" s="85"/>
      <c r="Q187" s="94"/>
      <c r="R187" s="93"/>
      <c r="S187" s="85"/>
      <c r="U187" s="94"/>
      <c r="V187" s="93"/>
      <c r="W187" s="85"/>
      <c r="Y187" s="94"/>
      <c r="Z187" s="93"/>
      <c r="AA187" s="85"/>
      <c r="AC187" s="94"/>
      <c r="AD187" s="93"/>
      <c r="AE187" s="85"/>
    </row>
    <row r="188" spans="7:31" x14ac:dyDescent="0.35">
      <c r="G188" s="85"/>
      <c r="H188" s="87"/>
      <c r="K188" s="85"/>
      <c r="M188" s="94"/>
      <c r="N188" s="93"/>
      <c r="O188" s="85"/>
      <c r="Q188" s="94"/>
      <c r="R188" s="93"/>
      <c r="S188" s="85"/>
      <c r="U188" s="94"/>
      <c r="V188" s="93"/>
      <c r="W188" s="85"/>
      <c r="Y188" s="94"/>
      <c r="Z188" s="93"/>
      <c r="AA188" s="85"/>
      <c r="AC188" s="94"/>
      <c r="AD188" s="93"/>
      <c r="AE188" s="85"/>
    </row>
    <row r="189" spans="7:31" x14ac:dyDescent="0.35">
      <c r="G189" s="85"/>
      <c r="H189" s="87"/>
      <c r="K189" s="85"/>
      <c r="M189" s="94"/>
      <c r="N189" s="93"/>
      <c r="O189" s="85"/>
      <c r="Q189" s="94"/>
      <c r="R189" s="93"/>
      <c r="S189" s="85"/>
      <c r="U189" s="94"/>
      <c r="V189" s="93"/>
      <c r="W189" s="85"/>
      <c r="Y189" s="94"/>
      <c r="Z189" s="93"/>
      <c r="AA189" s="85"/>
      <c r="AC189" s="94"/>
      <c r="AD189" s="93"/>
      <c r="AE189" s="85"/>
    </row>
    <row r="190" spans="7:31" x14ac:dyDescent="0.35">
      <c r="G190" s="85"/>
      <c r="H190" s="87"/>
      <c r="K190" s="85"/>
      <c r="M190" s="94"/>
      <c r="N190" s="93"/>
      <c r="O190" s="85"/>
      <c r="Q190" s="94"/>
      <c r="R190" s="93"/>
      <c r="S190" s="85"/>
      <c r="U190" s="94"/>
      <c r="V190" s="93"/>
      <c r="W190" s="85"/>
      <c r="Y190" s="94"/>
      <c r="Z190" s="93"/>
      <c r="AA190" s="85"/>
      <c r="AC190" s="94"/>
      <c r="AD190" s="93"/>
      <c r="AE190" s="85"/>
    </row>
    <row r="191" spans="7:31" x14ac:dyDescent="0.35">
      <c r="G191" s="85"/>
      <c r="H191" s="87"/>
      <c r="K191" s="85"/>
      <c r="M191" s="94"/>
      <c r="N191" s="93"/>
      <c r="O191" s="85"/>
      <c r="Q191" s="94"/>
      <c r="R191" s="93"/>
      <c r="S191" s="85"/>
      <c r="U191" s="94"/>
      <c r="V191" s="93"/>
      <c r="W191" s="85"/>
      <c r="Y191" s="94"/>
      <c r="Z191" s="93"/>
      <c r="AA191" s="85"/>
      <c r="AC191" s="94"/>
      <c r="AD191" s="93"/>
      <c r="AE191" s="85"/>
    </row>
    <row r="192" spans="7:31" x14ac:dyDescent="0.35">
      <c r="G192" s="85"/>
      <c r="H192" s="87"/>
      <c r="K192" s="85"/>
      <c r="M192" s="94"/>
      <c r="N192" s="93"/>
      <c r="O192" s="85"/>
      <c r="Q192" s="94"/>
      <c r="R192" s="93"/>
      <c r="S192" s="85"/>
      <c r="U192" s="94"/>
      <c r="V192" s="93"/>
      <c r="W192" s="85"/>
      <c r="Y192" s="94"/>
      <c r="Z192" s="93"/>
      <c r="AA192" s="85"/>
      <c r="AC192" s="94"/>
      <c r="AD192" s="93"/>
      <c r="AE192" s="85"/>
    </row>
    <row r="193" spans="7:31" x14ac:dyDescent="0.35">
      <c r="G193" s="85"/>
      <c r="H193" s="87"/>
      <c r="K193" s="85"/>
      <c r="M193" s="94"/>
      <c r="N193" s="93"/>
      <c r="O193" s="85"/>
      <c r="Q193" s="94"/>
      <c r="R193" s="93"/>
      <c r="S193" s="85"/>
      <c r="U193" s="94"/>
      <c r="V193" s="93"/>
      <c r="W193" s="85"/>
      <c r="Y193" s="94"/>
      <c r="Z193" s="93"/>
      <c r="AA193" s="85"/>
      <c r="AC193" s="94"/>
      <c r="AD193" s="93"/>
      <c r="AE193" s="85"/>
    </row>
    <row r="194" spans="7:31" x14ac:dyDescent="0.35">
      <c r="G194" s="85"/>
      <c r="H194" s="87"/>
      <c r="K194" s="85"/>
      <c r="M194" s="94"/>
      <c r="N194" s="93"/>
      <c r="O194" s="85"/>
      <c r="Q194" s="94"/>
      <c r="R194" s="93"/>
      <c r="S194" s="85"/>
      <c r="U194" s="94"/>
      <c r="V194" s="93"/>
      <c r="W194" s="85"/>
      <c r="Y194" s="94"/>
      <c r="Z194" s="93"/>
      <c r="AA194" s="85"/>
      <c r="AC194" s="94"/>
      <c r="AD194" s="93"/>
      <c r="AE194" s="85"/>
    </row>
    <row r="195" spans="7:31" x14ac:dyDescent="0.35">
      <c r="G195" s="85"/>
      <c r="H195" s="87"/>
      <c r="K195" s="85"/>
      <c r="M195" s="94"/>
      <c r="N195" s="93"/>
      <c r="O195" s="85"/>
      <c r="Q195" s="94"/>
      <c r="R195" s="93"/>
      <c r="S195" s="85"/>
      <c r="U195" s="94"/>
      <c r="V195" s="93"/>
      <c r="W195" s="85"/>
      <c r="Y195" s="94"/>
      <c r="Z195" s="93"/>
      <c r="AA195" s="85"/>
      <c r="AC195" s="94"/>
      <c r="AD195" s="93"/>
      <c r="AE195" s="85"/>
    </row>
    <row r="196" spans="7:31" x14ac:dyDescent="0.35">
      <c r="G196" s="85"/>
      <c r="H196" s="87"/>
      <c r="K196" s="85"/>
      <c r="M196" s="94"/>
      <c r="N196" s="93"/>
      <c r="O196" s="85"/>
      <c r="Q196" s="94"/>
      <c r="R196" s="93"/>
      <c r="S196" s="85"/>
      <c r="U196" s="94"/>
      <c r="V196" s="93"/>
      <c r="W196" s="85"/>
      <c r="Y196" s="94"/>
      <c r="Z196" s="93"/>
      <c r="AA196" s="85"/>
      <c r="AC196" s="94"/>
      <c r="AD196" s="93"/>
      <c r="AE196" s="85"/>
    </row>
    <row r="197" spans="7:31" x14ac:dyDescent="0.35">
      <c r="G197" s="85"/>
      <c r="H197" s="87"/>
      <c r="K197" s="85"/>
      <c r="M197" s="94"/>
      <c r="N197" s="93"/>
      <c r="O197" s="85"/>
      <c r="Q197" s="94"/>
      <c r="R197" s="93"/>
      <c r="S197" s="85"/>
      <c r="U197" s="94"/>
      <c r="V197" s="93"/>
      <c r="W197" s="85"/>
      <c r="Y197" s="94"/>
      <c r="Z197" s="93"/>
      <c r="AA197" s="85"/>
      <c r="AC197" s="94"/>
      <c r="AD197" s="93"/>
      <c r="AE197" s="85"/>
    </row>
    <row r="198" spans="7:31" x14ac:dyDescent="0.35">
      <c r="G198" s="85"/>
      <c r="H198" s="87"/>
      <c r="K198" s="85"/>
      <c r="M198" s="94"/>
      <c r="N198" s="93"/>
      <c r="O198" s="85"/>
      <c r="Q198" s="94"/>
      <c r="R198" s="93"/>
      <c r="S198" s="85"/>
      <c r="U198" s="94"/>
      <c r="V198" s="93"/>
      <c r="W198" s="85"/>
      <c r="Y198" s="94"/>
      <c r="Z198" s="93"/>
      <c r="AA198" s="85"/>
      <c r="AC198" s="94"/>
      <c r="AD198" s="93"/>
      <c r="AE198" s="85"/>
    </row>
    <row r="199" spans="7:31" x14ac:dyDescent="0.35">
      <c r="G199" s="85"/>
      <c r="H199" s="87"/>
      <c r="K199" s="85"/>
      <c r="M199" s="94"/>
      <c r="N199" s="93"/>
      <c r="O199" s="85"/>
      <c r="Q199" s="94"/>
      <c r="R199" s="93"/>
      <c r="S199" s="85"/>
      <c r="U199" s="94"/>
      <c r="V199" s="93"/>
      <c r="W199" s="85"/>
      <c r="Y199" s="94"/>
      <c r="Z199" s="93"/>
      <c r="AA199" s="85"/>
      <c r="AC199" s="94"/>
      <c r="AD199" s="93"/>
      <c r="AE199" s="85"/>
    </row>
    <row r="200" spans="7:31" x14ac:dyDescent="0.35">
      <c r="G200" s="85"/>
      <c r="H200" s="87"/>
      <c r="K200" s="85"/>
      <c r="M200" s="94"/>
      <c r="N200" s="93"/>
      <c r="O200" s="85"/>
      <c r="Q200" s="94"/>
      <c r="R200" s="93"/>
      <c r="S200" s="85"/>
      <c r="U200" s="94"/>
      <c r="V200" s="93"/>
      <c r="W200" s="85"/>
      <c r="Y200" s="94"/>
      <c r="Z200" s="93"/>
      <c r="AA200" s="85"/>
      <c r="AC200" s="94"/>
      <c r="AD200" s="93"/>
      <c r="AE200" s="85"/>
    </row>
    <row r="201" spans="7:31" x14ac:dyDescent="0.35">
      <c r="G201" s="85"/>
      <c r="H201" s="87"/>
      <c r="K201" s="85"/>
      <c r="M201" s="94"/>
      <c r="N201" s="93"/>
      <c r="O201" s="85"/>
      <c r="Q201" s="94"/>
      <c r="R201" s="93"/>
      <c r="S201" s="85"/>
      <c r="U201" s="94"/>
      <c r="V201" s="93"/>
      <c r="W201" s="85"/>
      <c r="Y201" s="94"/>
      <c r="Z201" s="93"/>
      <c r="AA201" s="85"/>
      <c r="AC201" s="94"/>
      <c r="AD201" s="93"/>
      <c r="AE201" s="85"/>
    </row>
    <row r="202" spans="7:31" x14ac:dyDescent="0.35">
      <c r="G202" s="85"/>
      <c r="H202" s="87"/>
      <c r="K202" s="85"/>
      <c r="M202" s="94"/>
      <c r="N202" s="93"/>
      <c r="O202" s="85"/>
      <c r="Q202" s="94"/>
      <c r="R202" s="93"/>
      <c r="S202" s="85"/>
      <c r="U202" s="94"/>
      <c r="V202" s="93"/>
      <c r="W202" s="85"/>
      <c r="Y202" s="94"/>
      <c r="Z202" s="93"/>
      <c r="AA202" s="85"/>
      <c r="AC202" s="94"/>
      <c r="AD202" s="93"/>
      <c r="AE202" s="85"/>
    </row>
    <row r="203" spans="7:31" x14ac:dyDescent="0.35">
      <c r="G203" s="85"/>
      <c r="H203" s="87"/>
      <c r="K203" s="85"/>
      <c r="M203" s="94"/>
      <c r="N203" s="93"/>
      <c r="O203" s="85"/>
      <c r="Q203" s="94"/>
      <c r="R203" s="93"/>
      <c r="S203" s="85"/>
      <c r="U203" s="94"/>
      <c r="V203" s="93"/>
      <c r="W203" s="85"/>
      <c r="Y203" s="94"/>
      <c r="Z203" s="93"/>
      <c r="AA203" s="85"/>
      <c r="AC203" s="94"/>
      <c r="AD203" s="93"/>
      <c r="AE203" s="85"/>
    </row>
    <row r="204" spans="7:31" x14ac:dyDescent="0.35">
      <c r="G204" s="85"/>
      <c r="H204" s="87"/>
      <c r="K204" s="85"/>
      <c r="M204" s="94"/>
      <c r="N204" s="93"/>
      <c r="O204" s="85"/>
      <c r="Q204" s="94"/>
      <c r="R204" s="93"/>
      <c r="S204" s="85"/>
      <c r="U204" s="94"/>
      <c r="V204" s="93"/>
      <c r="W204" s="85"/>
      <c r="Y204" s="94"/>
      <c r="Z204" s="93"/>
      <c r="AA204" s="85"/>
      <c r="AC204" s="94"/>
      <c r="AD204" s="93"/>
      <c r="AE204" s="85"/>
    </row>
    <row r="205" spans="7:31" x14ac:dyDescent="0.35">
      <c r="G205" s="85"/>
      <c r="H205" s="87"/>
      <c r="K205" s="85"/>
      <c r="M205" s="94"/>
      <c r="N205" s="93"/>
      <c r="O205" s="85"/>
      <c r="Q205" s="94"/>
      <c r="R205" s="93"/>
      <c r="S205" s="85"/>
      <c r="U205" s="94"/>
      <c r="V205" s="93"/>
      <c r="W205" s="85"/>
      <c r="Y205" s="94"/>
      <c r="Z205" s="93"/>
      <c r="AA205" s="85"/>
      <c r="AC205" s="94"/>
      <c r="AD205" s="93"/>
      <c r="AE205" s="85"/>
    </row>
    <row r="206" spans="7:31" x14ac:dyDescent="0.35">
      <c r="G206" s="85"/>
      <c r="H206" s="87"/>
      <c r="K206" s="85"/>
      <c r="M206" s="94"/>
      <c r="N206" s="93"/>
      <c r="O206" s="85"/>
      <c r="Q206" s="94"/>
      <c r="R206" s="93"/>
      <c r="S206" s="85"/>
      <c r="U206" s="94"/>
      <c r="V206" s="93"/>
      <c r="W206" s="85"/>
      <c r="Y206" s="94"/>
      <c r="Z206" s="93"/>
      <c r="AA206" s="85"/>
      <c r="AC206" s="94"/>
      <c r="AD206" s="93"/>
      <c r="AE206" s="85"/>
    </row>
    <row r="207" spans="7:31" x14ac:dyDescent="0.35">
      <c r="G207" s="85"/>
      <c r="H207" s="87"/>
      <c r="K207" s="85"/>
      <c r="M207" s="94"/>
      <c r="N207" s="93"/>
      <c r="O207" s="85"/>
      <c r="Q207" s="94"/>
      <c r="R207" s="93"/>
      <c r="S207" s="85"/>
      <c r="U207" s="94"/>
      <c r="V207" s="93"/>
      <c r="W207" s="85"/>
      <c r="Y207" s="94"/>
      <c r="Z207" s="93"/>
      <c r="AA207" s="85"/>
      <c r="AC207" s="94"/>
      <c r="AD207" s="93"/>
      <c r="AE207" s="85"/>
    </row>
    <row r="208" spans="7:31" x14ac:dyDescent="0.35">
      <c r="G208" s="85"/>
      <c r="H208" s="87"/>
      <c r="K208" s="85"/>
      <c r="M208" s="94"/>
      <c r="N208" s="93"/>
      <c r="O208" s="85"/>
      <c r="Q208" s="94"/>
      <c r="R208" s="93"/>
      <c r="S208" s="85"/>
      <c r="U208" s="94"/>
      <c r="V208" s="93"/>
      <c r="W208" s="85"/>
      <c r="Y208" s="94"/>
      <c r="Z208" s="93"/>
      <c r="AA208" s="85"/>
      <c r="AC208" s="94"/>
      <c r="AD208" s="93"/>
      <c r="AE208" s="85"/>
    </row>
    <row r="209" spans="7:31" x14ac:dyDescent="0.35">
      <c r="G209" s="85"/>
      <c r="H209" s="87"/>
      <c r="K209" s="85"/>
      <c r="M209" s="94"/>
      <c r="N209" s="93"/>
      <c r="O209" s="85"/>
      <c r="Q209" s="94"/>
      <c r="R209" s="93"/>
      <c r="S209" s="85"/>
      <c r="U209" s="94"/>
      <c r="V209" s="93"/>
      <c r="W209" s="85"/>
      <c r="Y209" s="94"/>
      <c r="Z209" s="93"/>
      <c r="AA209" s="85"/>
      <c r="AC209" s="94"/>
      <c r="AD209" s="93"/>
      <c r="AE209" s="85"/>
    </row>
    <row r="210" spans="7:31" x14ac:dyDescent="0.35">
      <c r="G210" s="85"/>
      <c r="H210" s="87"/>
      <c r="K210" s="85"/>
      <c r="M210" s="94"/>
      <c r="N210" s="93"/>
      <c r="O210" s="85"/>
      <c r="Q210" s="94"/>
      <c r="R210" s="93"/>
      <c r="S210" s="85"/>
      <c r="U210" s="94"/>
      <c r="V210" s="93"/>
      <c r="W210" s="85"/>
      <c r="Y210" s="94"/>
      <c r="Z210" s="93"/>
      <c r="AA210" s="85"/>
      <c r="AC210" s="94"/>
      <c r="AD210" s="93"/>
      <c r="AE210" s="85"/>
    </row>
    <row r="211" spans="7:31" x14ac:dyDescent="0.35">
      <c r="G211" s="85"/>
      <c r="H211" s="87"/>
      <c r="K211" s="85"/>
      <c r="M211" s="94"/>
      <c r="N211" s="93"/>
      <c r="O211" s="85"/>
      <c r="Q211" s="94"/>
      <c r="R211" s="93"/>
      <c r="S211" s="85"/>
      <c r="U211" s="94"/>
      <c r="V211" s="93"/>
      <c r="W211" s="85"/>
      <c r="Y211" s="94"/>
      <c r="Z211" s="93"/>
      <c r="AA211" s="85"/>
      <c r="AC211" s="94"/>
      <c r="AD211" s="93"/>
      <c r="AE211" s="85"/>
    </row>
    <row r="212" spans="7:31" x14ac:dyDescent="0.35">
      <c r="G212" s="85"/>
      <c r="H212" s="87"/>
      <c r="K212" s="85"/>
      <c r="M212" s="94"/>
      <c r="N212" s="93"/>
      <c r="O212" s="85"/>
      <c r="Q212" s="94"/>
      <c r="R212" s="93"/>
      <c r="S212" s="85"/>
      <c r="U212" s="94"/>
      <c r="V212" s="93"/>
      <c r="W212" s="85"/>
      <c r="Y212" s="94"/>
      <c r="Z212" s="93"/>
      <c r="AA212" s="85"/>
      <c r="AC212" s="94"/>
      <c r="AD212" s="93"/>
      <c r="AE212" s="85"/>
    </row>
    <row r="213" spans="7:31" x14ac:dyDescent="0.35">
      <c r="G213" s="85"/>
      <c r="H213" s="87"/>
      <c r="K213" s="85"/>
      <c r="M213" s="94"/>
      <c r="N213" s="93"/>
      <c r="O213" s="85"/>
      <c r="Q213" s="94"/>
      <c r="R213" s="93"/>
      <c r="S213" s="85"/>
      <c r="U213" s="94"/>
      <c r="V213" s="93"/>
      <c r="W213" s="85"/>
      <c r="Y213" s="94"/>
      <c r="Z213" s="93"/>
      <c r="AA213" s="85"/>
      <c r="AC213" s="94"/>
      <c r="AD213" s="93"/>
      <c r="AE213" s="85"/>
    </row>
    <row r="214" spans="7:31" x14ac:dyDescent="0.35">
      <c r="G214" s="85"/>
      <c r="H214" s="87"/>
      <c r="K214" s="85"/>
      <c r="M214" s="94"/>
      <c r="N214" s="93"/>
      <c r="O214" s="85"/>
      <c r="Q214" s="94"/>
      <c r="R214" s="93"/>
      <c r="S214" s="85"/>
      <c r="U214" s="94"/>
      <c r="V214" s="93"/>
      <c r="W214" s="85"/>
      <c r="Y214" s="94"/>
      <c r="Z214" s="93"/>
      <c r="AA214" s="85"/>
      <c r="AC214" s="94"/>
      <c r="AD214" s="93"/>
      <c r="AE214" s="85"/>
    </row>
    <row r="215" spans="7:31" x14ac:dyDescent="0.35">
      <c r="G215" s="85"/>
      <c r="H215" s="87"/>
      <c r="K215" s="85"/>
      <c r="M215" s="94"/>
      <c r="N215" s="93"/>
      <c r="O215" s="85"/>
      <c r="Q215" s="94"/>
      <c r="R215" s="93"/>
      <c r="S215" s="85"/>
      <c r="U215" s="94"/>
      <c r="V215" s="93"/>
      <c r="W215" s="85"/>
      <c r="Y215" s="94"/>
      <c r="Z215" s="93"/>
      <c r="AA215" s="85"/>
      <c r="AC215" s="94"/>
      <c r="AD215" s="93"/>
      <c r="AE215" s="85"/>
    </row>
    <row r="216" spans="7:31" x14ac:dyDescent="0.35">
      <c r="G216" s="85"/>
      <c r="H216" s="87"/>
      <c r="K216" s="85"/>
      <c r="M216" s="94"/>
      <c r="N216" s="93"/>
      <c r="O216" s="85"/>
      <c r="Q216" s="94"/>
      <c r="R216" s="93"/>
      <c r="S216" s="85"/>
      <c r="U216" s="94"/>
      <c r="V216" s="93"/>
      <c r="W216" s="85"/>
      <c r="Y216" s="94"/>
      <c r="Z216" s="93"/>
      <c r="AA216" s="85"/>
      <c r="AC216" s="94"/>
      <c r="AD216" s="93"/>
      <c r="AE216" s="85"/>
    </row>
    <row r="217" spans="7:31" x14ac:dyDescent="0.35">
      <c r="G217" s="85"/>
      <c r="H217" s="87"/>
      <c r="K217" s="85"/>
      <c r="M217" s="94"/>
      <c r="N217" s="93"/>
      <c r="O217" s="85"/>
      <c r="Q217" s="94"/>
      <c r="R217" s="93"/>
      <c r="S217" s="85"/>
      <c r="U217" s="94"/>
      <c r="V217" s="93"/>
      <c r="W217" s="85"/>
      <c r="Y217" s="94"/>
      <c r="Z217" s="93"/>
      <c r="AA217" s="85"/>
      <c r="AC217" s="94"/>
      <c r="AD217" s="93"/>
      <c r="AE217" s="85"/>
    </row>
    <row r="218" spans="7:31" x14ac:dyDescent="0.35">
      <c r="G218" s="85"/>
      <c r="H218" s="87"/>
      <c r="K218" s="85"/>
      <c r="M218" s="94"/>
      <c r="N218" s="93"/>
      <c r="O218" s="85"/>
      <c r="Q218" s="94"/>
      <c r="R218" s="93"/>
      <c r="S218" s="85"/>
      <c r="U218" s="94"/>
      <c r="V218" s="93"/>
      <c r="W218" s="85"/>
      <c r="Y218" s="94"/>
      <c r="Z218" s="93"/>
      <c r="AA218" s="85"/>
      <c r="AC218" s="94"/>
      <c r="AD218" s="93"/>
      <c r="AE218" s="85"/>
    </row>
    <row r="219" spans="7:31" x14ac:dyDescent="0.35">
      <c r="G219" s="85"/>
      <c r="H219" s="87"/>
      <c r="K219" s="85"/>
      <c r="M219" s="94"/>
      <c r="N219" s="93"/>
      <c r="O219" s="85"/>
      <c r="Q219" s="94"/>
      <c r="R219" s="93"/>
      <c r="S219" s="85"/>
      <c r="U219" s="94"/>
      <c r="V219" s="93"/>
      <c r="W219" s="85"/>
      <c r="Y219" s="94"/>
      <c r="Z219" s="93"/>
      <c r="AA219" s="85"/>
      <c r="AC219" s="94"/>
      <c r="AD219" s="93"/>
      <c r="AE219" s="85"/>
    </row>
    <row r="220" spans="7:31" x14ac:dyDescent="0.35">
      <c r="G220" s="85"/>
      <c r="H220" s="87"/>
      <c r="K220" s="85"/>
      <c r="M220" s="94"/>
      <c r="N220" s="93"/>
      <c r="O220" s="85"/>
      <c r="Q220" s="94"/>
      <c r="R220" s="93"/>
      <c r="S220" s="85"/>
      <c r="U220" s="94"/>
      <c r="V220" s="93"/>
      <c r="W220" s="85"/>
      <c r="Y220" s="94"/>
      <c r="Z220" s="93"/>
      <c r="AA220" s="85"/>
      <c r="AC220" s="94"/>
      <c r="AD220" s="93"/>
      <c r="AE220" s="85"/>
    </row>
    <row r="221" spans="7:31" x14ac:dyDescent="0.35">
      <c r="G221" s="85"/>
      <c r="H221" s="87"/>
      <c r="K221" s="85"/>
      <c r="M221" s="94"/>
      <c r="N221" s="93"/>
      <c r="O221" s="85"/>
      <c r="Q221" s="94"/>
      <c r="R221" s="93"/>
      <c r="S221" s="85"/>
      <c r="U221" s="94"/>
      <c r="V221" s="93"/>
      <c r="W221" s="85"/>
      <c r="Y221" s="94"/>
      <c r="Z221" s="93"/>
      <c r="AA221" s="85"/>
      <c r="AC221" s="94"/>
      <c r="AD221" s="93"/>
      <c r="AE221" s="85"/>
    </row>
    <row r="222" spans="7:31" x14ac:dyDescent="0.35">
      <c r="G222" s="85"/>
      <c r="H222" s="87"/>
      <c r="K222" s="85"/>
      <c r="M222" s="94"/>
      <c r="N222" s="93"/>
      <c r="O222" s="85"/>
      <c r="Q222" s="94"/>
      <c r="R222" s="93"/>
      <c r="S222" s="85"/>
      <c r="U222" s="94"/>
      <c r="V222" s="93"/>
      <c r="W222" s="85"/>
      <c r="Y222" s="94"/>
      <c r="Z222" s="93"/>
      <c r="AA222" s="85"/>
      <c r="AC222" s="94"/>
      <c r="AD222" s="93"/>
      <c r="AE222" s="85"/>
    </row>
    <row r="223" spans="7:31" x14ac:dyDescent="0.35">
      <c r="G223" s="85"/>
      <c r="H223" s="87"/>
      <c r="K223" s="85"/>
      <c r="M223" s="94"/>
      <c r="N223" s="93"/>
      <c r="O223" s="85"/>
      <c r="Q223" s="94"/>
      <c r="R223" s="93"/>
      <c r="S223" s="85"/>
      <c r="U223" s="94"/>
      <c r="V223" s="93"/>
      <c r="W223" s="85"/>
      <c r="Y223" s="94"/>
      <c r="Z223" s="93"/>
      <c r="AA223" s="85"/>
      <c r="AC223" s="94"/>
      <c r="AD223" s="93"/>
      <c r="AE223" s="85"/>
    </row>
    <row r="224" spans="7:31" x14ac:dyDescent="0.35">
      <c r="G224" s="85"/>
      <c r="H224" s="87"/>
      <c r="K224" s="85"/>
      <c r="M224" s="94"/>
      <c r="N224" s="93"/>
      <c r="O224" s="85"/>
      <c r="Q224" s="94"/>
      <c r="R224" s="93"/>
      <c r="S224" s="85"/>
      <c r="U224" s="94"/>
      <c r="V224" s="93"/>
      <c r="W224" s="85"/>
      <c r="Y224" s="94"/>
      <c r="Z224" s="93"/>
      <c r="AA224" s="85"/>
      <c r="AC224" s="94"/>
      <c r="AD224" s="93"/>
      <c r="AE224" s="85"/>
    </row>
    <row r="225" spans="7:31" x14ac:dyDescent="0.35">
      <c r="G225" s="85"/>
      <c r="H225" s="87"/>
      <c r="K225" s="85"/>
      <c r="M225" s="94"/>
      <c r="N225" s="93"/>
      <c r="O225" s="85"/>
      <c r="Q225" s="94"/>
      <c r="R225" s="93"/>
      <c r="S225" s="85"/>
      <c r="U225" s="94"/>
      <c r="V225" s="93"/>
      <c r="W225" s="85"/>
      <c r="Y225" s="94"/>
      <c r="Z225" s="93"/>
      <c r="AA225" s="85"/>
      <c r="AC225" s="94"/>
      <c r="AD225" s="93"/>
      <c r="AE225" s="85"/>
    </row>
    <row r="226" spans="7:31" x14ac:dyDescent="0.35">
      <c r="G226" s="85"/>
      <c r="H226" s="87"/>
      <c r="K226" s="85"/>
      <c r="M226" s="94"/>
      <c r="N226" s="93"/>
      <c r="O226" s="85"/>
      <c r="Q226" s="94"/>
      <c r="R226" s="93"/>
      <c r="S226" s="85"/>
      <c r="U226" s="94"/>
      <c r="V226" s="93"/>
      <c r="W226" s="85"/>
      <c r="Y226" s="94"/>
      <c r="Z226" s="93"/>
      <c r="AA226" s="85"/>
      <c r="AC226" s="94"/>
      <c r="AD226" s="93"/>
      <c r="AE226" s="85"/>
    </row>
    <row r="227" spans="7:31" x14ac:dyDescent="0.35">
      <c r="G227" s="85"/>
      <c r="H227" s="87"/>
      <c r="K227" s="85"/>
      <c r="M227" s="94"/>
      <c r="N227" s="93"/>
      <c r="O227" s="85"/>
      <c r="Q227" s="94"/>
      <c r="R227" s="93"/>
      <c r="S227" s="85"/>
      <c r="U227" s="94"/>
      <c r="V227" s="93"/>
      <c r="W227" s="85"/>
      <c r="Y227" s="94"/>
      <c r="Z227" s="93"/>
      <c r="AA227" s="85"/>
      <c r="AC227" s="94"/>
      <c r="AD227" s="93"/>
      <c r="AE227" s="85"/>
    </row>
    <row r="228" spans="7:31" x14ac:dyDescent="0.35">
      <c r="G228" s="85"/>
      <c r="H228" s="87"/>
      <c r="K228" s="85"/>
      <c r="M228" s="94"/>
      <c r="N228" s="93"/>
      <c r="O228" s="85"/>
      <c r="Q228" s="94"/>
      <c r="R228" s="93"/>
      <c r="S228" s="85"/>
      <c r="U228" s="94"/>
      <c r="V228" s="93"/>
      <c r="W228" s="85"/>
      <c r="Y228" s="94"/>
      <c r="Z228" s="93"/>
      <c r="AA228" s="85"/>
      <c r="AC228" s="94"/>
      <c r="AD228" s="93"/>
      <c r="AE228" s="85"/>
    </row>
    <row r="229" spans="7:31" x14ac:dyDescent="0.35">
      <c r="G229" s="85"/>
      <c r="H229" s="87"/>
      <c r="K229" s="85"/>
      <c r="M229" s="94"/>
      <c r="N229" s="93"/>
      <c r="O229" s="85"/>
      <c r="Q229" s="94"/>
      <c r="R229" s="93"/>
      <c r="S229" s="85"/>
      <c r="U229" s="94"/>
      <c r="V229" s="93"/>
      <c r="W229" s="85"/>
      <c r="Y229" s="94"/>
      <c r="Z229" s="93"/>
      <c r="AA229" s="85"/>
      <c r="AC229" s="94"/>
      <c r="AD229" s="93"/>
      <c r="AE229" s="85"/>
    </row>
    <row r="230" spans="7:31" x14ac:dyDescent="0.35">
      <c r="G230" s="85"/>
      <c r="H230" s="87"/>
      <c r="K230" s="85"/>
      <c r="M230" s="94"/>
      <c r="N230" s="93"/>
      <c r="O230" s="85"/>
      <c r="Q230" s="94"/>
      <c r="R230" s="93"/>
      <c r="S230" s="85"/>
      <c r="U230" s="94"/>
      <c r="V230" s="93"/>
      <c r="W230" s="85"/>
      <c r="Y230" s="94"/>
      <c r="Z230" s="93"/>
      <c r="AA230" s="85"/>
      <c r="AC230" s="94"/>
      <c r="AD230" s="93"/>
      <c r="AE230" s="85"/>
    </row>
    <row r="231" spans="7:31" x14ac:dyDescent="0.35">
      <c r="G231" s="85"/>
      <c r="H231" s="87"/>
      <c r="K231" s="85"/>
      <c r="M231" s="94"/>
      <c r="N231" s="93"/>
      <c r="O231" s="85"/>
      <c r="Q231" s="94"/>
      <c r="R231" s="93"/>
      <c r="S231" s="85"/>
      <c r="U231" s="94"/>
      <c r="V231" s="93"/>
      <c r="W231" s="85"/>
      <c r="Y231" s="94"/>
      <c r="Z231" s="93"/>
      <c r="AA231" s="85"/>
      <c r="AC231" s="94"/>
      <c r="AD231" s="93"/>
      <c r="AE231" s="85"/>
    </row>
    <row r="232" spans="7:31" x14ac:dyDescent="0.35">
      <c r="G232" s="85"/>
      <c r="H232" s="87"/>
      <c r="K232" s="85"/>
      <c r="M232" s="94"/>
      <c r="N232" s="93"/>
      <c r="O232" s="85"/>
      <c r="Q232" s="94"/>
      <c r="R232" s="93"/>
      <c r="S232" s="85"/>
      <c r="U232" s="94"/>
      <c r="V232" s="93"/>
      <c r="W232" s="85"/>
      <c r="Y232" s="94"/>
      <c r="Z232" s="93"/>
      <c r="AA232" s="85"/>
      <c r="AC232" s="94"/>
      <c r="AD232" s="93"/>
      <c r="AE232" s="85"/>
    </row>
    <row r="233" spans="7:31" x14ac:dyDescent="0.35">
      <c r="G233" s="85"/>
      <c r="H233" s="87"/>
      <c r="K233" s="85"/>
      <c r="M233" s="94"/>
      <c r="N233" s="93"/>
      <c r="O233" s="85"/>
      <c r="Q233" s="94"/>
      <c r="R233" s="93"/>
      <c r="S233" s="85"/>
      <c r="U233" s="94"/>
      <c r="V233" s="93"/>
      <c r="W233" s="85"/>
      <c r="Y233" s="94"/>
      <c r="Z233" s="93"/>
      <c r="AA233" s="85"/>
      <c r="AC233" s="94"/>
      <c r="AD233" s="93"/>
      <c r="AE233" s="85"/>
    </row>
    <row r="234" spans="7:31" x14ac:dyDescent="0.35">
      <c r="G234" s="85"/>
      <c r="H234" s="87"/>
      <c r="K234" s="85"/>
      <c r="M234" s="94"/>
      <c r="N234" s="93"/>
      <c r="O234" s="85"/>
      <c r="Q234" s="94"/>
      <c r="R234" s="93"/>
      <c r="S234" s="85"/>
      <c r="U234" s="94"/>
      <c r="V234" s="93"/>
      <c r="W234" s="85"/>
      <c r="Y234" s="94"/>
      <c r="Z234" s="93"/>
      <c r="AA234" s="85"/>
      <c r="AC234" s="94"/>
      <c r="AD234" s="93"/>
      <c r="AE234" s="85"/>
    </row>
    <row r="235" spans="7:31" x14ac:dyDescent="0.35">
      <c r="G235" s="85"/>
      <c r="H235" s="87"/>
      <c r="K235" s="85"/>
      <c r="M235" s="94"/>
      <c r="N235" s="93"/>
      <c r="O235" s="85"/>
      <c r="Q235" s="94"/>
      <c r="R235" s="93"/>
      <c r="S235" s="85"/>
      <c r="U235" s="94"/>
      <c r="V235" s="93"/>
      <c r="W235" s="85"/>
      <c r="Y235" s="94"/>
      <c r="Z235" s="93"/>
      <c r="AA235" s="85"/>
      <c r="AC235" s="94"/>
      <c r="AD235" s="93"/>
      <c r="AE235" s="85"/>
    </row>
    <row r="236" spans="7:31" x14ac:dyDescent="0.35">
      <c r="G236" s="85"/>
      <c r="H236" s="87"/>
      <c r="K236" s="85"/>
      <c r="M236" s="94"/>
      <c r="N236" s="93"/>
      <c r="O236" s="85"/>
      <c r="Q236" s="94"/>
      <c r="R236" s="93"/>
      <c r="S236" s="85"/>
      <c r="U236" s="94"/>
      <c r="V236" s="93"/>
      <c r="W236" s="85"/>
      <c r="Y236" s="94"/>
      <c r="Z236" s="93"/>
      <c r="AA236" s="85"/>
      <c r="AC236" s="94"/>
      <c r="AD236" s="93"/>
      <c r="AE236" s="85"/>
    </row>
    <row r="237" spans="7:31" x14ac:dyDescent="0.35">
      <c r="G237" s="85"/>
      <c r="H237" s="87"/>
      <c r="K237" s="85"/>
      <c r="M237" s="94"/>
      <c r="N237" s="93"/>
      <c r="O237" s="85"/>
      <c r="Q237" s="94"/>
      <c r="R237" s="93"/>
      <c r="S237" s="85"/>
      <c r="U237" s="94"/>
      <c r="V237" s="93"/>
      <c r="W237" s="85"/>
      <c r="Y237" s="94"/>
      <c r="Z237" s="93"/>
      <c r="AA237" s="85"/>
      <c r="AC237" s="94"/>
      <c r="AD237" s="93"/>
      <c r="AE237" s="85"/>
    </row>
    <row r="238" spans="7:31" x14ac:dyDescent="0.35">
      <c r="G238" s="85"/>
      <c r="H238" s="87"/>
      <c r="K238" s="85"/>
      <c r="M238" s="94"/>
      <c r="N238" s="93"/>
      <c r="O238" s="85"/>
      <c r="Q238" s="94"/>
      <c r="R238" s="93"/>
      <c r="S238" s="85"/>
      <c r="U238" s="94"/>
      <c r="V238" s="93"/>
      <c r="W238" s="85"/>
      <c r="Y238" s="94"/>
      <c r="Z238" s="93"/>
      <c r="AA238" s="85"/>
      <c r="AC238" s="94"/>
      <c r="AD238" s="93"/>
      <c r="AE238" s="85"/>
    </row>
    <row r="239" spans="7:31" x14ac:dyDescent="0.35">
      <c r="G239" s="85"/>
      <c r="H239" s="87"/>
      <c r="K239" s="85"/>
      <c r="M239" s="94"/>
      <c r="N239" s="93"/>
      <c r="O239" s="85"/>
      <c r="Q239" s="94"/>
      <c r="R239" s="93"/>
      <c r="S239" s="85"/>
      <c r="U239" s="94"/>
      <c r="V239" s="93"/>
      <c r="W239" s="85"/>
      <c r="Y239" s="94"/>
      <c r="Z239" s="93"/>
      <c r="AA239" s="85"/>
      <c r="AC239" s="94"/>
      <c r="AD239" s="93"/>
      <c r="AE239" s="85"/>
    </row>
    <row r="240" spans="7:31" x14ac:dyDescent="0.35">
      <c r="G240" s="85"/>
      <c r="H240" s="87"/>
      <c r="K240" s="85"/>
      <c r="M240" s="94"/>
      <c r="N240" s="93"/>
      <c r="O240" s="85"/>
      <c r="Q240" s="94"/>
      <c r="R240" s="93"/>
      <c r="S240" s="85"/>
      <c r="U240" s="94"/>
      <c r="V240" s="93"/>
      <c r="W240" s="85"/>
      <c r="Y240" s="94"/>
      <c r="Z240" s="93"/>
      <c r="AA240" s="85"/>
      <c r="AC240" s="94"/>
      <c r="AD240" s="93"/>
      <c r="AE240" s="85"/>
    </row>
    <row r="241" spans="7:31" x14ac:dyDescent="0.35">
      <c r="G241" s="85"/>
      <c r="H241" s="87"/>
      <c r="K241" s="85"/>
      <c r="M241" s="94"/>
      <c r="N241" s="93"/>
      <c r="O241" s="85"/>
      <c r="Q241" s="94"/>
      <c r="R241" s="93"/>
      <c r="S241" s="85"/>
      <c r="U241" s="94"/>
      <c r="V241" s="93"/>
      <c r="W241" s="85"/>
      <c r="Y241" s="94"/>
      <c r="Z241" s="93"/>
      <c r="AA241" s="85"/>
      <c r="AC241" s="94"/>
      <c r="AD241" s="93"/>
      <c r="AE241" s="85"/>
    </row>
    <row r="242" spans="7:31" x14ac:dyDescent="0.35">
      <c r="G242" s="85"/>
      <c r="H242" s="87"/>
      <c r="K242" s="85"/>
      <c r="M242" s="94"/>
      <c r="N242" s="93"/>
      <c r="O242" s="85"/>
      <c r="Q242" s="94"/>
      <c r="R242" s="93"/>
      <c r="S242" s="85"/>
      <c r="U242" s="94"/>
      <c r="V242" s="93"/>
      <c r="W242" s="85"/>
      <c r="Y242" s="94"/>
      <c r="Z242" s="93"/>
      <c r="AA242" s="85"/>
      <c r="AC242" s="94"/>
      <c r="AD242" s="93"/>
      <c r="AE242" s="85"/>
    </row>
    <row r="243" spans="7:31" x14ac:dyDescent="0.35">
      <c r="G243" s="85"/>
      <c r="H243" s="87"/>
      <c r="K243" s="85"/>
      <c r="M243" s="94"/>
      <c r="N243" s="93"/>
      <c r="O243" s="85"/>
      <c r="Q243" s="94"/>
      <c r="R243" s="93"/>
      <c r="S243" s="85"/>
      <c r="U243" s="94"/>
      <c r="V243" s="93"/>
      <c r="W243" s="85"/>
      <c r="Y243" s="94"/>
      <c r="Z243" s="93"/>
      <c r="AA243" s="85"/>
      <c r="AC243" s="94"/>
      <c r="AD243" s="93"/>
      <c r="AE243" s="85"/>
    </row>
    <row r="244" spans="7:31" x14ac:dyDescent="0.35">
      <c r="G244" s="85"/>
      <c r="H244" s="87"/>
      <c r="K244" s="85"/>
      <c r="M244" s="94"/>
      <c r="N244" s="93"/>
      <c r="O244" s="85"/>
      <c r="Q244" s="94"/>
      <c r="R244" s="93"/>
      <c r="S244" s="85"/>
      <c r="U244" s="94"/>
      <c r="V244" s="93"/>
      <c r="W244" s="85"/>
      <c r="Y244" s="94"/>
      <c r="Z244" s="93"/>
      <c r="AA244" s="85"/>
      <c r="AC244" s="94"/>
      <c r="AD244" s="93"/>
      <c r="AE244" s="85"/>
    </row>
    <row r="245" spans="7:31" x14ac:dyDescent="0.35">
      <c r="G245" s="85"/>
      <c r="H245" s="87"/>
      <c r="K245" s="85"/>
      <c r="M245" s="94"/>
      <c r="N245" s="93"/>
      <c r="O245" s="85"/>
      <c r="Q245" s="94"/>
      <c r="R245" s="93"/>
      <c r="S245" s="85"/>
      <c r="U245" s="94"/>
      <c r="V245" s="93"/>
      <c r="W245" s="85"/>
      <c r="Y245" s="94"/>
      <c r="Z245" s="93"/>
      <c r="AA245" s="85"/>
      <c r="AC245" s="94"/>
      <c r="AD245" s="93"/>
      <c r="AE245" s="85"/>
    </row>
    <row r="246" spans="7:31" x14ac:dyDescent="0.35">
      <c r="G246" s="85"/>
      <c r="H246" s="87"/>
      <c r="K246" s="85"/>
      <c r="M246" s="94"/>
      <c r="N246" s="93"/>
      <c r="O246" s="85"/>
      <c r="Q246" s="94"/>
      <c r="R246" s="93"/>
      <c r="S246" s="85"/>
      <c r="U246" s="94"/>
      <c r="V246" s="93"/>
      <c r="W246" s="85"/>
      <c r="Y246" s="94"/>
      <c r="Z246" s="93"/>
      <c r="AA246" s="85"/>
      <c r="AC246" s="94"/>
      <c r="AD246" s="93"/>
      <c r="AE246" s="85"/>
    </row>
    <row r="247" spans="7:31" x14ac:dyDescent="0.35">
      <c r="G247" s="85"/>
      <c r="H247" s="87"/>
      <c r="K247" s="85"/>
      <c r="M247" s="94"/>
      <c r="N247" s="93"/>
      <c r="O247" s="85"/>
      <c r="Q247" s="94"/>
      <c r="R247" s="93"/>
      <c r="S247" s="85"/>
      <c r="U247" s="94"/>
      <c r="V247" s="93"/>
      <c r="W247" s="85"/>
      <c r="Y247" s="94"/>
      <c r="Z247" s="93"/>
      <c r="AA247" s="85"/>
      <c r="AC247" s="94"/>
      <c r="AD247" s="93"/>
      <c r="AE247" s="85"/>
    </row>
    <row r="248" spans="7:31" x14ac:dyDescent="0.35">
      <c r="G248" s="85"/>
      <c r="H248" s="87"/>
      <c r="K248" s="85"/>
      <c r="M248" s="94"/>
      <c r="N248" s="93"/>
      <c r="O248" s="85"/>
      <c r="Q248" s="94"/>
      <c r="R248" s="93"/>
      <c r="S248" s="85"/>
      <c r="U248" s="94"/>
      <c r="V248" s="93"/>
      <c r="W248" s="85"/>
      <c r="Y248" s="94"/>
      <c r="Z248" s="93"/>
      <c r="AA248" s="85"/>
      <c r="AC248" s="94"/>
      <c r="AD248" s="93"/>
      <c r="AE248" s="85"/>
    </row>
    <row r="249" spans="7:31" x14ac:dyDescent="0.35">
      <c r="G249" s="85"/>
      <c r="H249" s="87"/>
      <c r="K249" s="85"/>
      <c r="M249" s="94"/>
      <c r="N249" s="93"/>
      <c r="O249" s="85"/>
      <c r="Q249" s="94"/>
      <c r="R249" s="93"/>
      <c r="S249" s="85"/>
      <c r="U249" s="94"/>
      <c r="V249" s="93"/>
      <c r="W249" s="85"/>
      <c r="Y249" s="94"/>
      <c r="Z249" s="93"/>
      <c r="AA249" s="85"/>
      <c r="AC249" s="94"/>
      <c r="AD249" s="93"/>
      <c r="AE249" s="85"/>
    </row>
    <row r="250" spans="7:31" x14ac:dyDescent="0.35">
      <c r="G250" s="85"/>
      <c r="H250" s="87"/>
      <c r="K250" s="85"/>
      <c r="M250" s="94"/>
      <c r="N250" s="93"/>
      <c r="O250" s="85"/>
      <c r="Q250" s="94"/>
      <c r="R250" s="93"/>
      <c r="S250" s="85"/>
      <c r="U250" s="94"/>
      <c r="V250" s="93"/>
      <c r="W250" s="85"/>
      <c r="Y250" s="94"/>
      <c r="Z250" s="93"/>
      <c r="AA250" s="85"/>
      <c r="AC250" s="94"/>
      <c r="AD250" s="93"/>
      <c r="AE250" s="85"/>
    </row>
    <row r="251" spans="7:31" x14ac:dyDescent="0.35">
      <c r="G251" s="85"/>
      <c r="H251" s="87"/>
      <c r="K251" s="85"/>
      <c r="M251" s="94"/>
      <c r="N251" s="93"/>
      <c r="O251" s="85"/>
      <c r="Q251" s="94"/>
      <c r="R251" s="93"/>
      <c r="S251" s="85"/>
      <c r="U251" s="94"/>
      <c r="V251" s="93"/>
      <c r="W251" s="85"/>
      <c r="Y251" s="94"/>
      <c r="Z251" s="93"/>
      <c r="AA251" s="85"/>
      <c r="AC251" s="94"/>
      <c r="AD251" s="93"/>
      <c r="AE251" s="85"/>
    </row>
    <row r="252" spans="7:31" x14ac:dyDescent="0.35">
      <c r="G252" s="85"/>
      <c r="H252" s="87"/>
      <c r="K252" s="85"/>
      <c r="M252" s="94"/>
      <c r="N252" s="93"/>
      <c r="O252" s="85"/>
      <c r="Q252" s="94"/>
      <c r="R252" s="93"/>
      <c r="S252" s="85"/>
      <c r="U252" s="94"/>
      <c r="V252" s="93"/>
      <c r="W252" s="85"/>
      <c r="Y252" s="94"/>
      <c r="Z252" s="93"/>
      <c r="AA252" s="85"/>
      <c r="AC252" s="94"/>
      <c r="AD252" s="93"/>
      <c r="AE252" s="85"/>
    </row>
    <row r="253" spans="7:31" x14ac:dyDescent="0.35">
      <c r="G253" s="85"/>
      <c r="H253" s="87"/>
      <c r="K253" s="85"/>
      <c r="M253" s="94"/>
      <c r="N253" s="93"/>
      <c r="O253" s="85"/>
      <c r="Q253" s="94"/>
      <c r="R253" s="93"/>
      <c r="S253" s="85"/>
      <c r="U253" s="94"/>
      <c r="V253" s="93"/>
      <c r="W253" s="85"/>
      <c r="Y253" s="94"/>
      <c r="Z253" s="93"/>
      <c r="AA253" s="85"/>
      <c r="AC253" s="94"/>
      <c r="AD253" s="93"/>
      <c r="AE253" s="85"/>
    </row>
    <row r="254" spans="7:31" x14ac:dyDescent="0.35">
      <c r="G254" s="85"/>
      <c r="H254" s="87"/>
      <c r="K254" s="85"/>
      <c r="M254" s="94"/>
      <c r="N254" s="93"/>
      <c r="O254" s="85"/>
      <c r="Q254" s="94"/>
      <c r="R254" s="93"/>
      <c r="S254" s="85"/>
      <c r="U254" s="94"/>
      <c r="V254" s="93"/>
      <c r="W254" s="85"/>
      <c r="Y254" s="94"/>
      <c r="Z254" s="93"/>
      <c r="AA254" s="85"/>
      <c r="AC254" s="94"/>
      <c r="AD254" s="93"/>
      <c r="AE254" s="85"/>
    </row>
    <row r="255" spans="7:31" x14ac:dyDescent="0.35">
      <c r="G255" s="85"/>
      <c r="H255" s="87"/>
      <c r="K255" s="85"/>
      <c r="M255" s="94"/>
      <c r="N255" s="93"/>
      <c r="O255" s="85"/>
      <c r="Q255" s="94"/>
      <c r="R255" s="93"/>
      <c r="S255" s="85"/>
      <c r="U255" s="94"/>
      <c r="V255" s="93"/>
      <c r="W255" s="85"/>
      <c r="Y255" s="94"/>
      <c r="Z255" s="93"/>
      <c r="AA255" s="85"/>
      <c r="AC255" s="94"/>
      <c r="AD255" s="93"/>
      <c r="AE255" s="85"/>
    </row>
    <row r="256" spans="7:31" x14ac:dyDescent="0.35">
      <c r="G256" s="85"/>
      <c r="H256" s="87"/>
      <c r="K256" s="85"/>
      <c r="M256" s="94"/>
      <c r="N256" s="93"/>
      <c r="O256" s="85"/>
      <c r="Q256" s="94"/>
      <c r="R256" s="93"/>
      <c r="S256" s="85"/>
      <c r="U256" s="94"/>
      <c r="V256" s="93"/>
      <c r="W256" s="85"/>
      <c r="Y256" s="94"/>
      <c r="Z256" s="93"/>
      <c r="AA256" s="85"/>
      <c r="AC256" s="94"/>
      <c r="AD256" s="93"/>
      <c r="AE256" s="85"/>
    </row>
    <row r="257" spans="7:31" x14ac:dyDescent="0.35">
      <c r="G257" s="85"/>
      <c r="H257" s="87"/>
      <c r="K257" s="85"/>
      <c r="M257" s="94"/>
      <c r="N257" s="93"/>
      <c r="O257" s="85"/>
      <c r="Q257" s="94"/>
      <c r="R257" s="93"/>
      <c r="S257" s="85"/>
      <c r="U257" s="94"/>
      <c r="V257" s="93"/>
      <c r="W257" s="85"/>
      <c r="Y257" s="94"/>
      <c r="Z257" s="93"/>
      <c r="AA257" s="85"/>
      <c r="AC257" s="94"/>
      <c r="AD257" s="93"/>
      <c r="AE257" s="85"/>
    </row>
    <row r="258" spans="7:31" x14ac:dyDescent="0.35">
      <c r="G258" s="85"/>
      <c r="H258" s="87"/>
      <c r="K258" s="85"/>
      <c r="M258" s="94"/>
      <c r="N258" s="93"/>
      <c r="O258" s="85"/>
      <c r="Q258" s="94"/>
      <c r="R258" s="93"/>
      <c r="S258" s="85"/>
      <c r="U258" s="94"/>
      <c r="V258" s="93"/>
      <c r="W258" s="85"/>
      <c r="Y258" s="94"/>
      <c r="Z258" s="93"/>
      <c r="AA258" s="85"/>
      <c r="AC258" s="94"/>
      <c r="AD258" s="93"/>
      <c r="AE258" s="85"/>
    </row>
    <row r="259" spans="7:31" x14ac:dyDescent="0.35">
      <c r="G259" s="85"/>
      <c r="H259" s="87"/>
      <c r="K259" s="85"/>
      <c r="M259" s="94"/>
      <c r="N259" s="93"/>
      <c r="O259" s="85"/>
      <c r="Q259" s="94"/>
      <c r="R259" s="93"/>
      <c r="S259" s="85"/>
      <c r="U259" s="94"/>
      <c r="V259" s="93"/>
      <c r="W259" s="85"/>
      <c r="Y259" s="94"/>
      <c r="Z259" s="93"/>
      <c r="AA259" s="85"/>
      <c r="AC259" s="94"/>
      <c r="AD259" s="93"/>
      <c r="AE259" s="85"/>
    </row>
    <row r="260" spans="7:31" x14ac:dyDescent="0.35">
      <c r="G260" s="85"/>
      <c r="H260" s="87"/>
      <c r="K260" s="85"/>
      <c r="M260" s="94"/>
      <c r="N260" s="93"/>
      <c r="O260" s="85"/>
      <c r="Q260" s="94"/>
      <c r="R260" s="93"/>
      <c r="S260" s="85"/>
      <c r="U260" s="94"/>
      <c r="V260" s="93"/>
      <c r="W260" s="85"/>
      <c r="Y260" s="94"/>
      <c r="Z260" s="93"/>
      <c r="AA260" s="85"/>
      <c r="AC260" s="94"/>
      <c r="AD260" s="93"/>
      <c r="AE260" s="85"/>
    </row>
    <row r="261" spans="7:31" x14ac:dyDescent="0.35">
      <c r="G261" s="85"/>
      <c r="H261" s="87"/>
      <c r="K261" s="85"/>
      <c r="M261" s="94"/>
      <c r="N261" s="93"/>
      <c r="O261" s="85"/>
      <c r="Q261" s="94"/>
      <c r="R261" s="93"/>
      <c r="S261" s="85"/>
      <c r="U261" s="94"/>
      <c r="V261" s="93"/>
      <c r="W261" s="85"/>
      <c r="Y261" s="94"/>
      <c r="Z261" s="93"/>
      <c r="AA261" s="85"/>
      <c r="AC261" s="94"/>
      <c r="AD261" s="93"/>
      <c r="AE261" s="85"/>
    </row>
    <row r="262" spans="7:31" x14ac:dyDescent="0.35">
      <c r="G262" s="85"/>
      <c r="H262" s="87"/>
      <c r="K262" s="85"/>
      <c r="M262" s="94"/>
      <c r="N262" s="93"/>
      <c r="O262" s="85"/>
      <c r="Q262" s="94"/>
      <c r="R262" s="93"/>
      <c r="S262" s="85"/>
      <c r="U262" s="94"/>
      <c r="V262" s="93"/>
      <c r="W262" s="85"/>
      <c r="Y262" s="94"/>
      <c r="Z262" s="93"/>
      <c r="AA262" s="85"/>
      <c r="AC262" s="94"/>
      <c r="AD262" s="93"/>
      <c r="AE262" s="85"/>
    </row>
    <row r="263" spans="7:31" x14ac:dyDescent="0.35">
      <c r="G263" s="85"/>
      <c r="H263" s="87"/>
      <c r="K263" s="85"/>
      <c r="M263" s="94"/>
      <c r="N263" s="93"/>
      <c r="O263" s="85"/>
      <c r="Q263" s="94"/>
      <c r="R263" s="93"/>
      <c r="S263" s="85"/>
      <c r="U263" s="94"/>
      <c r="V263" s="93"/>
      <c r="W263" s="85"/>
      <c r="Y263" s="94"/>
      <c r="Z263" s="93"/>
      <c r="AA263" s="85"/>
      <c r="AC263" s="94"/>
      <c r="AD263" s="93"/>
      <c r="AE263" s="85"/>
    </row>
    <row r="264" spans="7:31" x14ac:dyDescent="0.35">
      <c r="G264" s="85"/>
      <c r="H264" s="87"/>
      <c r="K264" s="85"/>
      <c r="M264" s="94"/>
      <c r="N264" s="93"/>
      <c r="O264" s="85"/>
      <c r="Q264" s="94"/>
      <c r="R264" s="93"/>
      <c r="S264" s="85"/>
      <c r="U264" s="94"/>
      <c r="V264" s="93"/>
      <c r="W264" s="85"/>
      <c r="Y264" s="94"/>
      <c r="Z264" s="93"/>
      <c r="AA264" s="85"/>
      <c r="AC264" s="94"/>
      <c r="AD264" s="93"/>
      <c r="AE264" s="85"/>
    </row>
    <row r="265" spans="7:31" x14ac:dyDescent="0.35">
      <c r="G265" s="85"/>
      <c r="H265" s="87"/>
      <c r="K265" s="85"/>
      <c r="M265" s="94"/>
      <c r="N265" s="93"/>
      <c r="O265" s="85"/>
      <c r="Q265" s="94"/>
      <c r="R265" s="93"/>
      <c r="S265" s="85"/>
      <c r="U265" s="94"/>
      <c r="V265" s="93"/>
      <c r="W265" s="85"/>
      <c r="Y265" s="94"/>
      <c r="Z265" s="93"/>
      <c r="AA265" s="85"/>
      <c r="AC265" s="94"/>
      <c r="AD265" s="93"/>
      <c r="AE265" s="85"/>
    </row>
    <row r="266" spans="7:31" x14ac:dyDescent="0.35">
      <c r="G266" s="85"/>
      <c r="H266" s="87"/>
      <c r="K266" s="85"/>
      <c r="M266" s="94"/>
      <c r="N266" s="93"/>
      <c r="O266" s="85"/>
      <c r="Q266" s="94"/>
      <c r="R266" s="93"/>
      <c r="S266" s="85"/>
      <c r="U266" s="94"/>
      <c r="V266" s="93"/>
      <c r="W266" s="85"/>
      <c r="Y266" s="94"/>
      <c r="Z266" s="93"/>
      <c r="AA266" s="85"/>
      <c r="AC266" s="94"/>
      <c r="AD266" s="93"/>
      <c r="AE266" s="85"/>
    </row>
    <row r="267" spans="7:31" x14ac:dyDescent="0.35">
      <c r="G267" s="85"/>
      <c r="H267" s="87"/>
      <c r="K267" s="85"/>
      <c r="M267" s="94"/>
      <c r="N267" s="93"/>
      <c r="O267" s="85"/>
      <c r="Q267" s="94"/>
      <c r="R267" s="93"/>
      <c r="S267" s="85"/>
      <c r="U267" s="94"/>
      <c r="V267" s="93"/>
      <c r="W267" s="85"/>
      <c r="Y267" s="94"/>
      <c r="Z267" s="93"/>
      <c r="AA267" s="85"/>
      <c r="AC267" s="94"/>
      <c r="AD267" s="93"/>
      <c r="AE267" s="85"/>
    </row>
    <row r="268" spans="7:31" x14ac:dyDescent="0.35">
      <c r="G268" s="85"/>
      <c r="H268" s="87"/>
      <c r="K268" s="85"/>
      <c r="M268" s="94"/>
      <c r="N268" s="93"/>
      <c r="O268" s="85"/>
      <c r="Q268" s="94"/>
      <c r="R268" s="93"/>
      <c r="S268" s="85"/>
      <c r="U268" s="94"/>
      <c r="V268" s="93"/>
      <c r="W268" s="85"/>
      <c r="Y268" s="94"/>
      <c r="Z268" s="93"/>
      <c r="AA268" s="85"/>
      <c r="AC268" s="94"/>
      <c r="AD268" s="93"/>
      <c r="AE268" s="85"/>
    </row>
    <row r="269" spans="7:31" x14ac:dyDescent="0.35">
      <c r="G269" s="85"/>
      <c r="H269" s="87"/>
      <c r="K269" s="85"/>
      <c r="M269" s="94"/>
      <c r="N269" s="93"/>
      <c r="O269" s="85"/>
      <c r="Q269" s="94"/>
      <c r="R269" s="93"/>
      <c r="S269" s="85"/>
      <c r="U269" s="94"/>
      <c r="V269" s="93"/>
      <c r="W269" s="85"/>
      <c r="Y269" s="94"/>
      <c r="Z269" s="93"/>
      <c r="AA269" s="85"/>
      <c r="AC269" s="94"/>
      <c r="AD269" s="93"/>
      <c r="AE269" s="85"/>
    </row>
    <row r="270" spans="7:31" x14ac:dyDescent="0.35">
      <c r="G270" s="85"/>
      <c r="H270" s="87"/>
      <c r="K270" s="85"/>
      <c r="M270" s="94"/>
      <c r="N270" s="93"/>
      <c r="O270" s="85"/>
      <c r="Q270" s="94"/>
      <c r="R270" s="93"/>
      <c r="S270" s="85"/>
      <c r="U270" s="94"/>
      <c r="V270" s="93"/>
      <c r="W270" s="85"/>
      <c r="Y270" s="94"/>
      <c r="Z270" s="93"/>
      <c r="AA270" s="85"/>
      <c r="AC270" s="94"/>
      <c r="AD270" s="93"/>
      <c r="AE270" s="85"/>
    </row>
    <row r="271" spans="7:31" x14ac:dyDescent="0.35">
      <c r="G271" s="85"/>
      <c r="H271" s="87"/>
      <c r="K271" s="85"/>
      <c r="M271" s="94"/>
      <c r="N271" s="93"/>
      <c r="O271" s="85"/>
      <c r="Q271" s="94"/>
      <c r="R271" s="93"/>
      <c r="S271" s="85"/>
      <c r="U271" s="94"/>
      <c r="V271" s="93"/>
      <c r="W271" s="85"/>
      <c r="Y271" s="94"/>
      <c r="Z271" s="93"/>
      <c r="AA271" s="85"/>
      <c r="AC271" s="94"/>
      <c r="AD271" s="93"/>
      <c r="AE271" s="85"/>
    </row>
    <row r="272" spans="7:31" x14ac:dyDescent="0.35">
      <c r="G272" s="85"/>
      <c r="H272" s="87"/>
      <c r="K272" s="85"/>
      <c r="M272" s="94"/>
      <c r="N272" s="93"/>
      <c r="O272" s="85"/>
      <c r="Q272" s="94"/>
      <c r="R272" s="93"/>
      <c r="S272" s="85"/>
      <c r="U272" s="94"/>
      <c r="V272" s="93"/>
      <c r="W272" s="85"/>
      <c r="Y272" s="94"/>
      <c r="Z272" s="93"/>
      <c r="AA272" s="85"/>
      <c r="AC272" s="94"/>
      <c r="AD272" s="93"/>
      <c r="AE272" s="85"/>
    </row>
    <row r="273" spans="7:31" x14ac:dyDescent="0.35">
      <c r="G273" s="85"/>
      <c r="H273" s="87"/>
      <c r="K273" s="85"/>
      <c r="M273" s="94"/>
      <c r="N273" s="93"/>
      <c r="O273" s="85"/>
      <c r="Q273" s="94"/>
      <c r="R273" s="93"/>
      <c r="S273" s="85"/>
      <c r="U273" s="94"/>
      <c r="V273" s="93"/>
      <c r="W273" s="85"/>
      <c r="Y273" s="94"/>
      <c r="Z273" s="93"/>
      <c r="AA273" s="85"/>
      <c r="AC273" s="94"/>
      <c r="AD273" s="93"/>
      <c r="AE273" s="85"/>
    </row>
    <row r="274" spans="7:31" x14ac:dyDescent="0.35">
      <c r="G274" s="85"/>
      <c r="H274" s="87"/>
      <c r="K274" s="85"/>
      <c r="M274" s="94"/>
      <c r="N274" s="93"/>
      <c r="O274" s="85"/>
      <c r="Q274" s="94"/>
      <c r="R274" s="93"/>
      <c r="S274" s="85"/>
      <c r="U274" s="94"/>
      <c r="V274" s="93"/>
      <c r="W274" s="85"/>
      <c r="Y274" s="94"/>
      <c r="Z274" s="93"/>
      <c r="AA274" s="85"/>
      <c r="AC274" s="94"/>
      <c r="AD274" s="93"/>
      <c r="AE274" s="85"/>
    </row>
    <row r="275" spans="7:31" x14ac:dyDescent="0.35">
      <c r="G275" s="85"/>
      <c r="H275" s="87"/>
      <c r="K275" s="85"/>
      <c r="M275" s="94"/>
      <c r="N275" s="93"/>
      <c r="O275" s="85"/>
      <c r="Q275" s="94"/>
      <c r="R275" s="93"/>
      <c r="S275" s="85"/>
      <c r="U275" s="94"/>
      <c r="V275" s="93"/>
      <c r="W275" s="85"/>
      <c r="Y275" s="94"/>
      <c r="Z275" s="93"/>
      <c r="AA275" s="85"/>
      <c r="AC275" s="94"/>
      <c r="AD275" s="93"/>
      <c r="AE275" s="85"/>
    </row>
    <row r="276" spans="7:31" x14ac:dyDescent="0.35">
      <c r="G276" s="85"/>
      <c r="H276" s="87"/>
      <c r="K276" s="85"/>
      <c r="M276" s="94"/>
      <c r="N276" s="93"/>
      <c r="O276" s="85"/>
      <c r="Q276" s="94"/>
      <c r="R276" s="93"/>
      <c r="S276" s="85"/>
      <c r="U276" s="94"/>
      <c r="V276" s="93"/>
      <c r="W276" s="85"/>
      <c r="Y276" s="94"/>
      <c r="Z276" s="93"/>
      <c r="AA276" s="85"/>
      <c r="AC276" s="94"/>
      <c r="AD276" s="93"/>
      <c r="AE276" s="85"/>
    </row>
    <row r="277" spans="7:31" x14ac:dyDescent="0.35">
      <c r="G277" s="85"/>
      <c r="H277" s="87"/>
      <c r="K277" s="85"/>
      <c r="M277" s="94"/>
      <c r="N277" s="93"/>
      <c r="O277" s="85"/>
      <c r="Q277" s="94"/>
      <c r="R277" s="93"/>
      <c r="S277" s="85"/>
      <c r="U277" s="94"/>
      <c r="V277" s="93"/>
      <c r="W277" s="85"/>
      <c r="Y277" s="94"/>
      <c r="Z277" s="93"/>
      <c r="AA277" s="85"/>
      <c r="AC277" s="94"/>
      <c r="AD277" s="93"/>
      <c r="AE277" s="85"/>
    </row>
    <row r="278" spans="7:31" x14ac:dyDescent="0.35">
      <c r="G278" s="85"/>
      <c r="H278" s="87"/>
      <c r="K278" s="85"/>
      <c r="M278" s="94"/>
      <c r="N278" s="93"/>
      <c r="O278" s="85"/>
      <c r="Q278" s="94"/>
      <c r="R278" s="93"/>
      <c r="S278" s="85"/>
      <c r="U278" s="94"/>
      <c r="V278" s="93"/>
      <c r="W278" s="85"/>
      <c r="Y278" s="94"/>
      <c r="Z278" s="93"/>
      <c r="AA278" s="85"/>
      <c r="AC278" s="94"/>
      <c r="AD278" s="93"/>
      <c r="AE278" s="85"/>
    </row>
    <row r="279" spans="7:31" x14ac:dyDescent="0.35">
      <c r="G279" s="85"/>
      <c r="H279" s="87"/>
      <c r="K279" s="85"/>
      <c r="M279" s="94"/>
      <c r="N279" s="93"/>
      <c r="O279" s="85"/>
      <c r="Q279" s="94"/>
      <c r="R279" s="93"/>
      <c r="S279" s="85"/>
      <c r="U279" s="94"/>
      <c r="V279" s="93"/>
      <c r="W279" s="85"/>
      <c r="Y279" s="94"/>
      <c r="Z279" s="93"/>
      <c r="AA279" s="85"/>
      <c r="AC279" s="94"/>
      <c r="AD279" s="93"/>
      <c r="AE279" s="85"/>
    </row>
    <row r="280" spans="7:31" x14ac:dyDescent="0.35">
      <c r="G280" s="85"/>
      <c r="H280" s="87"/>
      <c r="K280" s="85"/>
      <c r="M280" s="94"/>
      <c r="N280" s="93"/>
      <c r="O280" s="85"/>
      <c r="Q280" s="94"/>
      <c r="R280" s="93"/>
      <c r="S280" s="85"/>
      <c r="U280" s="94"/>
      <c r="V280" s="93"/>
      <c r="W280" s="85"/>
      <c r="Y280" s="94"/>
      <c r="Z280" s="93"/>
      <c r="AA280" s="85"/>
      <c r="AC280" s="94"/>
      <c r="AD280" s="93"/>
      <c r="AE280" s="85"/>
    </row>
    <row r="281" spans="7:31" x14ac:dyDescent="0.35">
      <c r="G281" s="85"/>
      <c r="H281" s="87"/>
      <c r="K281" s="85"/>
      <c r="M281" s="94"/>
      <c r="N281" s="93"/>
      <c r="O281" s="85"/>
      <c r="Q281" s="94"/>
      <c r="R281" s="93"/>
      <c r="S281" s="85"/>
      <c r="U281" s="94"/>
      <c r="V281" s="93"/>
      <c r="W281" s="85"/>
      <c r="Y281" s="94"/>
      <c r="Z281" s="93"/>
      <c r="AA281" s="85"/>
      <c r="AC281" s="94"/>
      <c r="AD281" s="93"/>
      <c r="AE281" s="85"/>
    </row>
    <row r="282" spans="7:31" x14ac:dyDescent="0.35">
      <c r="G282" s="85"/>
      <c r="H282" s="87"/>
      <c r="K282" s="85"/>
      <c r="M282" s="94"/>
      <c r="N282" s="93"/>
      <c r="O282" s="85"/>
      <c r="Q282" s="94"/>
      <c r="R282" s="93"/>
      <c r="S282" s="85"/>
      <c r="U282" s="94"/>
      <c r="V282" s="93"/>
      <c r="W282" s="85"/>
      <c r="Y282" s="94"/>
      <c r="Z282" s="93"/>
      <c r="AA282" s="85"/>
      <c r="AC282" s="94"/>
      <c r="AD282" s="93"/>
      <c r="AE282" s="85"/>
    </row>
    <row r="283" spans="7:31" x14ac:dyDescent="0.35">
      <c r="G283" s="85"/>
      <c r="H283" s="87"/>
      <c r="K283" s="85"/>
      <c r="M283" s="94"/>
      <c r="N283" s="93"/>
      <c r="O283" s="85"/>
      <c r="Q283" s="94"/>
      <c r="R283" s="93"/>
      <c r="S283" s="85"/>
      <c r="U283" s="94"/>
      <c r="V283" s="93"/>
      <c r="W283" s="85"/>
      <c r="Y283" s="94"/>
      <c r="Z283" s="93"/>
      <c r="AA283" s="85"/>
      <c r="AC283" s="94"/>
      <c r="AD283" s="93"/>
      <c r="AE283" s="85"/>
    </row>
    <row r="284" spans="7:31" x14ac:dyDescent="0.35">
      <c r="G284" s="85"/>
      <c r="H284" s="87"/>
      <c r="K284" s="85"/>
      <c r="M284" s="94"/>
      <c r="N284" s="93"/>
      <c r="O284" s="85"/>
      <c r="Q284" s="94"/>
      <c r="R284" s="93"/>
      <c r="S284" s="85"/>
      <c r="U284" s="94"/>
      <c r="V284" s="93"/>
      <c r="W284" s="85"/>
      <c r="Y284" s="94"/>
      <c r="Z284" s="93"/>
      <c r="AA284" s="85"/>
      <c r="AC284" s="94"/>
      <c r="AD284" s="93"/>
      <c r="AE284" s="85"/>
    </row>
    <row r="285" spans="7:31" x14ac:dyDescent="0.35">
      <c r="G285" s="85"/>
      <c r="H285" s="87"/>
      <c r="K285" s="85"/>
      <c r="M285" s="94"/>
      <c r="N285" s="93"/>
      <c r="O285" s="85"/>
      <c r="Q285" s="94"/>
      <c r="R285" s="93"/>
      <c r="S285" s="85"/>
      <c r="U285" s="94"/>
      <c r="V285" s="93"/>
      <c r="W285" s="85"/>
      <c r="Y285" s="94"/>
      <c r="Z285" s="93"/>
      <c r="AA285" s="85"/>
      <c r="AC285" s="94"/>
      <c r="AD285" s="93"/>
      <c r="AE285" s="85"/>
    </row>
    <row r="286" spans="7:31" x14ac:dyDescent="0.35">
      <c r="G286" s="85"/>
      <c r="H286" s="87"/>
      <c r="K286" s="85"/>
      <c r="M286" s="94"/>
      <c r="N286" s="93"/>
      <c r="O286" s="85"/>
      <c r="Q286" s="94"/>
      <c r="R286" s="93"/>
      <c r="S286" s="85"/>
      <c r="U286" s="94"/>
      <c r="V286" s="93"/>
      <c r="W286" s="85"/>
      <c r="Y286" s="94"/>
      <c r="Z286" s="93"/>
      <c r="AA286" s="85"/>
      <c r="AC286" s="94"/>
      <c r="AD286" s="93"/>
      <c r="AE286" s="85"/>
    </row>
    <row r="287" spans="7:31" x14ac:dyDescent="0.35">
      <c r="G287" s="85"/>
      <c r="H287" s="87"/>
      <c r="K287" s="85"/>
      <c r="M287" s="94"/>
      <c r="N287" s="93"/>
      <c r="O287" s="85"/>
      <c r="Q287" s="94"/>
      <c r="R287" s="93"/>
      <c r="S287" s="85"/>
      <c r="U287" s="94"/>
      <c r="V287" s="93"/>
      <c r="W287" s="85"/>
      <c r="Y287" s="94"/>
      <c r="Z287" s="93"/>
      <c r="AA287" s="85"/>
      <c r="AC287" s="94"/>
      <c r="AD287" s="93"/>
      <c r="AE287" s="85"/>
    </row>
    <row r="288" spans="7:31" x14ac:dyDescent="0.35">
      <c r="G288" s="85"/>
      <c r="H288" s="87"/>
      <c r="K288" s="85"/>
      <c r="M288" s="94"/>
      <c r="N288" s="93"/>
      <c r="O288" s="85"/>
      <c r="Q288" s="94"/>
      <c r="R288" s="93"/>
      <c r="S288" s="85"/>
      <c r="U288" s="94"/>
      <c r="V288" s="93"/>
      <c r="W288" s="85"/>
      <c r="Y288" s="94"/>
      <c r="Z288" s="93"/>
      <c r="AA288" s="85"/>
      <c r="AC288" s="94"/>
      <c r="AD288" s="93"/>
      <c r="AE288" s="85"/>
    </row>
    <row r="289" spans="7:31" x14ac:dyDescent="0.35">
      <c r="G289" s="85"/>
      <c r="H289" s="87"/>
      <c r="K289" s="85"/>
      <c r="M289" s="94"/>
      <c r="N289" s="93"/>
      <c r="O289" s="85"/>
      <c r="Q289" s="94"/>
      <c r="R289" s="93"/>
      <c r="S289" s="85"/>
      <c r="U289" s="94"/>
      <c r="V289" s="93"/>
      <c r="W289" s="85"/>
      <c r="Y289" s="94"/>
      <c r="Z289" s="93"/>
      <c r="AA289" s="85"/>
      <c r="AC289" s="94"/>
      <c r="AD289" s="93"/>
      <c r="AE289" s="85"/>
    </row>
    <row r="290" spans="7:31" x14ac:dyDescent="0.35">
      <c r="G290" s="85"/>
      <c r="H290" s="87"/>
      <c r="K290" s="85"/>
      <c r="M290" s="94"/>
      <c r="N290" s="93"/>
      <c r="O290" s="85"/>
      <c r="Q290" s="94"/>
      <c r="R290" s="93"/>
      <c r="S290" s="85"/>
      <c r="U290" s="94"/>
      <c r="V290" s="93"/>
      <c r="W290" s="85"/>
      <c r="Y290" s="94"/>
      <c r="Z290" s="93"/>
      <c r="AA290" s="85"/>
      <c r="AC290" s="94"/>
      <c r="AD290" s="93"/>
      <c r="AE290" s="85"/>
    </row>
    <row r="291" spans="7:31" x14ac:dyDescent="0.35">
      <c r="G291" s="85"/>
      <c r="H291" s="87"/>
      <c r="K291" s="85"/>
      <c r="M291" s="94"/>
      <c r="N291" s="93"/>
      <c r="O291" s="85"/>
      <c r="Q291" s="94"/>
      <c r="R291" s="93"/>
      <c r="S291" s="85"/>
      <c r="U291" s="94"/>
      <c r="V291" s="93"/>
      <c r="W291" s="85"/>
      <c r="Y291" s="94"/>
      <c r="Z291" s="93"/>
      <c r="AA291" s="85"/>
      <c r="AC291" s="94"/>
      <c r="AD291" s="93"/>
      <c r="AE291" s="85"/>
    </row>
    <row r="292" spans="7:31" x14ac:dyDescent="0.35">
      <c r="G292" s="85"/>
      <c r="H292" s="87"/>
      <c r="K292" s="85"/>
      <c r="M292" s="94"/>
      <c r="N292" s="93"/>
      <c r="O292" s="85"/>
      <c r="Q292" s="94"/>
      <c r="R292" s="93"/>
      <c r="S292" s="85"/>
      <c r="U292" s="94"/>
      <c r="V292" s="93"/>
      <c r="W292" s="85"/>
      <c r="Y292" s="94"/>
      <c r="Z292" s="93"/>
      <c r="AA292" s="85"/>
      <c r="AC292" s="94"/>
      <c r="AD292" s="93"/>
      <c r="AE292" s="85"/>
    </row>
    <row r="293" spans="7:31" x14ac:dyDescent="0.35">
      <c r="G293" s="85"/>
      <c r="H293" s="87"/>
      <c r="K293" s="85"/>
      <c r="M293" s="94"/>
      <c r="N293" s="93"/>
      <c r="O293" s="85"/>
      <c r="Q293" s="94"/>
      <c r="R293" s="93"/>
      <c r="S293" s="85"/>
      <c r="U293" s="94"/>
      <c r="V293" s="93"/>
      <c r="W293" s="85"/>
      <c r="Y293" s="94"/>
      <c r="Z293" s="93"/>
      <c r="AA293" s="85"/>
      <c r="AC293" s="94"/>
      <c r="AD293" s="93"/>
      <c r="AE293" s="85"/>
    </row>
    <row r="294" spans="7:31" x14ac:dyDescent="0.35">
      <c r="G294" s="85"/>
      <c r="H294" s="87"/>
      <c r="K294" s="85"/>
      <c r="M294" s="94"/>
      <c r="N294" s="93"/>
      <c r="O294" s="85"/>
      <c r="Q294" s="94"/>
      <c r="R294" s="93"/>
      <c r="S294" s="85"/>
      <c r="U294" s="94"/>
      <c r="V294" s="93"/>
      <c r="W294" s="85"/>
      <c r="Y294" s="94"/>
      <c r="Z294" s="93"/>
      <c r="AA294" s="85"/>
      <c r="AC294" s="94"/>
      <c r="AD294" s="93"/>
      <c r="AE294" s="85"/>
    </row>
    <row r="295" spans="7:31" x14ac:dyDescent="0.35">
      <c r="G295" s="85"/>
      <c r="H295" s="87"/>
      <c r="K295" s="85"/>
      <c r="M295" s="94"/>
      <c r="N295" s="93"/>
      <c r="O295" s="85"/>
      <c r="Q295" s="94"/>
      <c r="R295" s="93"/>
      <c r="S295" s="85"/>
      <c r="U295" s="94"/>
      <c r="V295" s="93"/>
      <c r="W295" s="85"/>
      <c r="Y295" s="94"/>
      <c r="Z295" s="93"/>
      <c r="AA295" s="85"/>
      <c r="AC295" s="94"/>
      <c r="AD295" s="93"/>
      <c r="AE295" s="85"/>
    </row>
    <row r="296" spans="7:31" x14ac:dyDescent="0.35">
      <c r="G296" s="85"/>
      <c r="H296" s="87"/>
      <c r="K296" s="85"/>
      <c r="M296" s="94"/>
      <c r="N296" s="93"/>
      <c r="O296" s="85"/>
      <c r="Q296" s="94"/>
      <c r="R296" s="93"/>
      <c r="S296" s="85"/>
      <c r="U296" s="94"/>
      <c r="V296" s="93"/>
      <c r="W296" s="85"/>
      <c r="Y296" s="94"/>
      <c r="Z296" s="93"/>
      <c r="AA296" s="85"/>
      <c r="AC296" s="94"/>
      <c r="AD296" s="93"/>
      <c r="AE296" s="85"/>
    </row>
    <row r="297" spans="7:31" x14ac:dyDescent="0.35">
      <c r="G297" s="85"/>
      <c r="H297" s="87"/>
      <c r="K297" s="85"/>
      <c r="M297" s="94"/>
      <c r="N297" s="93"/>
      <c r="O297" s="85"/>
      <c r="Q297" s="94"/>
      <c r="R297" s="93"/>
      <c r="S297" s="85"/>
      <c r="U297" s="94"/>
      <c r="V297" s="93"/>
      <c r="W297" s="85"/>
      <c r="Y297" s="94"/>
      <c r="Z297" s="93"/>
      <c r="AA297" s="85"/>
      <c r="AC297" s="94"/>
      <c r="AD297" s="93"/>
      <c r="AE297" s="85"/>
    </row>
    <row r="298" spans="7:31" x14ac:dyDescent="0.35">
      <c r="G298" s="85"/>
      <c r="H298" s="87"/>
      <c r="K298" s="85"/>
      <c r="M298" s="94"/>
      <c r="N298" s="93"/>
      <c r="O298" s="85"/>
      <c r="Q298" s="94"/>
      <c r="R298" s="93"/>
      <c r="S298" s="85"/>
      <c r="U298" s="94"/>
      <c r="V298" s="93"/>
      <c r="W298" s="85"/>
      <c r="Y298" s="94"/>
      <c r="Z298" s="93"/>
      <c r="AA298" s="85"/>
      <c r="AC298" s="94"/>
      <c r="AD298" s="93"/>
      <c r="AE298" s="85"/>
    </row>
    <row r="299" spans="7:31" x14ac:dyDescent="0.35">
      <c r="G299" s="85"/>
      <c r="H299" s="87"/>
      <c r="K299" s="85"/>
      <c r="M299" s="94"/>
      <c r="N299" s="93"/>
      <c r="O299" s="85"/>
      <c r="Q299" s="94"/>
      <c r="R299" s="93"/>
      <c r="S299" s="85"/>
      <c r="U299" s="94"/>
      <c r="V299" s="93"/>
      <c r="W299" s="85"/>
      <c r="Y299" s="94"/>
      <c r="Z299" s="93"/>
      <c r="AA299" s="85"/>
      <c r="AC299" s="94"/>
      <c r="AD299" s="93"/>
      <c r="AE299" s="85"/>
    </row>
    <row r="300" spans="7:31" x14ac:dyDescent="0.35">
      <c r="G300" s="85"/>
      <c r="H300" s="87"/>
      <c r="K300" s="85"/>
      <c r="M300" s="94"/>
      <c r="N300" s="93"/>
      <c r="O300" s="85"/>
      <c r="Q300" s="94"/>
      <c r="R300" s="93"/>
      <c r="S300" s="85"/>
      <c r="U300" s="94"/>
      <c r="V300" s="93"/>
      <c r="W300" s="85"/>
      <c r="Y300" s="94"/>
      <c r="Z300" s="93"/>
      <c r="AA300" s="85"/>
      <c r="AC300" s="94"/>
      <c r="AD300" s="93"/>
      <c r="AE300" s="85"/>
    </row>
    <row r="301" spans="7:31" x14ac:dyDescent="0.35">
      <c r="G301" s="85"/>
      <c r="H301" s="87"/>
      <c r="K301" s="85"/>
      <c r="M301" s="94"/>
      <c r="N301" s="93"/>
      <c r="O301" s="85"/>
      <c r="Q301" s="94"/>
      <c r="R301" s="93"/>
      <c r="S301" s="85"/>
      <c r="U301" s="94"/>
      <c r="V301" s="93"/>
      <c r="W301" s="85"/>
      <c r="Y301" s="94"/>
      <c r="Z301" s="93"/>
      <c r="AA301" s="85"/>
      <c r="AC301" s="94"/>
      <c r="AD301" s="93"/>
      <c r="AE301" s="85"/>
    </row>
    <row r="302" spans="7:31" x14ac:dyDescent="0.35">
      <c r="G302" s="85"/>
      <c r="H302" s="87"/>
      <c r="K302" s="85"/>
      <c r="M302" s="94"/>
      <c r="N302" s="93"/>
      <c r="O302" s="85"/>
      <c r="Q302" s="94"/>
      <c r="R302" s="93"/>
      <c r="S302" s="85"/>
      <c r="U302" s="94"/>
      <c r="V302" s="93"/>
      <c r="W302" s="85"/>
      <c r="Y302" s="94"/>
      <c r="Z302" s="93"/>
      <c r="AA302" s="85"/>
      <c r="AC302" s="94"/>
      <c r="AD302" s="93"/>
      <c r="AE302" s="85"/>
    </row>
    <row r="303" spans="7:31" x14ac:dyDescent="0.35">
      <c r="G303" s="85"/>
      <c r="H303" s="87"/>
      <c r="K303" s="85"/>
      <c r="M303" s="94"/>
      <c r="N303" s="93"/>
      <c r="O303" s="85"/>
      <c r="Q303" s="94"/>
      <c r="R303" s="93"/>
      <c r="S303" s="85"/>
      <c r="U303" s="94"/>
      <c r="V303" s="93"/>
      <c r="W303" s="85"/>
      <c r="Y303" s="94"/>
      <c r="Z303" s="93"/>
      <c r="AA303" s="85"/>
      <c r="AC303" s="94"/>
      <c r="AD303" s="93"/>
      <c r="AE303" s="85"/>
    </row>
    <row r="304" spans="7:31" x14ac:dyDescent="0.35">
      <c r="G304" s="85"/>
      <c r="H304" s="87"/>
      <c r="K304" s="85"/>
      <c r="M304" s="94"/>
      <c r="N304" s="93"/>
      <c r="O304" s="85"/>
      <c r="Q304" s="94"/>
      <c r="R304" s="93"/>
      <c r="S304" s="85"/>
      <c r="U304" s="94"/>
      <c r="V304" s="93"/>
      <c r="W304" s="85"/>
      <c r="Y304" s="94"/>
      <c r="Z304" s="93"/>
      <c r="AA304" s="85"/>
      <c r="AC304" s="94"/>
      <c r="AD304" s="93"/>
      <c r="AE304" s="85"/>
    </row>
    <row r="305" spans="7:31" x14ac:dyDescent="0.35">
      <c r="G305" s="85"/>
      <c r="H305" s="87"/>
      <c r="K305" s="85"/>
      <c r="M305" s="94"/>
      <c r="N305" s="93"/>
      <c r="O305" s="85"/>
      <c r="Q305" s="94"/>
      <c r="R305" s="93"/>
      <c r="S305" s="85"/>
      <c r="U305" s="94"/>
      <c r="V305" s="93"/>
      <c r="W305" s="85"/>
      <c r="Y305" s="94"/>
      <c r="Z305" s="93"/>
      <c r="AA305" s="85"/>
      <c r="AC305" s="94"/>
      <c r="AD305" s="93"/>
      <c r="AE305" s="85"/>
    </row>
    <row r="306" spans="7:31" x14ac:dyDescent="0.35">
      <c r="G306" s="85"/>
      <c r="H306" s="87"/>
      <c r="K306" s="85"/>
      <c r="M306" s="94"/>
      <c r="N306" s="93"/>
      <c r="O306" s="85"/>
      <c r="Q306" s="94"/>
      <c r="R306" s="93"/>
      <c r="S306" s="85"/>
      <c r="U306" s="94"/>
      <c r="V306" s="93"/>
      <c r="W306" s="85"/>
      <c r="Y306" s="94"/>
      <c r="Z306" s="93"/>
      <c r="AA306" s="85"/>
      <c r="AC306" s="94"/>
      <c r="AD306" s="93"/>
      <c r="AE306" s="85"/>
    </row>
    <row r="307" spans="7:31" x14ac:dyDescent="0.35">
      <c r="G307" s="85"/>
      <c r="H307" s="87"/>
      <c r="K307" s="85"/>
      <c r="M307" s="94"/>
      <c r="N307" s="93"/>
      <c r="O307" s="85"/>
      <c r="Q307" s="94"/>
      <c r="R307" s="93"/>
      <c r="S307" s="85"/>
      <c r="U307" s="94"/>
      <c r="V307" s="93"/>
      <c r="W307" s="85"/>
      <c r="Y307" s="94"/>
      <c r="Z307" s="93"/>
      <c r="AA307" s="85"/>
      <c r="AC307" s="94"/>
      <c r="AD307" s="93"/>
      <c r="AE307" s="85"/>
    </row>
    <row r="308" spans="7:31" x14ac:dyDescent="0.35">
      <c r="G308" s="85"/>
      <c r="H308" s="87"/>
      <c r="K308" s="85"/>
      <c r="M308" s="94"/>
      <c r="N308" s="93"/>
      <c r="O308" s="85"/>
      <c r="Q308" s="94"/>
      <c r="R308" s="93"/>
      <c r="S308" s="85"/>
      <c r="U308" s="94"/>
      <c r="V308" s="93"/>
      <c r="W308" s="85"/>
      <c r="Y308" s="94"/>
      <c r="Z308" s="93"/>
      <c r="AA308" s="85"/>
      <c r="AC308" s="94"/>
      <c r="AD308" s="93"/>
      <c r="AE308" s="85"/>
    </row>
    <row r="309" spans="7:31" x14ac:dyDescent="0.35">
      <c r="G309" s="85"/>
      <c r="H309" s="87"/>
      <c r="K309" s="85"/>
      <c r="M309" s="94"/>
      <c r="N309" s="93"/>
      <c r="O309" s="85"/>
      <c r="Q309" s="94"/>
      <c r="R309" s="93"/>
      <c r="S309" s="85"/>
      <c r="U309" s="94"/>
      <c r="V309" s="93"/>
      <c r="W309" s="85"/>
      <c r="Y309" s="94"/>
      <c r="Z309" s="93"/>
      <c r="AA309" s="85"/>
      <c r="AC309" s="94"/>
      <c r="AD309" s="93"/>
      <c r="AE309" s="85"/>
    </row>
    <row r="310" spans="7:31" x14ac:dyDescent="0.35">
      <c r="G310" s="85"/>
      <c r="H310" s="87"/>
      <c r="K310" s="85"/>
      <c r="M310" s="94"/>
      <c r="N310" s="93"/>
      <c r="O310" s="85"/>
      <c r="Q310" s="94"/>
      <c r="R310" s="93"/>
      <c r="S310" s="85"/>
      <c r="U310" s="94"/>
      <c r="V310" s="93"/>
      <c r="W310" s="85"/>
      <c r="Y310" s="94"/>
      <c r="Z310" s="93"/>
      <c r="AA310" s="85"/>
      <c r="AC310" s="94"/>
      <c r="AD310" s="93"/>
      <c r="AE310" s="85"/>
    </row>
    <row r="311" spans="7:31" x14ac:dyDescent="0.35">
      <c r="G311" s="85"/>
      <c r="H311" s="87"/>
      <c r="K311" s="85"/>
      <c r="M311" s="94"/>
      <c r="N311" s="93"/>
      <c r="O311" s="85"/>
      <c r="Q311" s="94"/>
      <c r="R311" s="93"/>
      <c r="S311" s="85"/>
      <c r="U311" s="94"/>
      <c r="V311" s="93"/>
      <c r="W311" s="85"/>
      <c r="Y311" s="94"/>
      <c r="Z311" s="93"/>
      <c r="AA311" s="85"/>
      <c r="AC311" s="94"/>
      <c r="AD311" s="93"/>
      <c r="AE311" s="85"/>
    </row>
    <row r="312" spans="7:31" x14ac:dyDescent="0.35">
      <c r="G312" s="85"/>
      <c r="H312" s="87"/>
      <c r="K312" s="85"/>
      <c r="M312" s="94"/>
      <c r="N312" s="93"/>
      <c r="O312" s="85"/>
      <c r="Q312" s="94"/>
      <c r="R312" s="93"/>
      <c r="S312" s="85"/>
      <c r="U312" s="94"/>
      <c r="V312" s="93"/>
      <c r="W312" s="85"/>
      <c r="Y312" s="94"/>
      <c r="Z312" s="93"/>
      <c r="AA312" s="85"/>
      <c r="AC312" s="94"/>
      <c r="AD312" s="93"/>
      <c r="AE312" s="85"/>
    </row>
    <row r="313" spans="7:31" x14ac:dyDescent="0.35">
      <c r="G313" s="85"/>
      <c r="H313" s="87"/>
      <c r="K313" s="85"/>
      <c r="M313" s="94"/>
      <c r="N313" s="93"/>
      <c r="O313" s="85"/>
      <c r="Q313" s="94"/>
      <c r="R313" s="93"/>
      <c r="S313" s="85"/>
      <c r="U313" s="94"/>
      <c r="V313" s="93"/>
      <c r="W313" s="85"/>
      <c r="Y313" s="94"/>
      <c r="Z313" s="93"/>
      <c r="AA313" s="85"/>
      <c r="AC313" s="94"/>
      <c r="AD313" s="93"/>
      <c r="AE313" s="85"/>
    </row>
    <row r="314" spans="7:31" x14ac:dyDescent="0.35">
      <c r="G314" s="85"/>
      <c r="H314" s="87"/>
      <c r="K314" s="85"/>
      <c r="M314" s="94"/>
      <c r="N314" s="93"/>
      <c r="O314" s="85"/>
      <c r="Q314" s="94"/>
      <c r="R314" s="93"/>
      <c r="S314" s="85"/>
      <c r="U314" s="94"/>
      <c r="V314" s="93"/>
      <c r="W314" s="85"/>
      <c r="Y314" s="94"/>
      <c r="Z314" s="93"/>
      <c r="AA314" s="85"/>
      <c r="AC314" s="94"/>
      <c r="AD314" s="93"/>
      <c r="AE314" s="85"/>
    </row>
    <row r="315" spans="7:31" x14ac:dyDescent="0.35">
      <c r="G315" s="85"/>
      <c r="H315" s="87"/>
      <c r="K315" s="85"/>
      <c r="M315" s="94"/>
      <c r="N315" s="93"/>
      <c r="O315" s="85"/>
      <c r="Q315" s="94"/>
      <c r="R315" s="93"/>
      <c r="S315" s="85"/>
      <c r="U315" s="94"/>
      <c r="V315" s="93"/>
      <c r="W315" s="85"/>
      <c r="Y315" s="94"/>
      <c r="Z315" s="93"/>
      <c r="AA315" s="85"/>
      <c r="AC315" s="94"/>
      <c r="AD315" s="93"/>
      <c r="AE315" s="85"/>
    </row>
    <row r="316" spans="7:31" x14ac:dyDescent="0.35">
      <c r="G316" s="85"/>
      <c r="H316" s="87"/>
      <c r="K316" s="85"/>
      <c r="M316" s="94"/>
      <c r="N316" s="93"/>
      <c r="O316" s="85"/>
      <c r="Q316" s="94"/>
      <c r="R316" s="93"/>
      <c r="S316" s="85"/>
      <c r="U316" s="94"/>
      <c r="V316" s="93"/>
      <c r="W316" s="85"/>
      <c r="Y316" s="94"/>
      <c r="Z316" s="93"/>
      <c r="AA316" s="85"/>
      <c r="AC316" s="94"/>
      <c r="AD316" s="93"/>
      <c r="AE316" s="85"/>
    </row>
    <row r="317" spans="7:31" x14ac:dyDescent="0.35">
      <c r="G317" s="85"/>
      <c r="H317" s="87"/>
      <c r="K317" s="85"/>
      <c r="M317" s="94"/>
      <c r="N317" s="93"/>
      <c r="O317" s="85"/>
      <c r="Q317" s="94"/>
      <c r="R317" s="93"/>
      <c r="S317" s="85"/>
      <c r="U317" s="94"/>
      <c r="V317" s="93"/>
      <c r="W317" s="85"/>
      <c r="Y317" s="94"/>
      <c r="Z317" s="93"/>
      <c r="AA317" s="85"/>
      <c r="AC317" s="94"/>
      <c r="AD317" s="93"/>
      <c r="AE317" s="85"/>
    </row>
    <row r="318" spans="7:31" x14ac:dyDescent="0.35">
      <c r="G318" s="85"/>
      <c r="H318" s="87"/>
      <c r="K318" s="85"/>
      <c r="M318" s="94"/>
      <c r="N318" s="93"/>
      <c r="O318" s="85"/>
      <c r="Q318" s="94"/>
      <c r="R318" s="93"/>
      <c r="S318" s="85"/>
      <c r="U318" s="94"/>
      <c r="V318" s="93"/>
      <c r="W318" s="85"/>
      <c r="Y318" s="94"/>
      <c r="Z318" s="93"/>
      <c r="AA318" s="85"/>
      <c r="AC318" s="94"/>
      <c r="AD318" s="93"/>
      <c r="AE318" s="85"/>
    </row>
    <row r="319" spans="7:31" x14ac:dyDescent="0.35">
      <c r="G319" s="85"/>
      <c r="H319" s="87"/>
      <c r="K319" s="85"/>
      <c r="M319" s="94"/>
      <c r="N319" s="93"/>
      <c r="O319" s="85"/>
      <c r="Q319" s="94"/>
      <c r="R319" s="93"/>
      <c r="S319" s="85"/>
      <c r="U319" s="94"/>
      <c r="V319" s="93"/>
      <c r="W319" s="85"/>
      <c r="Y319" s="94"/>
      <c r="Z319" s="93"/>
      <c r="AA319" s="85"/>
      <c r="AC319" s="94"/>
      <c r="AD319" s="93"/>
      <c r="AE319" s="85"/>
    </row>
    <row r="320" spans="7:31" x14ac:dyDescent="0.35">
      <c r="G320" s="85"/>
      <c r="H320" s="87"/>
      <c r="K320" s="85"/>
      <c r="M320" s="94"/>
      <c r="N320" s="93"/>
      <c r="O320" s="85"/>
      <c r="Q320" s="94"/>
      <c r="R320" s="93"/>
      <c r="S320" s="85"/>
      <c r="U320" s="94"/>
      <c r="V320" s="93"/>
      <c r="W320" s="85"/>
      <c r="Y320" s="94"/>
      <c r="Z320" s="93"/>
      <c r="AA320" s="85"/>
      <c r="AC320" s="94"/>
      <c r="AD320" s="93"/>
      <c r="AE320" s="85"/>
    </row>
    <row r="321" spans="7:31" x14ac:dyDescent="0.35">
      <c r="G321" s="85"/>
      <c r="H321" s="87"/>
      <c r="K321" s="85"/>
      <c r="M321" s="94"/>
      <c r="N321" s="93"/>
      <c r="O321" s="85"/>
      <c r="Q321" s="94"/>
      <c r="R321" s="93"/>
      <c r="S321" s="85"/>
      <c r="U321" s="94"/>
      <c r="V321" s="93"/>
      <c r="W321" s="85"/>
      <c r="Y321" s="94"/>
      <c r="Z321" s="93"/>
      <c r="AA321" s="85"/>
      <c r="AC321" s="94"/>
      <c r="AD321" s="93"/>
      <c r="AE321" s="85"/>
    </row>
    <row r="322" spans="7:31" x14ac:dyDescent="0.35">
      <c r="G322" s="85"/>
      <c r="H322" s="87"/>
      <c r="K322" s="85"/>
      <c r="M322" s="94"/>
      <c r="N322" s="93"/>
      <c r="O322" s="85"/>
      <c r="Q322" s="94"/>
      <c r="R322" s="93"/>
      <c r="S322" s="85"/>
      <c r="U322" s="94"/>
      <c r="V322" s="93"/>
      <c r="W322" s="85"/>
      <c r="Y322" s="94"/>
      <c r="Z322" s="93"/>
      <c r="AA322" s="85"/>
      <c r="AC322" s="94"/>
      <c r="AD322" s="93"/>
      <c r="AE322" s="85"/>
    </row>
    <row r="323" spans="7:31" x14ac:dyDescent="0.35">
      <c r="G323" s="85"/>
      <c r="H323" s="87"/>
      <c r="K323" s="85"/>
      <c r="M323" s="94"/>
      <c r="N323" s="93"/>
      <c r="O323" s="85"/>
      <c r="Q323" s="94"/>
      <c r="R323" s="93"/>
      <c r="S323" s="85"/>
      <c r="U323" s="94"/>
      <c r="V323" s="93"/>
      <c r="W323" s="85"/>
      <c r="Y323" s="94"/>
      <c r="Z323" s="93"/>
      <c r="AA323" s="85"/>
      <c r="AC323" s="94"/>
      <c r="AD323" s="93"/>
      <c r="AE323" s="85"/>
    </row>
    <row r="324" spans="7:31" x14ac:dyDescent="0.35">
      <c r="G324" s="85"/>
      <c r="H324" s="87"/>
      <c r="K324" s="85"/>
      <c r="M324" s="94"/>
      <c r="N324" s="93"/>
      <c r="O324" s="85"/>
      <c r="Q324" s="94"/>
      <c r="R324" s="93"/>
      <c r="S324" s="85"/>
      <c r="U324" s="94"/>
      <c r="V324" s="93"/>
      <c r="W324" s="85"/>
      <c r="Y324" s="94"/>
      <c r="Z324" s="93"/>
      <c r="AA324" s="85"/>
      <c r="AC324" s="94"/>
      <c r="AD324" s="93"/>
      <c r="AE324" s="85"/>
    </row>
    <row r="325" spans="7:31" x14ac:dyDescent="0.35">
      <c r="G325" s="85"/>
      <c r="H325" s="87"/>
      <c r="K325" s="85"/>
      <c r="M325" s="94"/>
      <c r="N325" s="93"/>
      <c r="O325" s="85"/>
      <c r="Q325" s="94"/>
      <c r="R325" s="93"/>
      <c r="S325" s="85"/>
      <c r="U325" s="94"/>
      <c r="V325" s="93"/>
      <c r="W325" s="85"/>
      <c r="Y325" s="94"/>
      <c r="Z325" s="93"/>
      <c r="AA325" s="85"/>
      <c r="AC325" s="94"/>
      <c r="AD325" s="93"/>
      <c r="AE325" s="85"/>
    </row>
    <row r="326" spans="7:31" x14ac:dyDescent="0.35">
      <c r="G326" s="85"/>
      <c r="H326" s="87"/>
      <c r="K326" s="85"/>
      <c r="M326" s="94"/>
      <c r="N326" s="93"/>
      <c r="O326" s="85"/>
      <c r="Q326" s="94"/>
      <c r="R326" s="93"/>
      <c r="S326" s="85"/>
      <c r="U326" s="94"/>
      <c r="V326" s="93"/>
      <c r="W326" s="85"/>
      <c r="Y326" s="94"/>
      <c r="Z326" s="93"/>
      <c r="AA326" s="85"/>
      <c r="AC326" s="94"/>
      <c r="AD326" s="93"/>
      <c r="AE326" s="85"/>
    </row>
    <row r="327" spans="7:31" x14ac:dyDescent="0.35">
      <c r="G327" s="85"/>
      <c r="H327" s="87"/>
      <c r="K327" s="85"/>
      <c r="M327" s="94"/>
      <c r="N327" s="93"/>
      <c r="O327" s="85"/>
      <c r="Q327" s="94"/>
      <c r="R327" s="93"/>
      <c r="S327" s="85"/>
      <c r="U327" s="94"/>
      <c r="V327" s="93"/>
      <c r="W327" s="85"/>
      <c r="Y327" s="94"/>
      <c r="Z327" s="93"/>
      <c r="AA327" s="85"/>
      <c r="AC327" s="94"/>
      <c r="AD327" s="93"/>
      <c r="AE327" s="85"/>
    </row>
    <row r="328" spans="7:31" x14ac:dyDescent="0.35">
      <c r="G328" s="85"/>
      <c r="H328" s="87"/>
      <c r="K328" s="85"/>
      <c r="M328" s="94"/>
      <c r="N328" s="93"/>
      <c r="O328" s="85"/>
      <c r="Q328" s="94"/>
      <c r="R328" s="93"/>
      <c r="S328" s="85"/>
      <c r="U328" s="94"/>
      <c r="V328" s="93"/>
      <c r="W328" s="85"/>
      <c r="Y328" s="94"/>
      <c r="Z328" s="93"/>
      <c r="AA328" s="85"/>
      <c r="AC328" s="94"/>
      <c r="AD328" s="93"/>
      <c r="AE328" s="85"/>
    </row>
    <row r="329" spans="7:31" x14ac:dyDescent="0.35">
      <c r="G329" s="85"/>
      <c r="H329" s="87"/>
      <c r="K329" s="85"/>
      <c r="M329" s="94"/>
      <c r="N329" s="93"/>
      <c r="O329" s="85"/>
      <c r="Q329" s="94"/>
      <c r="R329" s="93"/>
      <c r="S329" s="85"/>
      <c r="U329" s="94"/>
      <c r="V329" s="93"/>
      <c r="W329" s="85"/>
      <c r="Y329" s="94"/>
      <c r="Z329" s="93"/>
      <c r="AA329" s="85"/>
      <c r="AC329" s="94"/>
      <c r="AD329" s="93"/>
      <c r="AE329" s="85"/>
    </row>
    <row r="330" spans="7:31" x14ac:dyDescent="0.35">
      <c r="G330" s="85"/>
      <c r="H330" s="87"/>
      <c r="K330" s="85"/>
      <c r="M330" s="94"/>
      <c r="N330" s="93"/>
      <c r="O330" s="85"/>
      <c r="Q330" s="94"/>
      <c r="R330" s="93"/>
      <c r="S330" s="85"/>
      <c r="U330" s="94"/>
      <c r="V330" s="93"/>
      <c r="W330" s="85"/>
      <c r="Y330" s="94"/>
      <c r="Z330" s="93"/>
      <c r="AA330" s="85"/>
      <c r="AC330" s="94"/>
      <c r="AD330" s="93"/>
      <c r="AE330" s="85"/>
    </row>
    <row r="331" spans="7:31" x14ac:dyDescent="0.35">
      <c r="G331" s="85"/>
      <c r="H331" s="87"/>
      <c r="K331" s="85"/>
      <c r="M331" s="94"/>
      <c r="N331" s="93"/>
      <c r="O331" s="85"/>
      <c r="Q331" s="94"/>
      <c r="R331" s="93"/>
      <c r="S331" s="85"/>
      <c r="U331" s="94"/>
      <c r="V331" s="93"/>
      <c r="W331" s="85"/>
      <c r="Y331" s="94"/>
      <c r="Z331" s="93"/>
      <c r="AA331" s="85"/>
      <c r="AC331" s="94"/>
      <c r="AD331" s="93"/>
      <c r="AE331" s="85"/>
    </row>
    <row r="332" spans="7:31" x14ac:dyDescent="0.35">
      <c r="G332" s="85"/>
      <c r="H332" s="87"/>
      <c r="K332" s="85"/>
      <c r="M332" s="94"/>
      <c r="N332" s="93"/>
      <c r="O332" s="85"/>
      <c r="Q332" s="94"/>
      <c r="R332" s="93"/>
      <c r="S332" s="85"/>
      <c r="U332" s="94"/>
      <c r="V332" s="93"/>
      <c r="W332" s="85"/>
      <c r="Y332" s="94"/>
      <c r="Z332" s="93"/>
      <c r="AA332" s="85"/>
      <c r="AC332" s="94"/>
      <c r="AD332" s="93"/>
      <c r="AE332" s="85"/>
    </row>
    <row r="333" spans="7:31" x14ac:dyDescent="0.35">
      <c r="G333" s="85"/>
      <c r="H333" s="87"/>
      <c r="K333" s="85"/>
      <c r="M333" s="94"/>
      <c r="N333" s="93"/>
      <c r="O333" s="85"/>
      <c r="Q333" s="94"/>
      <c r="R333" s="93"/>
      <c r="S333" s="85"/>
      <c r="U333" s="94"/>
      <c r="V333" s="93"/>
      <c r="W333" s="85"/>
      <c r="Y333" s="94"/>
      <c r="Z333" s="93"/>
      <c r="AA333" s="85"/>
      <c r="AC333" s="94"/>
      <c r="AD333" s="93"/>
      <c r="AE333" s="85"/>
    </row>
    <row r="334" spans="7:31" x14ac:dyDescent="0.35">
      <c r="G334" s="85"/>
      <c r="H334" s="87"/>
      <c r="K334" s="85"/>
      <c r="M334" s="94"/>
      <c r="N334" s="93"/>
      <c r="O334" s="85"/>
      <c r="Q334" s="94"/>
      <c r="R334" s="93"/>
      <c r="S334" s="85"/>
      <c r="U334" s="94"/>
      <c r="V334" s="93"/>
      <c r="W334" s="85"/>
      <c r="Y334" s="94"/>
      <c r="Z334" s="93"/>
      <c r="AA334" s="85"/>
      <c r="AC334" s="94"/>
      <c r="AD334" s="93"/>
      <c r="AE334" s="85"/>
    </row>
    <row r="335" spans="7:31" x14ac:dyDescent="0.35">
      <c r="G335" s="85"/>
      <c r="H335" s="87"/>
      <c r="K335" s="85"/>
      <c r="M335" s="94"/>
      <c r="N335" s="93"/>
      <c r="O335" s="85"/>
      <c r="Q335" s="94"/>
      <c r="R335" s="93"/>
      <c r="S335" s="85"/>
      <c r="U335" s="94"/>
      <c r="V335" s="93"/>
      <c r="W335" s="85"/>
      <c r="Y335" s="94"/>
      <c r="Z335" s="93"/>
      <c r="AA335" s="85"/>
      <c r="AC335" s="94"/>
      <c r="AD335" s="93"/>
      <c r="AE335" s="85"/>
    </row>
    <row r="336" spans="7:31" x14ac:dyDescent="0.35">
      <c r="G336" s="85"/>
      <c r="H336" s="87"/>
      <c r="K336" s="85"/>
      <c r="M336" s="94"/>
      <c r="N336" s="93"/>
      <c r="O336" s="85"/>
      <c r="Q336" s="94"/>
      <c r="R336" s="93"/>
      <c r="S336" s="85"/>
      <c r="U336" s="94"/>
      <c r="V336" s="93"/>
      <c r="W336" s="85"/>
      <c r="Y336" s="94"/>
      <c r="Z336" s="93"/>
      <c r="AA336" s="85"/>
      <c r="AC336" s="94"/>
      <c r="AD336" s="93"/>
      <c r="AE336" s="85"/>
    </row>
    <row r="337" spans="7:31" x14ac:dyDescent="0.35">
      <c r="G337" s="85"/>
      <c r="H337" s="87"/>
      <c r="K337" s="85"/>
      <c r="M337" s="94"/>
      <c r="N337" s="93"/>
      <c r="O337" s="85"/>
      <c r="Q337" s="94"/>
      <c r="R337" s="93"/>
      <c r="S337" s="85"/>
      <c r="U337" s="94"/>
      <c r="V337" s="93"/>
      <c r="W337" s="85"/>
      <c r="Y337" s="94"/>
      <c r="Z337" s="93"/>
      <c r="AA337" s="85"/>
      <c r="AC337" s="94"/>
      <c r="AD337" s="93"/>
      <c r="AE337" s="85"/>
    </row>
    <row r="338" spans="7:31" x14ac:dyDescent="0.35">
      <c r="G338" s="85"/>
      <c r="H338" s="87"/>
      <c r="K338" s="85"/>
      <c r="M338" s="94"/>
      <c r="N338" s="93"/>
      <c r="O338" s="85"/>
      <c r="Q338" s="94"/>
      <c r="R338" s="93"/>
      <c r="S338" s="85"/>
      <c r="U338" s="94"/>
      <c r="V338" s="93"/>
      <c r="W338" s="85"/>
      <c r="Y338" s="94"/>
      <c r="Z338" s="93"/>
      <c r="AA338" s="85"/>
      <c r="AC338" s="94"/>
      <c r="AD338" s="93"/>
      <c r="AE338" s="85"/>
    </row>
    <row r="339" spans="7:31" x14ac:dyDescent="0.35">
      <c r="G339" s="85"/>
      <c r="H339" s="87"/>
      <c r="K339" s="85"/>
      <c r="M339" s="94"/>
      <c r="N339" s="93"/>
      <c r="O339" s="85"/>
      <c r="Q339" s="94"/>
      <c r="R339" s="93"/>
      <c r="S339" s="85"/>
      <c r="U339" s="94"/>
      <c r="V339" s="93"/>
      <c r="W339" s="85"/>
      <c r="Y339" s="94"/>
      <c r="Z339" s="93"/>
      <c r="AA339" s="85"/>
      <c r="AC339" s="94"/>
      <c r="AD339" s="93"/>
      <c r="AE339" s="85"/>
    </row>
    <row r="340" spans="7:31" x14ac:dyDescent="0.35">
      <c r="G340" s="85"/>
      <c r="H340" s="87"/>
      <c r="K340" s="85"/>
      <c r="M340" s="94"/>
      <c r="N340" s="93"/>
      <c r="O340" s="85"/>
      <c r="Q340" s="94"/>
      <c r="R340" s="93"/>
      <c r="S340" s="85"/>
      <c r="U340" s="94"/>
      <c r="V340" s="93"/>
      <c r="W340" s="85"/>
      <c r="Y340" s="94"/>
      <c r="Z340" s="93"/>
      <c r="AA340" s="85"/>
      <c r="AC340" s="94"/>
      <c r="AD340" s="93"/>
      <c r="AE340" s="85"/>
    </row>
    <row r="341" spans="7:31" x14ac:dyDescent="0.35">
      <c r="G341" s="85"/>
      <c r="H341" s="87"/>
      <c r="K341" s="85"/>
      <c r="M341" s="94"/>
      <c r="N341" s="93"/>
      <c r="O341" s="85"/>
      <c r="Q341" s="94"/>
      <c r="R341" s="93"/>
      <c r="S341" s="85"/>
      <c r="U341" s="94"/>
      <c r="V341" s="93"/>
      <c r="W341" s="85"/>
      <c r="Y341" s="94"/>
      <c r="Z341" s="93"/>
      <c r="AA341" s="85"/>
      <c r="AC341" s="94"/>
      <c r="AD341" s="93"/>
      <c r="AE341" s="85"/>
    </row>
    <row r="342" spans="7:31" x14ac:dyDescent="0.35">
      <c r="G342" s="85"/>
      <c r="H342" s="87"/>
      <c r="K342" s="85"/>
      <c r="M342" s="94"/>
      <c r="N342" s="93"/>
      <c r="O342" s="85"/>
      <c r="Q342" s="94"/>
      <c r="R342" s="93"/>
      <c r="S342" s="85"/>
      <c r="U342" s="94"/>
      <c r="V342" s="93"/>
      <c r="W342" s="85"/>
      <c r="Y342" s="94"/>
      <c r="Z342" s="93"/>
      <c r="AA342" s="85"/>
      <c r="AC342" s="94"/>
      <c r="AD342" s="93"/>
      <c r="AE342" s="85"/>
    </row>
    <row r="343" spans="7:31" x14ac:dyDescent="0.35">
      <c r="G343" s="85"/>
      <c r="H343" s="87"/>
      <c r="K343" s="85"/>
      <c r="M343" s="94"/>
      <c r="N343" s="93"/>
      <c r="O343" s="85"/>
      <c r="Q343" s="94"/>
      <c r="R343" s="93"/>
      <c r="S343" s="85"/>
      <c r="U343" s="94"/>
      <c r="V343" s="93"/>
      <c r="W343" s="85"/>
      <c r="Y343" s="94"/>
      <c r="Z343" s="93"/>
      <c r="AA343" s="85"/>
      <c r="AC343" s="94"/>
      <c r="AD343" s="93"/>
      <c r="AE343" s="85"/>
    </row>
    <row r="344" spans="7:31" x14ac:dyDescent="0.35">
      <c r="G344" s="85"/>
      <c r="H344" s="87"/>
      <c r="K344" s="85"/>
      <c r="M344" s="94"/>
      <c r="N344" s="93"/>
      <c r="O344" s="85"/>
      <c r="Q344" s="94"/>
      <c r="R344" s="93"/>
      <c r="S344" s="85"/>
      <c r="U344" s="94"/>
      <c r="V344" s="93"/>
      <c r="W344" s="85"/>
      <c r="Y344" s="94"/>
      <c r="Z344" s="93"/>
      <c r="AA344" s="85"/>
      <c r="AC344" s="94"/>
      <c r="AD344" s="93"/>
      <c r="AE344" s="85"/>
    </row>
    <row r="345" spans="7:31" x14ac:dyDescent="0.35">
      <c r="G345" s="85"/>
      <c r="H345" s="87"/>
      <c r="K345" s="85"/>
      <c r="M345" s="94"/>
      <c r="N345" s="93"/>
      <c r="O345" s="85"/>
      <c r="Q345" s="94"/>
      <c r="R345" s="93"/>
      <c r="S345" s="85"/>
      <c r="U345" s="94"/>
      <c r="V345" s="93"/>
      <c r="W345" s="85"/>
      <c r="Y345" s="94"/>
      <c r="Z345" s="93"/>
      <c r="AA345" s="85"/>
      <c r="AC345" s="94"/>
      <c r="AD345" s="93"/>
      <c r="AE345" s="85"/>
    </row>
    <row r="346" spans="7:31" x14ac:dyDescent="0.35">
      <c r="G346" s="85"/>
      <c r="H346" s="87"/>
      <c r="K346" s="85"/>
      <c r="M346" s="94"/>
      <c r="N346" s="93"/>
      <c r="O346" s="85"/>
      <c r="Q346" s="94"/>
      <c r="R346" s="93"/>
      <c r="S346" s="85"/>
      <c r="U346" s="94"/>
      <c r="V346" s="93"/>
      <c r="W346" s="85"/>
      <c r="Y346" s="94"/>
      <c r="Z346" s="93"/>
      <c r="AA346" s="85"/>
      <c r="AC346" s="94"/>
      <c r="AD346" s="93"/>
      <c r="AE346" s="85"/>
    </row>
    <row r="347" spans="7:31" x14ac:dyDescent="0.35">
      <c r="G347" s="85"/>
      <c r="H347" s="87"/>
      <c r="K347" s="85"/>
      <c r="M347" s="94"/>
      <c r="N347" s="93"/>
      <c r="O347" s="85"/>
      <c r="Q347" s="94"/>
      <c r="R347" s="93"/>
      <c r="S347" s="85"/>
      <c r="U347" s="94"/>
      <c r="V347" s="93"/>
      <c r="W347" s="85"/>
      <c r="Y347" s="94"/>
      <c r="Z347" s="93"/>
      <c r="AA347" s="85"/>
      <c r="AC347" s="94"/>
      <c r="AD347" s="93"/>
      <c r="AE347" s="85"/>
    </row>
    <row r="348" spans="7:31" x14ac:dyDescent="0.35">
      <c r="G348" s="85"/>
      <c r="H348" s="87"/>
      <c r="K348" s="85"/>
      <c r="M348" s="94"/>
      <c r="N348" s="93"/>
      <c r="O348" s="85"/>
      <c r="Q348" s="94"/>
      <c r="R348" s="93"/>
      <c r="S348" s="85"/>
      <c r="U348" s="94"/>
      <c r="V348" s="93"/>
      <c r="W348" s="85"/>
      <c r="Y348" s="94"/>
      <c r="Z348" s="93"/>
      <c r="AA348" s="85"/>
      <c r="AC348" s="94"/>
      <c r="AD348" s="93"/>
      <c r="AE348" s="85"/>
    </row>
    <row r="349" spans="7:31" x14ac:dyDescent="0.35">
      <c r="G349" s="85"/>
      <c r="H349" s="87"/>
      <c r="K349" s="85"/>
      <c r="M349" s="94"/>
      <c r="N349" s="93"/>
      <c r="O349" s="85"/>
      <c r="Q349" s="94"/>
      <c r="R349" s="93"/>
      <c r="S349" s="85"/>
      <c r="U349" s="94"/>
      <c r="V349" s="93"/>
      <c r="W349" s="85"/>
      <c r="Y349" s="94"/>
      <c r="Z349" s="93"/>
      <c r="AA349" s="85"/>
      <c r="AC349" s="94"/>
      <c r="AD349" s="93"/>
      <c r="AE349" s="85"/>
    </row>
    <row r="350" spans="7:31" x14ac:dyDescent="0.35">
      <c r="G350" s="85"/>
      <c r="H350" s="87"/>
      <c r="K350" s="85"/>
      <c r="M350" s="94"/>
      <c r="N350" s="93"/>
      <c r="O350" s="85"/>
      <c r="Q350" s="94"/>
      <c r="R350" s="93"/>
      <c r="S350" s="85"/>
      <c r="U350" s="94"/>
      <c r="V350" s="93"/>
      <c r="W350" s="85"/>
      <c r="Y350" s="94"/>
      <c r="Z350" s="93"/>
      <c r="AA350" s="85"/>
      <c r="AC350" s="94"/>
      <c r="AD350" s="93"/>
      <c r="AE350" s="85"/>
    </row>
    <row r="351" spans="7:31" x14ac:dyDescent="0.35">
      <c r="G351" s="85"/>
      <c r="H351" s="87"/>
      <c r="K351" s="85"/>
      <c r="M351" s="94"/>
      <c r="N351" s="93"/>
      <c r="O351" s="85"/>
      <c r="Q351" s="94"/>
      <c r="R351" s="93"/>
      <c r="S351" s="85"/>
      <c r="U351" s="94"/>
      <c r="V351" s="93"/>
      <c r="W351" s="85"/>
      <c r="Y351" s="94"/>
      <c r="Z351" s="93"/>
      <c r="AA351" s="85"/>
      <c r="AC351" s="94"/>
      <c r="AD351" s="93"/>
      <c r="AE351" s="85"/>
    </row>
    <row r="352" spans="7:31" x14ac:dyDescent="0.35">
      <c r="G352" s="85"/>
      <c r="H352" s="87"/>
      <c r="K352" s="85"/>
      <c r="M352" s="94"/>
      <c r="N352" s="93"/>
      <c r="O352" s="85"/>
      <c r="Q352" s="94"/>
      <c r="R352" s="93"/>
      <c r="S352" s="85"/>
      <c r="U352" s="94"/>
      <c r="V352" s="93"/>
      <c r="W352" s="85"/>
      <c r="Y352" s="94"/>
      <c r="Z352" s="93"/>
      <c r="AA352" s="85"/>
      <c r="AC352" s="94"/>
      <c r="AD352" s="93"/>
      <c r="AE352" s="85"/>
    </row>
    <row r="353" spans="7:31" x14ac:dyDescent="0.35">
      <c r="G353" s="85"/>
      <c r="H353" s="87"/>
      <c r="K353" s="85"/>
      <c r="M353" s="94"/>
      <c r="N353" s="93"/>
      <c r="O353" s="85"/>
      <c r="Q353" s="94"/>
      <c r="R353" s="93"/>
      <c r="S353" s="85"/>
      <c r="U353" s="94"/>
      <c r="V353" s="93"/>
      <c r="W353" s="85"/>
      <c r="Y353" s="94"/>
      <c r="Z353" s="93"/>
      <c r="AA353" s="85"/>
      <c r="AC353" s="94"/>
      <c r="AD353" s="93"/>
      <c r="AE353" s="85"/>
    </row>
    <row r="354" spans="7:31" x14ac:dyDescent="0.35">
      <c r="G354" s="85"/>
      <c r="H354" s="87"/>
      <c r="K354" s="85"/>
      <c r="M354" s="94"/>
      <c r="N354" s="93"/>
      <c r="O354" s="85"/>
      <c r="Q354" s="94"/>
      <c r="R354" s="93"/>
      <c r="S354" s="85"/>
      <c r="U354" s="94"/>
      <c r="V354" s="93"/>
      <c r="W354" s="85"/>
      <c r="Y354" s="94"/>
      <c r="Z354" s="93"/>
      <c r="AA354" s="85"/>
      <c r="AC354" s="94"/>
      <c r="AD354" s="93"/>
      <c r="AE354" s="85"/>
    </row>
    <row r="355" spans="7:31" x14ac:dyDescent="0.35">
      <c r="G355" s="85"/>
      <c r="H355" s="87"/>
      <c r="K355" s="85"/>
      <c r="M355" s="94"/>
      <c r="N355" s="93"/>
      <c r="O355" s="85"/>
      <c r="Q355" s="94"/>
      <c r="R355" s="93"/>
      <c r="S355" s="85"/>
      <c r="U355" s="94"/>
      <c r="V355" s="93"/>
      <c r="W355" s="85"/>
      <c r="Y355" s="94"/>
      <c r="Z355" s="93"/>
      <c r="AA355" s="85"/>
      <c r="AC355" s="94"/>
      <c r="AD355" s="93"/>
      <c r="AE355" s="85"/>
    </row>
    <row r="356" spans="7:31" x14ac:dyDescent="0.35">
      <c r="G356" s="85"/>
      <c r="H356" s="87"/>
      <c r="K356" s="85"/>
      <c r="M356" s="94"/>
      <c r="N356" s="93"/>
      <c r="O356" s="85"/>
      <c r="Q356" s="94"/>
      <c r="R356" s="93"/>
      <c r="S356" s="85"/>
      <c r="U356" s="94"/>
      <c r="V356" s="93"/>
      <c r="W356" s="85"/>
      <c r="Y356" s="94"/>
      <c r="Z356" s="93"/>
      <c r="AA356" s="85"/>
      <c r="AC356" s="94"/>
      <c r="AD356" s="93"/>
      <c r="AE356" s="85"/>
    </row>
    <row r="357" spans="7:31" x14ac:dyDescent="0.35">
      <c r="G357" s="85"/>
      <c r="H357" s="87"/>
      <c r="K357" s="85"/>
      <c r="M357" s="94"/>
      <c r="N357" s="93"/>
      <c r="O357" s="85"/>
      <c r="Q357" s="94"/>
      <c r="R357" s="93"/>
      <c r="S357" s="85"/>
      <c r="U357" s="94"/>
      <c r="V357" s="93"/>
      <c r="W357" s="85"/>
      <c r="Y357" s="94"/>
      <c r="Z357" s="93"/>
      <c r="AA357" s="85"/>
      <c r="AC357" s="94"/>
      <c r="AD357" s="93"/>
      <c r="AE357" s="85"/>
    </row>
    <row r="358" spans="7:31" x14ac:dyDescent="0.35">
      <c r="G358" s="85"/>
      <c r="H358" s="87"/>
      <c r="K358" s="85"/>
      <c r="M358" s="94"/>
      <c r="N358" s="93"/>
      <c r="O358" s="85"/>
      <c r="Q358" s="94"/>
      <c r="R358" s="93"/>
      <c r="S358" s="85"/>
      <c r="U358" s="94"/>
      <c r="V358" s="93"/>
      <c r="W358" s="85"/>
      <c r="Y358" s="94"/>
      <c r="Z358" s="93"/>
      <c r="AA358" s="85"/>
      <c r="AC358" s="94"/>
      <c r="AD358" s="93"/>
      <c r="AE358" s="85"/>
    </row>
    <row r="359" spans="7:31" x14ac:dyDescent="0.35">
      <c r="G359" s="85"/>
      <c r="H359" s="87"/>
      <c r="K359" s="85"/>
      <c r="M359" s="94"/>
      <c r="N359" s="93"/>
      <c r="O359" s="85"/>
      <c r="Q359" s="94"/>
      <c r="R359" s="93"/>
      <c r="S359" s="85"/>
      <c r="U359" s="94"/>
      <c r="V359" s="93"/>
      <c r="W359" s="85"/>
      <c r="Y359" s="94"/>
      <c r="Z359" s="93"/>
      <c r="AA359" s="85"/>
      <c r="AC359" s="94"/>
      <c r="AD359" s="93"/>
      <c r="AE359" s="85"/>
    </row>
    <row r="360" spans="7:31" x14ac:dyDescent="0.35">
      <c r="G360" s="85"/>
      <c r="H360" s="87"/>
      <c r="K360" s="85"/>
      <c r="M360" s="94"/>
      <c r="N360" s="93"/>
      <c r="O360" s="85"/>
      <c r="Q360" s="94"/>
      <c r="R360" s="93"/>
      <c r="S360" s="85"/>
      <c r="U360" s="94"/>
      <c r="V360" s="93"/>
      <c r="W360" s="85"/>
      <c r="Y360" s="94"/>
      <c r="Z360" s="93"/>
      <c r="AA360" s="85"/>
      <c r="AC360" s="94"/>
      <c r="AD360" s="93"/>
      <c r="AE360" s="85"/>
    </row>
    <row r="361" spans="7:31" x14ac:dyDescent="0.35">
      <c r="G361" s="85"/>
      <c r="H361" s="87"/>
      <c r="K361" s="85"/>
      <c r="M361" s="94"/>
      <c r="N361" s="93"/>
      <c r="O361" s="85"/>
      <c r="Q361" s="94"/>
      <c r="R361" s="93"/>
      <c r="S361" s="85"/>
      <c r="U361" s="94"/>
      <c r="V361" s="93"/>
      <c r="W361" s="85"/>
      <c r="Y361" s="94"/>
      <c r="Z361" s="93"/>
      <c r="AA361" s="85"/>
      <c r="AC361" s="94"/>
      <c r="AD361" s="93"/>
      <c r="AE361" s="85"/>
    </row>
    <row r="362" spans="7:31" x14ac:dyDescent="0.35">
      <c r="G362" s="85"/>
      <c r="H362" s="87"/>
      <c r="K362" s="85"/>
      <c r="M362" s="94"/>
      <c r="N362" s="93"/>
      <c r="O362" s="85"/>
      <c r="Q362" s="94"/>
      <c r="R362" s="93"/>
      <c r="S362" s="85"/>
      <c r="U362" s="94"/>
      <c r="V362" s="93"/>
      <c r="W362" s="85"/>
      <c r="Y362" s="94"/>
      <c r="Z362" s="93"/>
      <c r="AA362" s="85"/>
      <c r="AC362" s="94"/>
      <c r="AD362" s="93"/>
      <c r="AE362" s="85"/>
    </row>
    <row r="363" spans="7:31" x14ac:dyDescent="0.35">
      <c r="G363" s="85"/>
      <c r="H363" s="87"/>
      <c r="K363" s="85"/>
      <c r="M363" s="94"/>
      <c r="N363" s="93"/>
      <c r="O363" s="85"/>
      <c r="Q363" s="94"/>
      <c r="R363" s="93"/>
      <c r="S363" s="85"/>
      <c r="U363" s="94"/>
      <c r="V363" s="93"/>
      <c r="W363" s="85"/>
      <c r="Y363" s="94"/>
      <c r="Z363" s="93"/>
      <c r="AA363" s="85"/>
      <c r="AC363" s="94"/>
      <c r="AD363" s="93"/>
      <c r="AE363" s="85"/>
    </row>
    <row r="364" spans="7:31" x14ac:dyDescent="0.35">
      <c r="G364" s="85"/>
      <c r="H364" s="87"/>
      <c r="K364" s="85"/>
      <c r="M364" s="94"/>
      <c r="N364" s="93"/>
      <c r="O364" s="85"/>
      <c r="Q364" s="94"/>
      <c r="R364" s="93"/>
      <c r="S364" s="85"/>
      <c r="U364" s="94"/>
      <c r="V364" s="93"/>
      <c r="W364" s="85"/>
      <c r="Y364" s="94"/>
      <c r="Z364" s="93"/>
      <c r="AA364" s="85"/>
      <c r="AC364" s="94"/>
      <c r="AD364" s="93"/>
      <c r="AE364" s="85"/>
    </row>
    <row r="365" spans="7:31" x14ac:dyDescent="0.35">
      <c r="G365" s="85"/>
      <c r="H365" s="87"/>
      <c r="K365" s="85"/>
      <c r="M365" s="94"/>
      <c r="N365" s="93"/>
      <c r="O365" s="85"/>
      <c r="Q365" s="94"/>
      <c r="R365" s="93"/>
      <c r="S365" s="85"/>
      <c r="U365" s="94"/>
      <c r="V365" s="93"/>
      <c r="W365" s="85"/>
      <c r="Y365" s="94"/>
      <c r="Z365" s="93"/>
      <c r="AA365" s="85"/>
      <c r="AC365" s="94"/>
      <c r="AD365" s="93"/>
      <c r="AE365" s="85"/>
    </row>
    <row r="366" spans="7:31" x14ac:dyDescent="0.35">
      <c r="G366" s="85"/>
      <c r="H366" s="87"/>
      <c r="K366" s="85"/>
      <c r="M366" s="94"/>
      <c r="N366" s="93"/>
      <c r="O366" s="85"/>
      <c r="Q366" s="94"/>
      <c r="R366" s="93"/>
      <c r="S366" s="85"/>
      <c r="U366" s="94"/>
      <c r="V366" s="93"/>
      <c r="W366" s="85"/>
      <c r="Y366" s="94"/>
      <c r="Z366" s="93"/>
      <c r="AA366" s="85"/>
      <c r="AC366" s="94"/>
      <c r="AD366" s="93"/>
      <c r="AE366" s="85"/>
    </row>
    <row r="367" spans="7:31" x14ac:dyDescent="0.35">
      <c r="G367" s="85"/>
      <c r="H367" s="87"/>
      <c r="K367" s="85"/>
      <c r="M367" s="94"/>
      <c r="N367" s="93"/>
      <c r="O367" s="85"/>
      <c r="Q367" s="94"/>
      <c r="R367" s="93"/>
      <c r="S367" s="85"/>
      <c r="U367" s="94"/>
      <c r="V367" s="93"/>
      <c r="W367" s="85"/>
      <c r="Y367" s="94"/>
      <c r="Z367" s="93"/>
      <c r="AA367" s="85"/>
      <c r="AC367" s="94"/>
      <c r="AD367" s="93"/>
      <c r="AE367" s="85"/>
    </row>
    <row r="368" spans="7:31" x14ac:dyDescent="0.35">
      <c r="G368" s="85"/>
      <c r="H368" s="87"/>
      <c r="K368" s="85"/>
      <c r="M368" s="94"/>
      <c r="N368" s="93"/>
      <c r="O368" s="85"/>
      <c r="Q368" s="94"/>
      <c r="R368" s="93"/>
      <c r="S368" s="85"/>
      <c r="U368" s="94"/>
      <c r="V368" s="93"/>
      <c r="W368" s="85"/>
      <c r="Y368" s="94"/>
      <c r="Z368" s="93"/>
      <c r="AA368" s="85"/>
      <c r="AC368" s="94"/>
      <c r="AD368" s="93"/>
      <c r="AE368" s="85"/>
    </row>
    <row r="369" spans="7:31" x14ac:dyDescent="0.35">
      <c r="G369" s="85"/>
      <c r="H369" s="87"/>
      <c r="K369" s="85"/>
      <c r="M369" s="94"/>
      <c r="N369" s="93"/>
      <c r="O369" s="85"/>
      <c r="Q369" s="94"/>
      <c r="R369" s="93"/>
      <c r="S369" s="85"/>
      <c r="U369" s="94"/>
      <c r="V369" s="93"/>
      <c r="W369" s="85"/>
      <c r="Y369" s="94"/>
      <c r="Z369" s="93"/>
      <c r="AA369" s="85"/>
      <c r="AC369" s="94"/>
      <c r="AD369" s="93"/>
      <c r="AE369" s="85"/>
    </row>
    <row r="370" spans="7:31" x14ac:dyDescent="0.35">
      <c r="G370" s="85"/>
      <c r="H370" s="87"/>
      <c r="K370" s="85"/>
      <c r="M370" s="94"/>
      <c r="N370" s="93"/>
      <c r="O370" s="85"/>
      <c r="Q370" s="94"/>
      <c r="R370" s="93"/>
      <c r="S370" s="85"/>
      <c r="U370" s="94"/>
      <c r="V370" s="93"/>
      <c r="W370" s="85"/>
      <c r="Y370" s="94"/>
      <c r="Z370" s="93"/>
      <c r="AA370" s="85"/>
      <c r="AC370" s="94"/>
      <c r="AD370" s="93"/>
      <c r="AE370" s="85"/>
    </row>
    <row r="371" spans="7:31" x14ac:dyDescent="0.35">
      <c r="G371" s="85"/>
      <c r="H371" s="87"/>
      <c r="K371" s="85"/>
      <c r="M371" s="94"/>
      <c r="N371" s="93"/>
      <c r="O371" s="85"/>
      <c r="Q371" s="94"/>
      <c r="R371" s="93"/>
      <c r="S371" s="85"/>
      <c r="U371" s="94"/>
      <c r="V371" s="93"/>
      <c r="W371" s="85"/>
      <c r="Y371" s="94"/>
      <c r="Z371" s="93"/>
      <c r="AA371" s="85"/>
      <c r="AC371" s="94"/>
      <c r="AD371" s="93"/>
      <c r="AE371" s="85"/>
    </row>
    <row r="372" spans="7:31" x14ac:dyDescent="0.35">
      <c r="G372" s="85"/>
      <c r="H372" s="87"/>
      <c r="K372" s="85"/>
      <c r="M372" s="94"/>
      <c r="N372" s="93"/>
      <c r="O372" s="85"/>
      <c r="Q372" s="94"/>
      <c r="R372" s="93"/>
      <c r="S372" s="85"/>
      <c r="U372" s="94"/>
      <c r="V372" s="93"/>
      <c r="W372" s="85"/>
      <c r="Y372" s="94"/>
      <c r="Z372" s="93"/>
      <c r="AA372" s="85"/>
      <c r="AC372" s="94"/>
      <c r="AD372" s="93"/>
      <c r="AE372" s="85"/>
    </row>
    <row r="373" spans="7:31" x14ac:dyDescent="0.35">
      <c r="G373" s="85"/>
      <c r="H373" s="87"/>
      <c r="K373" s="85"/>
      <c r="M373" s="94"/>
      <c r="N373" s="93"/>
      <c r="O373" s="85"/>
      <c r="Q373" s="94"/>
      <c r="R373" s="93"/>
      <c r="S373" s="85"/>
      <c r="U373" s="94"/>
      <c r="V373" s="93"/>
      <c r="W373" s="85"/>
      <c r="Y373" s="94"/>
      <c r="Z373" s="93"/>
      <c r="AA373" s="85"/>
      <c r="AC373" s="94"/>
      <c r="AD373" s="93"/>
      <c r="AE373" s="85"/>
    </row>
    <row r="374" spans="7:31" x14ac:dyDescent="0.35">
      <c r="G374" s="85"/>
      <c r="H374" s="87"/>
      <c r="K374" s="85"/>
      <c r="M374" s="94"/>
      <c r="N374" s="93"/>
      <c r="O374" s="85"/>
      <c r="Q374" s="94"/>
      <c r="R374" s="93"/>
      <c r="S374" s="85"/>
      <c r="U374" s="94"/>
      <c r="V374" s="93"/>
      <c r="W374" s="85"/>
      <c r="Y374" s="94"/>
      <c r="Z374" s="93"/>
      <c r="AA374" s="85"/>
      <c r="AC374" s="94"/>
      <c r="AD374" s="93"/>
      <c r="AE374" s="85"/>
    </row>
    <row r="375" spans="7:31" x14ac:dyDescent="0.35">
      <c r="G375" s="85"/>
      <c r="H375" s="87"/>
      <c r="K375" s="85"/>
      <c r="M375" s="94"/>
      <c r="N375" s="93"/>
      <c r="O375" s="85"/>
      <c r="Q375" s="94"/>
      <c r="R375" s="93"/>
      <c r="S375" s="85"/>
      <c r="U375" s="94"/>
      <c r="V375" s="93"/>
      <c r="W375" s="85"/>
      <c r="Y375" s="94"/>
      <c r="Z375" s="93"/>
      <c r="AA375" s="85"/>
      <c r="AC375" s="94"/>
      <c r="AD375" s="93"/>
      <c r="AE375" s="85"/>
    </row>
    <row r="376" spans="7:31" x14ac:dyDescent="0.35">
      <c r="G376" s="85"/>
      <c r="H376" s="87"/>
      <c r="K376" s="85"/>
      <c r="M376" s="94"/>
      <c r="N376" s="93"/>
      <c r="O376" s="85"/>
      <c r="Q376" s="94"/>
      <c r="R376" s="93"/>
      <c r="S376" s="85"/>
      <c r="U376" s="94"/>
      <c r="V376" s="93"/>
      <c r="W376" s="85"/>
      <c r="Y376" s="94"/>
      <c r="Z376" s="93"/>
      <c r="AA376" s="85"/>
      <c r="AC376" s="94"/>
      <c r="AD376" s="93"/>
      <c r="AE376" s="85"/>
    </row>
    <row r="377" spans="7:31" x14ac:dyDescent="0.35">
      <c r="G377" s="85"/>
      <c r="H377" s="87"/>
      <c r="K377" s="85"/>
      <c r="M377" s="94"/>
      <c r="N377" s="93"/>
      <c r="O377" s="85"/>
      <c r="Q377" s="94"/>
      <c r="R377" s="93"/>
      <c r="S377" s="85"/>
      <c r="U377" s="94"/>
      <c r="V377" s="93"/>
      <c r="W377" s="85"/>
      <c r="Y377" s="94"/>
      <c r="Z377" s="93"/>
      <c r="AA377" s="85"/>
      <c r="AC377" s="94"/>
      <c r="AD377" s="93"/>
      <c r="AE377" s="85"/>
    </row>
    <row r="378" spans="7:31" x14ac:dyDescent="0.35">
      <c r="G378" s="85"/>
      <c r="H378" s="87"/>
      <c r="K378" s="85"/>
      <c r="M378" s="94"/>
      <c r="N378" s="93"/>
      <c r="O378" s="85"/>
      <c r="Q378" s="94"/>
      <c r="R378" s="93"/>
      <c r="S378" s="85"/>
      <c r="U378" s="94"/>
      <c r="V378" s="93"/>
      <c r="W378" s="85"/>
      <c r="Y378" s="94"/>
      <c r="Z378" s="93"/>
      <c r="AA378" s="85"/>
      <c r="AC378" s="94"/>
      <c r="AD378" s="93"/>
      <c r="AE378" s="85"/>
    </row>
    <row r="379" spans="7:31" x14ac:dyDescent="0.35">
      <c r="G379" s="85"/>
      <c r="H379" s="87"/>
      <c r="K379" s="85"/>
      <c r="M379" s="94"/>
      <c r="N379" s="93"/>
      <c r="O379" s="85"/>
      <c r="Q379" s="94"/>
      <c r="R379" s="93"/>
      <c r="S379" s="85"/>
      <c r="U379" s="94"/>
      <c r="V379" s="93"/>
      <c r="W379" s="85"/>
      <c r="Y379" s="94"/>
      <c r="Z379" s="93"/>
      <c r="AA379" s="85"/>
      <c r="AC379" s="94"/>
      <c r="AD379" s="93"/>
      <c r="AE379" s="85"/>
    </row>
    <row r="380" spans="7:31" x14ac:dyDescent="0.35">
      <c r="G380" s="85"/>
      <c r="H380" s="87"/>
      <c r="K380" s="85"/>
      <c r="M380" s="94"/>
      <c r="N380" s="93"/>
      <c r="O380" s="85"/>
      <c r="Q380" s="94"/>
      <c r="R380" s="93"/>
      <c r="S380" s="85"/>
      <c r="U380" s="94"/>
      <c r="V380" s="93"/>
      <c r="W380" s="85"/>
      <c r="Y380" s="94"/>
      <c r="Z380" s="93"/>
      <c r="AA380" s="85"/>
      <c r="AC380" s="94"/>
      <c r="AD380" s="93"/>
      <c r="AE380" s="85"/>
    </row>
    <row r="381" spans="7:31" x14ac:dyDescent="0.35">
      <c r="G381" s="85"/>
      <c r="H381" s="87"/>
      <c r="K381" s="85"/>
      <c r="M381" s="94"/>
      <c r="N381" s="93"/>
      <c r="O381" s="85"/>
      <c r="Q381" s="94"/>
      <c r="R381" s="93"/>
      <c r="S381" s="85"/>
      <c r="U381" s="94"/>
      <c r="V381" s="93"/>
      <c r="W381" s="85"/>
      <c r="Y381" s="94"/>
      <c r="Z381" s="93"/>
      <c r="AA381" s="85"/>
      <c r="AC381" s="94"/>
      <c r="AD381" s="93"/>
      <c r="AE381" s="85"/>
    </row>
    <row r="382" spans="7:31" x14ac:dyDescent="0.35">
      <c r="G382" s="85"/>
      <c r="H382" s="87"/>
      <c r="K382" s="85"/>
      <c r="M382" s="94"/>
      <c r="N382" s="93"/>
      <c r="O382" s="85"/>
      <c r="Q382" s="94"/>
      <c r="R382" s="93"/>
      <c r="S382" s="85"/>
      <c r="U382" s="94"/>
      <c r="V382" s="93"/>
      <c r="W382" s="85"/>
      <c r="Y382" s="94"/>
      <c r="Z382" s="93"/>
      <c r="AA382" s="85"/>
      <c r="AC382" s="94"/>
      <c r="AD382" s="93"/>
      <c r="AE382" s="85"/>
    </row>
    <row r="383" spans="7:31" x14ac:dyDescent="0.35">
      <c r="G383" s="85"/>
      <c r="H383" s="87"/>
      <c r="K383" s="85"/>
      <c r="M383" s="94"/>
      <c r="N383" s="93"/>
      <c r="O383" s="85"/>
      <c r="Q383" s="94"/>
      <c r="R383" s="93"/>
      <c r="S383" s="85"/>
      <c r="U383" s="94"/>
      <c r="V383" s="93"/>
      <c r="W383" s="85"/>
      <c r="Y383" s="94"/>
      <c r="Z383" s="93"/>
      <c r="AA383" s="85"/>
      <c r="AC383" s="94"/>
      <c r="AD383" s="93"/>
      <c r="AE383" s="85"/>
    </row>
    <row r="384" spans="7:31" x14ac:dyDescent="0.35">
      <c r="G384" s="85"/>
      <c r="H384" s="87"/>
      <c r="K384" s="85"/>
      <c r="M384" s="94"/>
      <c r="N384" s="93"/>
      <c r="O384" s="85"/>
      <c r="Q384" s="94"/>
      <c r="R384" s="93"/>
      <c r="S384" s="85"/>
      <c r="U384" s="94"/>
      <c r="V384" s="93"/>
      <c r="W384" s="85"/>
      <c r="Y384" s="94"/>
      <c r="Z384" s="93"/>
      <c r="AA384" s="85"/>
      <c r="AC384" s="94"/>
      <c r="AD384" s="93"/>
      <c r="AE384" s="85"/>
    </row>
    <row r="385" spans="7:31" x14ac:dyDescent="0.35">
      <c r="G385" s="85"/>
      <c r="H385" s="87"/>
      <c r="K385" s="85"/>
      <c r="M385" s="94"/>
      <c r="N385" s="93"/>
      <c r="O385" s="85"/>
      <c r="Q385" s="94"/>
      <c r="R385" s="93"/>
      <c r="S385" s="85"/>
      <c r="U385" s="94"/>
      <c r="V385" s="93"/>
      <c r="W385" s="85"/>
      <c r="Y385" s="94"/>
      <c r="Z385" s="93"/>
      <c r="AA385" s="85"/>
      <c r="AC385" s="94"/>
      <c r="AD385" s="93"/>
      <c r="AE385" s="85"/>
    </row>
    <row r="386" spans="7:31" x14ac:dyDescent="0.35">
      <c r="G386" s="85"/>
      <c r="H386" s="87"/>
      <c r="K386" s="85"/>
      <c r="M386" s="94"/>
      <c r="N386" s="93"/>
      <c r="O386" s="85"/>
      <c r="Q386" s="94"/>
      <c r="R386" s="93"/>
      <c r="S386" s="85"/>
      <c r="U386" s="94"/>
      <c r="V386" s="93"/>
      <c r="W386" s="85"/>
      <c r="Y386" s="94"/>
      <c r="Z386" s="93"/>
      <c r="AA386" s="85"/>
      <c r="AC386" s="94"/>
      <c r="AD386" s="93"/>
      <c r="AE386" s="85"/>
    </row>
    <row r="387" spans="7:31" x14ac:dyDescent="0.35">
      <c r="G387" s="85"/>
      <c r="H387" s="87"/>
      <c r="K387" s="85"/>
      <c r="M387" s="94"/>
      <c r="N387" s="93"/>
      <c r="O387" s="85"/>
      <c r="Q387" s="94"/>
      <c r="R387" s="93"/>
      <c r="S387" s="85"/>
      <c r="U387" s="94"/>
      <c r="V387" s="93"/>
      <c r="W387" s="85"/>
      <c r="Y387" s="94"/>
      <c r="Z387" s="93"/>
      <c r="AA387" s="85"/>
      <c r="AC387" s="94"/>
      <c r="AD387" s="93"/>
      <c r="AE387" s="85"/>
    </row>
    <row r="388" spans="7:31" x14ac:dyDescent="0.35">
      <c r="G388" s="85"/>
      <c r="H388" s="87"/>
      <c r="K388" s="85"/>
      <c r="M388" s="94"/>
      <c r="N388" s="93"/>
      <c r="O388" s="85"/>
      <c r="Q388" s="94"/>
      <c r="R388" s="93"/>
      <c r="S388" s="85"/>
      <c r="U388" s="94"/>
      <c r="V388" s="93"/>
      <c r="W388" s="85"/>
      <c r="Y388" s="94"/>
      <c r="Z388" s="93"/>
      <c r="AA388" s="85"/>
      <c r="AC388" s="94"/>
      <c r="AD388" s="93"/>
      <c r="AE388" s="85"/>
    </row>
    <row r="389" spans="7:31" x14ac:dyDescent="0.35">
      <c r="G389" s="85"/>
      <c r="H389" s="87"/>
      <c r="K389" s="85"/>
      <c r="M389" s="94"/>
      <c r="N389" s="93"/>
      <c r="O389" s="85"/>
      <c r="Q389" s="94"/>
      <c r="R389" s="93"/>
      <c r="S389" s="85"/>
      <c r="U389" s="94"/>
      <c r="V389" s="93"/>
      <c r="W389" s="85"/>
      <c r="Y389" s="94"/>
      <c r="Z389" s="93"/>
      <c r="AA389" s="85"/>
      <c r="AC389" s="94"/>
      <c r="AD389" s="93"/>
      <c r="AE389" s="85"/>
    </row>
    <row r="390" spans="7:31" x14ac:dyDescent="0.35">
      <c r="G390" s="85"/>
      <c r="H390" s="87"/>
      <c r="K390" s="85"/>
      <c r="M390" s="94"/>
      <c r="N390" s="93"/>
      <c r="O390" s="85"/>
      <c r="Q390" s="94"/>
      <c r="R390" s="93"/>
      <c r="S390" s="85"/>
      <c r="U390" s="94"/>
      <c r="V390" s="93"/>
      <c r="W390" s="85"/>
      <c r="Y390" s="94"/>
      <c r="Z390" s="93"/>
      <c r="AA390" s="85"/>
      <c r="AC390" s="94"/>
      <c r="AD390" s="93"/>
      <c r="AE390" s="85"/>
    </row>
    <row r="391" spans="7:31" x14ac:dyDescent="0.35">
      <c r="G391" s="85"/>
      <c r="H391" s="87"/>
      <c r="K391" s="85"/>
      <c r="M391" s="94"/>
      <c r="N391" s="93"/>
      <c r="O391" s="85"/>
      <c r="Q391" s="94"/>
      <c r="R391" s="93"/>
      <c r="S391" s="85"/>
      <c r="U391" s="94"/>
      <c r="V391" s="93"/>
      <c r="W391" s="85"/>
      <c r="Y391" s="94"/>
      <c r="Z391" s="93"/>
      <c r="AA391" s="85"/>
      <c r="AC391" s="94"/>
      <c r="AD391" s="93"/>
      <c r="AE391" s="85"/>
    </row>
    <row r="392" spans="7:31" x14ac:dyDescent="0.35">
      <c r="G392" s="85"/>
      <c r="H392" s="87"/>
      <c r="K392" s="85"/>
      <c r="M392" s="94"/>
      <c r="N392" s="93"/>
      <c r="O392" s="85"/>
      <c r="Q392" s="94"/>
      <c r="R392" s="93"/>
      <c r="S392" s="85"/>
      <c r="U392" s="94"/>
      <c r="V392" s="93"/>
      <c r="W392" s="85"/>
      <c r="Y392" s="94"/>
      <c r="Z392" s="93"/>
      <c r="AA392" s="85"/>
      <c r="AC392" s="94"/>
      <c r="AD392" s="93"/>
      <c r="AE392" s="85"/>
    </row>
    <row r="393" spans="7:31" x14ac:dyDescent="0.35">
      <c r="G393" s="85"/>
      <c r="H393" s="87"/>
      <c r="K393" s="85"/>
      <c r="M393" s="94"/>
      <c r="N393" s="93"/>
      <c r="O393" s="85"/>
      <c r="Q393" s="94"/>
      <c r="R393" s="93"/>
      <c r="S393" s="85"/>
      <c r="U393" s="94"/>
      <c r="V393" s="93"/>
      <c r="W393" s="85"/>
      <c r="Y393" s="94"/>
      <c r="Z393" s="93"/>
      <c r="AA393" s="85"/>
      <c r="AC393" s="94"/>
      <c r="AD393" s="93"/>
      <c r="AE393" s="85"/>
    </row>
    <row r="394" spans="7:31" x14ac:dyDescent="0.35">
      <c r="G394" s="85"/>
      <c r="H394" s="87"/>
      <c r="K394" s="85"/>
      <c r="M394" s="94"/>
      <c r="N394" s="93"/>
      <c r="O394" s="85"/>
      <c r="Q394" s="94"/>
      <c r="R394" s="93"/>
      <c r="S394" s="85"/>
      <c r="U394" s="94"/>
      <c r="V394" s="93"/>
      <c r="W394" s="85"/>
      <c r="Y394" s="94"/>
      <c r="Z394" s="93"/>
      <c r="AA394" s="85"/>
      <c r="AC394" s="94"/>
      <c r="AD394" s="93"/>
      <c r="AE394" s="85"/>
    </row>
    <row r="395" spans="7:31" x14ac:dyDescent="0.35">
      <c r="G395" s="85"/>
      <c r="H395" s="87"/>
      <c r="K395" s="85"/>
      <c r="M395" s="94"/>
      <c r="N395" s="93"/>
      <c r="O395" s="85"/>
      <c r="Q395" s="94"/>
      <c r="R395" s="93"/>
      <c r="S395" s="85"/>
      <c r="U395" s="94"/>
      <c r="V395" s="93"/>
      <c r="W395" s="85"/>
      <c r="Y395" s="94"/>
      <c r="Z395" s="93"/>
      <c r="AA395" s="85"/>
      <c r="AC395" s="94"/>
      <c r="AD395" s="93"/>
      <c r="AE395" s="85"/>
    </row>
    <row r="396" spans="7:31" x14ac:dyDescent="0.35">
      <c r="G396" s="85"/>
      <c r="H396" s="87"/>
      <c r="K396" s="85"/>
      <c r="M396" s="94"/>
      <c r="N396" s="93"/>
      <c r="O396" s="85"/>
      <c r="Q396" s="94"/>
      <c r="R396" s="93"/>
      <c r="S396" s="85"/>
      <c r="U396" s="94"/>
      <c r="V396" s="93"/>
      <c r="W396" s="85"/>
      <c r="Y396" s="94"/>
      <c r="Z396" s="93"/>
      <c r="AA396" s="85"/>
      <c r="AC396" s="94"/>
      <c r="AD396" s="93"/>
      <c r="AE396" s="85"/>
    </row>
    <row r="397" spans="7:31" x14ac:dyDescent="0.35">
      <c r="G397" s="85"/>
      <c r="H397" s="87"/>
      <c r="K397" s="85"/>
      <c r="M397" s="94"/>
      <c r="N397" s="93"/>
      <c r="O397" s="85"/>
      <c r="Q397" s="94"/>
      <c r="R397" s="93"/>
      <c r="S397" s="85"/>
      <c r="U397" s="94"/>
      <c r="V397" s="93"/>
      <c r="W397" s="85"/>
      <c r="Y397" s="94"/>
      <c r="Z397" s="93"/>
      <c r="AA397" s="85"/>
      <c r="AC397" s="94"/>
      <c r="AD397" s="93"/>
      <c r="AE397" s="85"/>
    </row>
    <row r="398" spans="7:31" x14ac:dyDescent="0.35">
      <c r="G398" s="85"/>
      <c r="H398" s="87"/>
      <c r="K398" s="85"/>
      <c r="M398" s="94"/>
      <c r="N398" s="93"/>
      <c r="O398" s="85"/>
      <c r="Q398" s="94"/>
      <c r="R398" s="93"/>
      <c r="S398" s="85"/>
      <c r="U398" s="94"/>
      <c r="V398" s="93"/>
      <c r="W398" s="85"/>
      <c r="Y398" s="94"/>
      <c r="Z398" s="93"/>
      <c r="AA398" s="85"/>
      <c r="AC398" s="94"/>
      <c r="AD398" s="93"/>
      <c r="AE398" s="85"/>
    </row>
    <row r="399" spans="7:31" x14ac:dyDescent="0.35">
      <c r="G399" s="85"/>
      <c r="H399" s="87"/>
      <c r="K399" s="85"/>
      <c r="M399" s="94"/>
      <c r="N399" s="93"/>
      <c r="O399" s="85"/>
      <c r="Q399" s="94"/>
      <c r="R399" s="93"/>
      <c r="S399" s="85"/>
      <c r="U399" s="94"/>
      <c r="V399" s="93"/>
      <c r="W399" s="85"/>
      <c r="Y399" s="94"/>
      <c r="Z399" s="93"/>
      <c r="AA399" s="85"/>
      <c r="AC399" s="94"/>
      <c r="AD399" s="93"/>
      <c r="AE399" s="85"/>
    </row>
    <row r="400" spans="7:31" x14ac:dyDescent="0.35">
      <c r="G400" s="85"/>
      <c r="H400" s="87"/>
      <c r="K400" s="85"/>
      <c r="M400" s="94"/>
      <c r="N400" s="93"/>
      <c r="O400" s="85"/>
      <c r="Q400" s="94"/>
      <c r="R400" s="93"/>
      <c r="S400" s="85"/>
      <c r="U400" s="94"/>
      <c r="V400" s="93"/>
      <c r="W400" s="85"/>
      <c r="Y400" s="94"/>
      <c r="Z400" s="93"/>
      <c r="AA400" s="85"/>
      <c r="AC400" s="94"/>
      <c r="AD400" s="93"/>
      <c r="AE400" s="85"/>
    </row>
    <row r="401" spans="7:31" x14ac:dyDescent="0.35">
      <c r="G401" s="85"/>
      <c r="H401" s="87"/>
      <c r="K401" s="85"/>
      <c r="M401" s="94"/>
      <c r="N401" s="93"/>
      <c r="O401" s="85"/>
      <c r="Q401" s="94"/>
      <c r="R401" s="93"/>
      <c r="S401" s="85"/>
      <c r="U401" s="94"/>
      <c r="V401" s="93"/>
      <c r="W401" s="85"/>
      <c r="Y401" s="94"/>
      <c r="Z401" s="93"/>
      <c r="AA401" s="85"/>
      <c r="AC401" s="94"/>
      <c r="AD401" s="93"/>
      <c r="AE401" s="85"/>
    </row>
    <row r="402" spans="7:31" x14ac:dyDescent="0.35">
      <c r="G402" s="85"/>
      <c r="H402" s="87"/>
      <c r="K402" s="85"/>
      <c r="M402" s="94"/>
      <c r="N402" s="93"/>
      <c r="O402" s="85"/>
      <c r="Q402" s="94"/>
      <c r="R402" s="93"/>
      <c r="S402" s="85"/>
      <c r="U402" s="94"/>
      <c r="V402" s="93"/>
      <c r="W402" s="85"/>
      <c r="Y402" s="94"/>
      <c r="Z402" s="93"/>
      <c r="AA402" s="85"/>
      <c r="AC402" s="94"/>
      <c r="AD402" s="93"/>
      <c r="AE402" s="85"/>
    </row>
    <row r="403" spans="7:31" x14ac:dyDescent="0.35">
      <c r="G403" s="85"/>
      <c r="H403" s="87"/>
      <c r="K403" s="85"/>
      <c r="M403" s="94"/>
      <c r="N403" s="93"/>
      <c r="O403" s="85"/>
      <c r="Q403" s="94"/>
      <c r="R403" s="93"/>
      <c r="S403" s="85"/>
      <c r="U403" s="94"/>
      <c r="V403" s="93"/>
      <c r="W403" s="85"/>
      <c r="Y403" s="94"/>
      <c r="Z403" s="93"/>
      <c r="AA403" s="85"/>
      <c r="AC403" s="94"/>
      <c r="AD403" s="93"/>
      <c r="AE403" s="85"/>
    </row>
    <row r="404" spans="7:31" x14ac:dyDescent="0.35">
      <c r="G404" s="85"/>
      <c r="H404" s="87"/>
      <c r="K404" s="85"/>
      <c r="M404" s="94"/>
      <c r="N404" s="93"/>
      <c r="O404" s="85"/>
      <c r="Q404" s="94"/>
      <c r="R404" s="93"/>
      <c r="S404" s="85"/>
      <c r="U404" s="94"/>
      <c r="V404" s="93"/>
      <c r="W404" s="85"/>
      <c r="Y404" s="94"/>
      <c r="Z404" s="93"/>
      <c r="AA404" s="85"/>
      <c r="AC404" s="94"/>
      <c r="AD404" s="93"/>
      <c r="AE404" s="85"/>
    </row>
    <row r="405" spans="7:31" x14ac:dyDescent="0.35">
      <c r="G405" s="85"/>
      <c r="H405" s="87"/>
      <c r="K405" s="85"/>
      <c r="M405" s="94"/>
      <c r="N405" s="93"/>
      <c r="O405" s="85"/>
      <c r="Q405" s="94"/>
      <c r="R405" s="93"/>
      <c r="S405" s="85"/>
      <c r="U405" s="94"/>
      <c r="V405" s="93"/>
      <c r="W405" s="85"/>
      <c r="Y405" s="94"/>
      <c r="Z405" s="93"/>
      <c r="AA405" s="85"/>
      <c r="AC405" s="94"/>
      <c r="AD405" s="93"/>
      <c r="AE405" s="85"/>
    </row>
    <row r="406" spans="7:31" x14ac:dyDescent="0.35">
      <c r="G406" s="85"/>
      <c r="H406" s="87"/>
      <c r="K406" s="85"/>
      <c r="M406" s="94"/>
      <c r="N406" s="93"/>
      <c r="O406" s="85"/>
      <c r="Q406" s="94"/>
      <c r="R406" s="93"/>
      <c r="S406" s="85"/>
      <c r="U406" s="94"/>
      <c r="V406" s="93"/>
      <c r="W406" s="85"/>
      <c r="Y406" s="94"/>
      <c r="Z406" s="93"/>
      <c r="AA406" s="85"/>
      <c r="AC406" s="94"/>
      <c r="AD406" s="93"/>
      <c r="AE406" s="85"/>
    </row>
    <row r="407" spans="7:31" x14ac:dyDescent="0.35">
      <c r="G407" s="85"/>
      <c r="H407" s="87"/>
      <c r="K407" s="85"/>
      <c r="M407" s="94"/>
      <c r="N407" s="93"/>
      <c r="O407" s="85"/>
      <c r="Q407" s="94"/>
      <c r="R407" s="93"/>
      <c r="S407" s="85"/>
      <c r="U407" s="94"/>
      <c r="V407" s="93"/>
      <c r="W407" s="85"/>
      <c r="Y407" s="94"/>
      <c r="Z407" s="93"/>
      <c r="AA407" s="85"/>
      <c r="AC407" s="94"/>
      <c r="AD407" s="93"/>
      <c r="AE407" s="85"/>
    </row>
    <row r="408" spans="7:31" x14ac:dyDescent="0.35">
      <c r="G408" s="85"/>
      <c r="H408" s="87"/>
      <c r="K408" s="85"/>
      <c r="M408" s="94"/>
      <c r="N408" s="93"/>
      <c r="O408" s="85"/>
      <c r="Q408" s="94"/>
      <c r="R408" s="93"/>
      <c r="S408" s="85"/>
      <c r="U408" s="94"/>
      <c r="V408" s="93"/>
      <c r="W408" s="85"/>
      <c r="Y408" s="94"/>
      <c r="Z408" s="93"/>
      <c r="AA408" s="85"/>
      <c r="AC408" s="94"/>
      <c r="AD408" s="93"/>
      <c r="AE408" s="85"/>
    </row>
    <row r="409" spans="7:31" x14ac:dyDescent="0.35">
      <c r="G409" s="85"/>
      <c r="H409" s="87"/>
      <c r="K409" s="85"/>
      <c r="M409" s="94"/>
      <c r="N409" s="93"/>
      <c r="O409" s="85"/>
      <c r="Q409" s="94"/>
      <c r="R409" s="93"/>
      <c r="S409" s="85"/>
      <c r="U409" s="94"/>
      <c r="V409" s="93"/>
      <c r="W409" s="85"/>
      <c r="Y409" s="94"/>
      <c r="Z409" s="93"/>
      <c r="AA409" s="85"/>
      <c r="AC409" s="94"/>
      <c r="AD409" s="93"/>
      <c r="AE409" s="85"/>
    </row>
    <row r="410" spans="7:31" x14ac:dyDescent="0.35">
      <c r="G410" s="85"/>
      <c r="H410" s="87"/>
      <c r="K410" s="85"/>
      <c r="M410" s="94"/>
      <c r="N410" s="93"/>
      <c r="O410" s="85"/>
      <c r="Q410" s="94"/>
      <c r="R410" s="93"/>
      <c r="S410" s="85"/>
      <c r="U410" s="94"/>
      <c r="V410" s="93"/>
      <c r="W410" s="85"/>
      <c r="Y410" s="94"/>
      <c r="Z410" s="93"/>
      <c r="AA410" s="85"/>
      <c r="AC410" s="94"/>
      <c r="AD410" s="93"/>
      <c r="AE410" s="85"/>
    </row>
    <row r="411" spans="7:31" x14ac:dyDescent="0.35">
      <c r="G411" s="85"/>
      <c r="H411" s="87"/>
      <c r="K411" s="85"/>
      <c r="M411" s="94"/>
      <c r="N411" s="93"/>
      <c r="O411" s="85"/>
      <c r="Q411" s="94"/>
      <c r="R411" s="93"/>
      <c r="S411" s="85"/>
      <c r="U411" s="94"/>
      <c r="V411" s="93"/>
      <c r="W411" s="85"/>
      <c r="Y411" s="94"/>
      <c r="Z411" s="93"/>
      <c r="AA411" s="85"/>
      <c r="AC411" s="94"/>
      <c r="AD411" s="93"/>
      <c r="AE411" s="85"/>
    </row>
    <row r="412" spans="7:31" x14ac:dyDescent="0.35">
      <c r="G412" s="85"/>
      <c r="H412" s="87"/>
      <c r="K412" s="85"/>
      <c r="M412" s="94"/>
      <c r="N412" s="93"/>
      <c r="O412" s="85"/>
      <c r="Q412" s="94"/>
      <c r="R412" s="93"/>
      <c r="S412" s="85"/>
      <c r="U412" s="94"/>
      <c r="V412" s="93"/>
      <c r="W412" s="85"/>
      <c r="Y412" s="94"/>
      <c r="Z412" s="93"/>
      <c r="AA412" s="85"/>
      <c r="AC412" s="94"/>
      <c r="AD412" s="93"/>
      <c r="AE412" s="85"/>
    </row>
    <row r="413" spans="7:31" x14ac:dyDescent="0.35">
      <c r="G413" s="85"/>
      <c r="H413" s="87"/>
      <c r="K413" s="85"/>
      <c r="M413" s="94"/>
      <c r="N413" s="93"/>
      <c r="O413" s="85"/>
      <c r="Q413" s="94"/>
      <c r="R413" s="93"/>
      <c r="S413" s="85"/>
      <c r="U413" s="94"/>
      <c r="V413" s="93"/>
      <c r="W413" s="85"/>
      <c r="Y413" s="94"/>
      <c r="Z413" s="93"/>
      <c r="AA413" s="85"/>
      <c r="AC413" s="94"/>
      <c r="AD413" s="93"/>
      <c r="AE413" s="85"/>
    </row>
    <row r="414" spans="7:31" x14ac:dyDescent="0.35">
      <c r="G414" s="85"/>
      <c r="H414" s="87"/>
      <c r="K414" s="85"/>
      <c r="M414" s="94"/>
      <c r="N414" s="93"/>
      <c r="O414" s="85"/>
      <c r="Q414" s="94"/>
      <c r="R414" s="93"/>
      <c r="S414" s="85"/>
      <c r="U414" s="94"/>
      <c r="V414" s="93"/>
      <c r="W414" s="85"/>
      <c r="Y414" s="94"/>
      <c r="Z414" s="93"/>
      <c r="AA414" s="85"/>
      <c r="AC414" s="94"/>
      <c r="AD414" s="93"/>
      <c r="AE414" s="85"/>
    </row>
    <row r="415" spans="7:31" x14ac:dyDescent="0.35">
      <c r="G415" s="85"/>
      <c r="H415" s="87"/>
      <c r="K415" s="85"/>
      <c r="M415" s="94"/>
      <c r="N415" s="93"/>
      <c r="O415" s="85"/>
      <c r="Q415" s="94"/>
      <c r="R415" s="93"/>
      <c r="S415" s="85"/>
      <c r="U415" s="94"/>
      <c r="V415" s="93"/>
      <c r="W415" s="85"/>
      <c r="Y415" s="94"/>
      <c r="Z415" s="93"/>
      <c r="AA415" s="85"/>
      <c r="AC415" s="94"/>
      <c r="AD415" s="93"/>
      <c r="AE415" s="85"/>
    </row>
    <row r="416" spans="7:31" x14ac:dyDescent="0.35">
      <c r="G416" s="85"/>
      <c r="H416" s="87"/>
      <c r="K416" s="85"/>
      <c r="M416" s="94"/>
      <c r="N416" s="93"/>
      <c r="O416" s="85"/>
      <c r="Q416" s="94"/>
      <c r="R416" s="93"/>
      <c r="S416" s="85"/>
      <c r="U416" s="94"/>
      <c r="V416" s="93"/>
      <c r="W416" s="85"/>
      <c r="Y416" s="94"/>
      <c r="Z416" s="93"/>
      <c r="AA416" s="85"/>
      <c r="AC416" s="94"/>
      <c r="AD416" s="93"/>
      <c r="AE416" s="85"/>
    </row>
    <row r="417" spans="7:31" x14ac:dyDescent="0.35">
      <c r="G417" s="85"/>
      <c r="H417" s="87"/>
      <c r="K417" s="85"/>
      <c r="M417" s="94"/>
      <c r="N417" s="93"/>
      <c r="O417" s="85"/>
      <c r="Q417" s="94"/>
      <c r="R417" s="93"/>
      <c r="S417" s="85"/>
      <c r="U417" s="94"/>
      <c r="V417" s="93"/>
      <c r="W417" s="85"/>
      <c r="Y417" s="94"/>
      <c r="Z417" s="93"/>
      <c r="AA417" s="85"/>
      <c r="AC417" s="94"/>
      <c r="AD417" s="93"/>
      <c r="AE417" s="85"/>
    </row>
    <row r="418" spans="7:31" x14ac:dyDescent="0.35">
      <c r="G418" s="85"/>
      <c r="H418" s="87"/>
      <c r="K418" s="85"/>
      <c r="M418" s="94"/>
      <c r="N418" s="93"/>
      <c r="O418" s="85"/>
      <c r="Q418" s="94"/>
      <c r="R418" s="93"/>
      <c r="S418" s="85"/>
      <c r="U418" s="94"/>
      <c r="V418" s="93"/>
      <c r="W418" s="85"/>
      <c r="Y418" s="94"/>
      <c r="Z418" s="93"/>
      <c r="AA418" s="85"/>
      <c r="AC418" s="94"/>
      <c r="AD418" s="93"/>
      <c r="AE418" s="85"/>
    </row>
    <row r="419" spans="7:31" x14ac:dyDescent="0.35">
      <c r="G419" s="85"/>
      <c r="H419" s="87"/>
      <c r="K419" s="85"/>
      <c r="M419" s="94"/>
      <c r="N419" s="93"/>
      <c r="O419" s="85"/>
      <c r="Q419" s="94"/>
      <c r="R419" s="93"/>
      <c r="S419" s="85"/>
      <c r="U419" s="94"/>
      <c r="V419" s="93"/>
      <c r="W419" s="85"/>
      <c r="Y419" s="94"/>
      <c r="Z419" s="93"/>
      <c r="AA419" s="85"/>
      <c r="AC419" s="94"/>
      <c r="AD419" s="93"/>
      <c r="AE419" s="85"/>
    </row>
    <row r="420" spans="7:31" x14ac:dyDescent="0.35">
      <c r="G420" s="85"/>
      <c r="H420" s="87"/>
      <c r="K420" s="85"/>
      <c r="M420" s="94"/>
      <c r="N420" s="93"/>
      <c r="O420" s="85"/>
      <c r="Q420" s="94"/>
      <c r="R420" s="93"/>
      <c r="S420" s="85"/>
      <c r="U420" s="94"/>
      <c r="V420" s="93"/>
      <c r="W420" s="85"/>
      <c r="Y420" s="94"/>
      <c r="Z420" s="93"/>
      <c r="AA420" s="85"/>
      <c r="AC420" s="94"/>
      <c r="AD420" s="93"/>
      <c r="AE420" s="85"/>
    </row>
    <row r="421" spans="7:31" x14ac:dyDescent="0.35">
      <c r="G421" s="85"/>
      <c r="H421" s="87"/>
      <c r="K421" s="85"/>
      <c r="M421" s="94"/>
      <c r="N421" s="93"/>
      <c r="O421" s="85"/>
      <c r="Q421" s="94"/>
      <c r="R421" s="93"/>
      <c r="S421" s="85"/>
      <c r="U421" s="94"/>
      <c r="V421" s="93"/>
      <c r="W421" s="85"/>
      <c r="Y421" s="94"/>
      <c r="Z421" s="93"/>
      <c r="AA421" s="85"/>
      <c r="AC421" s="94"/>
      <c r="AD421" s="93"/>
      <c r="AE421" s="85"/>
    </row>
    <row r="422" spans="7:31" x14ac:dyDescent="0.35">
      <c r="G422" s="85"/>
      <c r="H422" s="87"/>
      <c r="K422" s="85"/>
      <c r="M422" s="94"/>
      <c r="N422" s="93"/>
      <c r="O422" s="85"/>
      <c r="Q422" s="94"/>
      <c r="R422" s="93"/>
      <c r="S422" s="85"/>
      <c r="U422" s="94"/>
      <c r="V422" s="93"/>
      <c r="W422" s="85"/>
      <c r="Y422" s="94"/>
      <c r="Z422" s="93"/>
      <c r="AA422" s="85"/>
      <c r="AC422" s="94"/>
      <c r="AD422" s="93"/>
      <c r="AE422" s="85"/>
    </row>
    <row r="423" spans="7:31" x14ac:dyDescent="0.35">
      <c r="G423" s="85"/>
      <c r="H423" s="87"/>
      <c r="K423" s="85"/>
      <c r="M423" s="94"/>
      <c r="N423" s="93"/>
      <c r="O423" s="85"/>
      <c r="Q423" s="94"/>
      <c r="R423" s="93"/>
      <c r="S423" s="85"/>
      <c r="U423" s="94"/>
      <c r="V423" s="93"/>
      <c r="W423" s="85"/>
      <c r="Y423" s="94"/>
      <c r="Z423" s="93"/>
      <c r="AA423" s="85"/>
      <c r="AC423" s="94"/>
      <c r="AD423" s="93"/>
      <c r="AE423" s="85"/>
    </row>
    <row r="424" spans="7:31" x14ac:dyDescent="0.35">
      <c r="G424" s="85"/>
      <c r="H424" s="87"/>
      <c r="K424" s="85"/>
      <c r="M424" s="94"/>
      <c r="N424" s="93"/>
      <c r="O424" s="85"/>
      <c r="Q424" s="94"/>
      <c r="R424" s="93"/>
      <c r="S424" s="85"/>
      <c r="U424" s="94"/>
      <c r="V424" s="93"/>
      <c r="W424" s="85"/>
      <c r="Y424" s="94"/>
      <c r="Z424" s="93"/>
      <c r="AA424" s="85"/>
      <c r="AC424" s="94"/>
      <c r="AD424" s="93"/>
      <c r="AE424" s="85"/>
    </row>
    <row r="425" spans="7:31" x14ac:dyDescent="0.35">
      <c r="G425" s="85"/>
      <c r="H425" s="87"/>
      <c r="K425" s="85"/>
      <c r="M425" s="94"/>
      <c r="N425" s="93"/>
      <c r="O425" s="85"/>
      <c r="Q425" s="94"/>
      <c r="R425" s="93"/>
      <c r="S425" s="85"/>
      <c r="U425" s="94"/>
      <c r="V425" s="93"/>
      <c r="W425" s="85"/>
      <c r="Y425" s="94"/>
      <c r="Z425" s="93"/>
      <c r="AA425" s="85"/>
      <c r="AC425" s="94"/>
      <c r="AD425" s="93"/>
      <c r="AE425" s="85"/>
    </row>
    <row r="426" spans="7:31" x14ac:dyDescent="0.35">
      <c r="G426" s="85"/>
      <c r="H426" s="87"/>
      <c r="K426" s="85"/>
      <c r="M426" s="94"/>
      <c r="N426" s="93"/>
      <c r="O426" s="85"/>
      <c r="Q426" s="94"/>
      <c r="R426" s="93"/>
      <c r="S426" s="85"/>
      <c r="U426" s="94"/>
      <c r="V426" s="93"/>
      <c r="W426" s="85"/>
      <c r="Y426" s="94"/>
      <c r="Z426" s="93"/>
      <c r="AA426" s="85"/>
      <c r="AC426" s="94"/>
      <c r="AD426" s="93"/>
      <c r="AE426" s="85"/>
    </row>
    <row r="427" spans="7:31" x14ac:dyDescent="0.35">
      <c r="G427" s="85"/>
      <c r="H427" s="87"/>
      <c r="K427" s="85"/>
      <c r="M427" s="94"/>
      <c r="N427" s="93"/>
      <c r="O427" s="85"/>
      <c r="Q427" s="94"/>
      <c r="R427" s="93"/>
      <c r="S427" s="85"/>
      <c r="U427" s="94"/>
      <c r="V427" s="93"/>
      <c r="W427" s="85"/>
      <c r="Y427" s="94"/>
      <c r="Z427" s="93"/>
      <c r="AA427" s="85"/>
      <c r="AC427" s="94"/>
      <c r="AD427" s="93"/>
      <c r="AE427" s="85"/>
    </row>
    <row r="428" spans="7:31" x14ac:dyDescent="0.35">
      <c r="G428" s="85"/>
      <c r="H428" s="87"/>
      <c r="K428" s="85"/>
      <c r="M428" s="94"/>
      <c r="N428" s="93"/>
      <c r="O428" s="85"/>
      <c r="Q428" s="94"/>
      <c r="R428" s="93"/>
      <c r="S428" s="85"/>
      <c r="U428" s="94"/>
      <c r="V428" s="93"/>
      <c r="W428" s="85"/>
      <c r="Y428" s="94"/>
      <c r="Z428" s="93"/>
      <c r="AA428" s="85"/>
      <c r="AC428" s="94"/>
      <c r="AD428" s="93"/>
      <c r="AE428" s="85"/>
    </row>
    <row r="429" spans="7:31" x14ac:dyDescent="0.35">
      <c r="G429" s="85"/>
      <c r="H429" s="87"/>
      <c r="K429" s="85"/>
      <c r="M429" s="94"/>
      <c r="N429" s="93"/>
      <c r="O429" s="85"/>
      <c r="Q429" s="94"/>
      <c r="R429" s="93"/>
      <c r="S429" s="85"/>
      <c r="U429" s="94"/>
      <c r="V429" s="93"/>
      <c r="W429" s="85"/>
      <c r="Y429" s="94"/>
      <c r="Z429" s="93"/>
      <c r="AA429" s="85"/>
      <c r="AC429" s="94"/>
      <c r="AD429" s="93"/>
      <c r="AE429" s="85"/>
    </row>
    <row r="430" spans="7:31" x14ac:dyDescent="0.35">
      <c r="G430" s="85"/>
      <c r="H430" s="87"/>
      <c r="K430" s="85"/>
      <c r="M430" s="94"/>
      <c r="N430" s="93"/>
      <c r="O430" s="85"/>
      <c r="Q430" s="94"/>
      <c r="R430" s="93"/>
      <c r="S430" s="85"/>
      <c r="U430" s="94"/>
      <c r="V430" s="93"/>
      <c r="W430" s="85"/>
      <c r="Y430" s="94"/>
      <c r="Z430" s="93"/>
      <c r="AA430" s="85"/>
      <c r="AC430" s="94"/>
      <c r="AD430" s="93"/>
      <c r="AE430" s="85"/>
    </row>
    <row r="431" spans="7:31" x14ac:dyDescent="0.35">
      <c r="G431" s="85"/>
      <c r="H431" s="87"/>
      <c r="K431" s="85"/>
      <c r="M431" s="94"/>
      <c r="N431" s="93"/>
      <c r="O431" s="85"/>
      <c r="Q431" s="94"/>
      <c r="R431" s="93"/>
      <c r="S431" s="85"/>
      <c r="U431" s="94"/>
      <c r="V431" s="93"/>
      <c r="W431" s="85"/>
      <c r="Y431" s="94"/>
      <c r="Z431" s="93"/>
      <c r="AA431" s="85"/>
      <c r="AC431" s="94"/>
      <c r="AD431" s="93"/>
      <c r="AE431" s="85"/>
    </row>
    <row r="432" spans="7:31" x14ac:dyDescent="0.35">
      <c r="G432" s="85"/>
      <c r="H432" s="87"/>
      <c r="K432" s="85"/>
      <c r="M432" s="94"/>
      <c r="N432" s="93"/>
      <c r="O432" s="85"/>
      <c r="Q432" s="94"/>
      <c r="R432" s="93"/>
      <c r="S432" s="85"/>
      <c r="U432" s="94"/>
      <c r="V432" s="93"/>
      <c r="W432" s="85"/>
      <c r="Y432" s="94"/>
      <c r="Z432" s="93"/>
      <c r="AA432" s="85"/>
      <c r="AC432" s="94"/>
      <c r="AD432" s="93"/>
      <c r="AE432" s="85"/>
    </row>
    <row r="433" spans="7:31" x14ac:dyDescent="0.35">
      <c r="G433" s="85"/>
      <c r="H433" s="87"/>
      <c r="K433" s="85"/>
      <c r="M433" s="94"/>
      <c r="N433" s="93"/>
      <c r="O433" s="85"/>
      <c r="Q433" s="94"/>
      <c r="R433" s="93"/>
      <c r="S433" s="85"/>
      <c r="U433" s="94"/>
      <c r="V433" s="93"/>
      <c r="W433" s="85"/>
      <c r="Y433" s="94"/>
      <c r="Z433" s="93"/>
      <c r="AA433" s="85"/>
      <c r="AC433" s="94"/>
      <c r="AD433" s="93"/>
      <c r="AE433" s="85"/>
    </row>
    <row r="434" spans="7:31" x14ac:dyDescent="0.35">
      <c r="G434" s="85"/>
      <c r="H434" s="87"/>
      <c r="K434" s="85"/>
      <c r="M434" s="94"/>
      <c r="N434" s="93"/>
      <c r="O434" s="85"/>
      <c r="Q434" s="94"/>
      <c r="R434" s="93"/>
      <c r="S434" s="85"/>
      <c r="U434" s="94"/>
      <c r="V434" s="93"/>
      <c r="W434" s="85"/>
      <c r="Y434" s="94"/>
      <c r="Z434" s="93"/>
      <c r="AA434" s="85"/>
      <c r="AC434" s="94"/>
      <c r="AD434" s="93"/>
      <c r="AE434" s="85"/>
    </row>
    <row r="435" spans="7:31" x14ac:dyDescent="0.35">
      <c r="G435" s="85"/>
      <c r="H435" s="87"/>
      <c r="K435" s="85"/>
      <c r="M435" s="94"/>
      <c r="N435" s="93"/>
      <c r="O435" s="85"/>
      <c r="Q435" s="94"/>
      <c r="R435" s="93"/>
      <c r="S435" s="85"/>
      <c r="U435" s="94"/>
      <c r="V435" s="93"/>
      <c r="W435" s="85"/>
      <c r="Y435" s="94"/>
      <c r="Z435" s="93"/>
      <c r="AA435" s="85"/>
      <c r="AC435" s="94"/>
      <c r="AD435" s="93"/>
      <c r="AE435" s="85"/>
    </row>
    <row r="436" spans="7:31" x14ac:dyDescent="0.35">
      <c r="G436" s="85"/>
      <c r="H436" s="87"/>
      <c r="K436" s="85"/>
      <c r="M436" s="94"/>
      <c r="N436" s="93"/>
      <c r="O436" s="85"/>
      <c r="Q436" s="94"/>
      <c r="R436" s="93"/>
      <c r="S436" s="85"/>
      <c r="U436" s="94"/>
      <c r="V436" s="93"/>
      <c r="W436" s="85"/>
      <c r="Y436" s="94"/>
      <c r="Z436" s="93"/>
      <c r="AA436" s="85"/>
      <c r="AC436" s="94"/>
      <c r="AD436" s="93"/>
      <c r="AE436" s="85"/>
    </row>
    <row r="437" spans="7:31" x14ac:dyDescent="0.35">
      <c r="G437" s="85"/>
      <c r="H437" s="87"/>
      <c r="K437" s="85"/>
      <c r="M437" s="94"/>
      <c r="N437" s="93"/>
      <c r="O437" s="85"/>
      <c r="Q437" s="94"/>
      <c r="R437" s="93"/>
      <c r="S437" s="85"/>
      <c r="U437" s="94"/>
      <c r="V437" s="93"/>
      <c r="W437" s="85"/>
      <c r="Y437" s="94"/>
      <c r="Z437" s="93"/>
      <c r="AA437" s="85"/>
      <c r="AC437" s="94"/>
      <c r="AD437" s="93"/>
      <c r="AE437" s="85"/>
    </row>
    <row r="438" spans="7:31" x14ac:dyDescent="0.35">
      <c r="G438" s="85"/>
      <c r="H438" s="87"/>
      <c r="K438" s="85"/>
      <c r="M438" s="94"/>
      <c r="N438" s="93"/>
      <c r="O438" s="85"/>
      <c r="Q438" s="94"/>
      <c r="R438" s="93"/>
      <c r="S438" s="85"/>
      <c r="U438" s="94"/>
      <c r="V438" s="93"/>
      <c r="W438" s="85"/>
      <c r="Y438" s="94"/>
      <c r="Z438" s="93"/>
      <c r="AA438" s="85"/>
      <c r="AC438" s="94"/>
      <c r="AD438" s="93"/>
      <c r="AE438" s="85"/>
    </row>
    <row r="439" spans="7:31" x14ac:dyDescent="0.35">
      <c r="G439" s="85"/>
      <c r="H439" s="87"/>
      <c r="K439" s="85"/>
      <c r="M439" s="94"/>
      <c r="N439" s="93"/>
      <c r="O439" s="85"/>
      <c r="Q439" s="94"/>
      <c r="R439" s="93"/>
      <c r="S439" s="85"/>
      <c r="U439" s="94"/>
      <c r="V439" s="93"/>
      <c r="W439" s="85"/>
      <c r="Y439" s="94"/>
      <c r="Z439" s="93"/>
      <c r="AA439" s="85"/>
      <c r="AC439" s="94"/>
      <c r="AD439" s="93"/>
      <c r="AE439" s="85"/>
    </row>
    <row r="440" spans="7:31" x14ac:dyDescent="0.35">
      <c r="G440" s="85"/>
      <c r="H440" s="87"/>
      <c r="K440" s="85"/>
      <c r="M440" s="94"/>
      <c r="N440" s="93"/>
      <c r="O440" s="85"/>
      <c r="Q440" s="94"/>
      <c r="R440" s="93"/>
      <c r="S440" s="85"/>
      <c r="U440" s="94"/>
      <c r="V440" s="93"/>
      <c r="W440" s="85"/>
      <c r="Y440" s="94"/>
      <c r="Z440" s="93"/>
      <c r="AA440" s="85"/>
      <c r="AC440" s="94"/>
      <c r="AD440" s="93"/>
      <c r="AE440" s="85"/>
    </row>
    <row r="441" spans="7:31" x14ac:dyDescent="0.35">
      <c r="G441" s="85"/>
      <c r="H441" s="87"/>
      <c r="K441" s="85"/>
      <c r="M441" s="94"/>
      <c r="N441" s="93"/>
      <c r="O441" s="85"/>
      <c r="Q441" s="94"/>
      <c r="R441" s="93"/>
      <c r="S441" s="85"/>
      <c r="U441" s="94"/>
      <c r="V441" s="93"/>
      <c r="W441" s="85"/>
      <c r="Y441" s="94"/>
      <c r="Z441" s="93"/>
      <c r="AA441" s="85"/>
      <c r="AC441" s="94"/>
      <c r="AD441" s="93"/>
      <c r="AE441" s="85"/>
    </row>
    <row r="442" spans="7:31" x14ac:dyDescent="0.35">
      <c r="G442" s="85"/>
      <c r="H442" s="87"/>
      <c r="K442" s="85"/>
      <c r="M442" s="94"/>
      <c r="N442" s="93"/>
      <c r="O442" s="85"/>
      <c r="Q442" s="94"/>
      <c r="R442" s="93"/>
      <c r="S442" s="85"/>
      <c r="U442" s="94"/>
      <c r="V442" s="93"/>
      <c r="W442" s="85"/>
      <c r="Y442" s="94"/>
      <c r="Z442" s="93"/>
      <c r="AA442" s="85"/>
      <c r="AC442" s="94"/>
      <c r="AD442" s="93"/>
      <c r="AE442" s="85"/>
    </row>
    <row r="443" spans="7:31" x14ac:dyDescent="0.35">
      <c r="G443" s="85"/>
      <c r="H443" s="87"/>
      <c r="K443" s="85"/>
      <c r="M443" s="94"/>
      <c r="N443" s="93"/>
      <c r="O443" s="85"/>
      <c r="Q443" s="94"/>
      <c r="R443" s="93"/>
      <c r="S443" s="85"/>
      <c r="U443" s="94"/>
      <c r="V443" s="93"/>
      <c r="W443" s="85"/>
      <c r="Y443" s="94"/>
      <c r="Z443" s="93"/>
      <c r="AA443" s="85"/>
      <c r="AC443" s="94"/>
      <c r="AD443" s="93"/>
      <c r="AE443" s="85"/>
    </row>
    <row r="444" spans="7:31" x14ac:dyDescent="0.35">
      <c r="G444" s="85"/>
      <c r="H444" s="87"/>
      <c r="K444" s="85"/>
      <c r="M444" s="94"/>
      <c r="N444" s="93"/>
      <c r="O444" s="85"/>
      <c r="Q444" s="94"/>
      <c r="R444" s="93"/>
      <c r="S444" s="85"/>
      <c r="U444" s="94"/>
      <c r="V444" s="93"/>
      <c r="W444" s="85"/>
      <c r="Y444" s="94"/>
      <c r="Z444" s="93"/>
      <c r="AA444" s="85"/>
      <c r="AC444" s="94"/>
      <c r="AD444" s="93"/>
      <c r="AE444" s="85"/>
    </row>
    <row r="445" spans="7:31" x14ac:dyDescent="0.35">
      <c r="G445" s="85"/>
      <c r="H445" s="87"/>
      <c r="K445" s="85"/>
      <c r="M445" s="94"/>
      <c r="N445" s="93"/>
      <c r="O445" s="85"/>
      <c r="Q445" s="94"/>
      <c r="R445" s="93"/>
      <c r="S445" s="85"/>
      <c r="U445" s="94"/>
      <c r="V445" s="93"/>
      <c r="W445" s="85"/>
      <c r="Y445" s="94"/>
      <c r="Z445" s="93"/>
      <c r="AA445" s="85"/>
      <c r="AC445" s="94"/>
      <c r="AD445" s="93"/>
      <c r="AE445" s="85"/>
    </row>
    <row r="446" spans="7:31" x14ac:dyDescent="0.35">
      <c r="G446" s="85"/>
      <c r="H446" s="87"/>
      <c r="K446" s="85"/>
      <c r="M446" s="94"/>
      <c r="N446" s="93"/>
      <c r="O446" s="85"/>
      <c r="Q446" s="94"/>
      <c r="R446" s="93"/>
      <c r="S446" s="85"/>
      <c r="U446" s="94"/>
      <c r="V446" s="93"/>
      <c r="W446" s="85"/>
      <c r="Y446" s="94"/>
      <c r="Z446" s="93"/>
      <c r="AA446" s="85"/>
      <c r="AC446" s="94"/>
      <c r="AD446" s="93"/>
      <c r="AE446" s="85"/>
    </row>
    <row r="447" spans="7:31" x14ac:dyDescent="0.35">
      <c r="G447" s="85"/>
      <c r="H447" s="87"/>
      <c r="K447" s="85"/>
      <c r="M447" s="94"/>
      <c r="N447" s="93"/>
      <c r="O447" s="85"/>
      <c r="Q447" s="94"/>
      <c r="R447" s="93"/>
      <c r="S447" s="85"/>
      <c r="U447" s="94"/>
      <c r="V447" s="93"/>
      <c r="W447" s="85"/>
      <c r="Y447" s="94"/>
      <c r="Z447" s="93"/>
      <c r="AA447" s="85"/>
      <c r="AC447" s="94"/>
      <c r="AD447" s="93"/>
      <c r="AE447" s="85"/>
    </row>
    <row r="448" spans="7:31" x14ac:dyDescent="0.35">
      <c r="G448" s="85"/>
      <c r="H448" s="87"/>
      <c r="K448" s="85"/>
      <c r="M448" s="94"/>
      <c r="N448" s="93"/>
      <c r="O448" s="85"/>
      <c r="Q448" s="94"/>
      <c r="R448" s="93"/>
      <c r="S448" s="85"/>
      <c r="U448" s="94"/>
      <c r="V448" s="93"/>
      <c r="W448" s="85"/>
      <c r="Y448" s="94"/>
      <c r="Z448" s="93"/>
      <c r="AA448" s="85"/>
      <c r="AC448" s="94"/>
      <c r="AD448" s="93"/>
      <c r="AE448" s="85"/>
    </row>
    <row r="449" spans="7:31" x14ac:dyDescent="0.35">
      <c r="G449" s="85"/>
      <c r="H449" s="87"/>
      <c r="K449" s="85"/>
      <c r="M449" s="94"/>
      <c r="N449" s="93"/>
      <c r="O449" s="85"/>
      <c r="Q449" s="94"/>
      <c r="R449" s="93"/>
      <c r="S449" s="85"/>
      <c r="U449" s="94"/>
      <c r="V449" s="93"/>
      <c r="W449" s="85"/>
      <c r="Y449" s="94"/>
      <c r="Z449" s="93"/>
      <c r="AA449" s="85"/>
      <c r="AC449" s="94"/>
      <c r="AD449" s="93"/>
      <c r="AE449" s="85"/>
    </row>
    <row r="450" spans="7:31" x14ac:dyDescent="0.35">
      <c r="G450" s="85"/>
      <c r="H450" s="87"/>
      <c r="K450" s="85"/>
      <c r="M450" s="94"/>
      <c r="N450" s="93"/>
      <c r="O450" s="85"/>
      <c r="Q450" s="94"/>
      <c r="R450" s="93"/>
      <c r="S450" s="85"/>
      <c r="U450" s="94"/>
      <c r="V450" s="93"/>
      <c r="W450" s="85"/>
      <c r="Y450" s="94"/>
      <c r="Z450" s="93"/>
      <c r="AA450" s="85"/>
      <c r="AC450" s="94"/>
      <c r="AD450" s="93"/>
      <c r="AE450" s="85"/>
    </row>
    <row r="451" spans="7:31" x14ac:dyDescent="0.35">
      <c r="G451" s="85"/>
      <c r="H451" s="87"/>
      <c r="K451" s="85"/>
      <c r="M451" s="94"/>
      <c r="N451" s="93"/>
      <c r="O451" s="85"/>
      <c r="Q451" s="94"/>
      <c r="R451" s="93"/>
      <c r="S451" s="85"/>
      <c r="U451" s="94"/>
      <c r="V451" s="93"/>
      <c r="W451" s="85"/>
      <c r="Y451" s="94"/>
      <c r="Z451" s="93"/>
      <c r="AA451" s="85"/>
      <c r="AC451" s="94"/>
      <c r="AD451" s="93"/>
      <c r="AE451" s="85"/>
    </row>
    <row r="452" spans="7:31" x14ac:dyDescent="0.35">
      <c r="G452" s="85"/>
      <c r="H452" s="87"/>
      <c r="K452" s="85"/>
      <c r="M452" s="94"/>
      <c r="N452" s="93"/>
      <c r="O452" s="85"/>
      <c r="Q452" s="94"/>
      <c r="R452" s="93"/>
      <c r="S452" s="85"/>
      <c r="U452" s="94"/>
      <c r="V452" s="93"/>
      <c r="W452" s="85"/>
      <c r="Y452" s="94"/>
      <c r="Z452" s="93"/>
      <c r="AA452" s="85"/>
      <c r="AC452" s="94"/>
      <c r="AD452" s="93"/>
      <c r="AE452" s="85"/>
    </row>
    <row r="453" spans="7:31" x14ac:dyDescent="0.35">
      <c r="G453" s="85"/>
      <c r="H453" s="87"/>
      <c r="K453" s="85"/>
      <c r="M453" s="94"/>
      <c r="N453" s="93"/>
      <c r="O453" s="85"/>
      <c r="Q453" s="94"/>
      <c r="R453" s="93"/>
      <c r="S453" s="85"/>
      <c r="U453" s="94"/>
      <c r="V453" s="93"/>
      <c r="W453" s="85"/>
      <c r="Y453" s="94"/>
      <c r="Z453" s="93"/>
      <c r="AA453" s="85"/>
      <c r="AC453" s="94"/>
      <c r="AD453" s="93"/>
      <c r="AE453" s="85"/>
    </row>
    <row r="454" spans="7:31" x14ac:dyDescent="0.35">
      <c r="G454" s="85"/>
      <c r="H454" s="87"/>
      <c r="K454" s="85"/>
      <c r="M454" s="94"/>
      <c r="N454" s="93"/>
      <c r="O454" s="85"/>
      <c r="Q454" s="94"/>
      <c r="R454" s="93"/>
      <c r="S454" s="85"/>
      <c r="U454" s="94"/>
      <c r="V454" s="93"/>
      <c r="W454" s="85"/>
      <c r="Y454" s="94"/>
      <c r="Z454" s="93"/>
      <c r="AA454" s="85"/>
      <c r="AC454" s="94"/>
      <c r="AD454" s="93"/>
      <c r="AE454" s="85"/>
    </row>
    <row r="455" spans="7:31" x14ac:dyDescent="0.35">
      <c r="G455" s="85"/>
      <c r="H455" s="87"/>
      <c r="K455" s="85"/>
      <c r="M455" s="94"/>
      <c r="N455" s="93"/>
      <c r="O455" s="85"/>
      <c r="Q455" s="94"/>
      <c r="R455" s="93"/>
      <c r="S455" s="85"/>
      <c r="U455" s="94"/>
      <c r="V455" s="93"/>
      <c r="W455" s="85"/>
      <c r="Y455" s="94"/>
      <c r="Z455" s="93"/>
      <c r="AA455" s="85"/>
      <c r="AC455" s="94"/>
      <c r="AD455" s="93"/>
      <c r="AE455" s="85"/>
    </row>
    <row r="456" spans="7:31" x14ac:dyDescent="0.35">
      <c r="G456" s="85"/>
      <c r="H456" s="87"/>
      <c r="K456" s="85"/>
      <c r="M456" s="94"/>
      <c r="N456" s="93"/>
      <c r="O456" s="85"/>
      <c r="Q456" s="94"/>
      <c r="R456" s="93"/>
      <c r="S456" s="85"/>
      <c r="U456" s="94"/>
      <c r="V456" s="93"/>
      <c r="W456" s="85"/>
      <c r="Y456" s="94"/>
      <c r="Z456" s="93"/>
      <c r="AA456" s="85"/>
      <c r="AC456" s="94"/>
      <c r="AD456" s="93"/>
      <c r="AE456" s="85"/>
    </row>
    <row r="457" spans="7:31" x14ac:dyDescent="0.35">
      <c r="G457" s="85"/>
      <c r="H457" s="87"/>
      <c r="K457" s="85"/>
      <c r="M457" s="94"/>
      <c r="N457" s="93"/>
      <c r="O457" s="85"/>
      <c r="Q457" s="94"/>
      <c r="R457" s="93"/>
      <c r="S457" s="85"/>
      <c r="U457" s="94"/>
      <c r="V457" s="93"/>
      <c r="W457" s="85"/>
      <c r="Y457" s="94"/>
      <c r="Z457" s="93"/>
      <c r="AA457" s="85"/>
      <c r="AC457" s="94"/>
      <c r="AD457" s="93"/>
      <c r="AE457" s="85"/>
    </row>
    <row r="458" spans="7:31" x14ac:dyDescent="0.35">
      <c r="G458" s="85"/>
      <c r="H458" s="87"/>
      <c r="K458" s="85"/>
      <c r="M458" s="94"/>
      <c r="N458" s="93"/>
      <c r="O458" s="85"/>
      <c r="Q458" s="94"/>
      <c r="R458" s="93"/>
      <c r="S458" s="85"/>
      <c r="U458" s="94"/>
      <c r="V458" s="93"/>
      <c r="W458" s="85"/>
      <c r="Y458" s="94"/>
      <c r="Z458" s="93"/>
      <c r="AA458" s="85"/>
      <c r="AC458" s="94"/>
      <c r="AD458" s="93"/>
      <c r="AE458" s="85"/>
    </row>
    <row r="459" spans="7:31" x14ac:dyDescent="0.35">
      <c r="G459" s="85"/>
      <c r="H459" s="87"/>
      <c r="K459" s="85"/>
      <c r="M459" s="94"/>
      <c r="N459" s="93"/>
      <c r="O459" s="85"/>
      <c r="Q459" s="94"/>
      <c r="R459" s="93"/>
      <c r="S459" s="85"/>
      <c r="U459" s="94"/>
      <c r="V459" s="93"/>
      <c r="W459" s="85"/>
      <c r="Y459" s="94"/>
      <c r="Z459" s="93"/>
      <c r="AA459" s="85"/>
      <c r="AC459" s="94"/>
      <c r="AD459" s="93"/>
      <c r="AE459" s="85"/>
    </row>
    <row r="460" spans="7:31" x14ac:dyDescent="0.35">
      <c r="G460" s="85"/>
      <c r="H460" s="87"/>
      <c r="K460" s="85"/>
      <c r="M460" s="94"/>
      <c r="N460" s="93"/>
      <c r="O460" s="85"/>
      <c r="Q460" s="94"/>
      <c r="R460" s="93"/>
      <c r="S460" s="85"/>
      <c r="U460" s="94"/>
      <c r="V460" s="93"/>
      <c r="W460" s="85"/>
      <c r="Y460" s="94"/>
      <c r="Z460" s="93"/>
      <c r="AA460" s="85"/>
      <c r="AC460" s="94"/>
      <c r="AD460" s="93"/>
      <c r="AE460" s="85"/>
    </row>
    <row r="461" spans="7:31" x14ac:dyDescent="0.35">
      <c r="G461" s="85"/>
      <c r="H461" s="87"/>
      <c r="K461" s="85"/>
      <c r="M461" s="94"/>
      <c r="N461" s="93"/>
      <c r="O461" s="85"/>
      <c r="Q461" s="94"/>
      <c r="R461" s="93"/>
      <c r="S461" s="85"/>
      <c r="U461" s="94"/>
      <c r="V461" s="93"/>
      <c r="W461" s="85"/>
      <c r="Y461" s="94"/>
      <c r="Z461" s="93"/>
      <c r="AA461" s="85"/>
      <c r="AC461" s="94"/>
      <c r="AD461" s="93"/>
      <c r="AE461" s="85"/>
    </row>
    <row r="462" spans="7:31" x14ac:dyDescent="0.35">
      <c r="G462" s="85"/>
      <c r="H462" s="87"/>
      <c r="K462" s="85"/>
      <c r="M462" s="94"/>
      <c r="N462" s="93"/>
      <c r="O462" s="85"/>
      <c r="Q462" s="94"/>
      <c r="R462" s="93"/>
      <c r="S462" s="85"/>
      <c r="U462" s="94"/>
      <c r="V462" s="93"/>
      <c r="W462" s="85"/>
      <c r="Y462" s="94"/>
      <c r="Z462" s="93"/>
      <c r="AA462" s="85"/>
      <c r="AC462" s="94"/>
      <c r="AD462" s="93"/>
      <c r="AE462" s="85"/>
    </row>
    <row r="463" spans="7:31" x14ac:dyDescent="0.35">
      <c r="G463" s="85"/>
      <c r="H463" s="87"/>
      <c r="K463" s="85"/>
      <c r="M463" s="94"/>
      <c r="N463" s="93"/>
      <c r="O463" s="85"/>
      <c r="Q463" s="94"/>
      <c r="R463" s="93"/>
      <c r="S463" s="85"/>
      <c r="U463" s="94"/>
      <c r="V463" s="93"/>
      <c r="W463" s="85"/>
      <c r="Y463" s="94"/>
      <c r="Z463" s="93"/>
      <c r="AA463" s="85"/>
      <c r="AC463" s="94"/>
      <c r="AD463" s="93"/>
      <c r="AE463" s="85"/>
    </row>
    <row r="464" spans="7:31" x14ac:dyDescent="0.35">
      <c r="G464" s="85"/>
      <c r="H464" s="87"/>
      <c r="K464" s="85"/>
      <c r="M464" s="94"/>
      <c r="N464" s="93"/>
      <c r="O464" s="85"/>
      <c r="Q464" s="94"/>
      <c r="R464" s="93"/>
      <c r="S464" s="85"/>
      <c r="U464" s="94"/>
      <c r="V464" s="93"/>
      <c r="W464" s="85"/>
      <c r="Y464" s="94"/>
      <c r="Z464" s="93"/>
      <c r="AA464" s="85"/>
      <c r="AC464" s="94"/>
      <c r="AD464" s="93"/>
      <c r="AE464" s="85"/>
    </row>
    <row r="465" spans="7:31" x14ac:dyDescent="0.35">
      <c r="G465" s="85"/>
      <c r="H465" s="87"/>
      <c r="K465" s="85"/>
      <c r="M465" s="94"/>
      <c r="N465" s="93"/>
      <c r="O465" s="85"/>
      <c r="Q465" s="94"/>
      <c r="R465" s="93"/>
      <c r="S465" s="85"/>
      <c r="U465" s="94"/>
      <c r="V465" s="93"/>
      <c r="W465" s="85"/>
      <c r="Y465" s="94"/>
      <c r="Z465" s="93"/>
      <c r="AA465" s="85"/>
      <c r="AC465" s="94"/>
      <c r="AD465" s="93"/>
      <c r="AE465" s="85"/>
    </row>
    <row r="466" spans="7:31" x14ac:dyDescent="0.35">
      <c r="G466" s="85"/>
      <c r="H466" s="87"/>
      <c r="K466" s="85"/>
      <c r="M466" s="94"/>
      <c r="N466" s="93"/>
      <c r="O466" s="85"/>
      <c r="Q466" s="94"/>
      <c r="R466" s="93"/>
      <c r="S466" s="85"/>
      <c r="U466" s="94"/>
      <c r="V466" s="93"/>
      <c r="W466" s="85"/>
      <c r="Y466" s="94"/>
      <c r="Z466" s="93"/>
      <c r="AA466" s="85"/>
      <c r="AC466" s="94"/>
      <c r="AD466" s="93"/>
      <c r="AE466" s="85"/>
    </row>
    <row r="467" spans="7:31" x14ac:dyDescent="0.35">
      <c r="G467" s="85"/>
      <c r="H467" s="87"/>
      <c r="K467" s="85"/>
      <c r="M467" s="94"/>
      <c r="N467" s="93"/>
      <c r="O467" s="85"/>
      <c r="Q467" s="94"/>
      <c r="R467" s="93"/>
      <c r="S467" s="85"/>
      <c r="U467" s="94"/>
      <c r="V467" s="93"/>
      <c r="W467" s="85"/>
      <c r="Y467" s="94"/>
      <c r="Z467" s="93"/>
      <c r="AA467" s="85"/>
      <c r="AC467" s="94"/>
      <c r="AD467" s="93"/>
      <c r="AE467" s="85"/>
    </row>
    <row r="468" spans="7:31" x14ac:dyDescent="0.35">
      <c r="G468" s="85"/>
      <c r="H468" s="87"/>
      <c r="K468" s="85"/>
      <c r="M468" s="94"/>
      <c r="N468" s="93"/>
      <c r="O468" s="85"/>
      <c r="Q468" s="94"/>
      <c r="R468" s="93"/>
      <c r="S468" s="85"/>
      <c r="U468" s="94"/>
      <c r="V468" s="93"/>
      <c r="W468" s="85"/>
      <c r="Y468" s="94"/>
      <c r="Z468" s="93"/>
      <c r="AA468" s="85"/>
      <c r="AC468" s="94"/>
      <c r="AD468" s="93"/>
      <c r="AE468" s="85"/>
    </row>
    <row r="469" spans="7:31" x14ac:dyDescent="0.35">
      <c r="G469" s="85"/>
      <c r="H469" s="87"/>
      <c r="K469" s="85"/>
      <c r="M469" s="94"/>
      <c r="N469" s="93"/>
      <c r="O469" s="85"/>
      <c r="Q469" s="94"/>
      <c r="R469" s="93"/>
      <c r="S469" s="85"/>
      <c r="U469" s="94"/>
      <c r="V469" s="93"/>
      <c r="W469" s="85"/>
      <c r="Y469" s="94"/>
      <c r="Z469" s="93"/>
      <c r="AA469" s="85"/>
      <c r="AC469" s="94"/>
      <c r="AD469" s="93"/>
      <c r="AE469" s="85"/>
    </row>
    <row r="470" spans="7:31" x14ac:dyDescent="0.35">
      <c r="G470" s="85"/>
      <c r="H470" s="87"/>
      <c r="K470" s="85"/>
      <c r="M470" s="94"/>
      <c r="N470" s="93"/>
      <c r="O470" s="85"/>
      <c r="Q470" s="94"/>
      <c r="R470" s="93"/>
      <c r="S470" s="85"/>
      <c r="U470" s="94"/>
      <c r="V470" s="93"/>
      <c r="W470" s="85"/>
      <c r="Y470" s="94"/>
      <c r="Z470" s="93"/>
      <c r="AA470" s="85"/>
      <c r="AC470" s="94"/>
      <c r="AD470" s="93"/>
      <c r="AE470" s="85"/>
    </row>
    <row r="471" spans="7:31" x14ac:dyDescent="0.35">
      <c r="G471" s="85"/>
      <c r="H471" s="87"/>
      <c r="K471" s="85"/>
      <c r="M471" s="94"/>
      <c r="N471" s="93"/>
      <c r="O471" s="85"/>
      <c r="Q471" s="94"/>
      <c r="R471" s="93"/>
      <c r="S471" s="85"/>
      <c r="U471" s="94"/>
      <c r="V471" s="93"/>
      <c r="W471" s="85"/>
      <c r="Y471" s="94"/>
      <c r="Z471" s="93"/>
      <c r="AA471" s="85"/>
      <c r="AC471" s="94"/>
      <c r="AD471" s="93"/>
      <c r="AE471" s="85"/>
    </row>
    <row r="472" spans="7:31" x14ac:dyDescent="0.35">
      <c r="G472" s="85"/>
      <c r="H472" s="87"/>
      <c r="K472" s="85"/>
      <c r="M472" s="94"/>
      <c r="N472" s="93"/>
      <c r="O472" s="85"/>
      <c r="Q472" s="94"/>
      <c r="R472" s="93"/>
      <c r="S472" s="85"/>
      <c r="U472" s="94"/>
      <c r="V472" s="93"/>
      <c r="W472" s="85"/>
      <c r="Y472" s="94"/>
      <c r="Z472" s="93"/>
      <c r="AA472" s="85"/>
      <c r="AC472" s="94"/>
      <c r="AD472" s="93"/>
      <c r="AE472" s="85"/>
    </row>
    <row r="473" spans="7:31" x14ac:dyDescent="0.35">
      <c r="G473" s="85"/>
      <c r="H473" s="87"/>
      <c r="K473" s="85"/>
      <c r="M473" s="94"/>
      <c r="N473" s="93"/>
      <c r="O473" s="85"/>
      <c r="Q473" s="94"/>
      <c r="R473" s="93"/>
      <c r="S473" s="85"/>
      <c r="U473" s="94"/>
      <c r="V473" s="93"/>
      <c r="W473" s="85"/>
      <c r="Y473" s="94"/>
      <c r="Z473" s="93"/>
      <c r="AA473" s="85"/>
      <c r="AC473" s="94"/>
      <c r="AD473" s="93"/>
      <c r="AE473" s="85"/>
    </row>
    <row r="474" spans="7:31" x14ac:dyDescent="0.35">
      <c r="G474" s="85"/>
      <c r="H474" s="87"/>
      <c r="K474" s="85"/>
      <c r="M474" s="94"/>
      <c r="N474" s="93"/>
      <c r="O474" s="85"/>
      <c r="Q474" s="94"/>
      <c r="R474" s="93"/>
      <c r="S474" s="85"/>
      <c r="U474" s="94"/>
      <c r="V474" s="93"/>
      <c r="W474" s="85"/>
      <c r="Y474" s="94"/>
      <c r="Z474" s="93"/>
      <c r="AA474" s="85"/>
      <c r="AC474" s="94"/>
      <c r="AD474" s="93"/>
      <c r="AE474" s="85"/>
    </row>
    <row r="475" spans="7:31" x14ac:dyDescent="0.35">
      <c r="G475" s="85"/>
      <c r="H475" s="87"/>
      <c r="K475" s="85"/>
      <c r="M475" s="94"/>
      <c r="N475" s="93"/>
      <c r="O475" s="85"/>
      <c r="Q475" s="94"/>
      <c r="R475" s="93"/>
      <c r="S475" s="85"/>
      <c r="U475" s="94"/>
      <c r="V475" s="93"/>
      <c r="W475" s="85"/>
      <c r="Y475" s="94"/>
      <c r="Z475" s="93"/>
      <c r="AA475" s="85"/>
      <c r="AC475" s="94"/>
      <c r="AD475" s="93"/>
      <c r="AE475" s="85"/>
    </row>
    <row r="476" spans="7:31" x14ac:dyDescent="0.35">
      <c r="G476" s="85"/>
      <c r="H476" s="87"/>
      <c r="K476" s="85"/>
      <c r="M476" s="94"/>
      <c r="N476" s="93"/>
      <c r="O476" s="85"/>
      <c r="Q476" s="94"/>
      <c r="R476" s="93"/>
      <c r="S476" s="85"/>
      <c r="U476" s="94"/>
      <c r="V476" s="93"/>
      <c r="W476" s="85"/>
      <c r="Y476" s="94"/>
      <c r="Z476" s="93"/>
      <c r="AA476" s="85"/>
      <c r="AC476" s="94"/>
      <c r="AD476" s="93"/>
      <c r="AE476" s="85"/>
    </row>
    <row r="477" spans="7:31" x14ac:dyDescent="0.35">
      <c r="G477" s="85"/>
      <c r="H477" s="87"/>
      <c r="K477" s="85"/>
      <c r="M477" s="94"/>
      <c r="N477" s="93"/>
      <c r="O477" s="85"/>
      <c r="Q477" s="94"/>
      <c r="R477" s="93"/>
      <c r="S477" s="85"/>
      <c r="U477" s="94"/>
      <c r="V477" s="93"/>
      <c r="W477" s="85"/>
      <c r="Y477" s="94"/>
      <c r="Z477" s="93"/>
      <c r="AA477" s="85"/>
      <c r="AC477" s="94"/>
      <c r="AD477" s="93"/>
      <c r="AE477" s="85"/>
    </row>
    <row r="478" spans="7:31" x14ac:dyDescent="0.35">
      <c r="G478" s="85"/>
      <c r="H478" s="87"/>
      <c r="K478" s="85"/>
      <c r="M478" s="94"/>
      <c r="N478" s="93"/>
      <c r="O478" s="85"/>
      <c r="Q478" s="94"/>
      <c r="R478" s="93"/>
      <c r="S478" s="85"/>
      <c r="U478" s="94"/>
      <c r="V478" s="93"/>
      <c r="W478" s="85"/>
      <c r="Y478" s="94"/>
      <c r="Z478" s="93"/>
      <c r="AA478" s="85"/>
      <c r="AC478" s="94"/>
      <c r="AD478" s="93"/>
      <c r="AE478" s="85"/>
    </row>
    <row r="479" spans="7:31" x14ac:dyDescent="0.35">
      <c r="G479" s="85"/>
      <c r="H479" s="87"/>
      <c r="K479" s="85"/>
      <c r="M479" s="94"/>
      <c r="N479" s="93"/>
      <c r="O479" s="85"/>
      <c r="Q479" s="94"/>
      <c r="R479" s="93"/>
      <c r="S479" s="85"/>
      <c r="U479" s="94"/>
      <c r="V479" s="93"/>
      <c r="W479" s="85"/>
      <c r="Y479" s="94"/>
      <c r="Z479" s="93"/>
      <c r="AA479" s="85"/>
      <c r="AC479" s="94"/>
      <c r="AD479" s="93"/>
      <c r="AE479" s="85"/>
    </row>
    <row r="480" spans="7:31" x14ac:dyDescent="0.35">
      <c r="G480" s="85"/>
      <c r="H480" s="87"/>
      <c r="K480" s="85"/>
      <c r="M480" s="94"/>
      <c r="N480" s="93"/>
      <c r="O480" s="85"/>
      <c r="Q480" s="94"/>
      <c r="R480" s="93"/>
      <c r="S480" s="85"/>
      <c r="U480" s="94"/>
      <c r="V480" s="93"/>
      <c r="W480" s="85"/>
      <c r="Y480" s="94"/>
      <c r="Z480" s="93"/>
      <c r="AA480" s="85"/>
      <c r="AC480" s="94"/>
      <c r="AD480" s="93"/>
      <c r="AE480" s="85"/>
    </row>
    <row r="481" spans="7:31" x14ac:dyDescent="0.35">
      <c r="G481" s="85"/>
      <c r="H481" s="87"/>
      <c r="K481" s="85"/>
      <c r="M481" s="94"/>
      <c r="N481" s="93"/>
      <c r="O481" s="85"/>
      <c r="Q481" s="94"/>
      <c r="R481" s="93"/>
      <c r="S481" s="85"/>
      <c r="U481" s="94"/>
      <c r="V481" s="93"/>
      <c r="W481" s="85"/>
      <c r="Y481" s="94"/>
      <c r="Z481" s="93"/>
      <c r="AA481" s="85"/>
      <c r="AC481" s="94"/>
      <c r="AD481" s="93"/>
      <c r="AE481" s="85"/>
    </row>
    <row r="482" spans="7:31" x14ac:dyDescent="0.35">
      <c r="G482" s="85"/>
      <c r="H482" s="87"/>
      <c r="K482" s="85"/>
      <c r="M482" s="94"/>
      <c r="N482" s="93"/>
      <c r="O482" s="85"/>
      <c r="Q482" s="94"/>
      <c r="R482" s="93"/>
      <c r="S482" s="85"/>
      <c r="U482" s="94"/>
      <c r="V482" s="93"/>
      <c r="W482" s="85"/>
      <c r="Y482" s="94"/>
      <c r="Z482" s="93"/>
      <c r="AA482" s="85"/>
      <c r="AC482" s="94"/>
      <c r="AD482" s="93"/>
      <c r="AE482" s="85"/>
    </row>
    <row r="483" spans="7:31" x14ac:dyDescent="0.35">
      <c r="G483" s="85"/>
      <c r="H483" s="87"/>
      <c r="K483" s="85"/>
      <c r="M483" s="94"/>
      <c r="N483" s="93"/>
      <c r="O483" s="85"/>
      <c r="Q483" s="94"/>
      <c r="R483" s="93"/>
      <c r="S483" s="85"/>
      <c r="U483" s="94"/>
      <c r="V483" s="93"/>
      <c r="W483" s="85"/>
      <c r="Y483" s="94"/>
      <c r="Z483" s="93"/>
      <c r="AA483" s="85"/>
      <c r="AC483" s="94"/>
      <c r="AD483" s="93"/>
      <c r="AE483" s="85"/>
    </row>
    <row r="484" spans="7:31" x14ac:dyDescent="0.35">
      <c r="G484" s="85"/>
      <c r="H484" s="87"/>
      <c r="K484" s="85"/>
      <c r="M484" s="94"/>
      <c r="N484" s="93"/>
      <c r="O484" s="85"/>
      <c r="Q484" s="94"/>
      <c r="R484" s="93"/>
      <c r="S484" s="85"/>
      <c r="U484" s="94"/>
      <c r="V484" s="93"/>
      <c r="W484" s="85"/>
      <c r="Y484" s="94"/>
      <c r="Z484" s="93"/>
      <c r="AA484" s="85"/>
      <c r="AC484" s="94"/>
      <c r="AD484" s="93"/>
      <c r="AE484" s="85"/>
    </row>
    <row r="485" spans="7:31" x14ac:dyDescent="0.35">
      <c r="G485" s="85"/>
      <c r="H485" s="87"/>
      <c r="K485" s="85"/>
      <c r="M485" s="94"/>
      <c r="N485" s="93"/>
      <c r="O485" s="85"/>
      <c r="Q485" s="94"/>
      <c r="R485" s="93"/>
      <c r="S485" s="85"/>
      <c r="U485" s="94"/>
      <c r="V485" s="93"/>
      <c r="W485" s="85"/>
      <c r="Y485" s="94"/>
      <c r="Z485" s="93"/>
      <c r="AA485" s="85"/>
      <c r="AC485" s="94"/>
      <c r="AD485" s="93"/>
      <c r="AE485" s="85"/>
    </row>
    <row r="486" spans="7:31" x14ac:dyDescent="0.35">
      <c r="G486" s="85"/>
      <c r="H486" s="87"/>
      <c r="K486" s="85"/>
      <c r="M486" s="94"/>
      <c r="N486" s="93"/>
      <c r="O486" s="85"/>
      <c r="Q486" s="94"/>
      <c r="R486" s="93"/>
      <c r="S486" s="85"/>
      <c r="U486" s="94"/>
      <c r="V486" s="93"/>
      <c r="W486" s="85"/>
      <c r="Y486" s="94"/>
      <c r="Z486" s="93"/>
      <c r="AA486" s="85"/>
      <c r="AC486" s="94"/>
      <c r="AD486" s="93"/>
      <c r="AE486" s="85"/>
    </row>
    <row r="487" spans="7:31" x14ac:dyDescent="0.35">
      <c r="G487" s="85"/>
      <c r="H487" s="87"/>
      <c r="K487" s="85"/>
      <c r="M487" s="94"/>
      <c r="N487" s="93"/>
      <c r="O487" s="85"/>
      <c r="Q487" s="94"/>
      <c r="R487" s="93"/>
      <c r="S487" s="85"/>
      <c r="U487" s="94"/>
      <c r="V487" s="93"/>
      <c r="W487" s="85"/>
      <c r="Y487" s="94"/>
      <c r="Z487" s="93"/>
      <c r="AA487" s="85"/>
      <c r="AC487" s="94"/>
      <c r="AD487" s="93"/>
      <c r="AE487" s="85"/>
    </row>
    <row r="488" spans="7:31" x14ac:dyDescent="0.35">
      <c r="G488" s="85"/>
      <c r="H488" s="87"/>
      <c r="K488" s="85"/>
      <c r="M488" s="94"/>
      <c r="N488" s="93"/>
      <c r="O488" s="85"/>
      <c r="Q488" s="94"/>
      <c r="R488" s="93"/>
      <c r="S488" s="85"/>
      <c r="U488" s="94"/>
      <c r="V488" s="93"/>
      <c r="W488" s="85"/>
      <c r="Y488" s="94"/>
      <c r="Z488" s="93"/>
      <c r="AA488" s="85"/>
      <c r="AC488" s="94"/>
      <c r="AD488" s="93"/>
      <c r="AE488" s="85"/>
    </row>
    <row r="489" spans="7:31" x14ac:dyDescent="0.35">
      <c r="G489" s="85"/>
      <c r="H489" s="87"/>
      <c r="K489" s="85"/>
      <c r="M489" s="94"/>
      <c r="N489" s="93"/>
      <c r="O489" s="85"/>
      <c r="Q489" s="94"/>
      <c r="R489" s="93"/>
      <c r="S489" s="85"/>
      <c r="U489" s="94"/>
      <c r="V489" s="93"/>
      <c r="W489" s="85"/>
      <c r="Y489" s="94"/>
      <c r="Z489" s="93"/>
      <c r="AA489" s="85"/>
      <c r="AC489" s="94"/>
      <c r="AD489" s="93"/>
      <c r="AE489" s="85"/>
    </row>
    <row r="490" spans="7:31" x14ac:dyDescent="0.35">
      <c r="G490" s="85"/>
      <c r="H490" s="87"/>
      <c r="K490" s="85"/>
      <c r="M490" s="94"/>
      <c r="N490" s="93"/>
      <c r="O490" s="85"/>
      <c r="Q490" s="94"/>
      <c r="R490" s="93"/>
      <c r="S490" s="85"/>
      <c r="U490" s="94"/>
      <c r="V490" s="93"/>
      <c r="W490" s="85"/>
      <c r="Y490" s="94"/>
      <c r="Z490" s="93"/>
      <c r="AA490" s="85"/>
      <c r="AC490" s="94"/>
      <c r="AD490" s="93"/>
      <c r="AE490" s="85"/>
    </row>
    <row r="491" spans="7:31" x14ac:dyDescent="0.35">
      <c r="G491" s="85"/>
      <c r="H491" s="87"/>
      <c r="K491" s="85"/>
      <c r="M491" s="94"/>
      <c r="N491" s="93"/>
      <c r="O491" s="85"/>
      <c r="Q491" s="94"/>
      <c r="R491" s="93"/>
      <c r="S491" s="85"/>
      <c r="U491" s="94"/>
      <c r="V491" s="93"/>
      <c r="W491" s="85"/>
      <c r="Y491" s="94"/>
      <c r="Z491" s="93"/>
      <c r="AA491" s="85"/>
      <c r="AC491" s="94"/>
      <c r="AD491" s="93"/>
      <c r="AE491" s="85"/>
    </row>
    <row r="492" spans="7:31" x14ac:dyDescent="0.35">
      <c r="G492" s="85"/>
      <c r="H492" s="87"/>
      <c r="K492" s="85"/>
      <c r="M492" s="94"/>
      <c r="N492" s="93"/>
      <c r="O492" s="85"/>
      <c r="Q492" s="94"/>
      <c r="R492" s="93"/>
      <c r="S492" s="85"/>
      <c r="U492" s="94"/>
      <c r="V492" s="93"/>
      <c r="W492" s="85"/>
      <c r="Y492" s="94"/>
      <c r="Z492" s="93"/>
      <c r="AA492" s="85"/>
      <c r="AC492" s="94"/>
      <c r="AD492" s="93"/>
      <c r="AE492" s="85"/>
    </row>
    <row r="493" spans="7:31" x14ac:dyDescent="0.35">
      <c r="G493" s="85"/>
      <c r="H493" s="87"/>
      <c r="K493" s="85"/>
      <c r="M493" s="94"/>
      <c r="N493" s="93"/>
      <c r="O493" s="85"/>
      <c r="Q493" s="94"/>
      <c r="R493" s="93"/>
      <c r="S493" s="85"/>
      <c r="U493" s="94"/>
      <c r="V493" s="93"/>
      <c r="W493" s="85"/>
      <c r="Y493" s="94"/>
      <c r="Z493" s="93"/>
      <c r="AA493" s="85"/>
      <c r="AC493" s="94"/>
      <c r="AD493" s="93"/>
      <c r="AE493" s="85"/>
    </row>
    <row r="494" spans="7:31" x14ac:dyDescent="0.35">
      <c r="G494" s="85"/>
      <c r="H494" s="87"/>
      <c r="K494" s="85"/>
      <c r="M494" s="94"/>
      <c r="N494" s="93"/>
      <c r="O494" s="85"/>
      <c r="Q494" s="94"/>
      <c r="R494" s="93"/>
      <c r="S494" s="85"/>
      <c r="U494" s="94"/>
      <c r="V494" s="93"/>
      <c r="W494" s="85"/>
      <c r="Y494" s="94"/>
      <c r="Z494" s="93"/>
      <c r="AA494" s="85"/>
      <c r="AC494" s="94"/>
      <c r="AD494" s="93"/>
      <c r="AE494" s="85"/>
    </row>
    <row r="495" spans="7:31" x14ac:dyDescent="0.35">
      <c r="G495" s="85"/>
      <c r="H495" s="87"/>
      <c r="K495" s="85"/>
      <c r="M495" s="94"/>
      <c r="N495" s="93"/>
      <c r="O495" s="85"/>
      <c r="Q495" s="94"/>
      <c r="R495" s="93"/>
      <c r="S495" s="85"/>
      <c r="U495" s="94"/>
      <c r="V495" s="93"/>
      <c r="W495" s="85"/>
      <c r="Y495" s="94"/>
      <c r="Z495" s="93"/>
      <c r="AA495" s="85"/>
      <c r="AC495" s="94"/>
      <c r="AD495" s="93"/>
      <c r="AE495" s="85"/>
    </row>
    <row r="496" spans="7:31" x14ac:dyDescent="0.35">
      <c r="G496" s="85"/>
      <c r="H496" s="87"/>
      <c r="K496" s="85"/>
      <c r="M496" s="94"/>
      <c r="N496" s="93"/>
      <c r="O496" s="85"/>
      <c r="Q496" s="94"/>
      <c r="R496" s="93"/>
      <c r="S496" s="85"/>
      <c r="U496" s="94"/>
      <c r="V496" s="93"/>
      <c r="W496" s="85"/>
      <c r="Y496" s="94"/>
      <c r="Z496" s="93"/>
      <c r="AA496" s="85"/>
      <c r="AC496" s="94"/>
      <c r="AD496" s="93"/>
      <c r="AE496" s="85"/>
    </row>
    <row r="497" spans="7:31" x14ac:dyDescent="0.35">
      <c r="G497" s="85"/>
      <c r="H497" s="87"/>
      <c r="K497" s="85"/>
      <c r="M497" s="94"/>
      <c r="N497" s="93"/>
      <c r="O497" s="85"/>
      <c r="Q497" s="94"/>
      <c r="R497" s="93"/>
      <c r="S497" s="85"/>
      <c r="U497" s="94"/>
      <c r="V497" s="93"/>
      <c r="W497" s="85"/>
      <c r="Y497" s="94"/>
      <c r="Z497" s="93"/>
      <c r="AA497" s="85"/>
      <c r="AC497" s="94"/>
      <c r="AD497" s="93"/>
      <c r="AE497" s="85"/>
    </row>
    <row r="498" spans="7:31" x14ac:dyDescent="0.35">
      <c r="G498" s="85"/>
      <c r="H498" s="87"/>
      <c r="K498" s="85"/>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M987" s="94"/>
      <c r="N987" s="93"/>
      <c r="O987" s="85"/>
      <c r="Q987" s="94"/>
      <c r="R987" s="93"/>
      <c r="S987" s="85"/>
      <c r="U987" s="94"/>
      <c r="V987" s="93"/>
      <c r="W987" s="85"/>
      <c r="Y987" s="94"/>
      <c r="Z987" s="93"/>
      <c r="AA987" s="85"/>
      <c r="AC987" s="94"/>
      <c r="AD987" s="93"/>
      <c r="AE987" s="85"/>
    </row>
    <row r="988" spans="7:31" x14ac:dyDescent="0.35">
      <c r="G988" s="85"/>
      <c r="H988" s="87"/>
      <c r="K988" s="85"/>
      <c r="M988" s="94"/>
      <c r="N988" s="93"/>
      <c r="O988" s="85"/>
      <c r="Q988" s="94"/>
      <c r="R988" s="93"/>
      <c r="S988" s="85"/>
      <c r="U988" s="94"/>
      <c r="V988" s="93"/>
      <c r="W988" s="85"/>
      <c r="Y988" s="94"/>
      <c r="Z988" s="93"/>
      <c r="AA988" s="85"/>
      <c r="AC988" s="94"/>
      <c r="AD988" s="93"/>
      <c r="AE988" s="85"/>
    </row>
    <row r="989" spans="7:31" x14ac:dyDescent="0.35">
      <c r="G989" s="85"/>
      <c r="H989" s="87"/>
      <c r="K989" s="85"/>
      <c r="M989" s="94"/>
      <c r="N989" s="93"/>
      <c r="O989" s="85"/>
      <c r="Q989" s="94"/>
      <c r="R989" s="93"/>
      <c r="S989" s="85"/>
      <c r="U989" s="94"/>
      <c r="V989" s="93"/>
      <c r="W989" s="85"/>
      <c r="Y989" s="94"/>
      <c r="Z989" s="93"/>
      <c r="AA989" s="85"/>
      <c r="AC989" s="94"/>
      <c r="AD989" s="93"/>
      <c r="AE989" s="85"/>
    </row>
    <row r="990" spans="7:31" x14ac:dyDescent="0.35">
      <c r="G990" s="85"/>
      <c r="H990" s="87"/>
      <c r="K990" s="85"/>
      <c r="M990" s="94"/>
      <c r="N990" s="93"/>
      <c r="O990" s="85"/>
      <c r="Q990" s="94"/>
      <c r="R990" s="93"/>
      <c r="S990" s="85"/>
      <c r="U990" s="94"/>
      <c r="V990" s="93"/>
      <c r="W990" s="85"/>
      <c r="Y990" s="94"/>
      <c r="Z990" s="93"/>
      <c r="AA990" s="85"/>
      <c r="AC990" s="94"/>
      <c r="AD990" s="93"/>
      <c r="AE990" s="85"/>
    </row>
    <row r="991" spans="7:31" x14ac:dyDescent="0.35">
      <c r="G991" s="85"/>
      <c r="H991" s="87"/>
      <c r="K991" s="85"/>
      <c r="M991" s="94"/>
      <c r="N991" s="93"/>
      <c r="O991" s="85"/>
      <c r="Q991" s="94"/>
      <c r="R991" s="93"/>
      <c r="S991" s="85"/>
      <c r="U991" s="94"/>
      <c r="V991" s="93"/>
      <c r="W991" s="85"/>
      <c r="Y991" s="94"/>
      <c r="Z991" s="93"/>
      <c r="AA991" s="85"/>
      <c r="AC991" s="94"/>
      <c r="AD991" s="93"/>
      <c r="AE991" s="85"/>
    </row>
    <row r="992" spans="7:31" x14ac:dyDescent="0.35">
      <c r="G992" s="85"/>
      <c r="H992" s="87"/>
      <c r="K992" s="85"/>
      <c r="M992" s="94"/>
      <c r="N992" s="93"/>
      <c r="O992" s="85"/>
      <c r="Q992" s="94"/>
      <c r="R992" s="93"/>
      <c r="S992" s="85"/>
      <c r="U992" s="94"/>
      <c r="V992" s="93"/>
      <c r="W992" s="85"/>
      <c r="Y992" s="94"/>
      <c r="Z992" s="93"/>
      <c r="AA992" s="85"/>
      <c r="AC992" s="94"/>
      <c r="AD992" s="93"/>
      <c r="AE992" s="85"/>
    </row>
    <row r="993" spans="7:31" x14ac:dyDescent="0.35">
      <c r="G993" s="85"/>
      <c r="H993" s="87"/>
      <c r="K993" s="85"/>
      <c r="M993" s="94"/>
      <c r="N993" s="93"/>
      <c r="O993" s="85"/>
      <c r="Q993" s="94"/>
      <c r="R993" s="93"/>
      <c r="S993" s="85"/>
      <c r="U993" s="94"/>
      <c r="V993" s="93"/>
      <c r="W993" s="85"/>
      <c r="Y993" s="94"/>
      <c r="Z993" s="93"/>
      <c r="AA993" s="85"/>
      <c r="AC993" s="94"/>
      <c r="AD993" s="93"/>
      <c r="AE993" s="85"/>
    </row>
    <row r="994" spans="7:31" x14ac:dyDescent="0.35">
      <c r="G994" s="85"/>
      <c r="H994" s="87"/>
      <c r="K994" s="85"/>
      <c r="M994" s="94"/>
      <c r="N994" s="93"/>
      <c r="O994" s="85"/>
      <c r="Q994" s="94"/>
      <c r="R994" s="93"/>
      <c r="S994" s="85"/>
      <c r="U994" s="94"/>
      <c r="V994" s="93"/>
      <c r="W994" s="85"/>
      <c r="Y994" s="94"/>
      <c r="Z994" s="93"/>
      <c r="AA994" s="85"/>
      <c r="AC994" s="94"/>
      <c r="AD994" s="93"/>
      <c r="AE994" s="85"/>
    </row>
    <row r="995" spans="7:31" x14ac:dyDescent="0.35">
      <c r="G995" s="85"/>
      <c r="H995" s="87"/>
      <c r="K995" s="85"/>
      <c r="M995" s="94"/>
      <c r="N995" s="93"/>
      <c r="O995" s="85"/>
      <c r="Q995" s="94"/>
      <c r="R995" s="93"/>
      <c r="S995" s="85"/>
      <c r="U995" s="94"/>
      <c r="V995" s="93"/>
      <c r="W995" s="85"/>
      <c r="Y995" s="94"/>
      <c r="Z995" s="93"/>
      <c r="AA995" s="85"/>
      <c r="AC995" s="94"/>
      <c r="AD995" s="93"/>
      <c r="AE995" s="85"/>
    </row>
    <row r="996" spans="7:31" x14ac:dyDescent="0.35">
      <c r="G996" s="85"/>
      <c r="H996" s="87"/>
      <c r="K996" s="85"/>
      <c r="M996" s="94"/>
      <c r="N996" s="93"/>
      <c r="O996" s="85"/>
      <c r="Q996" s="94"/>
      <c r="R996" s="93"/>
      <c r="S996" s="85"/>
      <c r="U996" s="94"/>
      <c r="V996" s="93"/>
      <c r="W996" s="85"/>
      <c r="Y996" s="94"/>
      <c r="Z996" s="93"/>
      <c r="AA996" s="85"/>
      <c r="AC996" s="94"/>
      <c r="AD996" s="93"/>
      <c r="AE996" s="85"/>
    </row>
    <row r="997" spans="7:31" x14ac:dyDescent="0.35">
      <c r="G997" s="85"/>
      <c r="H997" s="87"/>
      <c r="K997" s="85"/>
      <c r="M997" s="94"/>
      <c r="N997" s="93"/>
      <c r="O997" s="85"/>
      <c r="Q997" s="94"/>
      <c r="R997" s="93"/>
      <c r="S997" s="85"/>
      <c r="U997" s="94"/>
      <c r="V997" s="93"/>
      <c r="W997" s="85"/>
      <c r="Y997" s="94"/>
      <c r="Z997" s="93"/>
      <c r="AA997" s="85"/>
      <c r="AC997" s="94"/>
      <c r="AD997" s="93"/>
      <c r="AE997" s="85"/>
    </row>
    <row r="998" spans="7:31" x14ac:dyDescent="0.35">
      <c r="G998" s="85"/>
      <c r="H998" s="87"/>
      <c r="K998" s="85"/>
      <c r="M998" s="94"/>
      <c r="N998" s="93"/>
      <c r="O998" s="85"/>
      <c r="Q998" s="94"/>
      <c r="R998" s="93"/>
      <c r="S998" s="85"/>
      <c r="U998" s="94"/>
      <c r="V998" s="93"/>
      <c r="W998" s="85"/>
      <c r="Y998" s="94"/>
      <c r="Z998" s="93"/>
      <c r="AA998" s="85"/>
      <c r="AC998" s="94"/>
      <c r="AD998" s="93"/>
      <c r="AE998" s="85"/>
    </row>
    <row r="999" spans="7:31" x14ac:dyDescent="0.35">
      <c r="G999" s="85"/>
      <c r="H999" s="87"/>
      <c r="K999" s="85"/>
      <c r="M999" s="94"/>
      <c r="N999" s="93"/>
      <c r="O999" s="85"/>
      <c r="Q999" s="94"/>
      <c r="R999" s="93"/>
      <c r="S999" s="85"/>
      <c r="U999" s="94"/>
      <c r="V999" s="93"/>
      <c r="W999" s="85"/>
      <c r="Y999" s="94"/>
      <c r="Z999" s="93"/>
      <c r="AA999" s="85"/>
      <c r="AC999" s="94"/>
      <c r="AD999" s="93"/>
      <c r="AE999" s="85"/>
    </row>
    <row r="1000" spans="7:31" x14ac:dyDescent="0.35">
      <c r="G1000" s="85"/>
      <c r="H1000" s="87"/>
      <c r="K1000" s="85"/>
      <c r="M1000" s="94"/>
      <c r="N1000" s="93"/>
      <c r="O1000" s="85"/>
      <c r="Q1000" s="94"/>
      <c r="R1000" s="93"/>
      <c r="S1000" s="85"/>
      <c r="U1000" s="94"/>
      <c r="V1000" s="93"/>
      <c r="W1000" s="85"/>
      <c r="Y1000" s="94"/>
      <c r="Z1000" s="93"/>
      <c r="AA1000" s="85"/>
      <c r="AC1000" s="94"/>
      <c r="AD1000" s="93"/>
      <c r="AE1000" s="85"/>
    </row>
    <row r="1001" spans="7:31" x14ac:dyDescent="0.35">
      <c r="G1001" s="85"/>
      <c r="H1001" s="87"/>
      <c r="M1001" s="94"/>
      <c r="N1001" s="93"/>
      <c r="O1001" s="85"/>
      <c r="Q1001" s="94"/>
      <c r="R1001" s="93"/>
      <c r="S1001" s="85"/>
      <c r="U1001" s="94"/>
      <c r="V1001" s="93"/>
      <c r="W1001" s="85"/>
      <c r="Y1001" s="94"/>
      <c r="Z1001" s="93"/>
      <c r="AA1001" s="85"/>
      <c r="AC1001" s="94"/>
      <c r="AD1001" s="93"/>
      <c r="AE1001" s="85"/>
    </row>
    <row r="1002" spans="7:31" x14ac:dyDescent="0.35">
      <c r="G1002" s="85"/>
      <c r="H1002" s="87"/>
      <c r="M1002" s="94"/>
      <c r="N1002" s="93"/>
      <c r="O1002" s="85"/>
      <c r="Q1002" s="94"/>
      <c r="R1002" s="93"/>
      <c r="S1002" s="85"/>
      <c r="U1002" s="94"/>
      <c r="V1002" s="93"/>
      <c r="W1002" s="85"/>
      <c r="Y1002" s="94"/>
      <c r="Z1002" s="93"/>
      <c r="AA1002" s="85"/>
      <c r="AC1002" s="94"/>
      <c r="AD1002" s="93"/>
      <c r="AE1002" s="85"/>
    </row>
    <row r="1003" spans="7:31" x14ac:dyDescent="0.35">
      <c r="G1003" s="85"/>
      <c r="H1003" s="87"/>
      <c r="M1003" s="94"/>
      <c r="N1003" s="93"/>
      <c r="O1003" s="85"/>
      <c r="Q1003" s="94"/>
      <c r="R1003" s="93"/>
      <c r="S1003" s="85"/>
      <c r="U1003" s="94"/>
      <c r="V1003" s="93"/>
      <c r="W1003" s="85"/>
      <c r="Y1003" s="94"/>
      <c r="Z1003" s="93"/>
      <c r="AA1003" s="85"/>
      <c r="AC1003" s="94"/>
      <c r="AD1003" s="93"/>
      <c r="AE1003" s="85"/>
    </row>
    <row r="1004" spans="7:31" x14ac:dyDescent="0.35">
      <c r="M1004" s="94"/>
      <c r="N1004" s="93"/>
      <c r="O1004" s="85"/>
    </row>
    <row r="1005" spans="7:31" x14ac:dyDescent="0.35">
      <c r="M1005" s="94"/>
      <c r="N1005" s="93"/>
      <c r="O1005" s="85"/>
    </row>
    <row r="1006" spans="7:31" x14ac:dyDescent="0.35">
      <c r="M1006" s="94"/>
      <c r="N1006" s="93"/>
      <c r="O1006" s="85"/>
    </row>
    <row r="1007" spans="7:31" x14ac:dyDescent="0.35">
      <c r="M1007" s="94"/>
      <c r="N1007" s="93"/>
      <c r="O1007" s="85"/>
    </row>
    <row r="1008" spans="7:31" x14ac:dyDescent="0.35">
      <c r="M1008" s="94"/>
      <c r="N1008" s="93"/>
      <c r="O1008" s="85"/>
    </row>
    <row r="1009" spans="13:15" x14ac:dyDescent="0.35">
      <c r="M1009" s="94"/>
      <c r="N1009" s="93"/>
      <c r="O1009" s="85"/>
    </row>
  </sheetData>
  <autoFilter ref="E22:P146" xr:uid="{00000000-0001-0000-0E00-000000000000}"/>
  <mergeCells count="2">
    <mergeCell ref="C16:D16"/>
    <mergeCell ref="C17:D17"/>
  </mergeCells>
  <conditionalFormatting sqref="A1:AG38 A39:L1048576 Q39:AG1048576 M39:P44">
    <cfRule type="expression" dxfId="79" priority="1">
      <formula>$A4="Spend to Date"</formula>
    </cfRule>
    <cfRule type="expression" dxfId="78" priority="2">
      <formula>$A4="Spend to Date"</formula>
    </cfRule>
  </conditionalFormatting>
  <conditionalFormatting sqref="M45:P1048576">
    <cfRule type="expression" dxfId="77" priority="75">
      <formula>$A42="Spend to Date"</formula>
    </cfRule>
    <cfRule type="expression" dxfId="76" priority="76">
      <formula>$A42="Spend to Date"</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G999"/>
  <sheetViews>
    <sheetView zoomScale="86" zoomScaleNormal="100" workbookViewId="0">
      <pane xSplit="2" ySplit="1" topLeftCell="J30" activePane="bottomRight" state="frozen"/>
      <selection pane="topRight" activeCell="C1" sqref="C1"/>
      <selection pane="bottomLeft" activeCell="A2" sqref="A2"/>
      <selection pane="bottomRight" activeCell="U51" sqref="U51"/>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4.26953125" style="85" bestFit="1" customWidth="1"/>
    <col min="6" max="6" width="19.81640625" style="87" bestFit="1" customWidth="1"/>
    <col min="7" max="7" width="37.453125" style="87" bestFit="1" customWidth="1"/>
    <col min="8" max="8" width="12.7265625" style="88" bestFit="1" customWidth="1"/>
    <col min="9" max="9" width="13.81640625" style="85" bestFit="1" customWidth="1"/>
    <col min="10" max="10" width="19.54296875" style="85" bestFit="1" customWidth="1"/>
    <col min="11" max="11" width="11" style="85" bestFit="1" customWidth="1"/>
    <col min="12" max="12" width="29.54296875" style="85" customWidth="1"/>
    <col min="13" max="13" width="13.81640625" style="89" bestFit="1" customWidth="1"/>
    <col min="14" max="14" width="13.81640625" style="87" customWidth="1"/>
    <col min="15" max="15" width="11.54296875" style="87" bestFit="1" customWidth="1"/>
    <col min="16" max="16" width="22"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84</v>
      </c>
      <c r="B1" s="85" t="s">
        <v>484</v>
      </c>
      <c r="C1" s="85" t="s">
        <v>1</v>
      </c>
      <c r="D1" s="86" t="s">
        <v>2</v>
      </c>
      <c r="E1" s="87" t="s">
        <v>3</v>
      </c>
      <c r="F1" s="87" t="s">
        <v>4</v>
      </c>
      <c r="G1" s="87" t="s">
        <v>5</v>
      </c>
      <c r="H1" s="88" t="s">
        <v>450</v>
      </c>
      <c r="I1" s="89" t="s">
        <v>6</v>
      </c>
      <c r="J1" s="87" t="s">
        <v>7</v>
      </c>
      <c r="K1" s="87" t="s">
        <v>8</v>
      </c>
      <c r="L1" s="87" t="s">
        <v>1089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0</v>
      </c>
      <c r="F2" s="87">
        <f>SUM(F3:F3)</f>
        <v>-27025</v>
      </c>
      <c r="I2" s="89">
        <f>SUM(I3:I3)</f>
        <v>-33525</v>
      </c>
      <c r="J2" s="87">
        <f>SUM(J3:J3)</f>
        <v>3518.6499999999996</v>
      </c>
      <c r="K2" s="87"/>
      <c r="L2" s="90" t="s">
        <v>85</v>
      </c>
      <c r="M2" s="89">
        <f>SUM(M3:M3)</f>
        <v>-28000</v>
      </c>
      <c r="N2" s="87">
        <f>SUM(N3:N3)</f>
        <v>0</v>
      </c>
      <c r="Q2" s="89">
        <f>SUM(Q3:Q3)</f>
        <v>0</v>
      </c>
      <c r="R2" s="87">
        <f>SUM(R3:R3)</f>
        <v>0</v>
      </c>
      <c r="U2" s="89">
        <f>SUM(U3:U3)</f>
        <v>0</v>
      </c>
      <c r="V2" s="87">
        <f>SUM(V3:V3)</f>
        <v>0</v>
      </c>
      <c r="Y2" s="89">
        <f>SUM(Y3:Y3)</f>
        <v>0</v>
      </c>
      <c r="Z2" s="87">
        <f>SUM(Z3:Z3)</f>
        <v>0</v>
      </c>
      <c r="AC2" s="89">
        <f>SUM(AC3:AC3)</f>
        <v>0</v>
      </c>
      <c r="AD2" s="87">
        <f>SUM(AD3:AD3)</f>
        <v>0</v>
      </c>
    </row>
    <row r="3" spans="1:33" x14ac:dyDescent="0.35">
      <c r="A3" s="86" t="s">
        <v>84</v>
      </c>
      <c r="B3" s="85">
        <v>1</v>
      </c>
      <c r="D3" s="86">
        <v>0</v>
      </c>
      <c r="E3" s="87">
        <v>0</v>
      </c>
      <c r="F3" s="87">
        <f>SUMIFS(H$21:H$1006,E$21:E$1006,1)</f>
        <v>-27025</v>
      </c>
      <c r="G3" s="87">
        <f>D3+E3-F3+SUMIFS(E$6:E$14,$C$6:$C$14,$A3)-SUMIFS(F$6:F$14,$C$6:$C$14,$A3)</f>
        <v>45485.69</v>
      </c>
      <c r="I3" s="91">
        <f>-(6500+27025)</f>
        <v>-33525</v>
      </c>
      <c r="J3" s="87">
        <f>SUMIFS(L$20:L$1003,I$20:I$1003,1)</f>
        <v>3518.6499999999996</v>
      </c>
      <c r="K3" s="87">
        <f>G3+I3-J3+SUMIFS(I$6:I$14,$C$6:$C$14,$A3)-SUMIFS(J$6:J$14,$C$6:$C$14,$A3)</f>
        <v>32581.810000000012</v>
      </c>
      <c r="L3" s="109"/>
      <c r="M3" s="89">
        <v>-28000</v>
      </c>
      <c r="N3" s="87">
        <f>SUMIFS(P$21:P$1006,M$21:M$1006,1)</f>
        <v>0</v>
      </c>
      <c r="O3" s="87">
        <f>K3+M3-N3+SUMIFS(M$6:M$14,$C$6:$C$14,$A3)-SUMIFS(N$6:N$14,$C$6:$C$14,$A3)</f>
        <v>60488.380000000012</v>
      </c>
      <c r="R3" s="87">
        <f>SUMIFS(T$21:T$1006,Q$21:Q$1006,1)</f>
        <v>0</v>
      </c>
      <c r="S3" s="87">
        <f>O3+Q3-R3+SUMIFS(Q$6:Q$14,$C$6:$C$14,$A3)-SUMIFS(R$6:R$14,$C$6:$C$14,$A3)</f>
        <v>122288.38</v>
      </c>
      <c r="V3" s="87">
        <f>SUMIFS(X$21:X$1006,U$21:U$1006,1)</f>
        <v>0</v>
      </c>
      <c r="W3" s="87">
        <f>S3+U3-V3+SUMIFS(U$6:U$14,$C$6:$C$14,$A3)-SUMIFS(V$6:V$14,$C$6:$C$14,$A3)</f>
        <v>185943.38</v>
      </c>
      <c r="Z3" s="87">
        <f>SUMIFS(AB$21:AB$1006,Y$21:Y$1006,1)</f>
        <v>0</v>
      </c>
      <c r="AA3" s="87">
        <f>W3+Y3-Z3+SUMIFS(Y$6:Y$14,$C$6:$C$14,$A3)-SUMIFS(Z$6:Z$14,$C$6:$C$14,$A3)</f>
        <v>251509.38</v>
      </c>
      <c r="AD3" s="87">
        <f>SUMIFS(AF$21:AF$1006,AC$21:AC$1006,1)</f>
        <v>0</v>
      </c>
      <c r="AE3" s="87">
        <f>AA3+AC3-AD3+SUMIFS(AC$6:AC$14,$C$6:$C$14,$A3)-SUMIFS(AD$6:AD$14,$C$6:$C$14,$A3)</f>
        <v>319043.38</v>
      </c>
    </row>
    <row r="4" spans="1:33" x14ac:dyDescent="0.35">
      <c r="E4" s="87"/>
      <c r="I4" s="89"/>
      <c r="J4" s="87"/>
      <c r="K4" s="87"/>
      <c r="L4" s="110"/>
    </row>
    <row r="5" spans="1:33" x14ac:dyDescent="0.35">
      <c r="A5" s="84" t="s">
        <v>86</v>
      </c>
      <c r="D5" s="84"/>
      <c r="E5" s="87">
        <f>SUM(E6:E14)</f>
        <v>14008</v>
      </c>
      <c r="F5" s="87">
        <f>SUM(F6:F14)</f>
        <v>-4452.6899999999996</v>
      </c>
      <c r="I5" s="89">
        <f>SUM(I6:I14)</f>
        <v>64000</v>
      </c>
      <c r="J5" s="87">
        <f>SUM(J6:J14)</f>
        <v>39860.229999999996</v>
      </c>
      <c r="K5" s="87"/>
      <c r="L5" s="87"/>
      <c r="M5" s="89">
        <f>SUM(M6:M14)</f>
        <v>68500</v>
      </c>
      <c r="N5" s="87">
        <f>SUM(N6:N14)</f>
        <v>12593.43</v>
      </c>
      <c r="Q5" s="89">
        <f>SUM(Q6:Q14)</f>
        <v>70555</v>
      </c>
      <c r="R5" s="87">
        <f>$Q$5</f>
        <v>70555</v>
      </c>
      <c r="U5" s="89">
        <f>SUM(U6:U14)</f>
        <v>72673</v>
      </c>
      <c r="V5" s="87">
        <f>$U$5</f>
        <v>72673</v>
      </c>
      <c r="Y5" s="89">
        <f>SUM(Y6:Y14)</f>
        <v>74855</v>
      </c>
      <c r="Z5" s="87">
        <f>$Y$5</f>
        <v>74855</v>
      </c>
      <c r="AC5" s="89">
        <f>SUM(AC6:AC14)</f>
        <v>77102</v>
      </c>
      <c r="AD5" s="87">
        <f>$AC$5</f>
        <v>77102</v>
      </c>
    </row>
    <row r="6" spans="1:33" ht="14.5" customHeight="1" x14ac:dyDescent="0.35">
      <c r="A6" s="86" t="s">
        <v>86</v>
      </c>
      <c r="B6" s="85">
        <v>2</v>
      </c>
      <c r="C6" s="86" t="s">
        <v>84</v>
      </c>
      <c r="D6" s="86">
        <v>0</v>
      </c>
      <c r="E6" s="87">
        <f>14008-E13</f>
        <v>12978</v>
      </c>
      <c r="F6" s="87">
        <f>SUMIFS(H$20:H$1006,E$20:E$1006,$B6)</f>
        <v>-7527.18</v>
      </c>
      <c r="I6" s="89">
        <v>0</v>
      </c>
      <c r="J6" s="87">
        <f t="shared" ref="J6:J14" si="0">SUMIFS(L$20:L$1003,I$20:I$1003,$B6)</f>
        <v>0</v>
      </c>
      <c r="K6" s="87"/>
      <c r="L6" s="87"/>
      <c r="M6" s="89">
        <f>ROUNDUP((I6)*RPI,0)</f>
        <v>0</v>
      </c>
      <c r="N6" s="87">
        <f t="shared" ref="N6" si="1">SUMIFS(P$20:P$1003,M$20:M$1003,$B6)</f>
        <v>0</v>
      </c>
      <c r="Q6" s="89">
        <f>ROUNDUP((M6)*RPI,0)</f>
        <v>0</v>
      </c>
      <c r="R6" s="87">
        <f>$Q$6</f>
        <v>0</v>
      </c>
      <c r="U6" s="89">
        <f>ROUNDUP((Q6)*RPI,0)</f>
        <v>0</v>
      </c>
      <c r="V6" s="87">
        <f>$U$6</f>
        <v>0</v>
      </c>
      <c r="Y6" s="89">
        <f>ROUNDUP((U6)*RPI,0)</f>
        <v>0</v>
      </c>
      <c r="Z6" s="87">
        <f>$Y$6</f>
        <v>0</v>
      </c>
      <c r="AC6" s="89">
        <f>ROUNDUP((Y6)*RPI,0)</f>
        <v>0</v>
      </c>
      <c r="AD6" s="87">
        <f>$AC$6</f>
        <v>0</v>
      </c>
    </row>
    <row r="7" spans="1:33" ht="14.5" customHeight="1" x14ac:dyDescent="0.35">
      <c r="A7" s="86" t="s">
        <v>87</v>
      </c>
      <c r="B7" s="85">
        <v>3</v>
      </c>
      <c r="C7" s="86" t="s">
        <v>84</v>
      </c>
      <c r="D7" s="86">
        <v>0</v>
      </c>
      <c r="E7" s="87">
        <v>0</v>
      </c>
      <c r="F7" s="87">
        <f t="shared" ref="F7:F14" si="2">SUMIFS(H$21:H$1006,E$21:E$1006,$B7)</f>
        <v>298.10000000000002</v>
      </c>
      <c r="I7" s="89">
        <v>10000</v>
      </c>
      <c r="J7" s="87">
        <f t="shared" si="0"/>
        <v>0</v>
      </c>
      <c r="K7" s="87"/>
      <c r="L7" s="87" t="s">
        <v>1090</v>
      </c>
      <c r="M7" s="89">
        <v>0</v>
      </c>
      <c r="N7" s="87">
        <f t="shared" ref="N7:N14" si="3">SUMIFS(P$20:P$1003,M$20:M$1003,$B7)</f>
        <v>0</v>
      </c>
      <c r="Q7" s="89">
        <f>ROUNDUP((M7)*RPI,0)</f>
        <v>0</v>
      </c>
      <c r="R7" s="87">
        <f>$Q$7</f>
        <v>0</v>
      </c>
      <c r="U7" s="89">
        <f>ROUNDUP((Q7)*RPI,0)</f>
        <v>0</v>
      </c>
      <c r="V7" s="87">
        <f>$U$7</f>
        <v>0</v>
      </c>
      <c r="Y7" s="89">
        <f>ROUNDUP((U7)*RPI,0)</f>
        <v>0</v>
      </c>
      <c r="Z7" s="87">
        <f>$Y$7</f>
        <v>0</v>
      </c>
      <c r="AC7" s="89">
        <f>ROUNDUP((Y7)*RPI,0)</f>
        <v>0</v>
      </c>
      <c r="AD7" s="87">
        <f>$AC$7</f>
        <v>0</v>
      </c>
    </row>
    <row r="8" spans="1:33" s="90" customFormat="1" ht="14.5" customHeight="1" x14ac:dyDescent="0.35">
      <c r="A8" s="86" t="s">
        <v>88</v>
      </c>
      <c r="B8" s="85">
        <v>4</v>
      </c>
      <c r="C8" s="86" t="s">
        <v>84</v>
      </c>
      <c r="D8" s="86">
        <v>0</v>
      </c>
      <c r="E8" s="87">
        <v>0</v>
      </c>
      <c r="F8" s="87">
        <f t="shared" si="2"/>
        <v>0</v>
      </c>
      <c r="G8" s="87"/>
      <c r="H8" s="88"/>
      <c r="I8" s="89">
        <v>12000</v>
      </c>
      <c r="J8" s="87">
        <f t="shared" si="0"/>
        <v>12000</v>
      </c>
      <c r="K8" s="87"/>
      <c r="L8" s="87" t="s">
        <v>1091</v>
      </c>
      <c r="M8" s="89">
        <v>0</v>
      </c>
      <c r="N8" s="87">
        <f t="shared" si="3"/>
        <v>0</v>
      </c>
      <c r="P8" s="85"/>
      <c r="Q8" s="89">
        <v>0</v>
      </c>
      <c r="R8" s="87">
        <f>$Q$8</f>
        <v>0</v>
      </c>
      <c r="U8" s="91">
        <v>0</v>
      </c>
      <c r="V8" s="90">
        <f>$U$8</f>
        <v>0</v>
      </c>
      <c r="Y8" s="91">
        <v>0</v>
      </c>
      <c r="Z8" s="90">
        <f>$Y$8</f>
        <v>0</v>
      </c>
      <c r="AC8" s="91">
        <v>0</v>
      </c>
      <c r="AD8" s="90">
        <f>$AC$8</f>
        <v>0</v>
      </c>
    </row>
    <row r="9" spans="1:33" s="90" customFormat="1" ht="26.5" customHeight="1" x14ac:dyDescent="0.35">
      <c r="A9" s="86" t="s">
        <v>90</v>
      </c>
      <c r="B9" s="85">
        <v>5</v>
      </c>
      <c r="C9" s="86" t="s">
        <v>84</v>
      </c>
      <c r="D9" s="86">
        <v>0</v>
      </c>
      <c r="E9" s="87">
        <v>0</v>
      </c>
      <c r="F9" s="87">
        <f t="shared" si="2"/>
        <v>0</v>
      </c>
      <c r="G9" s="87"/>
      <c r="H9" s="88"/>
      <c r="I9" s="89">
        <v>6000</v>
      </c>
      <c r="J9" s="87">
        <f t="shared" si="0"/>
        <v>3326.53</v>
      </c>
      <c r="K9" s="87"/>
      <c r="L9" s="87" t="s">
        <v>1090</v>
      </c>
      <c r="M9" s="89">
        <v>7500</v>
      </c>
      <c r="N9" s="87">
        <f t="shared" si="3"/>
        <v>0</v>
      </c>
      <c r="Q9" s="89">
        <f t="shared" ref="Q9:Q14" si="4">ROUNDUP((M9)*RPI,0)</f>
        <v>7725</v>
      </c>
      <c r="R9" s="87">
        <f>$Q$8</f>
        <v>0</v>
      </c>
      <c r="U9" s="91">
        <f t="shared" ref="U9:U14" si="5">ROUNDUP((Q9)*RPI,0)</f>
        <v>7957</v>
      </c>
      <c r="V9" s="90">
        <f>$U$8</f>
        <v>0</v>
      </c>
      <c r="Y9" s="91">
        <f t="shared" ref="Y9:Y14" si="6">ROUNDUP((U9)*RPI,0)</f>
        <v>8196</v>
      </c>
      <c r="Z9" s="90">
        <f>$Y$8</f>
        <v>0</v>
      </c>
      <c r="AC9" s="91">
        <f t="shared" ref="AC9:AC14" si="7">ROUNDUP((Y9)*RPI,0)</f>
        <v>8442</v>
      </c>
      <c r="AD9" s="90">
        <f>$AC$8</f>
        <v>0</v>
      </c>
    </row>
    <row r="10" spans="1:33" s="90" customFormat="1" ht="14.5" customHeight="1" x14ac:dyDescent="0.35">
      <c r="A10" s="86" t="s">
        <v>91</v>
      </c>
      <c r="B10" s="85">
        <v>6</v>
      </c>
      <c r="C10" s="86" t="s">
        <v>84</v>
      </c>
      <c r="D10" s="86">
        <v>0</v>
      </c>
      <c r="E10" s="87">
        <v>0</v>
      </c>
      <c r="F10" s="87">
        <f t="shared" si="2"/>
        <v>36.64</v>
      </c>
      <c r="G10" s="87"/>
      <c r="H10" s="88"/>
      <c r="I10" s="89">
        <v>6000</v>
      </c>
      <c r="J10" s="87">
        <f t="shared" si="0"/>
        <v>10523.89</v>
      </c>
      <c r="K10" s="87"/>
      <c r="L10" s="87" t="s">
        <v>1090</v>
      </c>
      <c r="M10" s="89">
        <v>45000</v>
      </c>
      <c r="N10" s="87">
        <f t="shared" si="3"/>
        <v>11755</v>
      </c>
      <c r="Q10" s="89">
        <f t="shared" si="4"/>
        <v>46350</v>
      </c>
      <c r="R10" s="87">
        <f>$Q$8</f>
        <v>0</v>
      </c>
      <c r="U10" s="91">
        <f t="shared" si="5"/>
        <v>47741</v>
      </c>
      <c r="V10" s="90">
        <f>$U$8</f>
        <v>0</v>
      </c>
      <c r="Y10" s="91">
        <f t="shared" si="6"/>
        <v>49174</v>
      </c>
      <c r="Z10" s="90">
        <f>$Y$8</f>
        <v>0</v>
      </c>
      <c r="AC10" s="91">
        <f t="shared" si="7"/>
        <v>50650</v>
      </c>
      <c r="AD10" s="90">
        <f>$AC$8</f>
        <v>0</v>
      </c>
    </row>
    <row r="11" spans="1:33" s="90" customFormat="1" ht="14.5" customHeight="1" x14ac:dyDescent="0.35">
      <c r="A11" s="86" t="s">
        <v>2118</v>
      </c>
      <c r="B11" s="85">
        <v>7</v>
      </c>
      <c r="C11" s="86" t="s">
        <v>84</v>
      </c>
      <c r="D11" s="86">
        <v>0</v>
      </c>
      <c r="E11" s="87">
        <v>0</v>
      </c>
      <c r="F11" s="87">
        <f t="shared" si="2"/>
        <v>0</v>
      </c>
      <c r="G11" s="87"/>
      <c r="H11" s="88"/>
      <c r="I11" s="89">
        <v>6000</v>
      </c>
      <c r="J11" s="87">
        <f t="shared" si="0"/>
        <v>2550.5</v>
      </c>
      <c r="K11" s="87"/>
      <c r="L11" s="87" t="s">
        <v>1090</v>
      </c>
      <c r="M11" s="89">
        <v>7500</v>
      </c>
      <c r="N11" s="87">
        <f t="shared" si="3"/>
        <v>200</v>
      </c>
      <c r="Q11" s="89">
        <f t="shared" si="4"/>
        <v>7725</v>
      </c>
      <c r="R11" s="87">
        <f>$Q$8</f>
        <v>0</v>
      </c>
      <c r="U11" s="91">
        <f t="shared" si="5"/>
        <v>7957</v>
      </c>
      <c r="V11" s="90">
        <f>$U$8</f>
        <v>0</v>
      </c>
      <c r="Y11" s="91">
        <f t="shared" si="6"/>
        <v>8196</v>
      </c>
      <c r="Z11" s="90">
        <f>$Y$8</f>
        <v>0</v>
      </c>
      <c r="AC11" s="91">
        <f t="shared" si="7"/>
        <v>8442</v>
      </c>
      <c r="AD11" s="90">
        <f>$AC$8</f>
        <v>0</v>
      </c>
    </row>
    <row r="12" spans="1:33" ht="14.5" customHeight="1" x14ac:dyDescent="0.35">
      <c r="A12" s="86" t="s">
        <v>93</v>
      </c>
      <c r="B12" s="85">
        <v>8</v>
      </c>
      <c r="C12" s="86" t="s">
        <v>84</v>
      </c>
      <c r="E12" s="87">
        <v>0</v>
      </c>
      <c r="F12" s="87">
        <f t="shared" si="2"/>
        <v>0</v>
      </c>
      <c r="I12" s="89">
        <v>6000</v>
      </c>
      <c r="J12" s="87">
        <f t="shared" si="0"/>
        <v>3484.1499999999992</v>
      </c>
      <c r="K12" s="87"/>
      <c r="L12" s="87"/>
      <c r="M12" s="89">
        <v>7500</v>
      </c>
      <c r="N12" s="87">
        <f t="shared" si="3"/>
        <v>501.84</v>
      </c>
      <c r="Q12" s="89">
        <f t="shared" si="4"/>
        <v>7725</v>
      </c>
      <c r="R12" s="87">
        <f>$Q$12</f>
        <v>7725</v>
      </c>
      <c r="U12" s="89">
        <f t="shared" si="5"/>
        <v>7957</v>
      </c>
      <c r="V12" s="87">
        <f>$U$12</f>
        <v>7957</v>
      </c>
      <c r="Y12" s="89">
        <f t="shared" si="6"/>
        <v>8196</v>
      </c>
      <c r="Z12" s="87">
        <f>$Y$12</f>
        <v>8196</v>
      </c>
      <c r="AC12" s="89">
        <f t="shared" si="7"/>
        <v>8442</v>
      </c>
      <c r="AD12" s="87">
        <f>$AC$12</f>
        <v>8442</v>
      </c>
    </row>
    <row r="13" spans="1:33" ht="14.5" customHeight="1" x14ac:dyDescent="0.35">
      <c r="A13" s="86" t="s">
        <v>94</v>
      </c>
      <c r="B13" s="85">
        <v>9</v>
      </c>
      <c r="C13" s="86" t="s">
        <v>84</v>
      </c>
      <c r="E13" s="87">
        <f>1000*1.03</f>
        <v>1030</v>
      </c>
      <c r="F13" s="87">
        <f t="shared" si="2"/>
        <v>542</v>
      </c>
      <c r="I13" s="89">
        <v>2000</v>
      </c>
      <c r="J13" s="87">
        <f t="shared" si="0"/>
        <v>31.64</v>
      </c>
      <c r="K13" s="87"/>
      <c r="L13" s="87"/>
      <c r="M13" s="89">
        <v>0</v>
      </c>
      <c r="N13" s="87">
        <f t="shared" si="3"/>
        <v>136.59</v>
      </c>
      <c r="Q13" s="89">
        <f t="shared" si="4"/>
        <v>0</v>
      </c>
      <c r="R13" s="87">
        <f>$Q$13</f>
        <v>0</v>
      </c>
      <c r="U13" s="89">
        <f t="shared" si="5"/>
        <v>0</v>
      </c>
      <c r="V13" s="87">
        <f>$U$13</f>
        <v>0</v>
      </c>
      <c r="Y13" s="89">
        <f t="shared" si="6"/>
        <v>0</v>
      </c>
      <c r="Z13" s="87">
        <f>$Y$13</f>
        <v>0</v>
      </c>
      <c r="AC13" s="89">
        <f t="shared" si="7"/>
        <v>0</v>
      </c>
      <c r="AD13" s="87">
        <f>$AC$13</f>
        <v>0</v>
      </c>
    </row>
    <row r="14" spans="1:33" ht="57" customHeight="1" x14ac:dyDescent="0.35">
      <c r="A14" s="86" t="s">
        <v>95</v>
      </c>
      <c r="B14" s="85">
        <v>10</v>
      </c>
      <c r="C14" s="86" t="s">
        <v>84</v>
      </c>
      <c r="E14" s="87">
        <v>0</v>
      </c>
      <c r="F14" s="87">
        <f t="shared" si="2"/>
        <v>2197.75</v>
      </c>
      <c r="I14" s="89">
        <v>16000</v>
      </c>
      <c r="J14" s="87">
        <f t="shared" si="0"/>
        <v>7943.52</v>
      </c>
      <c r="K14" s="87"/>
      <c r="L14" s="87" t="s">
        <v>96</v>
      </c>
      <c r="M14" s="89">
        <v>1000</v>
      </c>
      <c r="N14" s="87">
        <f t="shared" si="3"/>
        <v>0</v>
      </c>
      <c r="O14" s="109"/>
      <c r="P14" s="86"/>
      <c r="Q14" s="89">
        <f t="shared" si="4"/>
        <v>1030</v>
      </c>
      <c r="R14" s="87">
        <f>$Q$14</f>
        <v>1030</v>
      </c>
      <c r="U14" s="89">
        <f t="shared" si="5"/>
        <v>1061</v>
      </c>
      <c r="V14" s="87">
        <f>$U$14</f>
        <v>1061</v>
      </c>
      <c r="Y14" s="89">
        <f t="shared" si="6"/>
        <v>1093</v>
      </c>
      <c r="Z14" s="87">
        <f>$Y$14</f>
        <v>1093</v>
      </c>
      <c r="AC14" s="89">
        <f t="shared" si="7"/>
        <v>1126</v>
      </c>
      <c r="AD14" s="87">
        <f>$AC$14</f>
        <v>1126</v>
      </c>
    </row>
    <row r="15" spans="1:33" x14ac:dyDescent="0.35">
      <c r="E15" s="87"/>
      <c r="I15" s="89"/>
      <c r="J15" s="87"/>
      <c r="K15" s="87"/>
      <c r="L15" s="87"/>
    </row>
    <row r="16" spans="1:33" x14ac:dyDescent="0.35">
      <c r="E16" s="87"/>
      <c r="I16" s="89"/>
      <c r="J16" s="87"/>
      <c r="K16" s="87"/>
      <c r="L16" s="87"/>
    </row>
    <row r="17" spans="1:31" x14ac:dyDescent="0.35">
      <c r="E17" s="87"/>
      <c r="I17" s="89"/>
      <c r="J17" s="87"/>
      <c r="K17" s="87"/>
      <c r="L17" s="87"/>
    </row>
    <row r="18" spans="1:31" x14ac:dyDescent="0.35">
      <c r="A18" s="84" t="s">
        <v>487</v>
      </c>
      <c r="F18" s="93"/>
      <c r="G18" s="85"/>
      <c r="H18" s="87"/>
      <c r="I18" s="94"/>
      <c r="J18" s="93"/>
      <c r="L18" s="87"/>
      <c r="M18" s="94"/>
      <c r="N18" s="93"/>
      <c r="O18" s="85"/>
      <c r="Q18" s="94"/>
      <c r="R18" s="93"/>
      <c r="S18" s="85"/>
      <c r="U18" s="94"/>
      <c r="V18" s="93"/>
      <c r="W18" s="85"/>
      <c r="Y18" s="94"/>
      <c r="Z18" s="93"/>
      <c r="AA18" s="85"/>
      <c r="AC18" s="94"/>
      <c r="AD18" s="93"/>
      <c r="AE18" s="85"/>
    </row>
    <row r="19" spans="1:3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94"/>
      <c r="R19" s="93"/>
      <c r="S19" s="85"/>
      <c r="U19" s="94"/>
      <c r="V19" s="93"/>
      <c r="W19" s="85"/>
      <c r="Y19" s="94"/>
      <c r="Z19" s="93"/>
      <c r="AA19" s="85"/>
      <c r="AC19" s="94"/>
      <c r="AD19" s="93"/>
      <c r="AE19" s="85"/>
    </row>
    <row r="20" spans="1:31" x14ac:dyDescent="0.35">
      <c r="E20" s="85">
        <v>2</v>
      </c>
      <c r="F20" s="93">
        <v>44652</v>
      </c>
      <c r="G20" s="85" t="s">
        <v>1092</v>
      </c>
      <c r="H20" s="87">
        <v>-11405.35</v>
      </c>
      <c r="I20" s="85">
        <v>1</v>
      </c>
      <c r="J20" s="93" t="s">
        <v>676</v>
      </c>
      <c r="K20" s="85" t="s">
        <v>1093</v>
      </c>
      <c r="L20" s="87">
        <v>500</v>
      </c>
      <c r="M20" s="94">
        <v>6</v>
      </c>
      <c r="N20" s="93">
        <v>45426</v>
      </c>
      <c r="O20" s="85" t="s">
        <v>2553</v>
      </c>
      <c r="P20" s="148">
        <v>5765</v>
      </c>
      <c r="Q20" s="94"/>
      <c r="R20" s="93"/>
      <c r="S20" s="85"/>
      <c r="U20" s="94"/>
      <c r="V20" s="93"/>
      <c r="W20" s="85"/>
      <c r="Y20" s="94"/>
      <c r="Z20" s="93"/>
      <c r="AA20" s="85"/>
      <c r="AC20" s="94"/>
      <c r="AD20" s="93"/>
      <c r="AE20" s="85"/>
    </row>
    <row r="21" spans="1:31" x14ac:dyDescent="0.35">
      <c r="A21" s="85"/>
      <c r="D21" s="85"/>
      <c r="E21" s="85">
        <v>3</v>
      </c>
      <c r="F21" s="93">
        <v>44687</v>
      </c>
      <c r="G21" s="85" t="s">
        <v>1094</v>
      </c>
      <c r="H21" s="87">
        <v>298.10000000000002</v>
      </c>
      <c r="I21" s="94">
        <v>10</v>
      </c>
      <c r="J21" s="93">
        <v>45096</v>
      </c>
      <c r="K21" s="85" t="s">
        <v>1095</v>
      </c>
      <c r="L21" s="87">
        <v>330</v>
      </c>
      <c r="M21" s="94">
        <v>6</v>
      </c>
      <c r="N21" s="96" t="s">
        <v>491</v>
      </c>
      <c r="O21" s="96" t="s">
        <v>1115</v>
      </c>
      <c r="P21" s="87">
        <v>1500</v>
      </c>
      <c r="Q21" s="94"/>
      <c r="R21" s="93"/>
      <c r="S21" s="85"/>
      <c r="U21" s="94"/>
      <c r="V21" s="93"/>
      <c r="W21" s="85"/>
      <c r="Y21" s="94"/>
      <c r="Z21" s="93"/>
      <c r="AA21" s="85"/>
      <c r="AC21" s="94"/>
      <c r="AD21" s="93"/>
      <c r="AE21" s="85"/>
    </row>
    <row r="22" spans="1:31" x14ac:dyDescent="0.35">
      <c r="A22" s="87"/>
      <c r="B22" s="87"/>
      <c r="C22" s="87"/>
      <c r="D22" s="87"/>
      <c r="E22" s="85">
        <v>2</v>
      </c>
      <c r="F22" s="93">
        <v>44692</v>
      </c>
      <c r="G22" s="85" t="s">
        <v>1096</v>
      </c>
      <c r="H22" s="87">
        <v>56</v>
      </c>
      <c r="I22" s="94">
        <v>4</v>
      </c>
      <c r="J22" s="93">
        <v>45169</v>
      </c>
      <c r="K22" s="85" t="s">
        <v>1097</v>
      </c>
      <c r="L22" s="87">
        <v>12000</v>
      </c>
      <c r="M22" s="94">
        <v>6</v>
      </c>
      <c r="N22" s="93">
        <v>45386</v>
      </c>
      <c r="O22" s="87" t="s">
        <v>2822</v>
      </c>
      <c r="P22" s="148">
        <v>770</v>
      </c>
      <c r="Q22" s="94"/>
      <c r="R22" s="93"/>
      <c r="S22" s="85"/>
      <c r="U22" s="94"/>
      <c r="V22" s="93"/>
      <c r="W22" s="85"/>
      <c r="Y22" s="94"/>
      <c r="Z22" s="93"/>
      <c r="AA22" s="85"/>
      <c r="AC22" s="94"/>
      <c r="AD22" s="93"/>
      <c r="AE22" s="85"/>
    </row>
    <row r="23" spans="1:31" x14ac:dyDescent="0.35">
      <c r="A23" s="87"/>
      <c r="B23" s="87"/>
      <c r="C23" s="87"/>
      <c r="D23" s="87"/>
      <c r="E23" s="92">
        <v>10</v>
      </c>
      <c r="F23" s="93">
        <v>44746</v>
      </c>
      <c r="G23" s="85" t="s">
        <v>1098</v>
      </c>
      <c r="H23" s="87">
        <f>1180+1017.75</f>
        <v>2197.75</v>
      </c>
      <c r="I23" s="94">
        <v>5</v>
      </c>
      <c r="J23" s="93">
        <v>45169</v>
      </c>
      <c r="K23" s="85" t="s">
        <v>1097</v>
      </c>
      <c r="L23" s="87">
        <v>2826.53</v>
      </c>
      <c r="M23" s="94">
        <v>6</v>
      </c>
      <c r="N23" s="93">
        <v>45386</v>
      </c>
      <c r="O23" s="85" t="s">
        <v>2823</v>
      </c>
      <c r="P23" s="148">
        <v>1260</v>
      </c>
      <c r="Q23" s="94"/>
      <c r="R23" s="93"/>
      <c r="S23" s="85"/>
      <c r="U23" s="94"/>
      <c r="V23" s="93"/>
      <c r="W23" s="85"/>
      <c r="Y23" s="94"/>
      <c r="Z23" s="93"/>
      <c r="AA23" s="85"/>
      <c r="AC23" s="94"/>
      <c r="AD23" s="93"/>
      <c r="AE23" s="85"/>
    </row>
    <row r="24" spans="1:31" x14ac:dyDescent="0.35">
      <c r="A24" s="87"/>
      <c r="B24" s="87"/>
      <c r="C24" s="87"/>
      <c r="D24" s="87"/>
      <c r="E24" s="92">
        <v>9</v>
      </c>
      <c r="F24" s="93">
        <v>44746</v>
      </c>
      <c r="G24" s="85" t="s">
        <v>1099</v>
      </c>
      <c r="H24" s="87">
        <v>372</v>
      </c>
      <c r="I24" s="94">
        <v>8</v>
      </c>
      <c r="J24" s="93">
        <v>45117</v>
      </c>
      <c r="K24" s="85" t="s">
        <v>1101</v>
      </c>
      <c r="L24" s="87">
        <v>99.58</v>
      </c>
      <c r="M24" s="94">
        <v>6</v>
      </c>
      <c r="N24" s="93">
        <v>45386</v>
      </c>
      <c r="O24" s="85" t="s">
        <v>2824</v>
      </c>
      <c r="P24" s="148">
        <v>1760</v>
      </c>
      <c r="Q24" s="94"/>
      <c r="R24" s="93"/>
      <c r="S24" s="85"/>
      <c r="U24" s="94"/>
      <c r="V24" s="93"/>
      <c r="W24" s="85"/>
      <c r="Y24" s="94"/>
      <c r="Z24" s="93"/>
      <c r="AA24" s="85"/>
      <c r="AC24" s="94"/>
      <c r="AD24" s="93"/>
      <c r="AE24" s="85"/>
    </row>
    <row r="25" spans="1:31" x14ac:dyDescent="0.35">
      <c r="A25" s="87"/>
      <c r="B25" s="87"/>
      <c r="C25" s="87"/>
      <c r="D25" s="87"/>
      <c r="E25" s="92">
        <v>9</v>
      </c>
      <c r="F25" s="93">
        <v>44756</v>
      </c>
      <c r="G25" s="85" t="s">
        <v>1100</v>
      </c>
      <c r="H25" s="87">
        <v>80</v>
      </c>
      <c r="I25" s="94">
        <v>10</v>
      </c>
      <c r="J25" s="93">
        <v>45098</v>
      </c>
      <c r="K25" s="85" t="s">
        <v>1103</v>
      </c>
      <c r="L25" s="87">
        <v>64.16</v>
      </c>
      <c r="M25" s="94">
        <v>6</v>
      </c>
      <c r="N25" s="93">
        <v>45395</v>
      </c>
      <c r="O25" s="85" t="s">
        <v>2831</v>
      </c>
      <c r="P25" s="148">
        <v>150</v>
      </c>
      <c r="Q25" s="94"/>
      <c r="R25" s="93"/>
      <c r="S25" s="85"/>
      <c r="U25" s="94"/>
      <c r="V25" s="93"/>
      <c r="W25" s="85"/>
      <c r="Y25" s="94"/>
      <c r="Z25" s="93"/>
      <c r="AA25" s="85"/>
      <c r="AC25" s="94"/>
      <c r="AD25" s="93"/>
      <c r="AE25" s="85"/>
    </row>
    <row r="26" spans="1:31" x14ac:dyDescent="0.35">
      <c r="A26" s="87"/>
      <c r="B26" s="87"/>
      <c r="C26" s="87"/>
      <c r="D26" s="87"/>
      <c r="E26" s="85">
        <v>2</v>
      </c>
      <c r="F26" s="93">
        <v>44804</v>
      </c>
      <c r="G26" s="85" t="s">
        <v>93</v>
      </c>
      <c r="H26" s="87">
        <f>2145.38+58+82.5+177.5+321+6+280+137.8</f>
        <v>3208.1800000000003</v>
      </c>
      <c r="I26" s="94">
        <v>10</v>
      </c>
      <c r="J26" s="93">
        <v>45098</v>
      </c>
      <c r="K26" s="85" t="s">
        <v>1103</v>
      </c>
      <c r="L26" s="87">
        <v>128.32</v>
      </c>
      <c r="M26" s="94">
        <v>8</v>
      </c>
      <c r="N26" s="93">
        <v>45399</v>
      </c>
      <c r="O26" s="85" t="s">
        <v>2842</v>
      </c>
      <c r="P26" s="148">
        <v>33.72</v>
      </c>
      <c r="Q26" s="94"/>
      <c r="R26" s="93"/>
      <c r="S26" s="85"/>
      <c r="U26" s="94"/>
      <c r="V26" s="93"/>
      <c r="W26" s="85"/>
      <c r="Y26" s="94"/>
      <c r="Z26" s="93"/>
      <c r="AA26" s="85"/>
      <c r="AC26" s="94"/>
      <c r="AD26" s="93"/>
      <c r="AE26" s="85"/>
    </row>
    <row r="27" spans="1:31" x14ac:dyDescent="0.35">
      <c r="A27" s="87"/>
      <c r="B27" s="87"/>
      <c r="C27" s="87"/>
      <c r="D27" s="87"/>
      <c r="E27" s="92">
        <v>9</v>
      </c>
      <c r="F27" s="93">
        <v>44861</v>
      </c>
      <c r="G27" s="85" t="s">
        <v>1100</v>
      </c>
      <c r="H27" s="87">
        <v>90</v>
      </c>
      <c r="I27" s="94">
        <v>6</v>
      </c>
      <c r="J27" s="93" t="s">
        <v>1104</v>
      </c>
      <c r="K27" s="85" t="s">
        <v>1105</v>
      </c>
      <c r="L27" s="87">
        <v>1500</v>
      </c>
      <c r="M27" s="94">
        <v>8</v>
      </c>
      <c r="N27" s="93">
        <v>45405</v>
      </c>
      <c r="O27" s="85" t="s">
        <v>93</v>
      </c>
      <c r="P27" s="148">
        <v>97.16</v>
      </c>
      <c r="Q27" s="94"/>
      <c r="R27" s="93"/>
      <c r="S27" s="85"/>
      <c r="U27" s="94"/>
      <c r="V27" s="93"/>
      <c r="W27" s="85"/>
      <c r="Y27" s="94"/>
      <c r="Z27" s="93"/>
      <c r="AA27" s="85"/>
      <c r="AC27" s="94"/>
      <c r="AD27" s="93"/>
      <c r="AE27" s="85"/>
    </row>
    <row r="28" spans="1:31" x14ac:dyDescent="0.35">
      <c r="A28" s="87"/>
      <c r="B28" s="87"/>
      <c r="C28" s="87"/>
      <c r="D28" s="87"/>
      <c r="E28" s="92">
        <v>2</v>
      </c>
      <c r="F28" s="93">
        <v>44909</v>
      </c>
      <c r="G28" s="85" t="s">
        <v>1102</v>
      </c>
      <c r="H28" s="87">
        <v>574</v>
      </c>
      <c r="I28" s="94">
        <v>8</v>
      </c>
      <c r="J28" s="93">
        <v>45114</v>
      </c>
      <c r="K28" s="85" t="s">
        <v>1107</v>
      </c>
      <c r="L28" s="87">
        <v>78.61</v>
      </c>
      <c r="M28" s="94">
        <v>6</v>
      </c>
      <c r="N28" s="93">
        <v>45404</v>
      </c>
      <c r="O28" s="85" t="s">
        <v>1110</v>
      </c>
      <c r="P28" s="148">
        <v>550</v>
      </c>
      <c r="Q28" s="94"/>
      <c r="R28" s="93"/>
      <c r="S28" s="85"/>
      <c r="U28" s="94"/>
      <c r="V28" s="93"/>
      <c r="W28" s="85"/>
      <c r="Y28" s="94"/>
      <c r="Z28" s="93"/>
      <c r="AA28" s="85"/>
      <c r="AC28" s="94"/>
      <c r="AD28" s="93"/>
      <c r="AE28" s="85"/>
    </row>
    <row r="29" spans="1:31" ht="13.5" customHeight="1" x14ac:dyDescent="0.35">
      <c r="E29" s="92" t="s">
        <v>867</v>
      </c>
      <c r="F29" s="97" t="s">
        <v>491</v>
      </c>
      <c r="G29" s="98" t="s">
        <v>1093</v>
      </c>
      <c r="H29" s="90">
        <v>500</v>
      </c>
      <c r="I29" s="94">
        <v>6</v>
      </c>
      <c r="J29" s="93">
        <v>45204</v>
      </c>
      <c r="K29" s="85" t="s">
        <v>1109</v>
      </c>
      <c r="L29" s="87">
        <v>1891.75</v>
      </c>
      <c r="M29" s="94">
        <v>9</v>
      </c>
      <c r="N29" s="93">
        <v>45405</v>
      </c>
      <c r="O29" s="85" t="s">
        <v>2852</v>
      </c>
      <c r="P29" s="148">
        <v>136.59</v>
      </c>
      <c r="Q29" s="94"/>
      <c r="R29" s="93"/>
      <c r="S29" s="85"/>
      <c r="U29" s="94"/>
      <c r="V29" s="93"/>
      <c r="W29" s="85"/>
      <c r="Y29" s="94"/>
      <c r="Z29" s="93"/>
      <c r="AA29" s="85"/>
      <c r="AC29" s="94"/>
      <c r="AD29" s="93"/>
      <c r="AE29" s="85"/>
    </row>
    <row r="30" spans="1:31" x14ac:dyDescent="0.35">
      <c r="E30" s="92">
        <v>1</v>
      </c>
      <c r="F30" s="97" t="s">
        <v>784</v>
      </c>
      <c r="G30" s="92" t="s">
        <v>1019</v>
      </c>
      <c r="H30" s="90">
        <v>-27025</v>
      </c>
      <c r="I30" s="94">
        <v>6</v>
      </c>
      <c r="J30" s="93">
        <v>45196</v>
      </c>
      <c r="K30" s="85" t="s">
        <v>1110</v>
      </c>
      <c r="L30" s="87">
        <v>560</v>
      </c>
      <c r="M30" s="94" t="s">
        <v>775</v>
      </c>
      <c r="N30" s="93">
        <v>45404</v>
      </c>
      <c r="O30" s="85" t="s">
        <v>2854</v>
      </c>
      <c r="P30" s="87">
        <v>474.5</v>
      </c>
      <c r="Q30" s="94"/>
      <c r="R30" s="93"/>
      <c r="S30" s="85"/>
      <c r="U30" s="94"/>
      <c r="V30" s="93"/>
      <c r="W30" s="85"/>
      <c r="Y30" s="94"/>
      <c r="Z30" s="93"/>
      <c r="AA30" s="85"/>
      <c r="AC30" s="94"/>
      <c r="AD30" s="93"/>
      <c r="AE30" s="85"/>
    </row>
    <row r="31" spans="1:31" x14ac:dyDescent="0.35">
      <c r="E31" s="92">
        <v>2</v>
      </c>
      <c r="F31" s="93">
        <v>44973</v>
      </c>
      <c r="G31" s="85" t="s">
        <v>1106</v>
      </c>
      <c r="H31" s="87">
        <v>39.99</v>
      </c>
      <c r="I31" s="94">
        <v>8</v>
      </c>
      <c r="J31" s="93">
        <v>45183</v>
      </c>
      <c r="K31" s="85" t="s">
        <v>1111</v>
      </c>
      <c r="L31" s="87">
        <v>5.5</v>
      </c>
      <c r="M31" s="94">
        <v>8</v>
      </c>
      <c r="N31" s="93">
        <v>45401</v>
      </c>
      <c r="O31" s="85" t="s">
        <v>2882</v>
      </c>
      <c r="P31" s="148">
        <v>245.17</v>
      </c>
      <c r="Q31" s="94"/>
      <c r="R31" s="93"/>
      <c r="S31" s="85"/>
      <c r="U31" s="94"/>
      <c r="V31" s="93"/>
      <c r="W31" s="85"/>
      <c r="Y31" s="94"/>
      <c r="Z31" s="93"/>
      <c r="AA31" s="85"/>
      <c r="AC31" s="94"/>
      <c r="AD31" s="93"/>
      <c r="AE31" s="85"/>
    </row>
    <row r="32" spans="1:31" x14ac:dyDescent="0.35">
      <c r="E32" s="92">
        <v>6</v>
      </c>
      <c r="F32" s="93">
        <v>45001</v>
      </c>
      <c r="G32" s="85" t="s">
        <v>1108</v>
      </c>
      <c r="H32" s="87">
        <v>36.64</v>
      </c>
      <c r="I32" s="94">
        <v>8</v>
      </c>
      <c r="J32" s="93">
        <v>45183</v>
      </c>
      <c r="K32" s="85" t="s">
        <v>1112</v>
      </c>
      <c r="L32" s="87">
        <v>16.62</v>
      </c>
      <c r="M32" s="94">
        <v>8</v>
      </c>
      <c r="N32" s="93">
        <v>45476</v>
      </c>
      <c r="O32" s="85" t="s">
        <v>1107</v>
      </c>
      <c r="P32" s="87">
        <v>125.79</v>
      </c>
      <c r="Q32" s="94"/>
      <c r="R32" s="93"/>
      <c r="S32" s="85"/>
      <c r="U32" s="94"/>
      <c r="V32" s="93"/>
      <c r="W32" s="85"/>
      <c r="Y32" s="94"/>
      <c r="Z32" s="93"/>
      <c r="AA32" s="85"/>
      <c r="AC32" s="94"/>
      <c r="AD32" s="93"/>
      <c r="AE32" s="85"/>
    </row>
    <row r="33" spans="6:31" x14ac:dyDescent="0.35">
      <c r="F33" s="93"/>
      <c r="G33" s="85"/>
      <c r="H33" s="87"/>
      <c r="I33" s="94">
        <v>8</v>
      </c>
      <c r="J33" s="93">
        <v>45183</v>
      </c>
      <c r="K33" s="85" t="s">
        <v>1107</v>
      </c>
      <c r="L33" s="87">
        <v>147.22</v>
      </c>
      <c r="M33" s="94">
        <v>7</v>
      </c>
      <c r="N33" s="93">
        <v>45481</v>
      </c>
      <c r="O33" s="85" t="s">
        <v>2854</v>
      </c>
      <c r="P33" s="87">
        <v>200</v>
      </c>
      <c r="Q33" s="94"/>
      <c r="R33" s="93"/>
      <c r="S33" s="85"/>
      <c r="U33" s="94"/>
      <c r="V33" s="93"/>
      <c r="W33" s="85"/>
      <c r="Y33" s="94"/>
      <c r="Z33" s="93"/>
      <c r="AA33" s="85"/>
      <c r="AC33" s="94"/>
      <c r="AD33" s="93"/>
      <c r="AE33" s="85"/>
    </row>
    <row r="34" spans="6:31" x14ac:dyDescent="0.35">
      <c r="F34" s="93"/>
      <c r="G34" s="85"/>
      <c r="H34" s="87"/>
      <c r="I34" s="94">
        <v>8</v>
      </c>
      <c r="J34" s="93">
        <v>45183</v>
      </c>
      <c r="K34" s="85" t="s">
        <v>1107</v>
      </c>
      <c r="L34" s="87">
        <v>363.77</v>
      </c>
      <c r="M34" s="94"/>
      <c r="N34" s="93"/>
      <c r="O34" s="85"/>
      <c r="Q34" s="94"/>
      <c r="R34" s="93"/>
      <c r="S34" s="85"/>
      <c r="U34" s="94"/>
      <c r="V34" s="93"/>
      <c r="W34" s="85"/>
      <c r="Y34" s="94"/>
      <c r="Z34" s="93"/>
      <c r="AA34" s="85"/>
      <c r="AC34" s="94"/>
      <c r="AD34" s="93"/>
      <c r="AE34" s="85"/>
    </row>
    <row r="35" spans="6:31" x14ac:dyDescent="0.35">
      <c r="F35" s="93"/>
      <c r="G35" s="85"/>
      <c r="H35" s="87"/>
      <c r="I35" s="94">
        <v>8</v>
      </c>
      <c r="J35" s="93">
        <v>45196</v>
      </c>
      <c r="K35" s="85" t="s">
        <v>1113</v>
      </c>
      <c r="L35" s="87">
        <v>55.82</v>
      </c>
      <c r="M35" s="94"/>
      <c r="N35" s="93"/>
      <c r="O35" s="85"/>
      <c r="Q35" s="94"/>
      <c r="R35" s="93"/>
      <c r="S35" s="85"/>
      <c r="U35" s="94"/>
      <c r="V35" s="93"/>
      <c r="W35" s="85"/>
      <c r="Y35" s="94"/>
      <c r="Z35" s="93"/>
      <c r="AA35" s="85"/>
      <c r="AC35" s="94"/>
      <c r="AD35" s="93"/>
      <c r="AE35" s="85"/>
    </row>
    <row r="36" spans="6:31" x14ac:dyDescent="0.35">
      <c r="F36" s="93"/>
      <c r="G36" s="85"/>
      <c r="H36" s="87"/>
      <c r="I36" s="94">
        <v>7</v>
      </c>
      <c r="J36" s="93">
        <v>45239</v>
      </c>
      <c r="K36" s="85" t="s">
        <v>1114</v>
      </c>
      <c r="L36" s="87">
        <v>1540.8</v>
      </c>
      <c r="M36" s="94"/>
      <c r="N36" s="93"/>
      <c r="O36" s="85"/>
      <c r="Q36" s="94"/>
      <c r="R36" s="93"/>
      <c r="S36" s="85"/>
      <c r="U36" s="94"/>
      <c r="V36" s="93"/>
      <c r="W36" s="85"/>
      <c r="Y36" s="94"/>
      <c r="Z36" s="93"/>
      <c r="AA36" s="85"/>
      <c r="AC36" s="94"/>
      <c r="AD36" s="93"/>
      <c r="AE36" s="85"/>
    </row>
    <row r="37" spans="6:31" x14ac:dyDescent="0.35">
      <c r="F37" s="93"/>
      <c r="G37" s="85"/>
      <c r="H37" s="87"/>
      <c r="I37" s="95" t="s">
        <v>2554</v>
      </c>
      <c r="J37" s="96" t="s">
        <v>491</v>
      </c>
      <c r="K37" s="96" t="s">
        <v>1115</v>
      </c>
      <c r="L37" s="87">
        <v>2000</v>
      </c>
      <c r="M37" s="94"/>
      <c r="N37" s="93"/>
      <c r="O37" s="85"/>
      <c r="Q37" s="94"/>
      <c r="R37" s="93"/>
      <c r="S37" s="85"/>
      <c r="U37" s="94"/>
      <c r="V37" s="93"/>
      <c r="W37" s="85"/>
      <c r="Y37" s="94"/>
      <c r="Z37" s="93"/>
      <c r="AA37" s="85"/>
      <c r="AC37" s="94"/>
      <c r="AD37" s="93"/>
      <c r="AE37" s="85"/>
    </row>
    <row r="38" spans="6:31" x14ac:dyDescent="0.35">
      <c r="F38" s="93"/>
      <c r="G38" s="85"/>
      <c r="H38" s="87"/>
      <c r="I38" s="95">
        <v>8</v>
      </c>
      <c r="J38" s="111">
        <v>45223</v>
      </c>
      <c r="K38" s="96" t="s">
        <v>93</v>
      </c>
      <c r="L38" s="87">
        <v>1784.25</v>
      </c>
      <c r="M38" s="94"/>
      <c r="N38" s="93"/>
      <c r="O38" s="85"/>
      <c r="Q38" s="94"/>
      <c r="R38" s="93"/>
      <c r="S38" s="85"/>
      <c r="U38" s="94"/>
      <c r="V38" s="93"/>
      <c r="W38" s="85"/>
      <c r="Y38" s="94"/>
      <c r="Z38" s="93"/>
      <c r="AA38" s="85"/>
      <c r="AC38" s="94"/>
      <c r="AD38" s="93"/>
      <c r="AE38" s="85"/>
    </row>
    <row r="39" spans="6:31" x14ac:dyDescent="0.35">
      <c r="F39" s="93"/>
      <c r="G39" s="85"/>
      <c r="H39" s="87"/>
      <c r="I39" s="94">
        <v>6</v>
      </c>
      <c r="J39" s="93">
        <v>45256</v>
      </c>
      <c r="K39" s="85" t="s">
        <v>2266</v>
      </c>
      <c r="L39" s="87">
        <v>180</v>
      </c>
      <c r="M39" s="94"/>
      <c r="N39" s="93"/>
      <c r="Q39" s="94"/>
      <c r="R39" s="93"/>
      <c r="S39" s="85"/>
      <c r="U39" s="94"/>
      <c r="V39" s="93"/>
      <c r="W39" s="85"/>
      <c r="Y39" s="94"/>
      <c r="Z39" s="93"/>
      <c r="AA39" s="85"/>
      <c r="AC39" s="94"/>
      <c r="AD39" s="93"/>
      <c r="AE39" s="85"/>
    </row>
    <row r="40" spans="6:31" x14ac:dyDescent="0.35">
      <c r="F40" s="93"/>
      <c r="G40" s="85"/>
      <c r="H40" s="87"/>
      <c r="I40" s="94">
        <v>8</v>
      </c>
      <c r="J40" s="93">
        <v>45210</v>
      </c>
      <c r="K40" s="85" t="s">
        <v>93</v>
      </c>
      <c r="L40" s="87">
        <v>103.98</v>
      </c>
      <c r="M40" s="94"/>
      <c r="N40" s="93"/>
      <c r="Q40" s="94"/>
      <c r="R40" s="93"/>
      <c r="S40" s="85"/>
      <c r="U40" s="94"/>
      <c r="V40" s="93"/>
      <c r="W40" s="85"/>
      <c r="Y40" s="94"/>
      <c r="Z40" s="93"/>
      <c r="AA40" s="85"/>
      <c r="AC40" s="94"/>
      <c r="AD40" s="93"/>
      <c r="AE40" s="85"/>
    </row>
    <row r="41" spans="6:31" x14ac:dyDescent="0.35">
      <c r="F41" s="93"/>
      <c r="G41" s="85"/>
      <c r="H41" s="87"/>
      <c r="I41" s="94">
        <v>8</v>
      </c>
      <c r="J41" s="93">
        <v>45212</v>
      </c>
      <c r="K41" s="85" t="s">
        <v>93</v>
      </c>
      <c r="L41" s="87">
        <v>13.1</v>
      </c>
      <c r="M41" s="94"/>
      <c r="N41" s="93"/>
      <c r="Q41" s="94"/>
      <c r="R41" s="93"/>
      <c r="S41" s="85"/>
      <c r="U41" s="94"/>
      <c r="V41" s="93"/>
      <c r="W41" s="85"/>
      <c r="Y41" s="94"/>
      <c r="Z41" s="93"/>
      <c r="AA41" s="85"/>
      <c r="AC41" s="94"/>
      <c r="AD41" s="93"/>
      <c r="AE41" s="85"/>
    </row>
    <row r="42" spans="6:31" x14ac:dyDescent="0.35">
      <c r="F42" s="93"/>
      <c r="G42" s="85"/>
      <c r="H42" s="87"/>
      <c r="I42" s="94">
        <v>7</v>
      </c>
      <c r="J42" s="93">
        <v>45218</v>
      </c>
      <c r="K42" s="85" t="s">
        <v>2299</v>
      </c>
      <c r="L42" s="87">
        <v>359.7</v>
      </c>
      <c r="M42" s="94"/>
      <c r="N42" s="93"/>
      <c r="Q42" s="94"/>
      <c r="R42" s="93"/>
      <c r="S42" s="85"/>
      <c r="U42" s="94"/>
      <c r="V42" s="93"/>
      <c r="W42" s="85"/>
      <c r="Y42" s="94"/>
      <c r="Z42" s="93"/>
      <c r="AA42" s="85"/>
      <c r="AC42" s="94"/>
      <c r="AD42" s="93"/>
      <c r="AE42" s="85"/>
    </row>
    <row r="43" spans="6:31" x14ac:dyDescent="0.35">
      <c r="F43" s="93"/>
      <c r="G43" s="85"/>
      <c r="H43" s="87"/>
      <c r="I43" s="94">
        <v>8</v>
      </c>
      <c r="J43" s="93">
        <v>45250</v>
      </c>
      <c r="K43" s="85" t="s">
        <v>2300</v>
      </c>
      <c r="L43" s="87">
        <v>52.08</v>
      </c>
      <c r="M43" s="94"/>
      <c r="N43" s="93"/>
      <c r="Q43" s="94"/>
      <c r="R43" s="93"/>
      <c r="S43" s="85"/>
      <c r="U43" s="94"/>
      <c r="V43" s="93"/>
      <c r="W43" s="85"/>
      <c r="Y43" s="94"/>
      <c r="Z43" s="93"/>
      <c r="AA43" s="85"/>
      <c r="AC43" s="94"/>
      <c r="AD43" s="93"/>
      <c r="AE43" s="85"/>
    </row>
    <row r="44" spans="6:31" x14ac:dyDescent="0.35">
      <c r="F44" s="93"/>
      <c r="G44" s="85"/>
      <c r="H44" s="87"/>
      <c r="I44" s="94">
        <v>9</v>
      </c>
      <c r="J44" s="93">
        <v>45233</v>
      </c>
      <c r="K44" s="87" t="s">
        <v>1113</v>
      </c>
      <c r="L44" s="87">
        <v>15.82</v>
      </c>
      <c r="M44" s="94"/>
      <c r="N44" s="93"/>
      <c r="Q44" s="94"/>
      <c r="R44" s="93"/>
      <c r="S44" s="85"/>
      <c r="U44" s="94"/>
      <c r="V44" s="93"/>
      <c r="W44" s="85"/>
      <c r="Y44" s="94"/>
      <c r="Z44" s="93"/>
      <c r="AA44" s="85"/>
      <c r="AC44" s="94"/>
      <c r="AD44" s="93"/>
      <c r="AE44" s="85"/>
    </row>
    <row r="45" spans="6:31" x14ac:dyDescent="0.35">
      <c r="F45" s="93"/>
      <c r="G45" s="85"/>
      <c r="H45" s="87"/>
      <c r="I45" s="94">
        <v>8</v>
      </c>
      <c r="J45" s="93">
        <v>45236</v>
      </c>
      <c r="K45" s="87" t="s">
        <v>2318</v>
      </c>
      <c r="L45" s="87">
        <v>18.309999999999999</v>
      </c>
      <c r="M45" s="94"/>
      <c r="N45" s="93"/>
      <c r="Q45" s="94"/>
      <c r="R45" s="93"/>
      <c r="S45" s="85"/>
      <c r="U45" s="94"/>
      <c r="V45" s="93"/>
      <c r="W45" s="85"/>
      <c r="Y45" s="94"/>
      <c r="Z45" s="93"/>
      <c r="AA45" s="85"/>
      <c r="AC45" s="94"/>
      <c r="AD45" s="93"/>
      <c r="AE45" s="85"/>
    </row>
    <row r="46" spans="6:31" x14ac:dyDescent="0.35">
      <c r="F46" s="93"/>
      <c r="G46" s="85"/>
      <c r="H46" s="87"/>
      <c r="I46" s="94">
        <v>9</v>
      </c>
      <c r="J46" s="93">
        <v>45252</v>
      </c>
      <c r="K46" s="87" t="s">
        <v>1113</v>
      </c>
      <c r="L46" s="87">
        <v>15.82</v>
      </c>
      <c r="M46" s="94"/>
      <c r="N46" s="93"/>
      <c r="Q46" s="94"/>
      <c r="R46" s="93"/>
      <c r="S46" s="85"/>
      <c r="U46" s="94"/>
      <c r="V46" s="93"/>
      <c r="W46" s="85"/>
      <c r="Y46" s="94"/>
      <c r="Z46" s="93"/>
      <c r="AA46" s="85"/>
      <c r="AC46" s="94"/>
      <c r="AD46" s="93"/>
      <c r="AE46" s="85"/>
    </row>
    <row r="47" spans="6:31" x14ac:dyDescent="0.35">
      <c r="F47" s="93"/>
      <c r="G47" s="85"/>
      <c r="H47" s="87"/>
      <c r="I47" s="94">
        <v>8</v>
      </c>
      <c r="J47" s="93">
        <v>45253</v>
      </c>
      <c r="K47" s="87" t="s">
        <v>2318</v>
      </c>
      <c r="L47" s="87">
        <v>29.97</v>
      </c>
      <c r="M47" s="94"/>
      <c r="N47" s="93"/>
      <c r="Q47" s="94"/>
      <c r="R47" s="93"/>
      <c r="S47" s="85"/>
      <c r="U47" s="94"/>
      <c r="V47" s="93"/>
      <c r="W47" s="85"/>
      <c r="Y47" s="94"/>
      <c r="Z47" s="93"/>
      <c r="AA47" s="85"/>
      <c r="AC47" s="94"/>
      <c r="AD47" s="93"/>
      <c r="AE47" s="85"/>
    </row>
    <row r="48" spans="6:31" x14ac:dyDescent="0.35">
      <c r="F48" s="93"/>
      <c r="G48" s="85"/>
      <c r="H48" s="87"/>
      <c r="I48" s="94">
        <v>7</v>
      </c>
      <c r="J48" s="93">
        <v>45300</v>
      </c>
      <c r="K48" s="87" t="s">
        <v>2336</v>
      </c>
      <c r="L48" s="87">
        <v>650</v>
      </c>
      <c r="M48" s="94"/>
      <c r="N48" s="93"/>
      <c r="O48" s="85"/>
      <c r="Q48" s="94"/>
      <c r="R48" s="93"/>
      <c r="S48" s="85"/>
      <c r="U48" s="94"/>
      <c r="V48" s="93"/>
      <c r="W48" s="85"/>
      <c r="Y48" s="94"/>
      <c r="Z48" s="93"/>
      <c r="AA48" s="85"/>
      <c r="AC48" s="94"/>
      <c r="AD48" s="93"/>
      <c r="AE48" s="85"/>
    </row>
    <row r="49" spans="6:31" x14ac:dyDescent="0.35">
      <c r="F49" s="93"/>
      <c r="G49" s="85"/>
      <c r="H49" s="87"/>
      <c r="I49" s="94">
        <v>6</v>
      </c>
      <c r="J49" s="93">
        <v>45211</v>
      </c>
      <c r="K49" s="87" t="s">
        <v>2379</v>
      </c>
      <c r="L49" s="87">
        <v>50</v>
      </c>
      <c r="M49" s="94"/>
      <c r="N49" s="93"/>
      <c r="O49" s="85"/>
      <c r="Q49" s="94"/>
      <c r="R49" s="93"/>
      <c r="S49" s="85"/>
      <c r="U49" s="94"/>
      <c r="V49" s="93"/>
      <c r="W49" s="85"/>
      <c r="Y49" s="94"/>
      <c r="Z49" s="93"/>
      <c r="AA49" s="85"/>
      <c r="AC49" s="94"/>
      <c r="AD49" s="93"/>
      <c r="AE49" s="85"/>
    </row>
    <row r="50" spans="6:31" x14ac:dyDescent="0.35">
      <c r="F50" s="93"/>
      <c r="G50" s="85"/>
      <c r="H50" s="87"/>
      <c r="I50" s="94">
        <v>6</v>
      </c>
      <c r="J50" s="93">
        <v>45223</v>
      </c>
      <c r="K50" s="87" t="s">
        <v>2380</v>
      </c>
      <c r="L50" s="87">
        <v>5.82</v>
      </c>
      <c r="M50" s="94"/>
      <c r="N50" s="93"/>
      <c r="O50" s="85"/>
      <c r="Q50" s="94"/>
      <c r="R50" s="93"/>
      <c r="S50" s="85"/>
      <c r="U50" s="94"/>
      <c r="V50" s="93"/>
      <c r="W50" s="85"/>
      <c r="Y50" s="94"/>
      <c r="Z50" s="93"/>
      <c r="AA50" s="85"/>
      <c r="AC50" s="94"/>
      <c r="AD50" s="93"/>
      <c r="AE50" s="85"/>
    </row>
    <row r="51" spans="6:31" x14ac:dyDescent="0.35">
      <c r="F51" s="93"/>
      <c r="G51" s="85"/>
      <c r="H51" s="87"/>
      <c r="I51" s="94">
        <v>8</v>
      </c>
      <c r="J51" s="93">
        <v>45257</v>
      </c>
      <c r="K51" s="87" t="s">
        <v>93</v>
      </c>
      <c r="L51" s="87">
        <v>22</v>
      </c>
      <c r="M51" s="94"/>
      <c r="N51" s="93"/>
      <c r="O51" s="85"/>
      <c r="Q51" s="94"/>
      <c r="R51" s="93"/>
      <c r="S51" s="85"/>
      <c r="U51" s="94"/>
      <c r="V51" s="93"/>
      <c r="W51" s="85"/>
      <c r="Y51" s="94"/>
      <c r="Z51" s="93"/>
      <c r="AA51" s="85"/>
      <c r="AC51" s="94"/>
      <c r="AD51" s="93"/>
      <c r="AE51" s="85"/>
    </row>
    <row r="52" spans="6:31" x14ac:dyDescent="0.35">
      <c r="F52" s="93"/>
      <c r="G52" s="85"/>
      <c r="H52" s="87"/>
      <c r="I52" s="94">
        <v>8</v>
      </c>
      <c r="J52" s="93">
        <v>45233</v>
      </c>
      <c r="K52" s="87" t="s">
        <v>93</v>
      </c>
      <c r="L52" s="87">
        <v>326</v>
      </c>
      <c r="M52" s="94"/>
      <c r="N52" s="93"/>
      <c r="O52" s="85"/>
      <c r="Q52" s="94"/>
      <c r="R52" s="93"/>
      <c r="S52" s="85"/>
      <c r="U52" s="94"/>
      <c r="V52" s="93"/>
      <c r="W52" s="85"/>
      <c r="Y52" s="94"/>
      <c r="Z52" s="93"/>
      <c r="AA52" s="85"/>
      <c r="AC52" s="94"/>
      <c r="AD52" s="93"/>
      <c r="AE52" s="85"/>
    </row>
    <row r="53" spans="6:31" x14ac:dyDescent="0.35">
      <c r="F53" s="93"/>
      <c r="G53" s="85"/>
      <c r="H53" s="87"/>
      <c r="I53" s="94">
        <v>8</v>
      </c>
      <c r="J53" s="93">
        <v>45238</v>
      </c>
      <c r="K53" s="87" t="s">
        <v>93</v>
      </c>
      <c r="L53" s="87">
        <v>24.5</v>
      </c>
      <c r="M53" s="94"/>
      <c r="N53" s="93"/>
      <c r="O53" s="85"/>
      <c r="Q53" s="94"/>
      <c r="R53" s="93"/>
      <c r="S53" s="85"/>
      <c r="U53" s="94"/>
      <c r="V53" s="93"/>
      <c r="W53" s="85"/>
      <c r="Y53" s="94"/>
      <c r="Z53" s="93"/>
      <c r="AA53" s="85"/>
      <c r="AC53" s="94"/>
      <c r="AD53" s="93"/>
      <c r="AE53" s="85"/>
    </row>
    <row r="54" spans="6:31" x14ac:dyDescent="0.35">
      <c r="F54" s="93"/>
      <c r="G54" s="85"/>
      <c r="H54" s="87"/>
      <c r="I54" s="94">
        <v>10</v>
      </c>
      <c r="J54" s="85" t="s">
        <v>814</v>
      </c>
      <c r="K54" s="87" t="s">
        <v>2411</v>
      </c>
      <c r="L54" s="87">
        <f>2698.69+98.46+1504.54+3119.35</f>
        <v>7421.0400000000009</v>
      </c>
      <c r="M54" s="94"/>
      <c r="N54" s="93"/>
      <c r="O54" s="85"/>
      <c r="Q54" s="94"/>
      <c r="R54" s="93"/>
      <c r="S54" s="85"/>
      <c r="U54" s="94"/>
      <c r="V54" s="93"/>
      <c r="W54" s="85"/>
      <c r="Y54" s="94"/>
      <c r="Z54" s="93"/>
      <c r="AA54" s="85"/>
      <c r="AC54" s="94"/>
      <c r="AD54" s="93"/>
      <c r="AE54" s="85"/>
    </row>
    <row r="55" spans="6:31" x14ac:dyDescent="0.35">
      <c r="F55" s="93"/>
      <c r="G55" s="85"/>
      <c r="H55" s="87"/>
      <c r="I55" s="85">
        <v>5</v>
      </c>
      <c r="J55" s="93">
        <v>45303</v>
      </c>
      <c r="K55" s="87" t="s">
        <v>2402</v>
      </c>
      <c r="L55" s="87">
        <v>700</v>
      </c>
      <c r="M55" s="94"/>
      <c r="N55" s="93"/>
      <c r="O55" s="85"/>
      <c r="Q55" s="94"/>
      <c r="R55" s="93"/>
      <c r="S55" s="85"/>
      <c r="U55" s="94"/>
      <c r="V55" s="93"/>
      <c r="W55" s="85"/>
      <c r="Y55" s="94"/>
      <c r="Z55" s="93"/>
      <c r="AA55" s="85"/>
      <c r="AC55" s="94"/>
      <c r="AD55" s="93"/>
      <c r="AE55" s="85"/>
    </row>
    <row r="56" spans="6:31" x14ac:dyDescent="0.35">
      <c r="F56" s="93"/>
      <c r="G56" s="85"/>
      <c r="H56" s="87"/>
      <c r="I56" s="85">
        <v>5</v>
      </c>
      <c r="J56" s="93">
        <v>45169</v>
      </c>
      <c r="K56" s="87" t="s">
        <v>2410</v>
      </c>
      <c r="L56" s="87">
        <v>-200</v>
      </c>
      <c r="M56" s="94"/>
      <c r="N56" s="93"/>
      <c r="O56" s="85"/>
      <c r="Q56" s="94"/>
      <c r="R56" s="93"/>
      <c r="S56" s="85"/>
      <c r="U56" s="94"/>
      <c r="V56" s="93"/>
      <c r="W56" s="85"/>
      <c r="Y56" s="94"/>
      <c r="Z56" s="93"/>
      <c r="AA56" s="85"/>
      <c r="AC56" s="94"/>
      <c r="AD56" s="93"/>
      <c r="AE56" s="85"/>
    </row>
    <row r="57" spans="6:31" x14ac:dyDescent="0.35">
      <c r="F57" s="93"/>
      <c r="G57" s="85"/>
      <c r="H57" s="87"/>
      <c r="I57" s="94">
        <v>6</v>
      </c>
      <c r="J57" s="93">
        <v>45337</v>
      </c>
      <c r="K57" s="87" t="s">
        <v>2417</v>
      </c>
      <c r="L57" s="87">
        <v>2641.8</v>
      </c>
      <c r="M57" s="94"/>
      <c r="N57" s="93"/>
      <c r="O57" s="85"/>
      <c r="Q57" s="94"/>
      <c r="R57" s="93"/>
      <c r="S57" s="85"/>
      <c r="U57" s="94"/>
      <c r="V57" s="93"/>
      <c r="W57" s="85"/>
      <c r="Y57" s="94"/>
      <c r="Z57" s="93"/>
      <c r="AA57" s="85"/>
      <c r="AC57" s="94"/>
      <c r="AD57" s="93"/>
      <c r="AE57" s="85"/>
    </row>
    <row r="58" spans="6:31" x14ac:dyDescent="0.35">
      <c r="F58" s="93"/>
      <c r="G58" s="85"/>
      <c r="H58" s="87"/>
      <c r="I58" s="94">
        <v>6</v>
      </c>
      <c r="J58" s="93">
        <v>45337</v>
      </c>
      <c r="K58" s="87" t="s">
        <v>2552</v>
      </c>
      <c r="L58" s="87">
        <v>2536</v>
      </c>
      <c r="M58" s="94"/>
      <c r="N58" s="93"/>
      <c r="O58" s="85"/>
      <c r="Q58" s="94"/>
      <c r="R58" s="93"/>
      <c r="S58" s="85"/>
      <c r="U58" s="94"/>
      <c r="V58" s="93"/>
      <c r="W58" s="85"/>
      <c r="Y58" s="94"/>
      <c r="Z58" s="93"/>
      <c r="AA58" s="85"/>
      <c r="AC58" s="94"/>
      <c r="AD58" s="93"/>
      <c r="AE58" s="85"/>
    </row>
    <row r="59" spans="6:31" x14ac:dyDescent="0.35">
      <c r="F59" s="93"/>
      <c r="G59" s="85"/>
      <c r="H59" s="87"/>
      <c r="I59" s="94">
        <v>6</v>
      </c>
      <c r="J59" s="93" t="s">
        <v>775</v>
      </c>
      <c r="K59" s="87" t="s">
        <v>2552</v>
      </c>
      <c r="L59" s="151">
        <f>474.5</f>
        <v>474.5</v>
      </c>
      <c r="M59" s="94"/>
      <c r="N59" s="93"/>
      <c r="O59" s="85"/>
      <c r="Q59" s="94"/>
      <c r="R59" s="93"/>
      <c r="S59" s="85"/>
      <c r="U59" s="94"/>
      <c r="V59" s="93"/>
      <c r="W59" s="85"/>
      <c r="Y59" s="94"/>
      <c r="Z59" s="93"/>
      <c r="AA59" s="85"/>
      <c r="AC59" s="94"/>
      <c r="AD59" s="93"/>
      <c r="AE59" s="85"/>
    </row>
    <row r="60" spans="6:31" x14ac:dyDescent="0.35">
      <c r="F60" s="93"/>
      <c r="G60" s="85"/>
      <c r="H60" s="87"/>
      <c r="I60" s="94">
        <v>6</v>
      </c>
      <c r="J60" s="93">
        <v>45357</v>
      </c>
      <c r="K60" s="93" t="s">
        <v>2555</v>
      </c>
      <c r="L60" s="87">
        <v>620</v>
      </c>
      <c r="M60" s="94"/>
      <c r="N60" s="93"/>
      <c r="O60" s="85"/>
      <c r="Q60" s="94"/>
      <c r="R60" s="93"/>
      <c r="S60" s="85"/>
      <c r="U60" s="94"/>
      <c r="V60" s="93"/>
      <c r="W60" s="85"/>
      <c r="Y60" s="94"/>
      <c r="Z60" s="93"/>
      <c r="AA60" s="85"/>
      <c r="AC60" s="94"/>
      <c r="AD60" s="93"/>
      <c r="AE60" s="85"/>
    </row>
    <row r="61" spans="6:31" x14ac:dyDescent="0.35">
      <c r="F61" s="93"/>
      <c r="G61" s="85"/>
      <c r="H61" s="87"/>
      <c r="I61" s="94" t="s">
        <v>23</v>
      </c>
      <c r="J61" s="93" t="s">
        <v>491</v>
      </c>
      <c r="K61" s="87" t="s">
        <v>104</v>
      </c>
      <c r="L61" s="87">
        <v>1260</v>
      </c>
      <c r="M61" s="94"/>
      <c r="N61" s="93"/>
      <c r="O61" s="85"/>
      <c r="Q61" s="94"/>
      <c r="R61" s="93"/>
      <c r="S61" s="85"/>
      <c r="U61" s="94"/>
      <c r="V61" s="93"/>
      <c r="W61" s="85"/>
      <c r="Y61" s="94"/>
      <c r="Z61" s="93"/>
      <c r="AA61" s="85"/>
      <c r="AC61" s="94"/>
      <c r="AD61" s="93"/>
      <c r="AE61" s="85"/>
    </row>
    <row r="62" spans="6:31" x14ac:dyDescent="0.35">
      <c r="F62" s="93"/>
      <c r="G62" s="85"/>
      <c r="H62" s="87"/>
      <c r="I62" s="94" t="s">
        <v>23</v>
      </c>
      <c r="J62" s="93" t="s">
        <v>491</v>
      </c>
      <c r="K62" s="87" t="s">
        <v>104</v>
      </c>
      <c r="L62" s="87">
        <v>1760</v>
      </c>
      <c r="M62" s="94"/>
      <c r="N62" s="93"/>
      <c r="O62" s="85"/>
      <c r="Q62" s="94"/>
      <c r="R62" s="93"/>
      <c r="S62" s="85"/>
      <c r="U62" s="94"/>
      <c r="V62" s="93"/>
      <c r="W62" s="85"/>
      <c r="Y62" s="94"/>
      <c r="Z62" s="93"/>
      <c r="AA62" s="85"/>
      <c r="AC62" s="94"/>
      <c r="AD62" s="93"/>
      <c r="AE62" s="85"/>
    </row>
    <row r="63" spans="6:31" x14ac:dyDescent="0.35">
      <c r="F63" s="93"/>
      <c r="G63" s="85"/>
      <c r="H63" s="87"/>
      <c r="I63" s="94">
        <v>8</v>
      </c>
      <c r="J63" s="93">
        <v>45337</v>
      </c>
      <c r="K63" s="87" t="s">
        <v>93</v>
      </c>
      <c r="L63" s="87">
        <v>238.1</v>
      </c>
      <c r="M63" s="94"/>
      <c r="N63" s="93"/>
      <c r="O63" s="85"/>
      <c r="Q63" s="94"/>
      <c r="R63" s="93"/>
      <c r="S63" s="85"/>
      <c r="U63" s="94"/>
      <c r="V63" s="93"/>
      <c r="W63" s="85"/>
      <c r="Y63" s="94"/>
      <c r="Z63" s="93"/>
      <c r="AA63" s="85"/>
      <c r="AC63" s="94"/>
      <c r="AD63" s="93"/>
      <c r="AE63" s="85"/>
    </row>
    <row r="64" spans="6:31" x14ac:dyDescent="0.35">
      <c r="F64" s="93"/>
      <c r="G64" s="85"/>
      <c r="H64" s="87"/>
      <c r="I64" s="94">
        <v>6</v>
      </c>
      <c r="J64" s="93">
        <v>45315</v>
      </c>
      <c r="K64" s="87" t="s">
        <v>2572</v>
      </c>
      <c r="L64" s="87">
        <v>24.02</v>
      </c>
      <c r="M64" s="94"/>
      <c r="N64" s="93"/>
      <c r="O64" s="85"/>
      <c r="Q64" s="94"/>
      <c r="R64" s="93"/>
      <c r="S64" s="85"/>
      <c r="U64" s="94"/>
      <c r="V64" s="93"/>
      <c r="W64" s="85"/>
      <c r="Y64" s="94"/>
      <c r="Z64" s="93"/>
      <c r="AA64" s="85"/>
      <c r="AC64" s="94"/>
      <c r="AD64" s="93"/>
      <c r="AE64" s="85"/>
    </row>
    <row r="65" spans="6:31" x14ac:dyDescent="0.35">
      <c r="F65" s="93"/>
      <c r="G65" s="85"/>
      <c r="H65" s="87"/>
      <c r="I65" s="94" t="s">
        <v>23</v>
      </c>
      <c r="J65" s="93" t="s">
        <v>491</v>
      </c>
      <c r="K65" s="87" t="s">
        <v>1982</v>
      </c>
      <c r="L65" s="87">
        <v>550</v>
      </c>
      <c r="M65" s="94"/>
      <c r="N65" s="93"/>
      <c r="O65" s="85"/>
      <c r="Q65" s="94"/>
      <c r="R65" s="93"/>
      <c r="S65" s="85"/>
      <c r="U65" s="94"/>
      <c r="V65" s="93"/>
      <c r="W65" s="85"/>
      <c r="Y65" s="94"/>
      <c r="Z65" s="93"/>
      <c r="AA65" s="85"/>
      <c r="AC65" s="94"/>
      <c r="AD65" s="93"/>
      <c r="AE65" s="85"/>
    </row>
    <row r="66" spans="6:31" x14ac:dyDescent="0.35">
      <c r="F66" s="93"/>
      <c r="G66" s="85"/>
      <c r="H66" s="87"/>
      <c r="I66" s="94" t="s">
        <v>2587</v>
      </c>
      <c r="J66" s="93" t="s">
        <v>491</v>
      </c>
      <c r="K66" s="87" t="s">
        <v>1981</v>
      </c>
      <c r="L66" s="87">
        <v>740</v>
      </c>
      <c r="M66" s="94"/>
      <c r="N66" s="93"/>
      <c r="O66" s="85"/>
      <c r="Q66" s="94"/>
      <c r="R66" s="93"/>
      <c r="S66" s="85"/>
      <c r="U66" s="94"/>
      <c r="V66" s="93"/>
      <c r="W66" s="85"/>
      <c r="Y66" s="94"/>
      <c r="Z66" s="93"/>
      <c r="AA66" s="85"/>
      <c r="AC66" s="94"/>
      <c r="AD66" s="93"/>
      <c r="AE66" s="85"/>
    </row>
    <row r="67" spans="6:31" x14ac:dyDescent="0.35">
      <c r="F67" s="93"/>
      <c r="G67" s="85"/>
      <c r="H67" s="87"/>
      <c r="I67" s="94" t="s">
        <v>2587</v>
      </c>
      <c r="J67" s="93" t="s">
        <v>491</v>
      </c>
      <c r="K67" s="87" t="s">
        <v>1981</v>
      </c>
      <c r="L67" s="87">
        <v>288</v>
      </c>
      <c r="M67" s="94"/>
      <c r="N67" s="93"/>
      <c r="O67" s="85"/>
      <c r="Q67" s="94"/>
      <c r="R67" s="93"/>
      <c r="S67" s="85"/>
      <c r="U67" s="94"/>
      <c r="V67" s="93"/>
      <c r="W67" s="85"/>
      <c r="Y67" s="94"/>
      <c r="Z67" s="93"/>
      <c r="AA67" s="85"/>
      <c r="AC67" s="94"/>
      <c r="AD67" s="93"/>
      <c r="AE67" s="85"/>
    </row>
    <row r="68" spans="6:31" x14ac:dyDescent="0.35">
      <c r="F68" s="93"/>
      <c r="G68" s="85"/>
      <c r="H68" s="87"/>
      <c r="I68" s="94">
        <v>8</v>
      </c>
      <c r="J68" s="93">
        <v>45330</v>
      </c>
      <c r="K68" s="87" t="s">
        <v>93</v>
      </c>
      <c r="L68" s="87">
        <v>52.75</v>
      </c>
      <c r="M68" s="94"/>
      <c r="N68" s="93"/>
      <c r="O68" s="85"/>
      <c r="Q68" s="94"/>
      <c r="R68" s="93"/>
      <c r="S68" s="85"/>
      <c r="U68" s="94"/>
      <c r="V68" s="93"/>
      <c r="W68" s="85"/>
      <c r="Y68" s="94"/>
      <c r="Z68" s="93"/>
      <c r="AA68" s="85"/>
      <c r="AC68" s="94"/>
      <c r="AD68" s="93"/>
      <c r="AE68" s="85"/>
    </row>
    <row r="69" spans="6:31" x14ac:dyDescent="0.35">
      <c r="F69" s="93"/>
      <c r="G69" s="85"/>
      <c r="H69" s="87"/>
      <c r="I69" s="94">
        <v>8</v>
      </c>
      <c r="J69" s="93">
        <v>45308</v>
      </c>
      <c r="K69" s="87" t="s">
        <v>2613</v>
      </c>
      <c r="L69" s="87">
        <v>51.99</v>
      </c>
      <c r="M69" s="94"/>
      <c r="N69" s="93"/>
      <c r="O69" s="85"/>
      <c r="Q69" s="94"/>
      <c r="R69" s="93"/>
      <c r="S69" s="85"/>
      <c r="U69" s="94"/>
      <c r="V69" s="93"/>
      <c r="W69" s="85"/>
      <c r="Y69" s="94"/>
      <c r="Z69" s="93"/>
      <c r="AA69" s="85"/>
      <c r="AC69" s="94"/>
      <c r="AD69" s="93"/>
      <c r="AE69" s="85"/>
    </row>
    <row r="70" spans="6:31" x14ac:dyDescent="0.35">
      <c r="F70" s="93"/>
      <c r="G70" s="85"/>
      <c r="H70" s="87"/>
      <c r="I70" s="94">
        <v>6</v>
      </c>
      <c r="J70" s="93">
        <v>45208</v>
      </c>
      <c r="K70" s="87" t="s">
        <v>2716</v>
      </c>
      <c r="L70" s="87">
        <v>40</v>
      </c>
      <c r="M70" s="94"/>
      <c r="N70" s="93"/>
      <c r="O70" s="85"/>
      <c r="Q70" s="94"/>
      <c r="R70" s="93"/>
      <c r="S70" s="85"/>
      <c r="U70" s="94"/>
      <c r="V70" s="93"/>
      <c r="W70" s="85"/>
      <c r="Y70" s="94"/>
      <c r="Z70" s="93"/>
      <c r="AA70" s="85"/>
      <c r="AC70" s="94"/>
      <c r="AD70" s="93"/>
      <c r="AE70" s="85"/>
    </row>
    <row r="71" spans="6:31" x14ac:dyDescent="0.35">
      <c r="F71" s="93"/>
      <c r="G71" s="85"/>
      <c r="H71" s="87"/>
      <c r="I71" s="94">
        <v>1</v>
      </c>
      <c r="J71" s="93" t="s">
        <v>699</v>
      </c>
      <c r="K71" s="93" t="s">
        <v>3095</v>
      </c>
      <c r="L71" s="87">
        <v>2483.16</v>
      </c>
      <c r="M71" s="94"/>
      <c r="N71" s="93"/>
      <c r="O71" s="85"/>
      <c r="Q71" s="94"/>
      <c r="R71" s="93"/>
      <c r="S71" s="85"/>
      <c r="U71" s="94"/>
      <c r="V71" s="93"/>
      <c r="W71" s="85"/>
      <c r="Y71" s="94"/>
      <c r="Z71" s="93"/>
      <c r="AA71" s="85"/>
      <c r="AC71" s="94"/>
      <c r="AD71" s="93"/>
      <c r="AE71" s="85"/>
    </row>
    <row r="72" spans="6:31" x14ac:dyDescent="0.35">
      <c r="F72" s="93"/>
      <c r="G72" s="85"/>
      <c r="H72" s="87"/>
      <c r="I72" s="94">
        <v>1</v>
      </c>
      <c r="J72" s="93" t="s">
        <v>699</v>
      </c>
      <c r="K72" s="93" t="s">
        <v>3100</v>
      </c>
      <c r="L72" s="87">
        <v>535.49</v>
      </c>
      <c r="M72" s="94"/>
      <c r="N72" s="93"/>
      <c r="O72" s="85"/>
      <c r="Q72" s="94"/>
      <c r="R72" s="93"/>
      <c r="S72" s="85"/>
      <c r="U72" s="94"/>
      <c r="V72" s="93"/>
      <c r="W72" s="85"/>
      <c r="Y72" s="94"/>
      <c r="Z72" s="93"/>
      <c r="AA72" s="85"/>
      <c r="AC72" s="94"/>
      <c r="AD72" s="93"/>
      <c r="AE72" s="85"/>
    </row>
    <row r="73" spans="6:31" x14ac:dyDescent="0.35">
      <c r="F73" s="93"/>
      <c r="G73" s="85"/>
      <c r="H73" s="87"/>
      <c r="I73" s="94"/>
      <c r="J73" s="93"/>
      <c r="K73" s="87"/>
      <c r="L73" s="87"/>
      <c r="M73" s="94"/>
      <c r="N73" s="93"/>
      <c r="O73" s="85"/>
      <c r="Q73" s="94"/>
      <c r="R73" s="93"/>
      <c r="S73" s="85"/>
      <c r="U73" s="94"/>
      <c r="V73" s="93"/>
      <c r="W73" s="85"/>
      <c r="Y73" s="94"/>
      <c r="Z73" s="93"/>
      <c r="AA73" s="85"/>
      <c r="AC73" s="94"/>
      <c r="AD73" s="93"/>
      <c r="AE73" s="85"/>
    </row>
    <row r="74" spans="6:31" x14ac:dyDescent="0.35">
      <c r="F74" s="93"/>
      <c r="G74" s="85"/>
      <c r="H74" s="87"/>
      <c r="I74" s="94"/>
      <c r="J74" s="93"/>
      <c r="K74" s="87"/>
      <c r="L74" s="87"/>
      <c r="M74" s="94"/>
      <c r="N74" s="93"/>
      <c r="O74" s="85"/>
      <c r="Q74" s="94"/>
      <c r="R74" s="93"/>
      <c r="S74" s="85"/>
      <c r="U74" s="94"/>
      <c r="V74" s="93"/>
      <c r="W74" s="85"/>
      <c r="Y74" s="94"/>
      <c r="Z74" s="93"/>
      <c r="AA74" s="85"/>
      <c r="AC74" s="94"/>
      <c r="AD74" s="93"/>
      <c r="AE74" s="85"/>
    </row>
    <row r="75" spans="6:31" x14ac:dyDescent="0.35">
      <c r="F75" s="93"/>
      <c r="G75" s="85"/>
      <c r="H75" s="87"/>
      <c r="I75" s="94"/>
      <c r="J75" s="93"/>
      <c r="K75" s="87"/>
      <c r="L75" s="87"/>
      <c r="M75" s="94"/>
      <c r="N75" s="93"/>
      <c r="O75" s="85"/>
      <c r="Q75" s="94"/>
      <c r="R75" s="93"/>
      <c r="S75" s="85"/>
      <c r="U75" s="94"/>
      <c r="V75" s="93"/>
      <c r="W75" s="85"/>
      <c r="Y75" s="94"/>
      <c r="Z75" s="93"/>
      <c r="AA75" s="85"/>
      <c r="AC75" s="94"/>
      <c r="AD75" s="93"/>
      <c r="AE75" s="85"/>
    </row>
    <row r="76" spans="6:31" x14ac:dyDescent="0.35">
      <c r="F76" s="93"/>
      <c r="G76" s="85"/>
      <c r="H76" s="87"/>
      <c r="I76" s="94"/>
      <c r="J76" s="93"/>
      <c r="K76" s="87"/>
      <c r="L76" s="87"/>
      <c r="M76" s="94"/>
      <c r="N76" s="93"/>
      <c r="O76" s="85"/>
      <c r="Q76" s="94"/>
      <c r="R76" s="93"/>
      <c r="S76" s="85"/>
      <c r="U76" s="94"/>
      <c r="V76" s="93"/>
      <c r="W76" s="85"/>
      <c r="Y76" s="94"/>
      <c r="Z76" s="93"/>
      <c r="AA76" s="85"/>
      <c r="AC76" s="94"/>
      <c r="AD76" s="93"/>
      <c r="AE76" s="85"/>
    </row>
    <row r="77" spans="6:31" x14ac:dyDescent="0.35">
      <c r="F77" s="93"/>
      <c r="G77" s="85"/>
      <c r="H77" s="87"/>
      <c r="I77" s="94"/>
      <c r="J77" s="93"/>
      <c r="K77" s="87"/>
      <c r="L77" s="87"/>
      <c r="M77" s="94"/>
      <c r="N77" s="93"/>
      <c r="O77" s="85"/>
      <c r="Q77" s="94"/>
      <c r="R77" s="93"/>
      <c r="S77" s="85"/>
      <c r="U77" s="94"/>
      <c r="V77" s="93"/>
      <c r="W77" s="85"/>
      <c r="Y77" s="94"/>
      <c r="Z77" s="93"/>
      <c r="AA77" s="85"/>
      <c r="AC77" s="94"/>
      <c r="AD77" s="93"/>
      <c r="AE77" s="85"/>
    </row>
    <row r="78" spans="6:31" x14ac:dyDescent="0.35">
      <c r="F78" s="93"/>
      <c r="G78" s="85"/>
      <c r="H78" s="87"/>
      <c r="I78" s="94"/>
      <c r="J78" s="93"/>
      <c r="K78" s="87"/>
      <c r="L78" s="87"/>
      <c r="M78" s="94"/>
      <c r="N78" s="93"/>
      <c r="O78" s="85"/>
      <c r="Q78" s="94"/>
      <c r="R78" s="93"/>
      <c r="S78" s="85"/>
      <c r="U78" s="94"/>
      <c r="V78" s="93"/>
      <c r="W78" s="85"/>
      <c r="Y78" s="94"/>
      <c r="Z78" s="93"/>
      <c r="AA78" s="85"/>
      <c r="AC78" s="94"/>
      <c r="AD78" s="93"/>
      <c r="AE78" s="85"/>
    </row>
    <row r="79" spans="6:31" x14ac:dyDescent="0.35">
      <c r="F79" s="93"/>
      <c r="G79" s="85"/>
      <c r="H79" s="87"/>
      <c r="I79" s="94"/>
      <c r="J79" s="93"/>
      <c r="K79" s="87"/>
      <c r="L79" s="87"/>
      <c r="M79" s="94"/>
      <c r="N79" s="93"/>
      <c r="O79" s="85"/>
      <c r="Q79" s="94"/>
      <c r="R79" s="93"/>
      <c r="S79" s="85"/>
      <c r="U79" s="94"/>
      <c r="V79" s="93"/>
      <c r="W79" s="85"/>
      <c r="Y79" s="94"/>
      <c r="Z79" s="93"/>
      <c r="AA79" s="85"/>
      <c r="AC79" s="94"/>
      <c r="AD79" s="93"/>
      <c r="AE79" s="85"/>
    </row>
    <row r="80" spans="6:31" x14ac:dyDescent="0.35">
      <c r="F80" s="93"/>
      <c r="G80" s="85"/>
      <c r="H80" s="87"/>
      <c r="I80" s="94"/>
      <c r="J80" s="93"/>
      <c r="K80" s="87"/>
      <c r="L80" s="87"/>
      <c r="M80" s="94"/>
      <c r="N80" s="93"/>
      <c r="O80" s="85"/>
      <c r="Q80" s="94"/>
      <c r="R80" s="93"/>
      <c r="S80" s="85"/>
      <c r="U80" s="94"/>
      <c r="V80" s="93"/>
      <c r="W80" s="85"/>
      <c r="Y80" s="94"/>
      <c r="Z80" s="93"/>
      <c r="AA80" s="85"/>
      <c r="AC80" s="94"/>
      <c r="AD80" s="93"/>
      <c r="AE80" s="85"/>
    </row>
    <row r="81" spans="6:31" x14ac:dyDescent="0.35">
      <c r="F81" s="93"/>
      <c r="G81" s="85"/>
      <c r="H81" s="87"/>
      <c r="I81" s="94"/>
      <c r="J81" s="93"/>
      <c r="K81" s="87"/>
      <c r="L81" s="87"/>
      <c r="M81" s="94"/>
      <c r="N81" s="93"/>
      <c r="O81" s="85"/>
      <c r="Q81" s="94"/>
      <c r="R81" s="93"/>
      <c r="S81" s="85"/>
      <c r="U81" s="94"/>
      <c r="V81" s="93"/>
      <c r="W81" s="85"/>
      <c r="Y81" s="94"/>
      <c r="Z81" s="93"/>
      <c r="AA81" s="85"/>
      <c r="AC81" s="94"/>
      <c r="AD81" s="93"/>
      <c r="AE81" s="85"/>
    </row>
    <row r="82" spans="6:31" x14ac:dyDescent="0.35">
      <c r="F82" s="93"/>
      <c r="G82" s="85"/>
      <c r="H82" s="87"/>
      <c r="I82" s="94"/>
      <c r="J82" s="93"/>
      <c r="K82" s="87"/>
      <c r="L82" s="87"/>
      <c r="M82" s="94"/>
      <c r="N82" s="93"/>
      <c r="O82" s="85"/>
      <c r="Q82" s="94"/>
      <c r="R82" s="93"/>
      <c r="S82" s="85"/>
      <c r="U82" s="94"/>
      <c r="V82" s="93"/>
      <c r="W82" s="85"/>
      <c r="Y82" s="94"/>
      <c r="Z82" s="93"/>
      <c r="AA82" s="85"/>
      <c r="AC82" s="94"/>
      <c r="AD82" s="93"/>
      <c r="AE82" s="85"/>
    </row>
    <row r="83" spans="6:31" x14ac:dyDescent="0.35">
      <c r="F83" s="93"/>
      <c r="G83" s="85"/>
      <c r="H83" s="87"/>
      <c r="I83" s="94"/>
      <c r="J83" s="93"/>
      <c r="K83" s="87"/>
      <c r="L83" s="87"/>
      <c r="M83" s="94"/>
      <c r="N83" s="93"/>
      <c r="O83" s="85"/>
      <c r="Q83" s="94"/>
      <c r="R83" s="93"/>
      <c r="S83" s="85"/>
      <c r="U83" s="94"/>
      <c r="V83" s="93"/>
      <c r="W83" s="85"/>
      <c r="Y83" s="94"/>
      <c r="Z83" s="93"/>
      <c r="AA83" s="85"/>
      <c r="AC83" s="94"/>
      <c r="AD83" s="93"/>
      <c r="AE83" s="85"/>
    </row>
    <row r="84" spans="6:31" x14ac:dyDescent="0.35">
      <c r="F84" s="93"/>
      <c r="G84" s="85"/>
      <c r="H84" s="87"/>
      <c r="I84" s="94"/>
      <c r="J84" s="93"/>
      <c r="K84" s="87"/>
      <c r="L84" s="87"/>
      <c r="M84" s="94"/>
      <c r="N84" s="93"/>
      <c r="O84" s="85"/>
      <c r="Q84" s="94"/>
      <c r="R84" s="93"/>
      <c r="S84" s="85"/>
      <c r="U84" s="94"/>
      <c r="V84" s="93"/>
      <c r="W84" s="85"/>
      <c r="Y84" s="94"/>
      <c r="Z84" s="93"/>
      <c r="AA84" s="85"/>
      <c r="AC84" s="94"/>
      <c r="AD84" s="93"/>
      <c r="AE84" s="85"/>
    </row>
    <row r="85" spans="6:31" x14ac:dyDescent="0.35">
      <c r="F85" s="93"/>
      <c r="G85" s="85"/>
      <c r="H85" s="87"/>
      <c r="I85" s="94"/>
      <c r="J85" s="93"/>
      <c r="K85" s="87"/>
      <c r="L85" s="87"/>
      <c r="M85" s="94"/>
      <c r="N85" s="93"/>
      <c r="O85" s="85"/>
      <c r="Q85" s="94"/>
      <c r="R85" s="93"/>
      <c r="S85" s="85"/>
      <c r="U85" s="94"/>
      <c r="V85" s="93"/>
      <c r="W85" s="85"/>
      <c r="Y85" s="94"/>
      <c r="Z85" s="93"/>
      <c r="AA85" s="85"/>
      <c r="AC85" s="94"/>
      <c r="AD85" s="93"/>
      <c r="AE85" s="85"/>
    </row>
    <row r="86" spans="6:31" x14ac:dyDescent="0.35">
      <c r="F86" s="93"/>
      <c r="G86" s="85"/>
      <c r="H86" s="87"/>
      <c r="I86" s="94"/>
      <c r="J86" s="93"/>
      <c r="K86" s="87"/>
      <c r="L86" s="87"/>
      <c r="M86" s="94"/>
      <c r="N86" s="93"/>
      <c r="O86" s="85"/>
      <c r="Q86" s="94"/>
      <c r="R86" s="93"/>
      <c r="S86" s="85"/>
      <c r="U86" s="94"/>
      <c r="V86" s="93"/>
      <c r="W86" s="85"/>
      <c r="Y86" s="94"/>
      <c r="Z86" s="93"/>
      <c r="AA86" s="85"/>
      <c r="AC86" s="94"/>
      <c r="AD86" s="93"/>
      <c r="AE86" s="85"/>
    </row>
    <row r="87" spans="6:31" x14ac:dyDescent="0.35">
      <c r="F87" s="93"/>
      <c r="G87" s="85"/>
      <c r="H87" s="87"/>
      <c r="I87" s="94"/>
      <c r="J87" s="93"/>
      <c r="K87" s="87"/>
      <c r="L87" s="87"/>
      <c r="M87" s="94"/>
      <c r="N87" s="93"/>
      <c r="O87" s="85"/>
      <c r="Q87" s="94"/>
      <c r="R87" s="93"/>
      <c r="S87" s="85"/>
      <c r="U87" s="94"/>
      <c r="V87" s="93"/>
      <c r="W87" s="85"/>
      <c r="Y87" s="94"/>
      <c r="Z87" s="93"/>
      <c r="AA87" s="85"/>
      <c r="AC87" s="94"/>
      <c r="AD87" s="93"/>
      <c r="AE87" s="85"/>
    </row>
    <row r="88" spans="6:31" x14ac:dyDescent="0.35">
      <c r="F88" s="93"/>
      <c r="G88" s="85"/>
      <c r="H88" s="87"/>
      <c r="I88" s="94"/>
      <c r="J88" s="93"/>
      <c r="K88" s="87"/>
      <c r="L88" s="87"/>
      <c r="M88" s="94"/>
      <c r="N88" s="93"/>
      <c r="O88" s="85"/>
      <c r="Q88" s="94"/>
      <c r="R88" s="93"/>
      <c r="S88" s="85"/>
      <c r="U88" s="94"/>
      <c r="V88" s="93"/>
      <c r="W88" s="85"/>
      <c r="Y88" s="94"/>
      <c r="Z88" s="93"/>
      <c r="AA88" s="85"/>
      <c r="AC88" s="94"/>
      <c r="AD88" s="93"/>
      <c r="AE88" s="85"/>
    </row>
    <row r="89" spans="6:31" x14ac:dyDescent="0.35">
      <c r="F89" s="93"/>
      <c r="G89" s="85"/>
      <c r="H89" s="87"/>
      <c r="I89" s="94"/>
      <c r="J89" s="93"/>
      <c r="K89" s="87"/>
      <c r="L89" s="87"/>
      <c r="M89" s="94"/>
      <c r="N89" s="93"/>
      <c r="O89" s="85"/>
      <c r="Q89" s="94"/>
      <c r="R89" s="93"/>
      <c r="S89" s="85"/>
      <c r="U89" s="94"/>
      <c r="V89" s="93"/>
      <c r="W89" s="85"/>
      <c r="Y89" s="94"/>
      <c r="Z89" s="93"/>
      <c r="AA89" s="85"/>
      <c r="AC89" s="94"/>
      <c r="AD89" s="93"/>
      <c r="AE89" s="85"/>
    </row>
    <row r="90" spans="6:31" x14ac:dyDescent="0.35">
      <c r="F90" s="93"/>
      <c r="G90" s="85"/>
      <c r="H90" s="87"/>
      <c r="I90" s="94"/>
      <c r="J90" s="93"/>
      <c r="K90" s="87"/>
      <c r="L90" s="87"/>
      <c r="M90" s="94"/>
      <c r="N90" s="93"/>
      <c r="O90" s="85"/>
      <c r="Q90" s="94"/>
      <c r="R90" s="93"/>
      <c r="S90" s="85"/>
      <c r="U90" s="94"/>
      <c r="V90" s="93"/>
      <c r="W90" s="85"/>
      <c r="Y90" s="94"/>
      <c r="Z90" s="93"/>
      <c r="AA90" s="85"/>
      <c r="AC90" s="94"/>
      <c r="AD90" s="93"/>
      <c r="AE90" s="85"/>
    </row>
    <row r="91" spans="6:31" x14ac:dyDescent="0.35">
      <c r="F91" s="93"/>
      <c r="G91" s="85"/>
      <c r="H91" s="87"/>
      <c r="I91" s="94"/>
      <c r="J91" s="93"/>
      <c r="K91" s="87"/>
      <c r="L91" s="87"/>
      <c r="M91" s="94"/>
      <c r="N91" s="93"/>
      <c r="O91" s="85"/>
      <c r="Q91" s="94"/>
      <c r="R91" s="93"/>
      <c r="S91" s="85"/>
      <c r="U91" s="94"/>
      <c r="V91" s="93"/>
      <c r="W91" s="85"/>
      <c r="Y91" s="94"/>
      <c r="Z91" s="93"/>
      <c r="AA91" s="85"/>
      <c r="AC91" s="94"/>
      <c r="AD91" s="93"/>
      <c r="AE91" s="85"/>
    </row>
    <row r="92" spans="6:31" x14ac:dyDescent="0.35">
      <c r="F92" s="93"/>
      <c r="G92" s="85"/>
      <c r="H92" s="87"/>
      <c r="I92" s="94"/>
      <c r="J92" s="93"/>
      <c r="K92" s="87"/>
      <c r="L92" s="87"/>
      <c r="M92" s="94"/>
      <c r="N92" s="93"/>
      <c r="O92" s="85"/>
      <c r="Q92" s="94"/>
      <c r="R92" s="93"/>
      <c r="S92" s="85"/>
      <c r="U92" s="94"/>
      <c r="V92" s="93"/>
      <c r="W92" s="85"/>
      <c r="Y92" s="94"/>
      <c r="Z92" s="93"/>
      <c r="AA92" s="85"/>
      <c r="AC92" s="94"/>
      <c r="AD92" s="93"/>
      <c r="AE92" s="85"/>
    </row>
    <row r="93" spans="6:31" x14ac:dyDescent="0.35">
      <c r="F93" s="93"/>
      <c r="G93" s="85"/>
      <c r="H93" s="87"/>
      <c r="I93" s="94"/>
      <c r="J93" s="93"/>
      <c r="K93" s="87"/>
      <c r="L93" s="87"/>
      <c r="M93" s="94"/>
      <c r="N93" s="93"/>
      <c r="O93" s="85"/>
      <c r="Q93" s="94"/>
      <c r="R93" s="93"/>
      <c r="S93" s="85"/>
      <c r="U93" s="94"/>
      <c r="V93" s="93"/>
      <c r="W93" s="85"/>
      <c r="Y93" s="94"/>
      <c r="Z93" s="93"/>
      <c r="AA93" s="85"/>
      <c r="AC93" s="94"/>
      <c r="AD93" s="93"/>
      <c r="AE93" s="85"/>
    </row>
    <row r="94" spans="6:31" x14ac:dyDescent="0.35">
      <c r="F94" s="93"/>
      <c r="G94" s="85"/>
      <c r="H94" s="87"/>
      <c r="I94" s="94"/>
      <c r="J94" s="93"/>
      <c r="K94" s="87"/>
      <c r="L94" s="87"/>
      <c r="M94" s="94"/>
      <c r="N94" s="93"/>
      <c r="O94" s="85"/>
      <c r="Q94" s="94"/>
      <c r="R94" s="93"/>
      <c r="S94" s="85"/>
      <c r="U94" s="94"/>
      <c r="V94" s="93"/>
      <c r="W94" s="85"/>
      <c r="Y94" s="94"/>
      <c r="Z94" s="93"/>
      <c r="AA94" s="85"/>
      <c r="AC94" s="94"/>
      <c r="AD94" s="93"/>
      <c r="AE94" s="85"/>
    </row>
    <row r="95" spans="6:31" x14ac:dyDescent="0.35">
      <c r="F95" s="93"/>
      <c r="G95" s="85"/>
      <c r="H95" s="87"/>
      <c r="I95" s="94"/>
      <c r="J95" s="93"/>
      <c r="K95" s="87"/>
      <c r="L95" s="87"/>
      <c r="M95" s="94"/>
      <c r="N95" s="93"/>
      <c r="O95" s="85"/>
      <c r="Q95" s="94"/>
      <c r="R95" s="93"/>
      <c r="S95" s="85"/>
      <c r="U95" s="94"/>
      <c r="V95" s="93"/>
      <c r="W95" s="85"/>
      <c r="Y95" s="94"/>
      <c r="Z95" s="93"/>
      <c r="AA95" s="85"/>
      <c r="AC95" s="94"/>
      <c r="AD95" s="93"/>
      <c r="AE95" s="85"/>
    </row>
    <row r="96" spans="6:31" x14ac:dyDescent="0.35">
      <c r="F96" s="93"/>
      <c r="G96" s="85"/>
      <c r="H96" s="87"/>
      <c r="I96" s="94"/>
      <c r="J96" s="93"/>
      <c r="K96" s="87"/>
      <c r="L96" s="87"/>
      <c r="M96" s="94"/>
      <c r="N96" s="93"/>
      <c r="O96" s="85"/>
      <c r="Q96" s="94"/>
      <c r="R96" s="93"/>
      <c r="S96" s="85"/>
      <c r="U96" s="94"/>
      <c r="V96" s="93"/>
      <c r="W96" s="85"/>
      <c r="Y96" s="94"/>
      <c r="Z96" s="93"/>
      <c r="AA96" s="85"/>
      <c r="AC96" s="94"/>
      <c r="AD96" s="93"/>
      <c r="AE96" s="85"/>
    </row>
    <row r="97" spans="6:31" x14ac:dyDescent="0.35">
      <c r="F97" s="93"/>
      <c r="G97" s="85"/>
      <c r="H97" s="87"/>
      <c r="I97" s="94"/>
      <c r="J97" s="93"/>
      <c r="K97" s="87"/>
      <c r="L97" s="87"/>
      <c r="M97" s="94"/>
      <c r="N97" s="93"/>
      <c r="O97" s="85"/>
      <c r="Q97" s="94"/>
      <c r="R97" s="93"/>
      <c r="S97" s="85"/>
      <c r="U97" s="94"/>
      <c r="V97" s="93"/>
      <c r="W97" s="85"/>
      <c r="Y97" s="94"/>
      <c r="Z97" s="93"/>
      <c r="AA97" s="85"/>
      <c r="AC97" s="94"/>
      <c r="AD97" s="93"/>
      <c r="AE97" s="85"/>
    </row>
    <row r="98" spans="6:31" x14ac:dyDescent="0.35">
      <c r="F98" s="93"/>
      <c r="G98" s="85"/>
      <c r="H98" s="87"/>
      <c r="I98" s="94"/>
      <c r="J98" s="93"/>
      <c r="K98" s="87"/>
      <c r="L98" s="87"/>
      <c r="M98" s="94"/>
      <c r="N98" s="93"/>
      <c r="O98" s="85"/>
      <c r="Q98" s="94"/>
      <c r="R98" s="93"/>
      <c r="S98" s="85"/>
      <c r="U98" s="94"/>
      <c r="V98" s="93"/>
      <c r="W98" s="85"/>
      <c r="Y98" s="94"/>
      <c r="Z98" s="93"/>
      <c r="AA98" s="85"/>
      <c r="AC98" s="94"/>
      <c r="AD98" s="93"/>
      <c r="AE98" s="85"/>
    </row>
    <row r="99" spans="6:31" x14ac:dyDescent="0.35">
      <c r="F99" s="93"/>
      <c r="G99" s="85"/>
      <c r="H99" s="87"/>
      <c r="I99" s="94"/>
      <c r="J99" s="93"/>
      <c r="K99" s="87"/>
      <c r="L99" s="87"/>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7"/>
      <c r="L100" s="87"/>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7"/>
      <c r="L101" s="87"/>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7"/>
      <c r="L102" s="87"/>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7"/>
      <c r="L103" s="87"/>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7"/>
      <c r="L104" s="87"/>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7"/>
      <c r="L105" s="87"/>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7"/>
      <c r="L106" s="87"/>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7"/>
      <c r="L107" s="87"/>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7"/>
      <c r="L108" s="87"/>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7"/>
      <c r="L109" s="87"/>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7"/>
      <c r="L110" s="87"/>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7"/>
      <c r="L111" s="87"/>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7"/>
      <c r="L112" s="87"/>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7"/>
      <c r="L113" s="87"/>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7"/>
      <c r="L114" s="87"/>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7"/>
      <c r="L115" s="87"/>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7"/>
      <c r="L116" s="87"/>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7"/>
      <c r="L117" s="87"/>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7"/>
      <c r="L118" s="87"/>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7"/>
      <c r="L119" s="87"/>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7"/>
      <c r="L120" s="87"/>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7"/>
      <c r="L121" s="87"/>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7"/>
      <c r="L122" s="87"/>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7"/>
      <c r="L123" s="87"/>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7"/>
      <c r="L124" s="87"/>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7"/>
      <c r="L125" s="87"/>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7"/>
      <c r="L126" s="87"/>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7"/>
      <c r="L127" s="87"/>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7"/>
      <c r="L128" s="87"/>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7"/>
      <c r="L129" s="87"/>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7"/>
      <c r="L130" s="87"/>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7"/>
      <c r="L131" s="87"/>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7"/>
      <c r="L132" s="87"/>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7"/>
      <c r="L133" s="87"/>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7"/>
      <c r="L134" s="87"/>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7"/>
      <c r="L135" s="87"/>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7"/>
      <c r="L136" s="87"/>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7"/>
      <c r="L137" s="87"/>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7"/>
      <c r="L138" s="87"/>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7"/>
      <c r="L139" s="87"/>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7"/>
      <c r="L140" s="87"/>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7"/>
      <c r="L141" s="87"/>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7"/>
      <c r="L142" s="87"/>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7"/>
      <c r="L143" s="87"/>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7"/>
      <c r="L144" s="87"/>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7"/>
      <c r="L145" s="87"/>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7"/>
      <c r="L146" s="87"/>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7"/>
      <c r="L147" s="87"/>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7"/>
      <c r="L148" s="87"/>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7"/>
      <c r="L149" s="87"/>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7"/>
      <c r="L150" s="87"/>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7"/>
      <c r="L151" s="87"/>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7"/>
      <c r="L152" s="87"/>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7"/>
      <c r="L153" s="87"/>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7"/>
      <c r="L154" s="87"/>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7"/>
      <c r="L155" s="87"/>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7"/>
      <c r="L156" s="87"/>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7"/>
      <c r="L157" s="87"/>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7"/>
      <c r="L158" s="87"/>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7"/>
      <c r="L159" s="87"/>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7"/>
      <c r="L160" s="87"/>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7"/>
      <c r="L161" s="87"/>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7"/>
      <c r="L162" s="87"/>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7"/>
      <c r="L163" s="87"/>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7"/>
      <c r="L164" s="87"/>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7"/>
      <c r="L165" s="87"/>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7"/>
      <c r="L166" s="87"/>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7"/>
      <c r="L167" s="87"/>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7"/>
      <c r="L168" s="87"/>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7"/>
      <c r="L169" s="87"/>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7"/>
      <c r="L170" s="87"/>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7"/>
      <c r="L171" s="87"/>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7"/>
      <c r="L172" s="87"/>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7"/>
      <c r="L173" s="87"/>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7"/>
      <c r="L174" s="87"/>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7"/>
      <c r="L175" s="87"/>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7"/>
      <c r="L176" s="87"/>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7"/>
      <c r="L177" s="87"/>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7"/>
      <c r="L178" s="87"/>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7"/>
      <c r="L179" s="87"/>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7"/>
      <c r="L180" s="87"/>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7"/>
      <c r="L181" s="87"/>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7"/>
      <c r="L182" s="87"/>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7"/>
      <c r="L183" s="87"/>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7"/>
      <c r="L184" s="87"/>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7"/>
      <c r="L185" s="87"/>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7"/>
      <c r="L186" s="87"/>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7"/>
      <c r="L187" s="87"/>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7"/>
      <c r="L188" s="87"/>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7"/>
      <c r="L189" s="87"/>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7"/>
      <c r="L190" s="87"/>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7"/>
      <c r="L191" s="87"/>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7"/>
      <c r="L192" s="87"/>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7"/>
      <c r="L193" s="87"/>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7"/>
      <c r="L194" s="87"/>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7"/>
      <c r="L195" s="87"/>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7"/>
      <c r="L196" s="87"/>
      <c r="M196" s="94"/>
      <c r="N196" s="93"/>
      <c r="O196" s="85"/>
      <c r="Q196" s="94"/>
      <c r="R196" s="93"/>
      <c r="S196" s="85"/>
      <c r="U196" s="94"/>
      <c r="V196" s="93"/>
      <c r="W196" s="85"/>
      <c r="Y196" s="94"/>
      <c r="Z196" s="93"/>
      <c r="AA196" s="85"/>
      <c r="AC196" s="94"/>
      <c r="AD196" s="93"/>
      <c r="AE196" s="85"/>
    </row>
    <row r="197" spans="6:31" x14ac:dyDescent="0.35">
      <c r="F197" s="93"/>
      <c r="G197" s="85"/>
      <c r="H197" s="87"/>
      <c r="M197" s="94"/>
      <c r="N197" s="93"/>
      <c r="O197" s="85"/>
      <c r="Q197" s="94"/>
      <c r="R197" s="93"/>
      <c r="S197" s="85"/>
      <c r="U197" s="94"/>
      <c r="V197" s="93"/>
      <c r="W197" s="85"/>
      <c r="Y197" s="94"/>
      <c r="Z197" s="93"/>
      <c r="AA197" s="85"/>
      <c r="AC197" s="94"/>
      <c r="AD197" s="93"/>
      <c r="AE197" s="85"/>
    </row>
    <row r="198" spans="6:31" x14ac:dyDescent="0.35">
      <c r="F198" s="93"/>
      <c r="G198" s="85"/>
      <c r="H198" s="87"/>
      <c r="M198" s="94"/>
      <c r="N198" s="93"/>
      <c r="O198" s="85"/>
      <c r="Q198" s="94"/>
      <c r="R198" s="93"/>
      <c r="S198" s="85"/>
      <c r="U198" s="94"/>
      <c r="V198" s="93"/>
      <c r="W198" s="85"/>
      <c r="Y198" s="94"/>
      <c r="Z198" s="93"/>
      <c r="AA198" s="85"/>
      <c r="AC198" s="94"/>
      <c r="AD198" s="93"/>
      <c r="AE198" s="85"/>
    </row>
    <row r="199" spans="6:31" x14ac:dyDescent="0.35">
      <c r="F199" s="93"/>
      <c r="G199" s="85"/>
      <c r="H199" s="87"/>
      <c r="M199" s="94"/>
      <c r="N199" s="93"/>
      <c r="O199" s="85"/>
      <c r="Q199" s="94"/>
      <c r="R199" s="93"/>
      <c r="S199" s="85"/>
      <c r="U199" s="94"/>
      <c r="V199" s="93"/>
      <c r="W199" s="85"/>
      <c r="Y199" s="94"/>
      <c r="Z199" s="93"/>
      <c r="AA199" s="85"/>
      <c r="AC199" s="94"/>
      <c r="AD199" s="93"/>
      <c r="AE199" s="85"/>
    </row>
    <row r="200" spans="6:31" x14ac:dyDescent="0.35">
      <c r="F200" s="93"/>
      <c r="G200" s="85"/>
      <c r="H200" s="87"/>
      <c r="M200" s="94"/>
      <c r="N200" s="93"/>
      <c r="O200" s="85"/>
      <c r="Q200" s="94"/>
      <c r="R200" s="93"/>
      <c r="S200" s="85"/>
      <c r="U200" s="94"/>
      <c r="V200" s="93"/>
      <c r="W200" s="85"/>
      <c r="Y200" s="94"/>
      <c r="Z200" s="93"/>
      <c r="AA200" s="85"/>
      <c r="AC200" s="94"/>
      <c r="AD200" s="93"/>
      <c r="AE200" s="85"/>
    </row>
    <row r="201" spans="6:31" x14ac:dyDescent="0.35">
      <c r="F201" s="93"/>
      <c r="G201" s="85"/>
      <c r="H201" s="87"/>
      <c r="M201" s="94"/>
      <c r="N201" s="93"/>
      <c r="O201" s="85"/>
      <c r="Q201" s="94"/>
      <c r="R201" s="93"/>
      <c r="S201" s="85"/>
      <c r="U201" s="94"/>
      <c r="V201" s="93"/>
      <c r="W201" s="85"/>
      <c r="Y201" s="94"/>
      <c r="Z201" s="93"/>
      <c r="AA201" s="85"/>
      <c r="AC201" s="94"/>
      <c r="AD201" s="93"/>
      <c r="AE201" s="85"/>
    </row>
    <row r="202" spans="6:31" x14ac:dyDescent="0.35">
      <c r="F202" s="93"/>
      <c r="G202" s="85"/>
      <c r="H202" s="87"/>
      <c r="M202" s="94"/>
      <c r="N202" s="93"/>
      <c r="O202" s="85"/>
      <c r="Q202" s="94"/>
      <c r="R202" s="93"/>
      <c r="S202" s="85"/>
      <c r="U202" s="94"/>
      <c r="V202" s="93"/>
      <c r="W202" s="85"/>
      <c r="Y202" s="94"/>
      <c r="Z202" s="93"/>
      <c r="AA202" s="85"/>
      <c r="AC202" s="94"/>
      <c r="AD202" s="93"/>
      <c r="AE202" s="85"/>
    </row>
    <row r="203" spans="6:31" x14ac:dyDescent="0.35">
      <c r="F203" s="93"/>
      <c r="G203" s="85"/>
      <c r="H203" s="87"/>
      <c r="M203" s="94"/>
      <c r="N203" s="93"/>
      <c r="O203" s="85"/>
      <c r="Q203" s="94"/>
      <c r="R203" s="93"/>
      <c r="S203" s="85"/>
      <c r="U203" s="94"/>
      <c r="V203" s="93"/>
      <c r="W203" s="85"/>
      <c r="Y203" s="94"/>
      <c r="Z203" s="93"/>
      <c r="AA203" s="85"/>
      <c r="AC203" s="94"/>
      <c r="AD203" s="93"/>
      <c r="AE203" s="85"/>
    </row>
    <row r="204" spans="6:31" x14ac:dyDescent="0.35">
      <c r="F204" s="93"/>
      <c r="G204" s="85"/>
      <c r="H204" s="87"/>
      <c r="M204" s="94"/>
      <c r="N204" s="93"/>
      <c r="O204" s="85"/>
      <c r="Q204" s="94"/>
      <c r="R204" s="93"/>
      <c r="S204" s="85"/>
      <c r="U204" s="94"/>
      <c r="V204" s="93"/>
      <c r="W204" s="85"/>
      <c r="Y204" s="94"/>
      <c r="Z204" s="93"/>
      <c r="AA204" s="85"/>
      <c r="AC204" s="94"/>
      <c r="AD204" s="93"/>
      <c r="AE204" s="85"/>
    </row>
    <row r="205" spans="6:31" x14ac:dyDescent="0.35">
      <c r="F205" s="93"/>
      <c r="G205" s="85"/>
      <c r="H205" s="87"/>
      <c r="M205" s="94"/>
      <c r="N205" s="93"/>
      <c r="O205" s="85"/>
      <c r="Q205" s="94"/>
      <c r="R205" s="93"/>
      <c r="S205" s="85"/>
      <c r="U205" s="94"/>
      <c r="V205" s="93"/>
      <c r="W205" s="85"/>
      <c r="Y205" s="94"/>
      <c r="Z205" s="93"/>
      <c r="AA205" s="85"/>
      <c r="AC205" s="94"/>
      <c r="AD205" s="93"/>
      <c r="AE205" s="85"/>
    </row>
    <row r="206" spans="6:31" x14ac:dyDescent="0.35">
      <c r="F206" s="93"/>
      <c r="G206" s="85"/>
      <c r="H206" s="87"/>
      <c r="M206" s="94"/>
      <c r="N206" s="93"/>
      <c r="O206" s="85"/>
      <c r="Q206" s="94"/>
      <c r="R206" s="93"/>
      <c r="S206" s="85"/>
      <c r="U206" s="94"/>
      <c r="V206" s="93"/>
      <c r="W206" s="85"/>
      <c r="Y206" s="94"/>
      <c r="Z206" s="93"/>
      <c r="AA206" s="85"/>
      <c r="AC206" s="94"/>
      <c r="AD206" s="93"/>
      <c r="AE206" s="85"/>
    </row>
    <row r="207" spans="6:31" x14ac:dyDescent="0.35">
      <c r="F207" s="93"/>
      <c r="G207" s="85"/>
      <c r="H207" s="87"/>
      <c r="M207" s="94"/>
      <c r="N207" s="93"/>
      <c r="O207" s="85"/>
      <c r="Q207" s="94"/>
      <c r="R207" s="93"/>
      <c r="S207" s="85"/>
      <c r="U207" s="94"/>
      <c r="V207" s="93"/>
      <c r="W207" s="85"/>
      <c r="Y207" s="94"/>
      <c r="Z207" s="93"/>
      <c r="AA207" s="85"/>
      <c r="AC207" s="94"/>
      <c r="AD207" s="93"/>
      <c r="AE207" s="85"/>
    </row>
    <row r="208" spans="6:31" x14ac:dyDescent="0.35">
      <c r="F208" s="93"/>
      <c r="G208" s="85"/>
      <c r="H208" s="87"/>
      <c r="M208" s="94"/>
      <c r="N208" s="93"/>
      <c r="O208" s="85"/>
      <c r="Q208" s="94"/>
      <c r="R208" s="93"/>
      <c r="S208" s="85"/>
      <c r="U208" s="94"/>
      <c r="V208" s="93"/>
      <c r="W208" s="85"/>
      <c r="Y208" s="94"/>
      <c r="Z208" s="93"/>
      <c r="AA208" s="85"/>
      <c r="AC208" s="94"/>
      <c r="AD208" s="93"/>
      <c r="AE208" s="85"/>
    </row>
    <row r="209" spans="6:31" x14ac:dyDescent="0.35">
      <c r="F209" s="93"/>
      <c r="G209" s="85"/>
      <c r="H209" s="87"/>
      <c r="M209" s="94"/>
      <c r="N209" s="93"/>
      <c r="O209" s="85"/>
      <c r="Q209" s="94"/>
      <c r="R209" s="93"/>
      <c r="S209" s="85"/>
      <c r="U209" s="94"/>
      <c r="V209" s="93"/>
      <c r="W209" s="85"/>
      <c r="Y209" s="94"/>
      <c r="Z209" s="93"/>
      <c r="AA209" s="85"/>
      <c r="AC209" s="94"/>
      <c r="AD209" s="93"/>
      <c r="AE209" s="85"/>
    </row>
    <row r="210" spans="6:31" x14ac:dyDescent="0.35">
      <c r="F210" s="93"/>
      <c r="G210" s="85"/>
      <c r="H210" s="87"/>
      <c r="M210" s="94"/>
      <c r="N210" s="93"/>
      <c r="O210" s="85"/>
      <c r="Q210" s="94"/>
      <c r="R210" s="93"/>
      <c r="S210" s="85"/>
      <c r="U210" s="94"/>
      <c r="V210" s="93"/>
      <c r="W210" s="85"/>
      <c r="Y210" s="94"/>
      <c r="Z210" s="93"/>
      <c r="AA210" s="85"/>
      <c r="AC210" s="94"/>
      <c r="AD210" s="93"/>
      <c r="AE210" s="85"/>
    </row>
    <row r="211" spans="6:31" x14ac:dyDescent="0.35">
      <c r="F211" s="93"/>
      <c r="G211" s="85"/>
      <c r="H211" s="87"/>
      <c r="M211" s="94"/>
      <c r="N211" s="93"/>
      <c r="O211" s="85"/>
      <c r="Q211" s="94"/>
      <c r="R211" s="93"/>
      <c r="S211" s="85"/>
      <c r="U211" s="94"/>
      <c r="V211" s="93"/>
      <c r="W211" s="85"/>
      <c r="Y211" s="94"/>
      <c r="Z211" s="93"/>
      <c r="AA211" s="85"/>
      <c r="AC211" s="94"/>
      <c r="AD211" s="93"/>
      <c r="AE211" s="85"/>
    </row>
    <row r="212" spans="6:31" x14ac:dyDescent="0.35">
      <c r="F212" s="93"/>
      <c r="G212" s="85"/>
      <c r="H212" s="87"/>
      <c r="M212" s="94"/>
      <c r="N212" s="93"/>
      <c r="O212" s="85"/>
      <c r="Q212" s="94"/>
      <c r="R212" s="93"/>
      <c r="S212" s="85"/>
      <c r="U212" s="94"/>
      <c r="V212" s="93"/>
      <c r="W212" s="85"/>
      <c r="Y212" s="94"/>
      <c r="Z212" s="93"/>
      <c r="AA212" s="85"/>
      <c r="AC212" s="94"/>
      <c r="AD212" s="93"/>
      <c r="AE212" s="85"/>
    </row>
    <row r="213" spans="6:31" x14ac:dyDescent="0.35">
      <c r="F213" s="93"/>
      <c r="G213" s="85"/>
      <c r="H213" s="87"/>
      <c r="M213" s="94"/>
      <c r="N213" s="93"/>
      <c r="O213" s="85"/>
      <c r="Q213" s="94"/>
      <c r="R213" s="93"/>
      <c r="S213" s="85"/>
      <c r="U213" s="94"/>
      <c r="V213" s="93"/>
      <c r="W213" s="85"/>
      <c r="Y213" s="94"/>
      <c r="Z213" s="93"/>
      <c r="AA213" s="85"/>
      <c r="AC213" s="94"/>
      <c r="AD213" s="93"/>
      <c r="AE213" s="85"/>
    </row>
    <row r="214" spans="6:31" x14ac:dyDescent="0.35">
      <c r="F214" s="93"/>
      <c r="G214" s="85"/>
      <c r="H214" s="87"/>
      <c r="M214" s="94"/>
      <c r="N214" s="93"/>
      <c r="O214" s="85"/>
      <c r="Q214" s="94"/>
      <c r="R214" s="93"/>
      <c r="S214" s="85"/>
      <c r="U214" s="94"/>
      <c r="V214" s="93"/>
      <c r="W214" s="85"/>
      <c r="Y214" s="94"/>
      <c r="Z214" s="93"/>
      <c r="AA214" s="85"/>
      <c r="AC214" s="94"/>
      <c r="AD214" s="93"/>
      <c r="AE214" s="85"/>
    </row>
    <row r="215" spans="6:31" x14ac:dyDescent="0.35">
      <c r="F215" s="93"/>
      <c r="G215" s="85"/>
      <c r="H215" s="87"/>
      <c r="M215" s="94"/>
      <c r="N215" s="93"/>
      <c r="O215" s="85"/>
      <c r="Q215" s="94"/>
      <c r="R215" s="93"/>
      <c r="S215" s="85"/>
      <c r="U215" s="94"/>
      <c r="V215" s="93"/>
      <c r="W215" s="85"/>
      <c r="Y215" s="94"/>
      <c r="Z215" s="93"/>
      <c r="AA215" s="85"/>
      <c r="AC215" s="94"/>
      <c r="AD215" s="93"/>
      <c r="AE215" s="85"/>
    </row>
    <row r="216" spans="6:31" x14ac:dyDescent="0.35">
      <c r="F216" s="93"/>
      <c r="G216" s="85"/>
      <c r="H216" s="87"/>
      <c r="M216" s="94"/>
      <c r="N216" s="93"/>
      <c r="O216" s="85"/>
      <c r="Q216" s="94"/>
      <c r="R216" s="93"/>
      <c r="S216" s="85"/>
      <c r="U216" s="94"/>
      <c r="V216" s="93"/>
      <c r="W216" s="85"/>
      <c r="Y216" s="94"/>
      <c r="Z216" s="93"/>
      <c r="AA216" s="85"/>
      <c r="AC216" s="94"/>
      <c r="AD216" s="93"/>
      <c r="AE216" s="85"/>
    </row>
    <row r="217" spans="6:31" x14ac:dyDescent="0.35">
      <c r="F217" s="93"/>
      <c r="G217" s="85"/>
      <c r="H217" s="87"/>
      <c r="M217" s="94"/>
      <c r="N217" s="93"/>
      <c r="O217" s="85"/>
      <c r="Q217" s="94"/>
      <c r="R217" s="93"/>
      <c r="S217" s="85"/>
      <c r="U217" s="94"/>
      <c r="V217" s="93"/>
      <c r="W217" s="85"/>
      <c r="Y217" s="94"/>
      <c r="Z217" s="93"/>
      <c r="AA217" s="85"/>
      <c r="AC217" s="94"/>
      <c r="AD217" s="93"/>
      <c r="AE217" s="85"/>
    </row>
    <row r="218" spans="6:31" x14ac:dyDescent="0.35">
      <c r="F218" s="93"/>
      <c r="G218" s="85"/>
      <c r="H218" s="87"/>
      <c r="M218" s="94"/>
      <c r="N218" s="93"/>
      <c r="O218" s="85"/>
      <c r="Q218" s="94"/>
      <c r="R218" s="93"/>
      <c r="S218" s="85"/>
      <c r="U218" s="94"/>
      <c r="V218" s="93"/>
      <c r="W218" s="85"/>
      <c r="Y218" s="94"/>
      <c r="Z218" s="93"/>
      <c r="AA218" s="85"/>
      <c r="AC218" s="94"/>
      <c r="AD218" s="93"/>
      <c r="AE218" s="85"/>
    </row>
    <row r="219" spans="6:31" x14ac:dyDescent="0.35">
      <c r="F219" s="93"/>
      <c r="G219" s="85"/>
      <c r="H219" s="87"/>
      <c r="M219" s="94"/>
      <c r="N219" s="93"/>
      <c r="O219" s="85"/>
      <c r="Q219" s="94"/>
      <c r="R219" s="93"/>
      <c r="S219" s="85"/>
      <c r="U219" s="94"/>
      <c r="V219" s="93"/>
      <c r="W219" s="85"/>
      <c r="Y219" s="94"/>
      <c r="Z219" s="93"/>
      <c r="AA219" s="85"/>
      <c r="AC219" s="94"/>
      <c r="AD219" s="93"/>
      <c r="AE219" s="85"/>
    </row>
    <row r="220" spans="6:31" x14ac:dyDescent="0.35">
      <c r="F220" s="93"/>
      <c r="G220" s="85"/>
      <c r="H220" s="87"/>
      <c r="M220" s="94"/>
      <c r="N220" s="93"/>
      <c r="O220" s="85"/>
      <c r="Q220" s="94"/>
      <c r="R220" s="93"/>
      <c r="S220" s="85"/>
      <c r="U220" s="94"/>
      <c r="V220" s="93"/>
      <c r="W220" s="85"/>
      <c r="Y220" s="94"/>
      <c r="Z220" s="93"/>
      <c r="AA220" s="85"/>
      <c r="AC220" s="94"/>
      <c r="AD220" s="93"/>
      <c r="AE220" s="85"/>
    </row>
    <row r="221" spans="6:31" x14ac:dyDescent="0.35">
      <c r="F221" s="93"/>
      <c r="G221" s="85"/>
      <c r="H221" s="87"/>
      <c r="M221" s="94"/>
      <c r="N221" s="93"/>
      <c r="O221" s="85"/>
      <c r="Q221" s="94"/>
      <c r="R221" s="93"/>
      <c r="S221" s="85"/>
      <c r="U221" s="94"/>
      <c r="V221" s="93"/>
      <c r="W221" s="85"/>
      <c r="Y221" s="94"/>
      <c r="Z221" s="93"/>
      <c r="AA221" s="85"/>
      <c r="AC221" s="94"/>
      <c r="AD221" s="93"/>
      <c r="AE221" s="85"/>
    </row>
    <row r="222" spans="6:31" x14ac:dyDescent="0.35">
      <c r="F222" s="93"/>
      <c r="G222" s="85"/>
      <c r="H222" s="87"/>
      <c r="M222" s="94"/>
      <c r="N222" s="93"/>
      <c r="O222" s="85"/>
      <c r="Q222" s="94"/>
      <c r="R222" s="93"/>
      <c r="S222" s="85"/>
      <c r="U222" s="94"/>
      <c r="V222" s="93"/>
      <c r="W222" s="85"/>
      <c r="Y222" s="94"/>
      <c r="Z222" s="93"/>
      <c r="AA222" s="85"/>
      <c r="AC222" s="94"/>
      <c r="AD222" s="93"/>
      <c r="AE222" s="85"/>
    </row>
    <row r="223" spans="6:31" x14ac:dyDescent="0.35">
      <c r="F223" s="93"/>
      <c r="G223" s="85"/>
      <c r="H223" s="87"/>
      <c r="M223" s="94"/>
      <c r="N223" s="93"/>
      <c r="O223" s="85"/>
      <c r="Q223" s="94"/>
      <c r="R223" s="93"/>
      <c r="S223" s="85"/>
      <c r="U223" s="94"/>
      <c r="V223" s="93"/>
      <c r="W223" s="85"/>
      <c r="Y223" s="94"/>
      <c r="Z223" s="93"/>
      <c r="AA223" s="85"/>
      <c r="AC223" s="94"/>
      <c r="AD223" s="93"/>
      <c r="AE223" s="85"/>
    </row>
    <row r="224" spans="6:31" x14ac:dyDescent="0.35">
      <c r="F224" s="93"/>
      <c r="G224" s="85"/>
      <c r="H224" s="87"/>
      <c r="M224" s="94"/>
      <c r="N224" s="93"/>
      <c r="O224" s="85"/>
      <c r="Q224" s="94"/>
      <c r="R224" s="93"/>
      <c r="S224" s="85"/>
      <c r="U224" s="94"/>
      <c r="V224" s="93"/>
      <c r="W224" s="85"/>
      <c r="Y224" s="94"/>
      <c r="Z224" s="93"/>
      <c r="AA224" s="85"/>
      <c r="AC224" s="94"/>
      <c r="AD224" s="93"/>
      <c r="AE224" s="85"/>
    </row>
    <row r="225" spans="6:31" x14ac:dyDescent="0.35">
      <c r="F225" s="93"/>
      <c r="G225" s="85"/>
      <c r="H225" s="87"/>
      <c r="M225" s="94"/>
      <c r="N225" s="93"/>
      <c r="O225" s="85"/>
      <c r="Q225" s="94"/>
      <c r="R225" s="93"/>
      <c r="S225" s="85"/>
      <c r="U225" s="94"/>
      <c r="V225" s="93"/>
      <c r="W225" s="85"/>
      <c r="Y225" s="94"/>
      <c r="Z225" s="93"/>
      <c r="AA225" s="85"/>
      <c r="AC225" s="94"/>
      <c r="AD225" s="93"/>
      <c r="AE225" s="85"/>
    </row>
    <row r="226" spans="6:31" x14ac:dyDescent="0.35">
      <c r="F226" s="93"/>
      <c r="G226" s="85"/>
      <c r="H226" s="87"/>
      <c r="M226" s="94"/>
      <c r="N226" s="93"/>
      <c r="O226" s="85"/>
      <c r="Q226" s="94"/>
      <c r="R226" s="93"/>
      <c r="S226" s="85"/>
      <c r="U226" s="94"/>
      <c r="V226" s="93"/>
      <c r="W226" s="85"/>
      <c r="Y226" s="94"/>
      <c r="Z226" s="93"/>
      <c r="AA226" s="85"/>
      <c r="AC226" s="94"/>
      <c r="AD226" s="93"/>
      <c r="AE226" s="85"/>
    </row>
    <row r="227" spans="6:31" x14ac:dyDescent="0.35">
      <c r="F227" s="93"/>
      <c r="G227" s="85"/>
      <c r="H227" s="87"/>
      <c r="M227" s="94"/>
      <c r="N227" s="93"/>
      <c r="O227" s="85"/>
      <c r="Q227" s="94"/>
      <c r="R227" s="93"/>
      <c r="S227" s="85"/>
      <c r="U227" s="94"/>
      <c r="V227" s="93"/>
      <c r="W227" s="85"/>
      <c r="Y227" s="94"/>
      <c r="Z227" s="93"/>
      <c r="AA227" s="85"/>
      <c r="AC227" s="94"/>
      <c r="AD227" s="93"/>
      <c r="AE227" s="85"/>
    </row>
    <row r="228" spans="6:31" x14ac:dyDescent="0.35">
      <c r="F228" s="93"/>
      <c r="G228" s="85"/>
      <c r="H228" s="87"/>
      <c r="M228" s="94"/>
      <c r="N228" s="93"/>
      <c r="O228" s="85"/>
      <c r="Q228" s="94"/>
      <c r="R228" s="93"/>
      <c r="S228" s="85"/>
      <c r="U228" s="94"/>
      <c r="V228" s="93"/>
      <c r="W228" s="85"/>
      <c r="Y228" s="94"/>
      <c r="Z228" s="93"/>
      <c r="AA228" s="85"/>
      <c r="AC228" s="94"/>
      <c r="AD228" s="93"/>
      <c r="AE228" s="85"/>
    </row>
    <row r="229" spans="6:31" x14ac:dyDescent="0.35">
      <c r="F229" s="93"/>
      <c r="G229" s="85"/>
      <c r="H229" s="87"/>
      <c r="M229" s="94"/>
      <c r="N229" s="93"/>
      <c r="O229" s="85"/>
      <c r="Q229" s="94"/>
      <c r="R229" s="93"/>
      <c r="S229" s="85"/>
      <c r="U229" s="94"/>
      <c r="V229" s="93"/>
      <c r="W229" s="85"/>
      <c r="Y229" s="94"/>
      <c r="Z229" s="93"/>
      <c r="AA229" s="85"/>
      <c r="AC229" s="94"/>
      <c r="AD229" s="93"/>
      <c r="AE229" s="85"/>
    </row>
    <row r="230" spans="6:31" x14ac:dyDescent="0.35">
      <c r="F230" s="93"/>
      <c r="G230" s="85"/>
      <c r="H230" s="87"/>
      <c r="M230" s="94"/>
      <c r="N230" s="93"/>
      <c r="O230" s="85"/>
      <c r="Q230" s="94"/>
      <c r="R230" s="93"/>
      <c r="S230" s="85"/>
      <c r="U230" s="94"/>
      <c r="V230" s="93"/>
      <c r="W230" s="85"/>
      <c r="Y230" s="94"/>
      <c r="Z230" s="93"/>
      <c r="AA230" s="85"/>
      <c r="AC230" s="94"/>
      <c r="AD230" s="93"/>
      <c r="AE230" s="85"/>
    </row>
    <row r="231" spans="6:31" x14ac:dyDescent="0.35">
      <c r="F231" s="93"/>
      <c r="G231" s="85"/>
      <c r="H231" s="87"/>
      <c r="M231" s="94"/>
      <c r="N231" s="93"/>
      <c r="O231" s="85"/>
      <c r="Q231" s="94"/>
      <c r="R231" s="93"/>
      <c r="S231" s="85"/>
      <c r="U231" s="94"/>
      <c r="V231" s="93"/>
      <c r="W231" s="85"/>
      <c r="Y231" s="94"/>
      <c r="Z231" s="93"/>
      <c r="AA231" s="85"/>
      <c r="AC231" s="94"/>
      <c r="AD231" s="93"/>
      <c r="AE231" s="85"/>
    </row>
    <row r="232" spans="6:31" x14ac:dyDescent="0.35">
      <c r="F232" s="93"/>
      <c r="G232" s="85"/>
      <c r="H232" s="87"/>
      <c r="M232" s="94"/>
      <c r="N232" s="93"/>
      <c r="O232" s="85"/>
      <c r="Q232" s="94"/>
      <c r="R232" s="93"/>
      <c r="S232" s="85"/>
      <c r="U232" s="94"/>
      <c r="V232" s="93"/>
      <c r="W232" s="85"/>
      <c r="Y232" s="94"/>
      <c r="Z232" s="93"/>
      <c r="AA232" s="85"/>
      <c r="AC232" s="94"/>
      <c r="AD232" s="93"/>
      <c r="AE232" s="85"/>
    </row>
    <row r="233" spans="6:31" x14ac:dyDescent="0.35">
      <c r="F233" s="93"/>
      <c r="G233" s="85"/>
      <c r="H233" s="87"/>
      <c r="M233" s="94"/>
      <c r="N233" s="93"/>
      <c r="O233" s="85"/>
      <c r="Q233" s="94"/>
      <c r="R233" s="93"/>
      <c r="S233" s="85"/>
      <c r="U233" s="94"/>
      <c r="V233" s="93"/>
      <c r="W233" s="85"/>
      <c r="Y233" s="94"/>
      <c r="Z233" s="93"/>
      <c r="AA233" s="85"/>
      <c r="AC233" s="94"/>
      <c r="AD233" s="93"/>
      <c r="AE233" s="85"/>
    </row>
    <row r="234" spans="6:31" x14ac:dyDescent="0.35">
      <c r="F234" s="93"/>
      <c r="G234" s="85"/>
      <c r="H234" s="87"/>
      <c r="M234" s="94"/>
      <c r="N234" s="93"/>
      <c r="O234" s="85"/>
      <c r="Q234" s="94"/>
      <c r="R234" s="93"/>
      <c r="S234" s="85"/>
      <c r="U234" s="94"/>
      <c r="V234" s="93"/>
      <c r="W234" s="85"/>
      <c r="Y234" s="94"/>
      <c r="Z234" s="93"/>
      <c r="AA234" s="85"/>
      <c r="AC234" s="94"/>
      <c r="AD234" s="93"/>
      <c r="AE234" s="85"/>
    </row>
    <row r="235" spans="6:31" x14ac:dyDescent="0.35">
      <c r="F235" s="93"/>
      <c r="G235" s="85"/>
      <c r="H235" s="87"/>
      <c r="M235" s="94"/>
      <c r="N235" s="93"/>
      <c r="O235" s="85"/>
      <c r="Q235" s="94"/>
      <c r="R235" s="93"/>
      <c r="S235" s="85"/>
      <c r="U235" s="94"/>
      <c r="V235" s="93"/>
      <c r="W235" s="85"/>
      <c r="Y235" s="94"/>
      <c r="Z235" s="93"/>
      <c r="AA235" s="85"/>
      <c r="AC235" s="94"/>
      <c r="AD235" s="93"/>
      <c r="AE235" s="85"/>
    </row>
    <row r="236" spans="6:31" x14ac:dyDescent="0.35">
      <c r="F236" s="93"/>
      <c r="G236" s="85"/>
      <c r="H236" s="87"/>
      <c r="M236" s="94"/>
      <c r="N236" s="93"/>
      <c r="O236" s="85"/>
      <c r="Q236" s="94"/>
      <c r="R236" s="93"/>
      <c r="S236" s="85"/>
      <c r="U236" s="94"/>
      <c r="V236" s="93"/>
      <c r="W236" s="85"/>
      <c r="Y236" s="94"/>
      <c r="Z236" s="93"/>
      <c r="AA236" s="85"/>
      <c r="AC236" s="94"/>
      <c r="AD236" s="93"/>
      <c r="AE236" s="85"/>
    </row>
    <row r="237" spans="6:31" x14ac:dyDescent="0.35">
      <c r="F237" s="93"/>
      <c r="G237" s="85"/>
      <c r="H237" s="87"/>
      <c r="M237" s="94"/>
      <c r="N237" s="93"/>
      <c r="O237" s="85"/>
      <c r="Q237" s="94"/>
      <c r="R237" s="93"/>
      <c r="S237" s="85"/>
      <c r="U237" s="94"/>
      <c r="V237" s="93"/>
      <c r="W237" s="85"/>
      <c r="Y237" s="94"/>
      <c r="Z237" s="93"/>
      <c r="AA237" s="85"/>
      <c r="AC237" s="94"/>
      <c r="AD237" s="93"/>
      <c r="AE237" s="85"/>
    </row>
    <row r="238" spans="6:31" x14ac:dyDescent="0.35">
      <c r="F238" s="93"/>
      <c r="G238" s="85"/>
      <c r="H238" s="87"/>
      <c r="M238" s="94"/>
      <c r="N238" s="93"/>
      <c r="O238" s="85"/>
      <c r="Q238" s="94"/>
      <c r="R238" s="93"/>
      <c r="S238" s="85"/>
      <c r="U238" s="94"/>
      <c r="V238" s="93"/>
      <c r="W238" s="85"/>
      <c r="Y238" s="94"/>
      <c r="Z238" s="93"/>
      <c r="AA238" s="85"/>
      <c r="AC238" s="94"/>
      <c r="AD238" s="93"/>
      <c r="AE238" s="85"/>
    </row>
    <row r="239" spans="6:31" x14ac:dyDescent="0.35">
      <c r="F239" s="93"/>
      <c r="G239" s="85"/>
      <c r="H239" s="87"/>
      <c r="M239" s="94"/>
      <c r="N239" s="93"/>
      <c r="O239" s="85"/>
      <c r="Q239" s="94"/>
      <c r="R239" s="93"/>
      <c r="S239" s="85"/>
      <c r="U239" s="94"/>
      <c r="V239" s="93"/>
      <c r="W239" s="85"/>
      <c r="Y239" s="94"/>
      <c r="Z239" s="93"/>
      <c r="AA239" s="85"/>
      <c r="AC239" s="94"/>
      <c r="AD239" s="93"/>
      <c r="AE239" s="85"/>
    </row>
    <row r="240" spans="6:31" x14ac:dyDescent="0.35">
      <c r="F240" s="93"/>
      <c r="G240" s="85"/>
      <c r="H240" s="87"/>
      <c r="M240" s="94"/>
      <c r="N240" s="93"/>
      <c r="O240" s="85"/>
      <c r="Q240" s="94"/>
      <c r="R240" s="93"/>
      <c r="S240" s="85"/>
      <c r="U240" s="94"/>
      <c r="V240" s="93"/>
      <c r="W240" s="85"/>
      <c r="Y240" s="94"/>
      <c r="Z240" s="93"/>
      <c r="AA240" s="85"/>
      <c r="AC240" s="94"/>
      <c r="AD240" s="93"/>
      <c r="AE240" s="85"/>
    </row>
    <row r="241" spans="6:31" x14ac:dyDescent="0.35">
      <c r="F241" s="93"/>
      <c r="G241" s="85"/>
      <c r="H241" s="87"/>
      <c r="M241" s="94"/>
      <c r="N241" s="93"/>
      <c r="O241" s="85"/>
      <c r="Q241" s="94"/>
      <c r="R241" s="93"/>
      <c r="S241" s="85"/>
      <c r="U241" s="94"/>
      <c r="V241" s="93"/>
      <c r="W241" s="85"/>
      <c r="Y241" s="94"/>
      <c r="Z241" s="93"/>
      <c r="AA241" s="85"/>
      <c r="AC241" s="94"/>
      <c r="AD241" s="93"/>
      <c r="AE241" s="85"/>
    </row>
    <row r="242" spans="6:31" x14ac:dyDescent="0.35">
      <c r="F242" s="93"/>
      <c r="G242" s="85"/>
      <c r="H242" s="87"/>
      <c r="M242" s="94"/>
      <c r="N242" s="93"/>
      <c r="O242" s="85"/>
      <c r="Q242" s="94"/>
      <c r="R242" s="93"/>
      <c r="S242" s="85"/>
      <c r="U242" s="94"/>
      <c r="V242" s="93"/>
      <c r="W242" s="85"/>
      <c r="Y242" s="94"/>
      <c r="Z242" s="93"/>
      <c r="AA242" s="85"/>
      <c r="AC242" s="94"/>
      <c r="AD242" s="93"/>
      <c r="AE242" s="85"/>
    </row>
    <row r="243" spans="6:31" x14ac:dyDescent="0.35">
      <c r="F243" s="93"/>
      <c r="G243" s="85"/>
      <c r="H243" s="87"/>
      <c r="M243" s="94"/>
      <c r="N243" s="93"/>
      <c r="O243" s="85"/>
      <c r="Q243" s="94"/>
      <c r="R243" s="93"/>
      <c r="S243" s="85"/>
      <c r="U243" s="94"/>
      <c r="V243" s="93"/>
      <c r="W243" s="85"/>
      <c r="Y243" s="94"/>
      <c r="Z243" s="93"/>
      <c r="AA243" s="85"/>
      <c r="AC243" s="94"/>
      <c r="AD243" s="93"/>
      <c r="AE243" s="85"/>
    </row>
    <row r="244" spans="6:31" x14ac:dyDescent="0.35">
      <c r="F244" s="93"/>
      <c r="G244" s="85"/>
      <c r="H244" s="87"/>
      <c r="M244" s="94"/>
      <c r="N244" s="93"/>
      <c r="O244" s="85"/>
      <c r="Q244" s="94"/>
      <c r="R244" s="93"/>
      <c r="S244" s="85"/>
      <c r="U244" s="94"/>
      <c r="V244" s="93"/>
      <c r="W244" s="85"/>
      <c r="Y244" s="94"/>
      <c r="Z244" s="93"/>
      <c r="AA244" s="85"/>
      <c r="AC244" s="94"/>
      <c r="AD244" s="93"/>
      <c r="AE244" s="85"/>
    </row>
    <row r="245" spans="6:31" x14ac:dyDescent="0.35">
      <c r="F245" s="93"/>
      <c r="G245" s="85"/>
      <c r="H245" s="87"/>
      <c r="M245" s="94"/>
      <c r="N245" s="93"/>
      <c r="O245" s="85"/>
      <c r="Q245" s="94"/>
      <c r="R245" s="93"/>
      <c r="S245" s="85"/>
      <c r="U245" s="94"/>
      <c r="V245" s="93"/>
      <c r="W245" s="85"/>
      <c r="Y245" s="94"/>
      <c r="Z245" s="93"/>
      <c r="AA245" s="85"/>
      <c r="AC245" s="94"/>
      <c r="AD245" s="93"/>
      <c r="AE245" s="85"/>
    </row>
    <row r="246" spans="6:31" x14ac:dyDescent="0.35">
      <c r="F246" s="93"/>
      <c r="G246" s="85"/>
      <c r="H246" s="87"/>
      <c r="M246" s="94"/>
      <c r="N246" s="93"/>
      <c r="O246" s="85"/>
      <c r="Q246" s="94"/>
      <c r="R246" s="93"/>
      <c r="S246" s="85"/>
      <c r="U246" s="94"/>
      <c r="V246" s="93"/>
      <c r="W246" s="85"/>
      <c r="Y246" s="94"/>
      <c r="Z246" s="93"/>
      <c r="AA246" s="85"/>
      <c r="AC246" s="94"/>
      <c r="AD246" s="93"/>
      <c r="AE246" s="85"/>
    </row>
    <row r="247" spans="6:31" x14ac:dyDescent="0.35">
      <c r="F247" s="93"/>
      <c r="G247" s="85"/>
      <c r="H247" s="87"/>
      <c r="M247" s="94"/>
      <c r="N247" s="93"/>
      <c r="O247" s="85"/>
      <c r="Q247" s="94"/>
      <c r="R247" s="93"/>
      <c r="S247" s="85"/>
      <c r="U247" s="94"/>
      <c r="V247" s="93"/>
      <c r="W247" s="85"/>
      <c r="Y247" s="94"/>
      <c r="Z247" s="93"/>
      <c r="AA247" s="85"/>
      <c r="AC247" s="94"/>
      <c r="AD247" s="93"/>
      <c r="AE247" s="85"/>
    </row>
    <row r="248" spans="6:31" x14ac:dyDescent="0.35">
      <c r="F248" s="93"/>
      <c r="G248" s="85"/>
      <c r="H248" s="87"/>
      <c r="M248" s="94"/>
      <c r="N248" s="93"/>
      <c r="O248" s="85"/>
      <c r="Q248" s="94"/>
      <c r="R248" s="93"/>
      <c r="S248" s="85"/>
      <c r="U248" s="94"/>
      <c r="V248" s="93"/>
      <c r="W248" s="85"/>
      <c r="Y248" s="94"/>
      <c r="Z248" s="93"/>
      <c r="AA248" s="85"/>
      <c r="AC248" s="94"/>
      <c r="AD248" s="93"/>
      <c r="AE248" s="85"/>
    </row>
    <row r="249" spans="6:31" x14ac:dyDescent="0.35">
      <c r="F249" s="93"/>
      <c r="G249" s="85"/>
      <c r="H249" s="87"/>
      <c r="M249" s="94"/>
      <c r="N249" s="93"/>
      <c r="O249" s="85"/>
      <c r="Q249" s="94"/>
      <c r="R249" s="93"/>
      <c r="S249" s="85"/>
      <c r="U249" s="94"/>
      <c r="V249" s="93"/>
      <c r="W249" s="85"/>
      <c r="Y249" s="94"/>
      <c r="Z249" s="93"/>
      <c r="AA249" s="85"/>
      <c r="AC249" s="94"/>
      <c r="AD249" s="93"/>
      <c r="AE249" s="85"/>
    </row>
    <row r="250" spans="6:31" x14ac:dyDescent="0.35">
      <c r="F250" s="93"/>
      <c r="G250" s="85"/>
      <c r="H250" s="87"/>
      <c r="M250" s="94"/>
      <c r="N250" s="93"/>
      <c r="O250" s="85"/>
      <c r="Q250" s="94"/>
      <c r="R250" s="93"/>
      <c r="S250" s="85"/>
      <c r="U250" s="94"/>
      <c r="V250" s="93"/>
      <c r="W250" s="85"/>
      <c r="Y250" s="94"/>
      <c r="Z250" s="93"/>
      <c r="AA250" s="85"/>
      <c r="AC250" s="94"/>
      <c r="AD250" s="93"/>
      <c r="AE250" s="85"/>
    </row>
    <row r="251" spans="6:31" x14ac:dyDescent="0.35">
      <c r="F251" s="93"/>
      <c r="G251" s="85"/>
      <c r="H251" s="87"/>
      <c r="M251" s="94"/>
      <c r="N251" s="93"/>
      <c r="O251" s="85"/>
      <c r="Q251" s="94"/>
      <c r="R251" s="93"/>
      <c r="S251" s="85"/>
      <c r="U251" s="94"/>
      <c r="V251" s="93"/>
      <c r="W251" s="85"/>
      <c r="Y251" s="94"/>
      <c r="Z251" s="93"/>
      <c r="AA251" s="85"/>
      <c r="AC251" s="94"/>
      <c r="AD251" s="93"/>
      <c r="AE251" s="85"/>
    </row>
    <row r="252" spans="6:31" x14ac:dyDescent="0.35">
      <c r="F252" s="93"/>
      <c r="G252" s="85"/>
      <c r="H252" s="87"/>
      <c r="M252" s="94"/>
      <c r="N252" s="93"/>
      <c r="O252" s="85"/>
      <c r="Q252" s="94"/>
      <c r="R252" s="93"/>
      <c r="S252" s="85"/>
      <c r="U252" s="94"/>
      <c r="V252" s="93"/>
      <c r="W252" s="85"/>
      <c r="Y252" s="94"/>
      <c r="Z252" s="93"/>
      <c r="AA252" s="85"/>
      <c r="AC252" s="94"/>
      <c r="AD252" s="93"/>
      <c r="AE252" s="85"/>
    </row>
    <row r="253" spans="6:31" x14ac:dyDescent="0.35">
      <c r="F253" s="93"/>
      <c r="G253" s="85"/>
      <c r="H253" s="87"/>
      <c r="M253" s="94"/>
      <c r="N253" s="93"/>
      <c r="O253" s="85"/>
      <c r="Q253" s="94"/>
      <c r="R253" s="93"/>
      <c r="S253" s="85"/>
      <c r="U253" s="94"/>
      <c r="V253" s="93"/>
      <c r="W253" s="85"/>
      <c r="Y253" s="94"/>
      <c r="Z253" s="93"/>
      <c r="AA253" s="85"/>
      <c r="AC253" s="94"/>
      <c r="AD253" s="93"/>
      <c r="AE253" s="85"/>
    </row>
    <row r="254" spans="6:31" x14ac:dyDescent="0.35">
      <c r="F254" s="93"/>
      <c r="G254" s="85"/>
      <c r="H254" s="87"/>
      <c r="M254" s="94"/>
      <c r="N254" s="93"/>
      <c r="O254" s="85"/>
      <c r="Q254" s="94"/>
      <c r="R254" s="93"/>
      <c r="S254" s="85"/>
      <c r="U254" s="94"/>
      <c r="V254" s="93"/>
      <c r="W254" s="85"/>
      <c r="Y254" s="94"/>
      <c r="Z254" s="93"/>
      <c r="AA254" s="85"/>
      <c r="AC254" s="94"/>
      <c r="AD254" s="93"/>
      <c r="AE254" s="85"/>
    </row>
    <row r="255" spans="6:31" x14ac:dyDescent="0.35">
      <c r="F255" s="93"/>
      <c r="G255" s="85"/>
      <c r="H255" s="87"/>
      <c r="M255" s="94"/>
      <c r="N255" s="93"/>
      <c r="O255" s="85"/>
      <c r="Q255" s="94"/>
      <c r="R255" s="93"/>
      <c r="S255" s="85"/>
      <c r="U255" s="94"/>
      <c r="V255" s="93"/>
      <c r="W255" s="85"/>
      <c r="Y255" s="94"/>
      <c r="Z255" s="93"/>
      <c r="AA255" s="85"/>
      <c r="AC255" s="94"/>
      <c r="AD255" s="93"/>
      <c r="AE255" s="85"/>
    </row>
    <row r="256" spans="6:31" x14ac:dyDescent="0.35">
      <c r="F256" s="93"/>
      <c r="G256" s="85"/>
      <c r="H256" s="87"/>
      <c r="M256" s="94"/>
      <c r="N256" s="93"/>
      <c r="O256" s="85"/>
      <c r="Q256" s="94"/>
      <c r="R256" s="93"/>
      <c r="S256" s="85"/>
      <c r="U256" s="94"/>
      <c r="V256" s="93"/>
      <c r="W256" s="85"/>
      <c r="Y256" s="94"/>
      <c r="Z256" s="93"/>
      <c r="AA256" s="85"/>
      <c r="AC256" s="94"/>
      <c r="AD256" s="93"/>
      <c r="AE256" s="85"/>
    </row>
    <row r="257" spans="6:31" x14ac:dyDescent="0.35">
      <c r="F257" s="93"/>
      <c r="G257" s="85"/>
      <c r="H257" s="87"/>
      <c r="M257" s="94"/>
      <c r="N257" s="93"/>
      <c r="O257" s="85"/>
      <c r="Q257" s="94"/>
      <c r="R257" s="93"/>
      <c r="S257" s="85"/>
      <c r="U257" s="94"/>
      <c r="V257" s="93"/>
      <c r="W257" s="85"/>
      <c r="Y257" s="94"/>
      <c r="Z257" s="93"/>
      <c r="AA257" s="85"/>
      <c r="AC257" s="94"/>
      <c r="AD257" s="93"/>
      <c r="AE257" s="85"/>
    </row>
    <row r="258" spans="6:31" x14ac:dyDescent="0.35">
      <c r="F258" s="93"/>
      <c r="G258" s="85"/>
      <c r="H258" s="87"/>
      <c r="M258" s="94"/>
      <c r="N258" s="93"/>
      <c r="O258" s="85"/>
      <c r="Q258" s="94"/>
      <c r="R258" s="93"/>
      <c r="S258" s="85"/>
      <c r="U258" s="94"/>
      <c r="V258" s="93"/>
      <c r="W258" s="85"/>
      <c r="Y258" s="94"/>
      <c r="Z258" s="93"/>
      <c r="AA258" s="85"/>
      <c r="AC258" s="94"/>
      <c r="AD258" s="93"/>
      <c r="AE258" s="85"/>
    </row>
    <row r="259" spans="6:31" x14ac:dyDescent="0.35">
      <c r="F259" s="93"/>
      <c r="G259" s="85"/>
      <c r="H259" s="87"/>
      <c r="M259" s="94"/>
      <c r="N259" s="93"/>
      <c r="O259" s="85"/>
      <c r="Q259" s="94"/>
      <c r="R259" s="93"/>
      <c r="S259" s="85"/>
      <c r="U259" s="94"/>
      <c r="V259" s="93"/>
      <c r="W259" s="85"/>
      <c r="Y259" s="94"/>
      <c r="Z259" s="93"/>
      <c r="AA259" s="85"/>
      <c r="AC259" s="94"/>
      <c r="AD259" s="93"/>
      <c r="AE259" s="85"/>
    </row>
    <row r="260" spans="6:31" x14ac:dyDescent="0.35">
      <c r="F260" s="93"/>
      <c r="G260" s="85"/>
      <c r="H260" s="87"/>
      <c r="M260" s="94"/>
      <c r="N260" s="93"/>
      <c r="O260" s="85"/>
      <c r="Q260" s="94"/>
      <c r="R260" s="93"/>
      <c r="S260" s="85"/>
      <c r="U260" s="94"/>
      <c r="V260" s="93"/>
      <c r="W260" s="85"/>
      <c r="Y260" s="94"/>
      <c r="Z260" s="93"/>
      <c r="AA260" s="85"/>
      <c r="AC260" s="94"/>
      <c r="AD260" s="93"/>
      <c r="AE260" s="85"/>
    </row>
    <row r="261" spans="6:31" x14ac:dyDescent="0.35">
      <c r="F261" s="93"/>
      <c r="G261" s="85"/>
      <c r="H261" s="87"/>
      <c r="M261" s="94"/>
      <c r="N261" s="93"/>
      <c r="O261" s="85"/>
      <c r="Q261" s="94"/>
      <c r="R261" s="93"/>
      <c r="S261" s="85"/>
      <c r="U261" s="94"/>
      <c r="V261" s="93"/>
      <c r="W261" s="85"/>
      <c r="Y261" s="94"/>
      <c r="Z261" s="93"/>
      <c r="AA261" s="85"/>
      <c r="AC261" s="94"/>
      <c r="AD261" s="93"/>
      <c r="AE261" s="85"/>
    </row>
    <row r="262" spans="6:31" x14ac:dyDescent="0.35">
      <c r="F262" s="93"/>
      <c r="G262" s="85"/>
      <c r="H262" s="87"/>
      <c r="M262" s="94"/>
      <c r="N262" s="93"/>
      <c r="O262" s="85"/>
      <c r="Q262" s="94"/>
      <c r="R262" s="93"/>
      <c r="S262" s="85"/>
      <c r="U262" s="94"/>
      <c r="V262" s="93"/>
      <c r="W262" s="85"/>
      <c r="Y262" s="94"/>
      <c r="Z262" s="93"/>
      <c r="AA262" s="85"/>
      <c r="AC262" s="94"/>
      <c r="AD262" s="93"/>
      <c r="AE262" s="85"/>
    </row>
    <row r="263" spans="6:31" x14ac:dyDescent="0.35">
      <c r="F263" s="93"/>
      <c r="G263" s="85"/>
      <c r="H263" s="87"/>
      <c r="M263" s="94"/>
      <c r="N263" s="93"/>
      <c r="O263" s="85"/>
      <c r="Q263" s="94"/>
      <c r="R263" s="93"/>
      <c r="S263" s="85"/>
      <c r="U263" s="94"/>
      <c r="V263" s="93"/>
      <c r="W263" s="85"/>
      <c r="Y263" s="94"/>
      <c r="Z263" s="93"/>
      <c r="AA263" s="85"/>
      <c r="AC263" s="94"/>
      <c r="AD263" s="93"/>
      <c r="AE263" s="85"/>
    </row>
    <row r="264" spans="6:31" x14ac:dyDescent="0.35">
      <c r="F264" s="93"/>
      <c r="G264" s="85"/>
      <c r="H264" s="87"/>
      <c r="M264" s="94"/>
      <c r="N264" s="93"/>
      <c r="O264" s="85"/>
      <c r="Q264" s="94"/>
      <c r="R264" s="93"/>
      <c r="S264" s="85"/>
      <c r="U264" s="94"/>
      <c r="V264" s="93"/>
      <c r="W264" s="85"/>
      <c r="Y264" s="94"/>
      <c r="Z264" s="93"/>
      <c r="AA264" s="85"/>
      <c r="AC264" s="94"/>
      <c r="AD264" s="93"/>
      <c r="AE264" s="85"/>
    </row>
    <row r="265" spans="6:31" x14ac:dyDescent="0.35">
      <c r="F265" s="93"/>
      <c r="G265" s="85"/>
      <c r="H265" s="87"/>
      <c r="M265" s="94"/>
      <c r="N265" s="93"/>
      <c r="O265" s="85"/>
      <c r="Q265" s="94"/>
      <c r="R265" s="93"/>
      <c r="S265" s="85"/>
      <c r="U265" s="94"/>
      <c r="V265" s="93"/>
      <c r="W265" s="85"/>
      <c r="Y265" s="94"/>
      <c r="Z265" s="93"/>
      <c r="AA265" s="85"/>
      <c r="AC265" s="94"/>
      <c r="AD265" s="93"/>
      <c r="AE265" s="85"/>
    </row>
    <row r="266" spans="6:31" x14ac:dyDescent="0.35">
      <c r="F266" s="93"/>
      <c r="G266" s="85"/>
      <c r="H266" s="87"/>
      <c r="M266" s="94"/>
      <c r="N266" s="93"/>
      <c r="O266" s="85"/>
      <c r="Q266" s="94"/>
      <c r="R266" s="93"/>
      <c r="S266" s="85"/>
      <c r="U266" s="94"/>
      <c r="V266" s="93"/>
      <c r="W266" s="85"/>
      <c r="Y266" s="94"/>
      <c r="Z266" s="93"/>
      <c r="AA266" s="85"/>
      <c r="AC266" s="94"/>
      <c r="AD266" s="93"/>
      <c r="AE266" s="85"/>
    </row>
    <row r="267" spans="6:31" x14ac:dyDescent="0.35">
      <c r="F267" s="93"/>
      <c r="G267" s="85"/>
      <c r="H267" s="87"/>
      <c r="M267" s="94"/>
      <c r="N267" s="93"/>
      <c r="O267" s="85"/>
      <c r="Q267" s="94"/>
      <c r="R267" s="93"/>
      <c r="S267" s="85"/>
      <c r="U267" s="94"/>
      <c r="V267" s="93"/>
      <c r="W267" s="85"/>
      <c r="Y267" s="94"/>
      <c r="Z267" s="93"/>
      <c r="AA267" s="85"/>
      <c r="AC267" s="94"/>
      <c r="AD267" s="93"/>
      <c r="AE267" s="85"/>
    </row>
    <row r="268" spans="6:31" x14ac:dyDescent="0.35">
      <c r="F268" s="93"/>
      <c r="G268" s="85"/>
      <c r="H268" s="87"/>
      <c r="M268" s="94"/>
      <c r="N268" s="93"/>
      <c r="O268" s="85"/>
      <c r="Q268" s="94"/>
      <c r="R268" s="93"/>
      <c r="S268" s="85"/>
      <c r="U268" s="94"/>
      <c r="V268" s="93"/>
      <c r="W268" s="85"/>
      <c r="Y268" s="94"/>
      <c r="Z268" s="93"/>
      <c r="AA268" s="85"/>
      <c r="AC268" s="94"/>
      <c r="AD268" s="93"/>
      <c r="AE268" s="85"/>
    </row>
    <row r="269" spans="6:31" x14ac:dyDescent="0.35">
      <c r="F269" s="93"/>
      <c r="G269" s="85"/>
      <c r="H269" s="87"/>
      <c r="M269" s="94"/>
      <c r="N269" s="93"/>
      <c r="O269" s="85"/>
      <c r="Q269" s="94"/>
      <c r="R269" s="93"/>
      <c r="S269" s="85"/>
      <c r="U269" s="94"/>
      <c r="V269" s="93"/>
      <c r="W269" s="85"/>
      <c r="Y269" s="94"/>
      <c r="Z269" s="93"/>
      <c r="AA269" s="85"/>
      <c r="AC269" s="94"/>
      <c r="AD269" s="93"/>
      <c r="AE269" s="85"/>
    </row>
    <row r="270" spans="6:31" x14ac:dyDescent="0.35">
      <c r="F270" s="93"/>
      <c r="G270" s="85"/>
      <c r="H270" s="87"/>
      <c r="M270" s="94"/>
      <c r="N270" s="93"/>
      <c r="O270" s="85"/>
      <c r="Q270" s="94"/>
      <c r="R270" s="93"/>
      <c r="S270" s="85"/>
      <c r="U270" s="94"/>
      <c r="V270" s="93"/>
      <c r="W270" s="85"/>
      <c r="Y270" s="94"/>
      <c r="Z270" s="93"/>
      <c r="AA270" s="85"/>
      <c r="AC270" s="94"/>
      <c r="AD270" s="93"/>
      <c r="AE270" s="85"/>
    </row>
    <row r="271" spans="6:31" x14ac:dyDescent="0.35">
      <c r="F271" s="93"/>
      <c r="G271" s="85"/>
      <c r="H271" s="87"/>
      <c r="M271" s="94"/>
      <c r="N271" s="93"/>
      <c r="O271" s="85"/>
      <c r="Q271" s="94"/>
      <c r="R271" s="93"/>
      <c r="S271" s="85"/>
      <c r="U271" s="94"/>
      <c r="V271" s="93"/>
      <c r="W271" s="85"/>
      <c r="Y271" s="94"/>
      <c r="Z271" s="93"/>
      <c r="AA271" s="85"/>
      <c r="AC271" s="94"/>
      <c r="AD271" s="93"/>
      <c r="AE271" s="85"/>
    </row>
    <row r="272" spans="6:31" x14ac:dyDescent="0.35">
      <c r="F272" s="93"/>
      <c r="G272" s="85"/>
      <c r="H272" s="87"/>
      <c r="M272" s="94"/>
      <c r="N272" s="93"/>
      <c r="O272" s="85"/>
      <c r="Q272" s="94"/>
      <c r="R272" s="93"/>
      <c r="S272" s="85"/>
      <c r="U272" s="94"/>
      <c r="V272" s="93"/>
      <c r="W272" s="85"/>
      <c r="Y272" s="94"/>
      <c r="Z272" s="93"/>
      <c r="AA272" s="85"/>
      <c r="AC272" s="94"/>
      <c r="AD272" s="93"/>
      <c r="AE272" s="85"/>
    </row>
    <row r="273" spans="6:31" x14ac:dyDescent="0.35">
      <c r="F273" s="93"/>
      <c r="G273" s="85"/>
      <c r="H273" s="87"/>
      <c r="M273" s="94"/>
      <c r="N273" s="93"/>
      <c r="O273" s="85"/>
      <c r="Q273" s="94"/>
      <c r="R273" s="93"/>
      <c r="S273" s="85"/>
      <c r="U273" s="94"/>
      <c r="V273" s="93"/>
      <c r="W273" s="85"/>
      <c r="Y273" s="94"/>
      <c r="Z273" s="93"/>
      <c r="AA273" s="85"/>
      <c r="AC273" s="94"/>
      <c r="AD273" s="93"/>
      <c r="AE273" s="85"/>
    </row>
    <row r="274" spans="6:31" x14ac:dyDescent="0.35">
      <c r="F274" s="93"/>
      <c r="G274" s="85"/>
      <c r="H274" s="87"/>
      <c r="M274" s="94"/>
      <c r="N274" s="93"/>
      <c r="O274" s="85"/>
      <c r="Q274" s="94"/>
      <c r="R274" s="93"/>
      <c r="S274" s="85"/>
      <c r="U274" s="94"/>
      <c r="V274" s="93"/>
      <c r="W274" s="85"/>
      <c r="Y274" s="94"/>
      <c r="Z274" s="93"/>
      <c r="AA274" s="85"/>
      <c r="AC274" s="94"/>
      <c r="AD274" s="93"/>
      <c r="AE274" s="85"/>
    </row>
    <row r="275" spans="6:31" x14ac:dyDescent="0.35">
      <c r="F275" s="93"/>
      <c r="G275" s="85"/>
      <c r="H275" s="87"/>
      <c r="M275" s="94"/>
      <c r="N275" s="93"/>
      <c r="O275" s="85"/>
      <c r="Q275" s="94"/>
      <c r="R275" s="93"/>
      <c r="S275" s="85"/>
      <c r="U275" s="94"/>
      <c r="V275" s="93"/>
      <c r="W275" s="85"/>
      <c r="Y275" s="94"/>
      <c r="Z275" s="93"/>
      <c r="AA275" s="85"/>
      <c r="AC275" s="94"/>
      <c r="AD275" s="93"/>
      <c r="AE275" s="85"/>
    </row>
    <row r="276" spans="6:31" x14ac:dyDescent="0.35">
      <c r="F276" s="93"/>
      <c r="G276" s="85"/>
      <c r="H276" s="87"/>
      <c r="M276" s="94"/>
      <c r="N276" s="93"/>
      <c r="O276" s="85"/>
      <c r="Q276" s="94"/>
      <c r="R276" s="93"/>
      <c r="S276" s="85"/>
      <c r="U276" s="94"/>
      <c r="V276" s="93"/>
      <c r="W276" s="85"/>
      <c r="Y276" s="94"/>
      <c r="Z276" s="93"/>
      <c r="AA276" s="85"/>
      <c r="AC276" s="94"/>
      <c r="AD276" s="93"/>
      <c r="AE276" s="85"/>
    </row>
    <row r="277" spans="6:31" x14ac:dyDescent="0.35">
      <c r="F277" s="93"/>
      <c r="G277" s="85"/>
      <c r="H277" s="87"/>
      <c r="M277" s="94"/>
      <c r="N277" s="93"/>
      <c r="O277" s="85"/>
      <c r="Q277" s="94"/>
      <c r="R277" s="93"/>
      <c r="S277" s="85"/>
      <c r="U277" s="94"/>
      <c r="V277" s="93"/>
      <c r="W277" s="85"/>
      <c r="Y277" s="94"/>
      <c r="Z277" s="93"/>
      <c r="AA277" s="85"/>
      <c r="AC277" s="94"/>
      <c r="AD277" s="93"/>
      <c r="AE277" s="85"/>
    </row>
    <row r="278" spans="6:31" x14ac:dyDescent="0.35">
      <c r="F278" s="93"/>
      <c r="G278" s="85"/>
      <c r="H278" s="87"/>
      <c r="M278" s="94"/>
      <c r="N278" s="93"/>
      <c r="O278" s="85"/>
      <c r="Q278" s="94"/>
      <c r="R278" s="93"/>
      <c r="S278" s="85"/>
      <c r="U278" s="94"/>
      <c r="V278" s="93"/>
      <c r="W278" s="85"/>
      <c r="Y278" s="94"/>
      <c r="Z278" s="93"/>
      <c r="AA278" s="85"/>
      <c r="AC278" s="94"/>
      <c r="AD278" s="93"/>
      <c r="AE278" s="85"/>
    </row>
    <row r="279" spans="6:31" x14ac:dyDescent="0.35">
      <c r="F279" s="93"/>
      <c r="G279" s="85"/>
      <c r="H279" s="87"/>
      <c r="M279" s="94"/>
      <c r="N279" s="93"/>
      <c r="O279" s="85"/>
      <c r="Q279" s="94"/>
      <c r="R279" s="93"/>
      <c r="S279" s="85"/>
      <c r="U279" s="94"/>
      <c r="V279" s="93"/>
      <c r="W279" s="85"/>
      <c r="Y279" s="94"/>
      <c r="Z279" s="93"/>
      <c r="AA279" s="85"/>
      <c r="AC279" s="94"/>
      <c r="AD279" s="93"/>
      <c r="AE279" s="85"/>
    </row>
    <row r="280" spans="6:31" x14ac:dyDescent="0.35">
      <c r="F280" s="93"/>
      <c r="G280" s="85"/>
      <c r="H280" s="87"/>
      <c r="M280" s="94"/>
      <c r="N280" s="93"/>
      <c r="O280" s="85"/>
      <c r="Q280" s="94"/>
      <c r="R280" s="93"/>
      <c r="S280" s="85"/>
      <c r="U280" s="94"/>
      <c r="V280" s="93"/>
      <c r="W280" s="85"/>
      <c r="Y280" s="94"/>
      <c r="Z280" s="93"/>
      <c r="AA280" s="85"/>
      <c r="AC280" s="94"/>
      <c r="AD280" s="93"/>
      <c r="AE280" s="85"/>
    </row>
    <row r="281" spans="6:31" x14ac:dyDescent="0.35">
      <c r="F281" s="93"/>
      <c r="G281" s="85"/>
      <c r="H281" s="87"/>
      <c r="M281" s="94"/>
      <c r="N281" s="93"/>
      <c r="O281" s="85"/>
      <c r="Q281" s="94"/>
      <c r="R281" s="93"/>
      <c r="S281" s="85"/>
      <c r="U281" s="94"/>
      <c r="V281" s="93"/>
      <c r="W281" s="85"/>
      <c r="Y281" s="94"/>
      <c r="Z281" s="93"/>
      <c r="AA281" s="85"/>
      <c r="AC281" s="94"/>
      <c r="AD281" s="93"/>
      <c r="AE281" s="85"/>
    </row>
    <row r="282" spans="6:31" x14ac:dyDescent="0.35">
      <c r="F282" s="93"/>
      <c r="G282" s="85"/>
      <c r="H282" s="87"/>
      <c r="M282" s="94"/>
      <c r="N282" s="93"/>
      <c r="O282" s="85"/>
      <c r="Q282" s="94"/>
      <c r="R282" s="93"/>
      <c r="S282" s="85"/>
      <c r="U282" s="94"/>
      <c r="V282" s="93"/>
      <c r="W282" s="85"/>
      <c r="Y282" s="94"/>
      <c r="Z282" s="93"/>
      <c r="AA282" s="85"/>
      <c r="AC282" s="94"/>
      <c r="AD282" s="93"/>
      <c r="AE282" s="85"/>
    </row>
    <row r="283" spans="6:31" x14ac:dyDescent="0.35">
      <c r="F283" s="93"/>
      <c r="G283" s="85"/>
      <c r="H283" s="87"/>
      <c r="M283" s="94"/>
      <c r="N283" s="93"/>
      <c r="O283" s="85"/>
      <c r="Q283" s="94"/>
      <c r="R283" s="93"/>
      <c r="S283" s="85"/>
      <c r="U283" s="94"/>
      <c r="V283" s="93"/>
      <c r="W283" s="85"/>
      <c r="Y283" s="94"/>
      <c r="Z283" s="93"/>
      <c r="AA283" s="85"/>
      <c r="AC283" s="94"/>
      <c r="AD283" s="93"/>
      <c r="AE283" s="85"/>
    </row>
    <row r="284" spans="6:31" x14ac:dyDescent="0.35">
      <c r="F284" s="93"/>
      <c r="G284" s="85"/>
      <c r="H284" s="87"/>
      <c r="M284" s="94"/>
      <c r="N284" s="93"/>
      <c r="O284" s="85"/>
      <c r="Q284" s="94"/>
      <c r="R284" s="93"/>
      <c r="S284" s="85"/>
      <c r="U284" s="94"/>
      <c r="V284" s="93"/>
      <c r="W284" s="85"/>
      <c r="Y284" s="94"/>
      <c r="Z284" s="93"/>
      <c r="AA284" s="85"/>
      <c r="AC284" s="94"/>
      <c r="AD284" s="93"/>
      <c r="AE284" s="85"/>
    </row>
    <row r="285" spans="6:31" x14ac:dyDescent="0.35">
      <c r="F285" s="93"/>
      <c r="G285" s="85"/>
      <c r="H285" s="87"/>
      <c r="M285" s="94"/>
      <c r="N285" s="93"/>
      <c r="O285" s="85"/>
      <c r="Q285" s="94"/>
      <c r="R285" s="93"/>
      <c r="S285" s="85"/>
      <c r="U285" s="94"/>
      <c r="V285" s="93"/>
      <c r="W285" s="85"/>
      <c r="Y285" s="94"/>
      <c r="Z285" s="93"/>
      <c r="AA285" s="85"/>
      <c r="AC285" s="94"/>
      <c r="AD285" s="93"/>
      <c r="AE285" s="85"/>
    </row>
    <row r="286" spans="6:31" x14ac:dyDescent="0.35">
      <c r="F286" s="93"/>
      <c r="G286" s="85"/>
      <c r="H286" s="87"/>
      <c r="M286" s="94"/>
      <c r="N286" s="93"/>
      <c r="O286" s="85"/>
      <c r="Q286" s="94"/>
      <c r="R286" s="93"/>
      <c r="S286" s="85"/>
      <c r="U286" s="94"/>
      <c r="V286" s="93"/>
      <c r="W286" s="85"/>
      <c r="Y286" s="94"/>
      <c r="Z286" s="93"/>
      <c r="AA286" s="85"/>
      <c r="AC286" s="94"/>
      <c r="AD286" s="93"/>
      <c r="AE286" s="85"/>
    </row>
    <row r="287" spans="6:31" x14ac:dyDescent="0.35">
      <c r="F287" s="93"/>
      <c r="G287" s="85"/>
      <c r="H287" s="87"/>
      <c r="M287" s="94"/>
      <c r="N287" s="93"/>
      <c r="O287" s="85"/>
      <c r="Q287" s="94"/>
      <c r="R287" s="93"/>
      <c r="S287" s="85"/>
      <c r="U287" s="94"/>
      <c r="V287" s="93"/>
      <c r="W287" s="85"/>
      <c r="Y287" s="94"/>
      <c r="Z287" s="93"/>
      <c r="AA287" s="85"/>
      <c r="AC287" s="94"/>
      <c r="AD287" s="93"/>
      <c r="AE287" s="85"/>
    </row>
    <row r="288" spans="6:31" x14ac:dyDescent="0.35">
      <c r="F288" s="93"/>
      <c r="G288" s="85"/>
      <c r="H288" s="87"/>
      <c r="M288" s="94"/>
      <c r="N288" s="93"/>
      <c r="O288" s="85"/>
      <c r="Q288" s="94"/>
      <c r="R288" s="93"/>
      <c r="S288" s="85"/>
      <c r="U288" s="94"/>
      <c r="V288" s="93"/>
      <c r="W288" s="85"/>
      <c r="Y288" s="94"/>
      <c r="Z288" s="93"/>
      <c r="AA288" s="85"/>
      <c r="AC288" s="94"/>
      <c r="AD288" s="93"/>
      <c r="AE288" s="85"/>
    </row>
    <row r="289" spans="6:31" x14ac:dyDescent="0.35">
      <c r="F289" s="93"/>
      <c r="G289" s="85"/>
      <c r="H289" s="87"/>
      <c r="M289" s="94"/>
      <c r="N289" s="93"/>
      <c r="O289" s="85"/>
      <c r="Q289" s="94"/>
      <c r="R289" s="93"/>
      <c r="S289" s="85"/>
      <c r="U289" s="94"/>
      <c r="V289" s="93"/>
      <c r="W289" s="85"/>
      <c r="Y289" s="94"/>
      <c r="Z289" s="93"/>
      <c r="AA289" s="85"/>
      <c r="AC289" s="94"/>
      <c r="AD289" s="93"/>
      <c r="AE289" s="85"/>
    </row>
    <row r="290" spans="6:31" x14ac:dyDescent="0.35">
      <c r="F290" s="93"/>
      <c r="G290" s="85"/>
      <c r="H290" s="87"/>
      <c r="M290" s="94"/>
      <c r="N290" s="93"/>
      <c r="O290" s="85"/>
      <c r="Q290" s="94"/>
      <c r="R290" s="93"/>
      <c r="S290" s="85"/>
      <c r="U290" s="94"/>
      <c r="V290" s="93"/>
      <c r="W290" s="85"/>
      <c r="Y290" s="94"/>
      <c r="Z290" s="93"/>
      <c r="AA290" s="85"/>
      <c r="AC290" s="94"/>
      <c r="AD290" s="93"/>
      <c r="AE290" s="85"/>
    </row>
    <row r="291" spans="6:31" x14ac:dyDescent="0.35">
      <c r="F291" s="93"/>
      <c r="G291" s="85"/>
      <c r="H291" s="87"/>
      <c r="M291" s="94"/>
      <c r="N291" s="93"/>
      <c r="O291" s="85"/>
      <c r="Q291" s="94"/>
      <c r="R291" s="93"/>
      <c r="S291" s="85"/>
      <c r="U291" s="94"/>
      <c r="V291" s="93"/>
      <c r="W291" s="85"/>
      <c r="Y291" s="94"/>
      <c r="Z291" s="93"/>
      <c r="AA291" s="85"/>
      <c r="AC291" s="94"/>
      <c r="AD291" s="93"/>
      <c r="AE291" s="85"/>
    </row>
    <row r="292" spans="6:31" x14ac:dyDescent="0.35">
      <c r="F292" s="93"/>
      <c r="G292" s="85"/>
      <c r="H292" s="87"/>
      <c r="M292" s="94"/>
      <c r="N292" s="93"/>
      <c r="O292" s="85"/>
      <c r="Q292" s="94"/>
      <c r="R292" s="93"/>
      <c r="S292" s="85"/>
      <c r="U292" s="94"/>
      <c r="V292" s="93"/>
      <c r="W292" s="85"/>
      <c r="Y292" s="94"/>
      <c r="Z292" s="93"/>
      <c r="AA292" s="85"/>
      <c r="AC292" s="94"/>
      <c r="AD292" s="93"/>
      <c r="AE292" s="85"/>
    </row>
    <row r="293" spans="6:31" x14ac:dyDescent="0.35">
      <c r="F293" s="93"/>
      <c r="G293" s="85"/>
      <c r="H293" s="87"/>
      <c r="M293" s="94"/>
      <c r="N293" s="93"/>
      <c r="O293" s="85"/>
      <c r="Q293" s="94"/>
      <c r="R293" s="93"/>
      <c r="S293" s="85"/>
      <c r="U293" s="94"/>
      <c r="V293" s="93"/>
      <c r="W293" s="85"/>
      <c r="Y293" s="94"/>
      <c r="Z293" s="93"/>
      <c r="AA293" s="85"/>
      <c r="AC293" s="94"/>
      <c r="AD293" s="93"/>
      <c r="AE293" s="85"/>
    </row>
    <row r="294" spans="6:31" x14ac:dyDescent="0.35">
      <c r="F294" s="93"/>
      <c r="G294" s="85"/>
      <c r="H294" s="87"/>
      <c r="M294" s="94"/>
      <c r="N294" s="93"/>
      <c r="O294" s="85"/>
      <c r="Q294" s="94"/>
      <c r="R294" s="93"/>
      <c r="S294" s="85"/>
      <c r="U294" s="94"/>
      <c r="V294" s="93"/>
      <c r="W294" s="85"/>
      <c r="Y294" s="94"/>
      <c r="Z294" s="93"/>
      <c r="AA294" s="85"/>
      <c r="AC294" s="94"/>
      <c r="AD294" s="93"/>
      <c r="AE294" s="85"/>
    </row>
    <row r="295" spans="6:31" x14ac:dyDescent="0.35">
      <c r="F295" s="93"/>
      <c r="G295" s="85"/>
      <c r="H295" s="87"/>
      <c r="M295" s="94"/>
      <c r="N295" s="93"/>
      <c r="O295" s="85"/>
      <c r="Q295" s="94"/>
      <c r="R295" s="93"/>
      <c r="S295" s="85"/>
      <c r="U295" s="94"/>
      <c r="V295" s="93"/>
      <c r="W295" s="85"/>
      <c r="Y295" s="94"/>
      <c r="Z295" s="93"/>
      <c r="AA295" s="85"/>
      <c r="AC295" s="94"/>
      <c r="AD295" s="93"/>
      <c r="AE295" s="85"/>
    </row>
    <row r="296" spans="6:31" x14ac:dyDescent="0.35">
      <c r="F296" s="93"/>
      <c r="G296" s="85"/>
      <c r="H296" s="87"/>
      <c r="M296" s="94"/>
      <c r="N296" s="93"/>
      <c r="O296" s="85"/>
      <c r="Q296" s="94"/>
      <c r="R296" s="93"/>
      <c r="S296" s="85"/>
      <c r="U296" s="94"/>
      <c r="V296" s="93"/>
      <c r="W296" s="85"/>
      <c r="Y296" s="94"/>
      <c r="Z296" s="93"/>
      <c r="AA296" s="85"/>
      <c r="AC296" s="94"/>
      <c r="AD296" s="93"/>
      <c r="AE296" s="85"/>
    </row>
    <row r="297" spans="6:31" x14ac:dyDescent="0.35">
      <c r="F297" s="93"/>
      <c r="G297" s="85"/>
      <c r="H297" s="87"/>
      <c r="M297" s="94"/>
      <c r="N297" s="93"/>
      <c r="O297" s="85"/>
      <c r="Q297" s="94"/>
      <c r="R297" s="93"/>
      <c r="S297" s="85"/>
      <c r="U297" s="94"/>
      <c r="V297" s="93"/>
      <c r="W297" s="85"/>
      <c r="Y297" s="94"/>
      <c r="Z297" s="93"/>
      <c r="AA297" s="85"/>
      <c r="AC297" s="94"/>
      <c r="AD297" s="93"/>
      <c r="AE297" s="85"/>
    </row>
    <row r="298" spans="6:31" x14ac:dyDescent="0.35">
      <c r="F298" s="93"/>
      <c r="G298" s="85"/>
      <c r="H298" s="87"/>
      <c r="M298" s="94"/>
      <c r="N298" s="93"/>
      <c r="O298" s="85"/>
      <c r="Q298" s="94"/>
      <c r="R298" s="93"/>
      <c r="S298" s="85"/>
      <c r="U298" s="94"/>
      <c r="V298" s="93"/>
      <c r="W298" s="85"/>
      <c r="Y298" s="94"/>
      <c r="Z298" s="93"/>
      <c r="AA298" s="85"/>
      <c r="AC298" s="94"/>
      <c r="AD298" s="93"/>
      <c r="AE298" s="85"/>
    </row>
    <row r="299" spans="6:31" x14ac:dyDescent="0.35">
      <c r="F299" s="93"/>
      <c r="G299" s="85"/>
      <c r="H299" s="87"/>
      <c r="M299" s="94"/>
      <c r="N299" s="93"/>
      <c r="O299" s="85"/>
      <c r="Q299" s="94"/>
      <c r="R299" s="93"/>
      <c r="S299" s="85"/>
      <c r="U299" s="94"/>
      <c r="V299" s="93"/>
      <c r="W299" s="85"/>
      <c r="Y299" s="94"/>
      <c r="Z299" s="93"/>
      <c r="AA299" s="85"/>
      <c r="AC299" s="94"/>
      <c r="AD299" s="93"/>
      <c r="AE299" s="85"/>
    </row>
    <row r="300" spans="6:31" x14ac:dyDescent="0.35">
      <c r="F300" s="93"/>
      <c r="G300" s="85"/>
      <c r="H300" s="87"/>
      <c r="M300" s="94"/>
      <c r="N300" s="93"/>
      <c r="O300" s="85"/>
      <c r="Q300" s="94"/>
      <c r="R300" s="93"/>
      <c r="S300" s="85"/>
      <c r="U300" s="94"/>
      <c r="V300" s="93"/>
      <c r="W300" s="85"/>
      <c r="Y300" s="94"/>
      <c r="Z300" s="93"/>
      <c r="AA300" s="85"/>
      <c r="AC300" s="94"/>
      <c r="AD300" s="93"/>
      <c r="AE300" s="85"/>
    </row>
    <row r="301" spans="6:31" x14ac:dyDescent="0.35">
      <c r="F301" s="93"/>
      <c r="G301" s="85"/>
      <c r="H301" s="87"/>
      <c r="M301" s="94"/>
      <c r="N301" s="93"/>
      <c r="O301" s="85"/>
      <c r="Q301" s="94"/>
      <c r="R301" s="93"/>
      <c r="S301" s="85"/>
      <c r="U301" s="94"/>
      <c r="V301" s="93"/>
      <c r="W301" s="85"/>
      <c r="Y301" s="94"/>
      <c r="Z301" s="93"/>
      <c r="AA301" s="85"/>
      <c r="AC301" s="94"/>
      <c r="AD301" s="93"/>
      <c r="AE301" s="85"/>
    </row>
    <row r="302" spans="6:31" x14ac:dyDescent="0.35">
      <c r="F302" s="93"/>
      <c r="G302" s="85"/>
      <c r="H302" s="87"/>
      <c r="M302" s="94"/>
      <c r="N302" s="93"/>
      <c r="O302" s="85"/>
      <c r="Q302" s="94"/>
      <c r="R302" s="93"/>
      <c r="S302" s="85"/>
      <c r="U302" s="94"/>
      <c r="V302" s="93"/>
      <c r="W302" s="85"/>
      <c r="Y302" s="94"/>
      <c r="Z302" s="93"/>
      <c r="AA302" s="85"/>
      <c r="AC302" s="94"/>
      <c r="AD302" s="93"/>
      <c r="AE302" s="85"/>
    </row>
    <row r="303" spans="6:31" x14ac:dyDescent="0.35">
      <c r="F303" s="93"/>
      <c r="G303" s="85"/>
      <c r="H303" s="87"/>
      <c r="M303" s="94"/>
      <c r="N303" s="93"/>
      <c r="O303" s="85"/>
      <c r="Q303" s="94"/>
      <c r="R303" s="93"/>
      <c r="S303" s="85"/>
      <c r="U303" s="94"/>
      <c r="V303" s="93"/>
      <c r="W303" s="85"/>
      <c r="Y303" s="94"/>
      <c r="Z303" s="93"/>
      <c r="AA303" s="85"/>
      <c r="AC303" s="94"/>
      <c r="AD303" s="93"/>
      <c r="AE303" s="85"/>
    </row>
    <row r="304" spans="6:31" x14ac:dyDescent="0.35">
      <c r="F304" s="93"/>
      <c r="G304" s="85"/>
      <c r="H304" s="87"/>
      <c r="M304" s="94"/>
      <c r="N304" s="93"/>
      <c r="O304" s="85"/>
      <c r="Q304" s="94"/>
      <c r="R304" s="93"/>
      <c r="S304" s="85"/>
      <c r="U304" s="94"/>
      <c r="V304" s="93"/>
      <c r="W304" s="85"/>
      <c r="Y304" s="94"/>
      <c r="Z304" s="93"/>
      <c r="AA304" s="85"/>
      <c r="AC304" s="94"/>
      <c r="AD304" s="93"/>
      <c r="AE304" s="85"/>
    </row>
    <row r="305" spans="6:31" x14ac:dyDescent="0.35">
      <c r="F305" s="93"/>
      <c r="G305" s="85"/>
      <c r="H305" s="87"/>
      <c r="M305" s="94"/>
      <c r="N305" s="93"/>
      <c r="O305" s="85"/>
      <c r="Q305" s="94"/>
      <c r="R305" s="93"/>
      <c r="S305" s="85"/>
      <c r="U305" s="94"/>
      <c r="V305" s="93"/>
      <c r="W305" s="85"/>
      <c r="Y305" s="94"/>
      <c r="Z305" s="93"/>
      <c r="AA305" s="85"/>
      <c r="AC305" s="94"/>
      <c r="AD305" s="93"/>
      <c r="AE305" s="85"/>
    </row>
    <row r="306" spans="6:31" x14ac:dyDescent="0.35">
      <c r="F306" s="93"/>
      <c r="G306" s="85"/>
      <c r="H306" s="87"/>
      <c r="M306" s="94"/>
      <c r="N306" s="93"/>
      <c r="O306" s="85"/>
      <c r="Q306" s="94"/>
      <c r="R306" s="93"/>
      <c r="S306" s="85"/>
      <c r="U306" s="94"/>
      <c r="V306" s="93"/>
      <c r="W306" s="85"/>
      <c r="Y306" s="94"/>
      <c r="Z306" s="93"/>
      <c r="AA306" s="85"/>
      <c r="AC306" s="94"/>
      <c r="AD306" s="93"/>
      <c r="AE306" s="85"/>
    </row>
    <row r="307" spans="6:31" x14ac:dyDescent="0.35">
      <c r="F307" s="93"/>
      <c r="G307" s="85"/>
      <c r="H307" s="87"/>
      <c r="M307" s="94"/>
      <c r="N307" s="93"/>
      <c r="O307" s="85"/>
      <c r="Q307" s="94"/>
      <c r="R307" s="93"/>
      <c r="S307" s="85"/>
      <c r="U307" s="94"/>
      <c r="V307" s="93"/>
      <c r="W307" s="85"/>
      <c r="Y307" s="94"/>
      <c r="Z307" s="93"/>
      <c r="AA307" s="85"/>
      <c r="AC307" s="94"/>
      <c r="AD307" s="93"/>
      <c r="AE307" s="85"/>
    </row>
    <row r="308" spans="6:31" x14ac:dyDescent="0.35">
      <c r="F308" s="93"/>
      <c r="G308" s="85"/>
      <c r="H308" s="87"/>
      <c r="M308" s="94"/>
      <c r="N308" s="93"/>
      <c r="O308" s="85"/>
      <c r="Q308" s="94"/>
      <c r="R308" s="93"/>
      <c r="S308" s="85"/>
      <c r="U308" s="94"/>
      <c r="V308" s="93"/>
      <c r="W308" s="85"/>
      <c r="Y308" s="94"/>
      <c r="Z308" s="93"/>
      <c r="AA308" s="85"/>
      <c r="AC308" s="94"/>
      <c r="AD308" s="93"/>
      <c r="AE308" s="85"/>
    </row>
    <row r="309" spans="6:31" x14ac:dyDescent="0.35">
      <c r="F309" s="93"/>
      <c r="G309" s="85"/>
      <c r="H309" s="87"/>
      <c r="M309" s="94"/>
      <c r="N309" s="93"/>
      <c r="O309" s="85"/>
      <c r="Q309" s="94"/>
      <c r="R309" s="93"/>
      <c r="S309" s="85"/>
      <c r="U309" s="94"/>
      <c r="V309" s="93"/>
      <c r="W309" s="85"/>
      <c r="Y309" s="94"/>
      <c r="Z309" s="93"/>
      <c r="AA309" s="85"/>
      <c r="AC309" s="94"/>
      <c r="AD309" s="93"/>
      <c r="AE309" s="85"/>
    </row>
    <row r="310" spans="6:31" x14ac:dyDescent="0.35">
      <c r="F310" s="93"/>
      <c r="G310" s="85"/>
      <c r="H310" s="87"/>
      <c r="M310" s="94"/>
      <c r="N310" s="93"/>
      <c r="O310" s="85"/>
      <c r="Q310" s="94"/>
      <c r="R310" s="93"/>
      <c r="S310" s="85"/>
      <c r="U310" s="94"/>
      <c r="V310" s="93"/>
      <c r="W310" s="85"/>
      <c r="Y310" s="94"/>
      <c r="Z310" s="93"/>
      <c r="AA310" s="85"/>
      <c r="AC310" s="94"/>
      <c r="AD310" s="93"/>
      <c r="AE310" s="85"/>
    </row>
    <row r="311" spans="6:31" x14ac:dyDescent="0.35">
      <c r="F311" s="93"/>
      <c r="G311" s="85"/>
      <c r="H311" s="87"/>
      <c r="M311" s="94"/>
      <c r="N311" s="93"/>
      <c r="O311" s="85"/>
      <c r="Q311" s="94"/>
      <c r="R311" s="93"/>
      <c r="S311" s="85"/>
      <c r="U311" s="94"/>
      <c r="V311" s="93"/>
      <c r="W311" s="85"/>
      <c r="Y311" s="94"/>
      <c r="Z311" s="93"/>
      <c r="AA311" s="85"/>
      <c r="AC311" s="94"/>
      <c r="AD311" s="93"/>
      <c r="AE311" s="85"/>
    </row>
    <row r="312" spans="6:31" x14ac:dyDescent="0.35">
      <c r="F312" s="93"/>
      <c r="G312" s="85"/>
      <c r="H312" s="87"/>
      <c r="M312" s="94"/>
      <c r="N312" s="93"/>
      <c r="O312" s="85"/>
      <c r="Q312" s="94"/>
      <c r="R312" s="93"/>
      <c r="S312" s="85"/>
      <c r="U312" s="94"/>
      <c r="V312" s="93"/>
      <c r="W312" s="85"/>
      <c r="Y312" s="94"/>
      <c r="Z312" s="93"/>
      <c r="AA312" s="85"/>
      <c r="AC312" s="94"/>
      <c r="AD312" s="93"/>
      <c r="AE312" s="85"/>
    </row>
    <row r="313" spans="6:31" x14ac:dyDescent="0.35">
      <c r="F313" s="93"/>
      <c r="G313" s="85"/>
      <c r="H313" s="87"/>
      <c r="M313" s="94"/>
      <c r="N313" s="93"/>
      <c r="O313" s="85"/>
      <c r="Q313" s="94"/>
      <c r="R313" s="93"/>
      <c r="S313" s="85"/>
      <c r="U313" s="94"/>
      <c r="V313" s="93"/>
      <c r="W313" s="85"/>
      <c r="Y313" s="94"/>
      <c r="Z313" s="93"/>
      <c r="AA313" s="85"/>
      <c r="AC313" s="94"/>
      <c r="AD313" s="93"/>
      <c r="AE313" s="85"/>
    </row>
    <row r="314" spans="6:31" x14ac:dyDescent="0.35">
      <c r="F314" s="93"/>
      <c r="G314" s="85"/>
      <c r="H314" s="87"/>
      <c r="M314" s="94"/>
      <c r="N314" s="93"/>
      <c r="O314" s="85"/>
      <c r="Q314" s="94"/>
      <c r="R314" s="93"/>
      <c r="S314" s="85"/>
      <c r="U314" s="94"/>
      <c r="V314" s="93"/>
      <c r="W314" s="85"/>
      <c r="Y314" s="94"/>
      <c r="Z314" s="93"/>
      <c r="AA314" s="85"/>
      <c r="AC314" s="94"/>
      <c r="AD314" s="93"/>
      <c r="AE314" s="85"/>
    </row>
    <row r="315" spans="6:31" x14ac:dyDescent="0.35">
      <c r="F315" s="93"/>
      <c r="G315" s="85"/>
      <c r="H315" s="87"/>
      <c r="M315" s="94"/>
      <c r="N315" s="93"/>
      <c r="O315" s="85"/>
      <c r="Q315" s="94"/>
      <c r="R315" s="93"/>
      <c r="S315" s="85"/>
      <c r="U315" s="94"/>
      <c r="V315" s="93"/>
      <c r="W315" s="85"/>
      <c r="Y315" s="94"/>
      <c r="Z315" s="93"/>
      <c r="AA315" s="85"/>
      <c r="AC315" s="94"/>
      <c r="AD315" s="93"/>
      <c r="AE315" s="85"/>
    </row>
    <row r="316" spans="6:31" x14ac:dyDescent="0.35">
      <c r="F316" s="93"/>
      <c r="G316" s="85"/>
      <c r="H316" s="87"/>
      <c r="M316" s="94"/>
      <c r="N316" s="93"/>
      <c r="O316" s="85"/>
      <c r="Q316" s="94"/>
      <c r="R316" s="93"/>
      <c r="S316" s="85"/>
      <c r="U316" s="94"/>
      <c r="V316" s="93"/>
      <c r="W316" s="85"/>
      <c r="Y316" s="94"/>
      <c r="Z316" s="93"/>
      <c r="AA316" s="85"/>
      <c r="AC316" s="94"/>
      <c r="AD316" s="93"/>
      <c r="AE316" s="85"/>
    </row>
    <row r="317" spans="6:31" x14ac:dyDescent="0.35">
      <c r="F317" s="93"/>
      <c r="G317" s="85"/>
      <c r="H317" s="87"/>
      <c r="M317" s="94"/>
      <c r="N317" s="93"/>
      <c r="O317" s="85"/>
      <c r="Q317" s="94"/>
      <c r="R317" s="93"/>
      <c r="S317" s="85"/>
      <c r="U317" s="94"/>
      <c r="V317" s="93"/>
      <c r="W317" s="85"/>
      <c r="Y317" s="94"/>
      <c r="Z317" s="93"/>
      <c r="AA317" s="85"/>
      <c r="AC317" s="94"/>
      <c r="AD317" s="93"/>
      <c r="AE317" s="85"/>
    </row>
    <row r="318" spans="6:31" x14ac:dyDescent="0.35">
      <c r="F318" s="93"/>
      <c r="G318" s="85"/>
      <c r="H318" s="87"/>
      <c r="M318" s="94"/>
      <c r="N318" s="93"/>
      <c r="O318" s="85"/>
      <c r="Q318" s="94"/>
      <c r="R318" s="93"/>
      <c r="S318" s="85"/>
      <c r="U318" s="94"/>
      <c r="V318" s="93"/>
      <c r="W318" s="85"/>
      <c r="Y318" s="94"/>
      <c r="Z318" s="93"/>
      <c r="AA318" s="85"/>
      <c r="AC318" s="94"/>
      <c r="AD318" s="93"/>
      <c r="AE318" s="85"/>
    </row>
    <row r="319" spans="6:31" x14ac:dyDescent="0.35">
      <c r="F319" s="93"/>
      <c r="G319" s="85"/>
      <c r="H319" s="87"/>
      <c r="M319" s="94"/>
      <c r="N319" s="93"/>
      <c r="O319" s="85"/>
      <c r="Q319" s="94"/>
      <c r="R319" s="93"/>
      <c r="S319" s="85"/>
      <c r="U319" s="94"/>
      <c r="V319" s="93"/>
      <c r="W319" s="85"/>
      <c r="Y319" s="94"/>
      <c r="Z319" s="93"/>
      <c r="AA319" s="85"/>
      <c r="AC319" s="94"/>
      <c r="AD319" s="93"/>
      <c r="AE319" s="85"/>
    </row>
    <row r="320" spans="6:31" x14ac:dyDescent="0.35">
      <c r="F320" s="93"/>
      <c r="G320" s="85"/>
      <c r="H320" s="87"/>
      <c r="M320" s="94"/>
      <c r="N320" s="93"/>
      <c r="O320" s="85"/>
      <c r="Q320" s="94"/>
      <c r="R320" s="93"/>
      <c r="S320" s="85"/>
      <c r="U320" s="94"/>
      <c r="V320" s="93"/>
      <c r="W320" s="85"/>
      <c r="Y320" s="94"/>
      <c r="Z320" s="93"/>
      <c r="AA320" s="85"/>
      <c r="AC320" s="94"/>
      <c r="AD320" s="93"/>
      <c r="AE320" s="85"/>
    </row>
    <row r="321" spans="6:31" x14ac:dyDescent="0.35">
      <c r="F321" s="93"/>
      <c r="G321" s="85"/>
      <c r="H321" s="87"/>
      <c r="M321" s="94"/>
      <c r="N321" s="93"/>
      <c r="O321" s="85"/>
      <c r="Q321" s="94"/>
      <c r="R321" s="93"/>
      <c r="S321" s="85"/>
      <c r="U321" s="94"/>
      <c r="V321" s="93"/>
      <c r="W321" s="85"/>
      <c r="Y321" s="94"/>
      <c r="Z321" s="93"/>
      <c r="AA321" s="85"/>
      <c r="AC321" s="94"/>
      <c r="AD321" s="93"/>
      <c r="AE321" s="85"/>
    </row>
    <row r="322" spans="6:31" x14ac:dyDescent="0.35">
      <c r="F322" s="93"/>
      <c r="G322" s="85"/>
      <c r="H322" s="87"/>
      <c r="M322" s="94"/>
      <c r="N322" s="93"/>
      <c r="O322" s="85"/>
      <c r="Q322" s="94"/>
      <c r="R322" s="93"/>
      <c r="S322" s="85"/>
      <c r="U322" s="94"/>
      <c r="V322" s="93"/>
      <c r="W322" s="85"/>
      <c r="Y322" s="94"/>
      <c r="Z322" s="93"/>
      <c r="AA322" s="85"/>
      <c r="AC322" s="94"/>
      <c r="AD322" s="93"/>
      <c r="AE322" s="85"/>
    </row>
    <row r="323" spans="6:31" x14ac:dyDescent="0.35">
      <c r="F323" s="93"/>
      <c r="G323" s="85"/>
      <c r="H323" s="87"/>
      <c r="M323" s="94"/>
      <c r="N323" s="93"/>
      <c r="O323" s="85"/>
      <c r="Q323" s="94"/>
      <c r="R323" s="93"/>
      <c r="S323" s="85"/>
      <c r="U323" s="94"/>
      <c r="V323" s="93"/>
      <c r="W323" s="85"/>
      <c r="Y323" s="94"/>
      <c r="Z323" s="93"/>
      <c r="AA323" s="85"/>
      <c r="AC323" s="94"/>
      <c r="AD323" s="93"/>
      <c r="AE323" s="85"/>
    </row>
    <row r="324" spans="6:31" x14ac:dyDescent="0.35">
      <c r="F324" s="93"/>
      <c r="G324" s="85"/>
      <c r="H324" s="87"/>
      <c r="M324" s="94"/>
      <c r="N324" s="93"/>
      <c r="O324" s="85"/>
      <c r="Q324" s="94"/>
      <c r="R324" s="93"/>
      <c r="S324" s="85"/>
      <c r="U324" s="94"/>
      <c r="V324" s="93"/>
      <c r="W324" s="85"/>
      <c r="Y324" s="94"/>
      <c r="Z324" s="93"/>
      <c r="AA324" s="85"/>
      <c r="AC324" s="94"/>
      <c r="AD324" s="93"/>
      <c r="AE324" s="85"/>
    </row>
    <row r="325" spans="6:31" x14ac:dyDescent="0.35">
      <c r="F325" s="93"/>
      <c r="G325" s="85"/>
      <c r="H325" s="87"/>
      <c r="M325" s="94"/>
      <c r="N325" s="93"/>
      <c r="O325" s="85"/>
      <c r="Q325" s="94"/>
      <c r="R325" s="93"/>
      <c r="S325" s="85"/>
      <c r="U325" s="94"/>
      <c r="V325" s="93"/>
      <c r="W325" s="85"/>
      <c r="Y325" s="94"/>
      <c r="Z325" s="93"/>
      <c r="AA325" s="85"/>
      <c r="AC325" s="94"/>
      <c r="AD325" s="93"/>
      <c r="AE325" s="85"/>
    </row>
    <row r="326" spans="6:31" x14ac:dyDescent="0.35">
      <c r="F326" s="93"/>
      <c r="G326" s="85"/>
      <c r="H326" s="87"/>
      <c r="M326" s="94"/>
      <c r="N326" s="93"/>
      <c r="O326" s="85"/>
      <c r="Q326" s="94"/>
      <c r="R326" s="93"/>
      <c r="S326" s="85"/>
      <c r="U326" s="94"/>
      <c r="V326" s="93"/>
      <c r="W326" s="85"/>
      <c r="Y326" s="94"/>
      <c r="Z326" s="93"/>
      <c r="AA326" s="85"/>
      <c r="AC326" s="94"/>
      <c r="AD326" s="93"/>
      <c r="AE326" s="85"/>
    </row>
    <row r="327" spans="6:31" x14ac:dyDescent="0.35">
      <c r="F327" s="93"/>
      <c r="G327" s="85"/>
      <c r="H327" s="87"/>
      <c r="M327" s="94"/>
      <c r="N327" s="93"/>
      <c r="O327" s="85"/>
      <c r="Q327" s="94"/>
      <c r="R327" s="93"/>
      <c r="S327" s="85"/>
      <c r="U327" s="94"/>
      <c r="V327" s="93"/>
      <c r="W327" s="85"/>
      <c r="Y327" s="94"/>
      <c r="Z327" s="93"/>
      <c r="AA327" s="85"/>
      <c r="AC327" s="94"/>
      <c r="AD327" s="93"/>
      <c r="AE327" s="85"/>
    </row>
    <row r="328" spans="6:31" x14ac:dyDescent="0.35">
      <c r="F328" s="93"/>
      <c r="G328" s="85"/>
      <c r="H328" s="87"/>
      <c r="M328" s="94"/>
      <c r="N328" s="93"/>
      <c r="O328" s="85"/>
      <c r="Q328" s="94"/>
      <c r="R328" s="93"/>
      <c r="S328" s="85"/>
      <c r="U328" s="94"/>
      <c r="V328" s="93"/>
      <c r="W328" s="85"/>
      <c r="Y328" s="94"/>
      <c r="Z328" s="93"/>
      <c r="AA328" s="85"/>
      <c r="AC328" s="94"/>
      <c r="AD328" s="93"/>
      <c r="AE328" s="85"/>
    </row>
    <row r="329" spans="6:31" x14ac:dyDescent="0.35">
      <c r="F329" s="93"/>
      <c r="G329" s="85"/>
      <c r="H329" s="87"/>
      <c r="M329" s="94"/>
      <c r="N329" s="93"/>
      <c r="O329" s="85"/>
      <c r="Q329" s="94"/>
      <c r="R329" s="93"/>
      <c r="S329" s="85"/>
      <c r="U329" s="94"/>
      <c r="V329" s="93"/>
      <c r="W329" s="85"/>
      <c r="Y329" s="94"/>
      <c r="Z329" s="93"/>
      <c r="AA329" s="85"/>
      <c r="AC329" s="94"/>
      <c r="AD329" s="93"/>
      <c r="AE329" s="85"/>
    </row>
    <row r="330" spans="6:31" x14ac:dyDescent="0.35">
      <c r="F330" s="93"/>
      <c r="G330" s="85"/>
      <c r="H330" s="87"/>
      <c r="M330" s="94"/>
      <c r="N330" s="93"/>
      <c r="O330" s="85"/>
      <c r="Q330" s="94"/>
      <c r="R330" s="93"/>
      <c r="S330" s="85"/>
      <c r="U330" s="94"/>
      <c r="V330" s="93"/>
      <c r="W330" s="85"/>
      <c r="Y330" s="94"/>
      <c r="Z330" s="93"/>
      <c r="AA330" s="85"/>
      <c r="AC330" s="94"/>
      <c r="AD330" s="93"/>
      <c r="AE330" s="85"/>
    </row>
    <row r="331" spans="6:31" x14ac:dyDescent="0.35">
      <c r="F331" s="93"/>
      <c r="G331" s="85"/>
      <c r="H331" s="87"/>
      <c r="M331" s="94"/>
      <c r="N331" s="93"/>
      <c r="O331" s="85"/>
      <c r="Q331" s="94"/>
      <c r="R331" s="93"/>
      <c r="S331" s="85"/>
      <c r="U331" s="94"/>
      <c r="V331" s="93"/>
      <c r="W331" s="85"/>
      <c r="Y331" s="94"/>
      <c r="Z331" s="93"/>
      <c r="AA331" s="85"/>
      <c r="AC331" s="94"/>
      <c r="AD331" s="93"/>
      <c r="AE331" s="85"/>
    </row>
    <row r="332" spans="6:31" x14ac:dyDescent="0.35">
      <c r="F332" s="93"/>
      <c r="G332" s="85"/>
      <c r="H332" s="87"/>
      <c r="M332" s="94"/>
      <c r="N332" s="93"/>
      <c r="O332" s="85"/>
      <c r="Q332" s="94"/>
      <c r="R332" s="93"/>
      <c r="S332" s="85"/>
      <c r="U332" s="94"/>
      <c r="V332" s="93"/>
      <c r="W332" s="85"/>
      <c r="Y332" s="94"/>
      <c r="Z332" s="93"/>
      <c r="AA332" s="85"/>
      <c r="AC332" s="94"/>
      <c r="AD332" s="93"/>
      <c r="AE332" s="85"/>
    </row>
    <row r="333" spans="6:31" x14ac:dyDescent="0.35">
      <c r="F333" s="93"/>
      <c r="G333" s="85"/>
      <c r="H333" s="87"/>
      <c r="M333" s="94"/>
      <c r="N333" s="93"/>
      <c r="O333" s="85"/>
      <c r="Q333" s="94"/>
      <c r="R333" s="93"/>
      <c r="S333" s="85"/>
      <c r="U333" s="94"/>
      <c r="V333" s="93"/>
      <c r="W333" s="85"/>
      <c r="Y333" s="94"/>
      <c r="Z333" s="93"/>
      <c r="AA333" s="85"/>
      <c r="AC333" s="94"/>
      <c r="AD333" s="93"/>
      <c r="AE333" s="85"/>
    </row>
    <row r="334" spans="6:31" x14ac:dyDescent="0.35">
      <c r="F334" s="93"/>
      <c r="G334" s="85"/>
      <c r="H334" s="87"/>
      <c r="M334" s="94"/>
      <c r="N334" s="93"/>
      <c r="O334" s="85"/>
      <c r="Q334" s="94"/>
      <c r="R334" s="93"/>
      <c r="S334" s="85"/>
      <c r="U334" s="94"/>
      <c r="V334" s="93"/>
      <c r="W334" s="85"/>
      <c r="Y334" s="94"/>
      <c r="Z334" s="93"/>
      <c r="AA334" s="85"/>
      <c r="AC334" s="94"/>
      <c r="AD334" s="93"/>
      <c r="AE334" s="85"/>
    </row>
    <row r="335" spans="6:31" x14ac:dyDescent="0.35">
      <c r="F335" s="93"/>
      <c r="G335" s="85"/>
      <c r="H335" s="87"/>
      <c r="M335" s="94"/>
      <c r="N335" s="93"/>
      <c r="O335" s="85"/>
      <c r="Q335" s="94"/>
      <c r="R335" s="93"/>
      <c r="S335" s="85"/>
      <c r="U335" s="94"/>
      <c r="V335" s="93"/>
      <c r="W335" s="85"/>
      <c r="Y335" s="94"/>
      <c r="Z335" s="93"/>
      <c r="AA335" s="85"/>
      <c r="AC335" s="94"/>
      <c r="AD335" s="93"/>
      <c r="AE335" s="85"/>
    </row>
    <row r="336" spans="6:31" x14ac:dyDescent="0.35">
      <c r="F336" s="93"/>
      <c r="G336" s="85"/>
      <c r="H336" s="87"/>
      <c r="M336" s="94"/>
      <c r="N336" s="93"/>
      <c r="O336" s="85"/>
      <c r="Q336" s="94"/>
      <c r="R336" s="93"/>
      <c r="S336" s="85"/>
      <c r="U336" s="94"/>
      <c r="V336" s="93"/>
      <c r="W336" s="85"/>
      <c r="Y336" s="94"/>
      <c r="Z336" s="93"/>
      <c r="AA336" s="85"/>
      <c r="AC336" s="94"/>
      <c r="AD336" s="93"/>
      <c r="AE336" s="85"/>
    </row>
    <row r="337" spans="6:31" x14ac:dyDescent="0.35">
      <c r="F337" s="93"/>
      <c r="G337" s="85"/>
      <c r="H337" s="87"/>
      <c r="M337" s="94"/>
      <c r="N337" s="93"/>
      <c r="O337" s="85"/>
      <c r="Q337" s="94"/>
      <c r="R337" s="93"/>
      <c r="S337" s="85"/>
      <c r="U337" s="94"/>
      <c r="V337" s="93"/>
      <c r="W337" s="85"/>
      <c r="Y337" s="94"/>
      <c r="Z337" s="93"/>
      <c r="AA337" s="85"/>
      <c r="AC337" s="94"/>
      <c r="AD337" s="93"/>
      <c r="AE337" s="85"/>
    </row>
    <row r="338" spans="6:31" x14ac:dyDescent="0.35">
      <c r="F338" s="93"/>
      <c r="G338" s="85"/>
      <c r="H338" s="87"/>
      <c r="M338" s="94"/>
      <c r="N338" s="93"/>
      <c r="O338" s="85"/>
      <c r="Q338" s="94"/>
      <c r="R338" s="93"/>
      <c r="S338" s="85"/>
      <c r="U338" s="94"/>
      <c r="V338" s="93"/>
      <c r="W338" s="85"/>
      <c r="Y338" s="94"/>
      <c r="Z338" s="93"/>
      <c r="AA338" s="85"/>
      <c r="AC338" s="94"/>
      <c r="AD338" s="93"/>
      <c r="AE338" s="85"/>
    </row>
    <row r="339" spans="6:31" x14ac:dyDescent="0.35">
      <c r="F339" s="93"/>
      <c r="G339" s="85"/>
      <c r="H339" s="87"/>
      <c r="M339" s="94"/>
      <c r="N339" s="93"/>
      <c r="O339" s="85"/>
      <c r="Q339" s="94"/>
      <c r="R339" s="93"/>
      <c r="S339" s="85"/>
      <c r="U339" s="94"/>
      <c r="V339" s="93"/>
      <c r="W339" s="85"/>
      <c r="Y339" s="94"/>
      <c r="Z339" s="93"/>
      <c r="AA339" s="85"/>
      <c r="AC339" s="94"/>
      <c r="AD339" s="93"/>
      <c r="AE339" s="85"/>
    </row>
    <row r="340" spans="6:31" x14ac:dyDescent="0.35">
      <c r="F340" s="93"/>
      <c r="G340" s="85"/>
      <c r="H340" s="87"/>
      <c r="M340" s="94"/>
      <c r="N340" s="93"/>
      <c r="O340" s="85"/>
      <c r="Q340" s="94"/>
      <c r="R340" s="93"/>
      <c r="S340" s="85"/>
      <c r="U340" s="94"/>
      <c r="V340" s="93"/>
      <c r="W340" s="85"/>
      <c r="Y340" s="94"/>
      <c r="Z340" s="93"/>
      <c r="AA340" s="85"/>
      <c r="AC340" s="94"/>
      <c r="AD340" s="93"/>
      <c r="AE340" s="85"/>
    </row>
    <row r="341" spans="6:31" x14ac:dyDescent="0.35">
      <c r="F341" s="93"/>
      <c r="G341" s="85"/>
      <c r="H341" s="87"/>
      <c r="M341" s="94"/>
      <c r="N341" s="93"/>
      <c r="O341" s="85"/>
      <c r="Q341" s="94"/>
      <c r="R341" s="93"/>
      <c r="S341" s="85"/>
      <c r="U341" s="94"/>
      <c r="V341" s="93"/>
      <c r="W341" s="85"/>
      <c r="Y341" s="94"/>
      <c r="Z341" s="93"/>
      <c r="AA341" s="85"/>
      <c r="AC341" s="94"/>
      <c r="AD341" s="93"/>
      <c r="AE341" s="85"/>
    </row>
    <row r="342" spans="6:31" x14ac:dyDescent="0.35">
      <c r="F342" s="93"/>
      <c r="G342" s="85"/>
      <c r="H342" s="87"/>
      <c r="M342" s="94"/>
      <c r="N342" s="93"/>
      <c r="O342" s="85"/>
      <c r="Q342" s="94"/>
      <c r="R342" s="93"/>
      <c r="S342" s="85"/>
      <c r="U342" s="94"/>
      <c r="V342" s="93"/>
      <c r="W342" s="85"/>
      <c r="Y342" s="94"/>
      <c r="Z342" s="93"/>
      <c r="AA342" s="85"/>
      <c r="AC342" s="94"/>
      <c r="AD342" s="93"/>
      <c r="AE342" s="85"/>
    </row>
    <row r="343" spans="6:31" x14ac:dyDescent="0.35">
      <c r="F343" s="93"/>
      <c r="G343" s="85"/>
      <c r="H343" s="87"/>
      <c r="M343" s="94"/>
      <c r="N343" s="93"/>
      <c r="O343" s="85"/>
      <c r="Q343" s="94"/>
      <c r="R343" s="93"/>
      <c r="S343" s="85"/>
      <c r="U343" s="94"/>
      <c r="V343" s="93"/>
      <c r="W343" s="85"/>
      <c r="Y343" s="94"/>
      <c r="Z343" s="93"/>
      <c r="AA343" s="85"/>
      <c r="AC343" s="94"/>
      <c r="AD343" s="93"/>
      <c r="AE343" s="85"/>
    </row>
    <row r="344" spans="6:31" x14ac:dyDescent="0.35">
      <c r="F344" s="93"/>
      <c r="G344" s="85"/>
      <c r="H344" s="87"/>
      <c r="M344" s="94"/>
      <c r="N344" s="93"/>
      <c r="O344" s="85"/>
      <c r="Q344" s="94"/>
      <c r="R344" s="93"/>
      <c r="S344" s="85"/>
      <c r="U344" s="94"/>
      <c r="V344" s="93"/>
      <c r="W344" s="85"/>
      <c r="Y344" s="94"/>
      <c r="Z344" s="93"/>
      <c r="AA344" s="85"/>
      <c r="AC344" s="94"/>
      <c r="AD344" s="93"/>
      <c r="AE344" s="85"/>
    </row>
    <row r="345" spans="6:31" x14ac:dyDescent="0.35">
      <c r="F345" s="93"/>
      <c r="G345" s="85"/>
      <c r="H345" s="87"/>
      <c r="M345" s="94"/>
      <c r="N345" s="93"/>
      <c r="O345" s="85"/>
      <c r="Q345" s="94"/>
      <c r="R345" s="93"/>
      <c r="S345" s="85"/>
      <c r="U345" s="94"/>
      <c r="V345" s="93"/>
      <c r="W345" s="85"/>
      <c r="Y345" s="94"/>
      <c r="Z345" s="93"/>
      <c r="AA345" s="85"/>
      <c r="AC345" s="94"/>
      <c r="AD345" s="93"/>
      <c r="AE345" s="85"/>
    </row>
    <row r="346" spans="6:31" x14ac:dyDescent="0.35">
      <c r="F346" s="93"/>
      <c r="G346" s="85"/>
      <c r="H346" s="87"/>
      <c r="M346" s="94"/>
      <c r="N346" s="93"/>
      <c r="O346" s="85"/>
      <c r="Q346" s="94"/>
      <c r="R346" s="93"/>
      <c r="S346" s="85"/>
      <c r="U346" s="94"/>
      <c r="V346" s="93"/>
      <c r="W346" s="85"/>
      <c r="Y346" s="94"/>
      <c r="Z346" s="93"/>
      <c r="AA346" s="85"/>
      <c r="AC346" s="94"/>
      <c r="AD346" s="93"/>
      <c r="AE346" s="85"/>
    </row>
    <row r="347" spans="6:31" x14ac:dyDescent="0.35">
      <c r="F347" s="93"/>
      <c r="G347" s="85"/>
      <c r="H347" s="87"/>
      <c r="M347" s="94"/>
      <c r="N347" s="93"/>
      <c r="O347" s="85"/>
      <c r="Q347" s="94"/>
      <c r="R347" s="93"/>
      <c r="S347" s="85"/>
      <c r="U347" s="94"/>
      <c r="V347" s="93"/>
      <c r="W347" s="85"/>
      <c r="Y347" s="94"/>
      <c r="Z347" s="93"/>
      <c r="AA347" s="85"/>
      <c r="AC347" s="94"/>
      <c r="AD347" s="93"/>
      <c r="AE347" s="85"/>
    </row>
    <row r="348" spans="6:31" x14ac:dyDescent="0.35">
      <c r="F348" s="93"/>
      <c r="G348" s="85"/>
      <c r="H348" s="87"/>
      <c r="M348" s="94"/>
      <c r="N348" s="93"/>
      <c r="O348" s="85"/>
      <c r="Q348" s="94"/>
      <c r="R348" s="93"/>
      <c r="S348" s="85"/>
      <c r="U348" s="94"/>
      <c r="V348" s="93"/>
      <c r="W348" s="85"/>
      <c r="Y348" s="94"/>
      <c r="Z348" s="93"/>
      <c r="AA348" s="85"/>
      <c r="AC348" s="94"/>
      <c r="AD348" s="93"/>
      <c r="AE348" s="85"/>
    </row>
    <row r="349" spans="6:31" x14ac:dyDescent="0.35">
      <c r="F349" s="93"/>
      <c r="G349" s="85"/>
      <c r="H349" s="87"/>
      <c r="M349" s="94"/>
      <c r="N349" s="93"/>
      <c r="O349" s="85"/>
      <c r="Q349" s="94"/>
      <c r="R349" s="93"/>
      <c r="S349" s="85"/>
      <c r="U349" s="94"/>
      <c r="V349" s="93"/>
      <c r="W349" s="85"/>
      <c r="Y349" s="94"/>
      <c r="Z349" s="93"/>
      <c r="AA349" s="85"/>
      <c r="AC349" s="94"/>
      <c r="AD349" s="93"/>
      <c r="AE349" s="85"/>
    </row>
    <row r="350" spans="6:31" x14ac:dyDescent="0.35">
      <c r="F350" s="93"/>
      <c r="G350" s="85"/>
      <c r="H350" s="87"/>
      <c r="M350" s="94"/>
      <c r="N350" s="93"/>
      <c r="O350" s="85"/>
      <c r="Q350" s="94"/>
      <c r="R350" s="93"/>
      <c r="S350" s="85"/>
      <c r="U350" s="94"/>
      <c r="V350" s="93"/>
      <c r="W350" s="85"/>
      <c r="Y350" s="94"/>
      <c r="Z350" s="93"/>
      <c r="AA350" s="85"/>
      <c r="AC350" s="94"/>
      <c r="AD350" s="93"/>
      <c r="AE350" s="85"/>
    </row>
    <row r="351" spans="6:31" x14ac:dyDescent="0.35">
      <c r="F351" s="93"/>
      <c r="G351" s="85"/>
      <c r="H351" s="87"/>
      <c r="M351" s="94"/>
      <c r="N351" s="93"/>
      <c r="O351" s="85"/>
      <c r="Q351" s="94"/>
      <c r="R351" s="93"/>
      <c r="S351" s="85"/>
      <c r="U351" s="94"/>
      <c r="V351" s="93"/>
      <c r="W351" s="85"/>
      <c r="Y351" s="94"/>
      <c r="Z351" s="93"/>
      <c r="AA351" s="85"/>
      <c r="AC351" s="94"/>
      <c r="AD351" s="93"/>
      <c r="AE351" s="85"/>
    </row>
    <row r="352" spans="6:31" x14ac:dyDescent="0.35">
      <c r="F352" s="93"/>
      <c r="G352" s="85"/>
      <c r="H352" s="87"/>
      <c r="M352" s="94"/>
      <c r="N352" s="93"/>
      <c r="O352" s="85"/>
      <c r="Q352" s="94"/>
      <c r="R352" s="93"/>
      <c r="S352" s="85"/>
      <c r="U352" s="94"/>
      <c r="V352" s="93"/>
      <c r="W352" s="85"/>
      <c r="Y352" s="94"/>
      <c r="Z352" s="93"/>
      <c r="AA352" s="85"/>
      <c r="AC352" s="94"/>
      <c r="AD352" s="93"/>
      <c r="AE352" s="85"/>
    </row>
    <row r="353" spans="6:31" x14ac:dyDescent="0.35">
      <c r="F353" s="93"/>
      <c r="G353" s="85"/>
      <c r="H353" s="87"/>
      <c r="M353" s="94"/>
      <c r="N353" s="93"/>
      <c r="O353" s="85"/>
      <c r="Q353" s="94"/>
      <c r="R353" s="93"/>
      <c r="S353" s="85"/>
      <c r="U353" s="94"/>
      <c r="V353" s="93"/>
      <c r="W353" s="85"/>
      <c r="Y353" s="94"/>
      <c r="Z353" s="93"/>
      <c r="AA353" s="85"/>
      <c r="AC353" s="94"/>
      <c r="AD353" s="93"/>
      <c r="AE353" s="85"/>
    </row>
    <row r="354" spans="6:31" x14ac:dyDescent="0.35">
      <c r="F354" s="93"/>
      <c r="G354" s="85"/>
      <c r="H354" s="87"/>
      <c r="M354" s="94"/>
      <c r="N354" s="93"/>
      <c r="O354" s="85"/>
      <c r="Q354" s="94"/>
      <c r="R354" s="93"/>
      <c r="S354" s="85"/>
      <c r="U354" s="94"/>
      <c r="V354" s="93"/>
      <c r="W354" s="85"/>
      <c r="Y354" s="94"/>
      <c r="Z354" s="93"/>
      <c r="AA354" s="85"/>
      <c r="AC354" s="94"/>
      <c r="AD354" s="93"/>
      <c r="AE354" s="85"/>
    </row>
    <row r="355" spans="6:31" x14ac:dyDescent="0.35">
      <c r="F355" s="93"/>
      <c r="G355" s="85"/>
      <c r="H355" s="87"/>
      <c r="M355" s="94"/>
      <c r="N355" s="93"/>
      <c r="O355" s="85"/>
      <c r="Q355" s="94"/>
      <c r="R355" s="93"/>
      <c r="S355" s="85"/>
      <c r="U355" s="94"/>
      <c r="V355" s="93"/>
      <c r="W355" s="85"/>
      <c r="Y355" s="94"/>
      <c r="Z355" s="93"/>
      <c r="AA355" s="85"/>
      <c r="AC355" s="94"/>
      <c r="AD355" s="93"/>
      <c r="AE355" s="85"/>
    </row>
    <row r="356" spans="6:31" x14ac:dyDescent="0.35">
      <c r="F356" s="93"/>
      <c r="G356" s="85"/>
      <c r="H356" s="87"/>
      <c r="M356" s="94"/>
      <c r="N356" s="93"/>
      <c r="O356" s="85"/>
      <c r="Q356" s="94"/>
      <c r="R356" s="93"/>
      <c r="S356" s="85"/>
      <c r="U356" s="94"/>
      <c r="V356" s="93"/>
      <c r="W356" s="85"/>
      <c r="Y356" s="94"/>
      <c r="Z356" s="93"/>
      <c r="AA356" s="85"/>
      <c r="AC356" s="94"/>
      <c r="AD356" s="93"/>
      <c r="AE356" s="85"/>
    </row>
    <row r="357" spans="6:31" x14ac:dyDescent="0.35">
      <c r="F357" s="93"/>
      <c r="G357" s="85"/>
      <c r="H357" s="87"/>
      <c r="M357" s="94"/>
      <c r="N357" s="93"/>
      <c r="O357" s="85"/>
      <c r="Q357" s="94"/>
      <c r="R357" s="93"/>
      <c r="S357" s="85"/>
      <c r="U357" s="94"/>
      <c r="V357" s="93"/>
      <c r="W357" s="85"/>
      <c r="Y357" s="94"/>
      <c r="Z357" s="93"/>
      <c r="AA357" s="85"/>
      <c r="AC357" s="94"/>
      <c r="AD357" s="93"/>
      <c r="AE357" s="85"/>
    </row>
    <row r="358" spans="6:31" x14ac:dyDescent="0.35">
      <c r="F358" s="93"/>
      <c r="G358" s="85"/>
      <c r="H358" s="87"/>
      <c r="M358" s="94"/>
      <c r="N358" s="93"/>
      <c r="O358" s="85"/>
      <c r="Q358" s="94"/>
      <c r="R358" s="93"/>
      <c r="S358" s="85"/>
      <c r="U358" s="94"/>
      <c r="V358" s="93"/>
      <c r="W358" s="85"/>
      <c r="Y358" s="94"/>
      <c r="Z358" s="93"/>
      <c r="AA358" s="85"/>
      <c r="AC358" s="94"/>
      <c r="AD358" s="93"/>
      <c r="AE358" s="85"/>
    </row>
    <row r="359" spans="6:31" x14ac:dyDescent="0.35">
      <c r="F359" s="93"/>
      <c r="G359" s="85"/>
      <c r="H359" s="87"/>
      <c r="M359" s="94"/>
      <c r="N359" s="93"/>
      <c r="O359" s="85"/>
      <c r="Q359" s="94"/>
      <c r="R359" s="93"/>
      <c r="S359" s="85"/>
      <c r="U359" s="94"/>
      <c r="V359" s="93"/>
      <c r="W359" s="85"/>
      <c r="Y359" s="94"/>
      <c r="Z359" s="93"/>
      <c r="AA359" s="85"/>
      <c r="AC359" s="94"/>
      <c r="AD359" s="93"/>
      <c r="AE359" s="85"/>
    </row>
    <row r="360" spans="6:31" x14ac:dyDescent="0.35">
      <c r="F360" s="93"/>
      <c r="G360" s="85"/>
      <c r="H360" s="87"/>
      <c r="M360" s="94"/>
      <c r="N360" s="93"/>
      <c r="O360" s="85"/>
      <c r="Q360" s="94"/>
      <c r="R360" s="93"/>
      <c r="S360" s="85"/>
      <c r="U360" s="94"/>
      <c r="V360" s="93"/>
      <c r="W360" s="85"/>
      <c r="Y360" s="94"/>
      <c r="Z360" s="93"/>
      <c r="AA360" s="85"/>
      <c r="AC360" s="94"/>
      <c r="AD360" s="93"/>
      <c r="AE360" s="85"/>
    </row>
    <row r="361" spans="6:31" x14ac:dyDescent="0.35">
      <c r="F361" s="93"/>
      <c r="G361" s="85"/>
      <c r="H361" s="87"/>
      <c r="M361" s="94"/>
      <c r="N361" s="93"/>
      <c r="O361" s="85"/>
      <c r="Q361" s="94"/>
      <c r="R361" s="93"/>
      <c r="S361" s="85"/>
      <c r="U361" s="94"/>
      <c r="V361" s="93"/>
      <c r="W361" s="85"/>
      <c r="Y361" s="94"/>
      <c r="Z361" s="93"/>
      <c r="AA361" s="85"/>
      <c r="AC361" s="94"/>
      <c r="AD361" s="93"/>
      <c r="AE361" s="85"/>
    </row>
    <row r="362" spans="6:31" x14ac:dyDescent="0.35">
      <c r="F362" s="93"/>
      <c r="G362" s="85"/>
      <c r="H362" s="87"/>
      <c r="M362" s="94"/>
      <c r="N362" s="93"/>
      <c r="O362" s="85"/>
      <c r="Q362" s="94"/>
      <c r="R362" s="93"/>
      <c r="S362" s="85"/>
      <c r="U362" s="94"/>
      <c r="V362" s="93"/>
      <c r="W362" s="85"/>
      <c r="Y362" s="94"/>
      <c r="Z362" s="93"/>
      <c r="AA362" s="85"/>
      <c r="AC362" s="94"/>
      <c r="AD362" s="93"/>
      <c r="AE362" s="85"/>
    </row>
    <row r="363" spans="6:31" x14ac:dyDescent="0.35">
      <c r="F363" s="93"/>
      <c r="G363" s="85"/>
      <c r="H363" s="87"/>
      <c r="M363" s="94"/>
      <c r="N363" s="93"/>
      <c r="O363" s="85"/>
      <c r="Q363" s="94"/>
      <c r="R363" s="93"/>
      <c r="S363" s="85"/>
      <c r="U363" s="94"/>
      <c r="V363" s="93"/>
      <c r="W363" s="85"/>
      <c r="Y363" s="94"/>
      <c r="Z363" s="93"/>
      <c r="AA363" s="85"/>
      <c r="AC363" s="94"/>
      <c r="AD363" s="93"/>
      <c r="AE363" s="85"/>
    </row>
    <row r="364" spans="6:31" x14ac:dyDescent="0.35">
      <c r="F364" s="93"/>
      <c r="G364" s="85"/>
      <c r="H364" s="87"/>
      <c r="M364" s="94"/>
      <c r="N364" s="93"/>
      <c r="O364" s="85"/>
      <c r="Q364" s="94"/>
      <c r="R364" s="93"/>
      <c r="S364" s="85"/>
      <c r="U364" s="94"/>
      <c r="V364" s="93"/>
      <c r="W364" s="85"/>
      <c r="Y364" s="94"/>
      <c r="Z364" s="93"/>
      <c r="AA364" s="85"/>
      <c r="AC364" s="94"/>
      <c r="AD364" s="93"/>
      <c r="AE364" s="85"/>
    </row>
    <row r="365" spans="6:31" x14ac:dyDescent="0.35">
      <c r="F365" s="93"/>
      <c r="G365" s="85"/>
      <c r="H365" s="87"/>
      <c r="M365" s="94"/>
      <c r="N365" s="93"/>
      <c r="O365" s="85"/>
      <c r="Q365" s="94"/>
      <c r="R365" s="93"/>
      <c r="S365" s="85"/>
      <c r="U365" s="94"/>
      <c r="V365" s="93"/>
      <c r="W365" s="85"/>
      <c r="Y365" s="94"/>
      <c r="Z365" s="93"/>
      <c r="AA365" s="85"/>
      <c r="AC365" s="94"/>
      <c r="AD365" s="93"/>
      <c r="AE365" s="85"/>
    </row>
    <row r="366" spans="6:31" x14ac:dyDescent="0.35">
      <c r="F366" s="93"/>
      <c r="G366" s="85"/>
      <c r="H366" s="87"/>
      <c r="M366" s="94"/>
      <c r="N366" s="93"/>
      <c r="O366" s="85"/>
      <c r="Q366" s="94"/>
      <c r="R366" s="93"/>
      <c r="S366" s="85"/>
      <c r="U366" s="94"/>
      <c r="V366" s="93"/>
      <c r="W366" s="85"/>
      <c r="Y366" s="94"/>
      <c r="Z366" s="93"/>
      <c r="AA366" s="85"/>
      <c r="AC366" s="94"/>
      <c r="AD366" s="93"/>
      <c r="AE366" s="85"/>
    </row>
    <row r="367" spans="6:31" x14ac:dyDescent="0.35">
      <c r="F367" s="93"/>
      <c r="G367" s="85"/>
      <c r="H367" s="87"/>
      <c r="M367" s="94"/>
      <c r="N367" s="93"/>
      <c r="O367" s="85"/>
      <c r="Q367" s="94"/>
      <c r="R367" s="93"/>
      <c r="S367" s="85"/>
      <c r="U367" s="94"/>
      <c r="V367" s="93"/>
      <c r="W367" s="85"/>
      <c r="Y367" s="94"/>
      <c r="Z367" s="93"/>
      <c r="AA367" s="85"/>
      <c r="AC367" s="94"/>
      <c r="AD367" s="93"/>
      <c r="AE367" s="85"/>
    </row>
    <row r="368" spans="6:31" x14ac:dyDescent="0.35">
      <c r="F368" s="93"/>
      <c r="G368" s="85"/>
      <c r="H368" s="87"/>
      <c r="M368" s="94"/>
      <c r="N368" s="93"/>
      <c r="O368" s="85"/>
      <c r="Q368" s="94"/>
      <c r="R368" s="93"/>
      <c r="S368" s="85"/>
      <c r="U368" s="94"/>
      <c r="V368" s="93"/>
      <c r="W368" s="85"/>
      <c r="Y368" s="94"/>
      <c r="Z368" s="93"/>
      <c r="AA368" s="85"/>
      <c r="AC368" s="94"/>
      <c r="AD368" s="93"/>
      <c r="AE368" s="85"/>
    </row>
    <row r="369" spans="6:31" x14ac:dyDescent="0.35">
      <c r="F369" s="93"/>
      <c r="G369" s="85"/>
      <c r="H369" s="87"/>
      <c r="M369" s="94"/>
      <c r="N369" s="93"/>
      <c r="O369" s="85"/>
      <c r="Q369" s="94"/>
      <c r="R369" s="93"/>
      <c r="S369" s="85"/>
      <c r="U369" s="94"/>
      <c r="V369" s="93"/>
      <c r="W369" s="85"/>
      <c r="Y369" s="94"/>
      <c r="Z369" s="93"/>
      <c r="AA369" s="85"/>
      <c r="AC369" s="94"/>
      <c r="AD369" s="93"/>
      <c r="AE369" s="85"/>
    </row>
    <row r="370" spans="6:31" x14ac:dyDescent="0.35">
      <c r="F370" s="93"/>
      <c r="G370" s="85"/>
      <c r="H370" s="87"/>
      <c r="M370" s="94"/>
      <c r="N370" s="93"/>
      <c r="O370" s="85"/>
      <c r="Q370" s="94"/>
      <c r="R370" s="93"/>
      <c r="S370" s="85"/>
      <c r="U370" s="94"/>
      <c r="V370" s="93"/>
      <c r="W370" s="85"/>
      <c r="Y370" s="94"/>
      <c r="Z370" s="93"/>
      <c r="AA370" s="85"/>
      <c r="AC370" s="94"/>
      <c r="AD370" s="93"/>
      <c r="AE370" s="85"/>
    </row>
    <row r="371" spans="6:31" x14ac:dyDescent="0.35">
      <c r="F371" s="93"/>
      <c r="G371" s="85"/>
      <c r="H371" s="87"/>
      <c r="M371" s="94"/>
      <c r="N371" s="93"/>
      <c r="O371" s="85"/>
      <c r="Q371" s="94"/>
      <c r="R371" s="93"/>
      <c r="S371" s="85"/>
      <c r="U371" s="94"/>
      <c r="V371" s="93"/>
      <c r="W371" s="85"/>
      <c r="Y371" s="94"/>
      <c r="Z371" s="93"/>
      <c r="AA371" s="85"/>
      <c r="AC371" s="94"/>
      <c r="AD371" s="93"/>
      <c r="AE371" s="85"/>
    </row>
    <row r="372" spans="6:31" x14ac:dyDescent="0.35">
      <c r="F372" s="93"/>
      <c r="G372" s="85"/>
      <c r="H372" s="87"/>
      <c r="M372" s="94"/>
      <c r="N372" s="93"/>
      <c r="O372" s="85"/>
      <c r="Q372" s="94"/>
      <c r="R372" s="93"/>
      <c r="S372" s="85"/>
      <c r="U372" s="94"/>
      <c r="V372" s="93"/>
      <c r="W372" s="85"/>
      <c r="Y372" s="94"/>
      <c r="Z372" s="93"/>
      <c r="AA372" s="85"/>
      <c r="AC372" s="94"/>
      <c r="AD372" s="93"/>
      <c r="AE372" s="85"/>
    </row>
    <row r="373" spans="6:31" x14ac:dyDescent="0.35">
      <c r="F373" s="93"/>
      <c r="G373" s="85"/>
      <c r="H373" s="87"/>
      <c r="M373" s="94"/>
      <c r="N373" s="93"/>
      <c r="O373" s="85"/>
      <c r="Q373" s="94"/>
      <c r="R373" s="93"/>
      <c r="S373" s="85"/>
      <c r="U373" s="94"/>
      <c r="V373" s="93"/>
      <c r="W373" s="85"/>
      <c r="Y373" s="94"/>
      <c r="Z373" s="93"/>
      <c r="AA373" s="85"/>
      <c r="AC373" s="94"/>
      <c r="AD373" s="93"/>
      <c r="AE373" s="85"/>
    </row>
    <row r="374" spans="6:31" x14ac:dyDescent="0.35">
      <c r="F374" s="93"/>
      <c r="G374" s="85"/>
      <c r="H374" s="87"/>
      <c r="M374" s="94"/>
      <c r="N374" s="93"/>
      <c r="O374" s="85"/>
      <c r="Q374" s="94"/>
      <c r="R374" s="93"/>
      <c r="S374" s="85"/>
      <c r="U374" s="94"/>
      <c r="V374" s="93"/>
      <c r="W374" s="85"/>
      <c r="Y374" s="94"/>
      <c r="Z374" s="93"/>
      <c r="AA374" s="85"/>
      <c r="AC374" s="94"/>
      <c r="AD374" s="93"/>
      <c r="AE374" s="85"/>
    </row>
    <row r="375" spans="6:31" x14ac:dyDescent="0.35">
      <c r="F375" s="93"/>
      <c r="G375" s="85"/>
      <c r="H375" s="87"/>
      <c r="M375" s="94"/>
      <c r="N375" s="93"/>
      <c r="O375" s="85"/>
      <c r="Q375" s="94"/>
      <c r="R375" s="93"/>
      <c r="S375" s="85"/>
      <c r="U375" s="94"/>
      <c r="V375" s="93"/>
      <c r="W375" s="85"/>
      <c r="Y375" s="94"/>
      <c r="Z375" s="93"/>
      <c r="AA375" s="85"/>
      <c r="AC375" s="94"/>
      <c r="AD375" s="93"/>
      <c r="AE375" s="85"/>
    </row>
    <row r="376" spans="6:31" x14ac:dyDescent="0.35">
      <c r="F376" s="93"/>
      <c r="G376" s="85"/>
      <c r="H376" s="87"/>
      <c r="M376" s="94"/>
      <c r="N376" s="93"/>
      <c r="O376" s="85"/>
      <c r="Q376" s="94"/>
      <c r="R376" s="93"/>
      <c r="S376" s="85"/>
      <c r="U376" s="94"/>
      <c r="V376" s="93"/>
      <c r="W376" s="85"/>
      <c r="Y376" s="94"/>
      <c r="Z376" s="93"/>
      <c r="AA376" s="85"/>
      <c r="AC376" s="94"/>
      <c r="AD376" s="93"/>
      <c r="AE376" s="85"/>
    </row>
    <row r="377" spans="6:31" x14ac:dyDescent="0.35">
      <c r="F377" s="93"/>
      <c r="G377" s="85"/>
      <c r="H377" s="87"/>
      <c r="M377" s="94"/>
      <c r="N377" s="93"/>
      <c r="O377" s="85"/>
      <c r="Q377" s="94"/>
      <c r="R377" s="93"/>
      <c r="S377" s="85"/>
      <c r="U377" s="94"/>
      <c r="V377" s="93"/>
      <c r="W377" s="85"/>
      <c r="Y377" s="94"/>
      <c r="Z377" s="93"/>
      <c r="AA377" s="85"/>
      <c r="AC377" s="94"/>
      <c r="AD377" s="93"/>
      <c r="AE377" s="85"/>
    </row>
    <row r="378" spans="6:31" x14ac:dyDescent="0.35">
      <c r="F378" s="93"/>
      <c r="G378" s="85"/>
      <c r="H378" s="87"/>
      <c r="M378" s="94"/>
      <c r="N378" s="93"/>
      <c r="O378" s="85"/>
      <c r="Q378" s="94"/>
      <c r="R378" s="93"/>
      <c r="S378" s="85"/>
      <c r="U378" s="94"/>
      <c r="V378" s="93"/>
      <c r="W378" s="85"/>
      <c r="Y378" s="94"/>
      <c r="Z378" s="93"/>
      <c r="AA378" s="85"/>
      <c r="AC378" s="94"/>
      <c r="AD378" s="93"/>
      <c r="AE378" s="85"/>
    </row>
    <row r="379" spans="6:31" x14ac:dyDescent="0.35">
      <c r="F379" s="93"/>
      <c r="G379" s="85"/>
      <c r="H379" s="87"/>
      <c r="M379" s="94"/>
      <c r="N379" s="93"/>
      <c r="O379" s="85"/>
      <c r="Q379" s="94"/>
      <c r="R379" s="93"/>
      <c r="S379" s="85"/>
      <c r="U379" s="94"/>
      <c r="V379" s="93"/>
      <c r="W379" s="85"/>
      <c r="Y379" s="94"/>
      <c r="Z379" s="93"/>
      <c r="AA379" s="85"/>
      <c r="AC379" s="94"/>
      <c r="AD379" s="93"/>
      <c r="AE379" s="85"/>
    </row>
    <row r="380" spans="6:31" x14ac:dyDescent="0.35">
      <c r="F380" s="93"/>
      <c r="G380" s="85"/>
      <c r="H380" s="87"/>
      <c r="M380" s="94"/>
      <c r="N380" s="93"/>
      <c r="O380" s="85"/>
      <c r="Q380" s="94"/>
      <c r="R380" s="93"/>
      <c r="S380" s="85"/>
      <c r="U380" s="94"/>
      <c r="V380" s="93"/>
      <c r="W380" s="85"/>
      <c r="Y380" s="94"/>
      <c r="Z380" s="93"/>
      <c r="AA380" s="85"/>
      <c r="AC380" s="94"/>
      <c r="AD380" s="93"/>
      <c r="AE380" s="85"/>
    </row>
    <row r="381" spans="6:31" x14ac:dyDescent="0.35">
      <c r="F381" s="93"/>
      <c r="G381" s="85"/>
      <c r="H381" s="87"/>
      <c r="M381" s="94"/>
      <c r="N381" s="93"/>
      <c r="O381" s="85"/>
      <c r="Q381" s="94"/>
      <c r="R381" s="93"/>
      <c r="S381" s="85"/>
      <c r="U381" s="94"/>
      <c r="V381" s="93"/>
      <c r="W381" s="85"/>
      <c r="Y381" s="94"/>
      <c r="Z381" s="93"/>
      <c r="AA381" s="85"/>
      <c r="AC381" s="94"/>
      <c r="AD381" s="93"/>
      <c r="AE381" s="85"/>
    </row>
    <row r="382" spans="6:31" x14ac:dyDescent="0.35">
      <c r="F382" s="93"/>
      <c r="G382" s="85"/>
      <c r="H382" s="87"/>
      <c r="M382" s="94"/>
      <c r="N382" s="93"/>
      <c r="O382" s="85"/>
      <c r="Q382" s="94"/>
      <c r="R382" s="93"/>
      <c r="S382" s="85"/>
      <c r="U382" s="94"/>
      <c r="V382" s="93"/>
      <c r="W382" s="85"/>
      <c r="Y382" s="94"/>
      <c r="Z382" s="93"/>
      <c r="AA382" s="85"/>
      <c r="AC382" s="94"/>
      <c r="AD382" s="93"/>
      <c r="AE382" s="85"/>
    </row>
    <row r="383" spans="6:31" x14ac:dyDescent="0.35">
      <c r="F383" s="93"/>
      <c r="G383" s="85"/>
      <c r="H383" s="87"/>
      <c r="M383" s="94"/>
      <c r="N383" s="93"/>
      <c r="O383" s="85"/>
      <c r="Q383" s="94"/>
      <c r="R383" s="93"/>
      <c r="S383" s="85"/>
      <c r="U383" s="94"/>
      <c r="V383" s="93"/>
      <c r="W383" s="85"/>
      <c r="Y383" s="94"/>
      <c r="Z383" s="93"/>
      <c r="AA383" s="85"/>
      <c r="AC383" s="94"/>
      <c r="AD383" s="93"/>
      <c r="AE383" s="85"/>
    </row>
    <row r="384" spans="6:31" x14ac:dyDescent="0.35">
      <c r="F384" s="93"/>
      <c r="G384" s="85"/>
      <c r="H384" s="87"/>
      <c r="M384" s="94"/>
      <c r="N384" s="93"/>
      <c r="O384" s="85"/>
      <c r="Q384" s="94"/>
      <c r="R384" s="93"/>
      <c r="S384" s="85"/>
      <c r="U384" s="94"/>
      <c r="V384" s="93"/>
      <c r="W384" s="85"/>
      <c r="Y384" s="94"/>
      <c r="Z384" s="93"/>
      <c r="AA384" s="85"/>
      <c r="AC384" s="94"/>
      <c r="AD384" s="93"/>
      <c r="AE384" s="85"/>
    </row>
    <row r="385" spans="6:31" x14ac:dyDescent="0.35">
      <c r="F385" s="93"/>
      <c r="G385" s="85"/>
      <c r="H385" s="87"/>
      <c r="M385" s="94"/>
      <c r="N385" s="93"/>
      <c r="O385" s="85"/>
      <c r="Q385" s="94"/>
      <c r="R385" s="93"/>
      <c r="S385" s="85"/>
      <c r="U385" s="94"/>
      <c r="V385" s="93"/>
      <c r="W385" s="85"/>
      <c r="Y385" s="94"/>
      <c r="Z385" s="93"/>
      <c r="AA385" s="85"/>
      <c r="AC385" s="94"/>
      <c r="AD385" s="93"/>
      <c r="AE385" s="85"/>
    </row>
    <row r="386" spans="6:31" x14ac:dyDescent="0.35">
      <c r="F386" s="93"/>
      <c r="G386" s="85"/>
      <c r="H386" s="87"/>
      <c r="M386" s="94"/>
      <c r="N386" s="93"/>
      <c r="O386" s="85"/>
      <c r="Q386" s="94"/>
      <c r="R386" s="93"/>
      <c r="S386" s="85"/>
      <c r="U386" s="94"/>
      <c r="V386" s="93"/>
      <c r="W386" s="85"/>
      <c r="Y386" s="94"/>
      <c r="Z386" s="93"/>
      <c r="AA386" s="85"/>
      <c r="AC386" s="94"/>
      <c r="AD386" s="93"/>
      <c r="AE386" s="85"/>
    </row>
    <row r="387" spans="6:31" x14ac:dyDescent="0.35">
      <c r="F387" s="93"/>
      <c r="G387" s="85"/>
      <c r="H387" s="87"/>
      <c r="M387" s="94"/>
      <c r="N387" s="93"/>
      <c r="O387" s="85"/>
      <c r="Q387" s="94"/>
      <c r="R387" s="93"/>
      <c r="S387" s="85"/>
      <c r="U387" s="94"/>
      <c r="V387" s="93"/>
      <c r="W387" s="85"/>
      <c r="Y387" s="94"/>
      <c r="Z387" s="93"/>
      <c r="AA387" s="85"/>
      <c r="AC387" s="94"/>
      <c r="AD387" s="93"/>
      <c r="AE387" s="85"/>
    </row>
    <row r="388" spans="6:31" x14ac:dyDescent="0.35">
      <c r="F388" s="93"/>
      <c r="G388" s="85"/>
      <c r="H388" s="87"/>
      <c r="M388" s="94"/>
      <c r="N388" s="93"/>
      <c r="O388" s="85"/>
      <c r="Q388" s="94"/>
      <c r="R388" s="93"/>
      <c r="S388" s="85"/>
      <c r="U388" s="94"/>
      <c r="V388" s="93"/>
      <c r="W388" s="85"/>
      <c r="Y388" s="94"/>
      <c r="Z388" s="93"/>
      <c r="AA388" s="85"/>
      <c r="AC388" s="94"/>
      <c r="AD388" s="93"/>
      <c r="AE388" s="85"/>
    </row>
    <row r="389" spans="6:31" x14ac:dyDescent="0.35">
      <c r="F389" s="93"/>
      <c r="G389" s="85"/>
      <c r="H389" s="87"/>
      <c r="M389" s="94"/>
      <c r="N389" s="93"/>
      <c r="O389" s="85"/>
      <c r="Q389" s="94"/>
      <c r="R389" s="93"/>
      <c r="S389" s="85"/>
      <c r="U389" s="94"/>
      <c r="V389" s="93"/>
      <c r="W389" s="85"/>
      <c r="Y389" s="94"/>
      <c r="Z389" s="93"/>
      <c r="AA389" s="85"/>
      <c r="AC389" s="94"/>
      <c r="AD389" s="93"/>
      <c r="AE389" s="85"/>
    </row>
    <row r="390" spans="6:31" x14ac:dyDescent="0.35">
      <c r="F390" s="93"/>
      <c r="G390" s="85"/>
      <c r="H390" s="87"/>
      <c r="M390" s="94"/>
      <c r="N390" s="93"/>
      <c r="O390" s="85"/>
      <c r="Q390" s="94"/>
      <c r="R390" s="93"/>
      <c r="S390" s="85"/>
      <c r="U390" s="94"/>
      <c r="V390" s="93"/>
      <c r="W390" s="85"/>
      <c r="Y390" s="94"/>
      <c r="Z390" s="93"/>
      <c r="AA390" s="85"/>
      <c r="AC390" s="94"/>
      <c r="AD390" s="93"/>
      <c r="AE390" s="85"/>
    </row>
    <row r="391" spans="6:31" x14ac:dyDescent="0.35">
      <c r="F391" s="93"/>
      <c r="G391" s="85"/>
      <c r="H391" s="87"/>
      <c r="M391" s="94"/>
      <c r="N391" s="93"/>
      <c r="O391" s="85"/>
      <c r="Q391" s="94"/>
      <c r="R391" s="93"/>
      <c r="S391" s="85"/>
      <c r="U391" s="94"/>
      <c r="V391" s="93"/>
      <c r="W391" s="85"/>
      <c r="Y391" s="94"/>
      <c r="Z391" s="93"/>
      <c r="AA391" s="85"/>
      <c r="AC391" s="94"/>
      <c r="AD391" s="93"/>
      <c r="AE391" s="85"/>
    </row>
    <row r="392" spans="6:31" x14ac:dyDescent="0.35">
      <c r="F392" s="93"/>
      <c r="G392" s="85"/>
      <c r="H392" s="87"/>
      <c r="M392" s="94"/>
      <c r="N392" s="93"/>
      <c r="O392" s="85"/>
      <c r="Q392" s="94"/>
      <c r="R392" s="93"/>
      <c r="S392" s="85"/>
      <c r="U392" s="94"/>
      <c r="V392" s="93"/>
      <c r="W392" s="85"/>
      <c r="Y392" s="94"/>
      <c r="Z392" s="93"/>
      <c r="AA392" s="85"/>
      <c r="AC392" s="94"/>
      <c r="AD392" s="93"/>
      <c r="AE392" s="85"/>
    </row>
    <row r="393" spans="6:31" x14ac:dyDescent="0.35">
      <c r="F393" s="93"/>
      <c r="G393" s="85"/>
      <c r="H393" s="87"/>
      <c r="M393" s="94"/>
      <c r="N393" s="93"/>
      <c r="O393" s="85"/>
      <c r="Q393" s="94"/>
      <c r="R393" s="93"/>
      <c r="S393" s="85"/>
      <c r="U393" s="94"/>
      <c r="V393" s="93"/>
      <c r="W393" s="85"/>
      <c r="Y393" s="94"/>
      <c r="Z393" s="93"/>
      <c r="AA393" s="85"/>
      <c r="AC393" s="94"/>
      <c r="AD393" s="93"/>
      <c r="AE393" s="85"/>
    </row>
    <row r="394" spans="6:31" x14ac:dyDescent="0.35">
      <c r="F394" s="93"/>
      <c r="G394" s="85"/>
      <c r="H394" s="87"/>
      <c r="M394" s="94"/>
      <c r="N394" s="93"/>
      <c r="O394" s="85"/>
      <c r="Q394" s="94"/>
      <c r="R394" s="93"/>
      <c r="S394" s="85"/>
      <c r="U394" s="94"/>
      <c r="V394" s="93"/>
      <c r="W394" s="85"/>
      <c r="Y394" s="94"/>
      <c r="Z394" s="93"/>
      <c r="AA394" s="85"/>
      <c r="AC394" s="94"/>
      <c r="AD394" s="93"/>
      <c r="AE394" s="85"/>
    </row>
    <row r="395" spans="6:31" x14ac:dyDescent="0.35">
      <c r="F395" s="93"/>
      <c r="G395" s="85"/>
      <c r="H395" s="87"/>
      <c r="M395" s="94"/>
      <c r="N395" s="93"/>
      <c r="O395" s="85"/>
      <c r="Q395" s="94"/>
      <c r="R395" s="93"/>
      <c r="S395" s="85"/>
      <c r="U395" s="94"/>
      <c r="V395" s="93"/>
      <c r="W395" s="85"/>
      <c r="Y395" s="94"/>
      <c r="Z395" s="93"/>
      <c r="AA395" s="85"/>
      <c r="AC395" s="94"/>
      <c r="AD395" s="93"/>
      <c r="AE395" s="85"/>
    </row>
    <row r="396" spans="6:31" x14ac:dyDescent="0.35">
      <c r="F396" s="93"/>
      <c r="G396" s="85"/>
      <c r="H396" s="87"/>
      <c r="M396" s="94"/>
      <c r="N396" s="93"/>
      <c r="O396" s="85"/>
      <c r="Q396" s="94"/>
      <c r="R396" s="93"/>
      <c r="S396" s="85"/>
      <c r="U396" s="94"/>
      <c r="V396" s="93"/>
      <c r="W396" s="85"/>
      <c r="Y396" s="94"/>
      <c r="Z396" s="93"/>
      <c r="AA396" s="85"/>
      <c r="AC396" s="94"/>
      <c r="AD396" s="93"/>
      <c r="AE396" s="85"/>
    </row>
    <row r="397" spans="6:31" x14ac:dyDescent="0.35">
      <c r="F397" s="93"/>
      <c r="G397" s="85"/>
      <c r="H397" s="87"/>
      <c r="M397" s="94"/>
      <c r="N397" s="93"/>
      <c r="O397" s="85"/>
      <c r="Q397" s="94"/>
      <c r="R397" s="93"/>
      <c r="S397" s="85"/>
      <c r="U397" s="94"/>
      <c r="V397" s="93"/>
      <c r="W397" s="85"/>
      <c r="Y397" s="94"/>
      <c r="Z397" s="93"/>
      <c r="AA397" s="85"/>
      <c r="AC397" s="94"/>
      <c r="AD397" s="93"/>
      <c r="AE397" s="85"/>
    </row>
    <row r="398" spans="6:31" x14ac:dyDescent="0.35">
      <c r="F398" s="93"/>
      <c r="G398" s="85"/>
      <c r="H398" s="87"/>
      <c r="M398" s="94"/>
      <c r="N398" s="93"/>
      <c r="O398" s="85"/>
      <c r="Q398" s="94"/>
      <c r="R398" s="93"/>
      <c r="S398" s="85"/>
      <c r="U398" s="94"/>
      <c r="V398" s="93"/>
      <c r="W398" s="85"/>
      <c r="Y398" s="94"/>
      <c r="Z398" s="93"/>
      <c r="AA398" s="85"/>
      <c r="AC398" s="94"/>
      <c r="AD398" s="93"/>
      <c r="AE398" s="85"/>
    </row>
    <row r="399" spans="6:31" x14ac:dyDescent="0.35">
      <c r="F399" s="93"/>
      <c r="G399" s="85"/>
      <c r="H399" s="87"/>
      <c r="M399" s="94"/>
      <c r="N399" s="93"/>
      <c r="O399" s="85"/>
      <c r="Q399" s="94"/>
      <c r="R399" s="93"/>
      <c r="S399" s="85"/>
      <c r="U399" s="94"/>
      <c r="V399" s="93"/>
      <c r="W399" s="85"/>
      <c r="Y399" s="94"/>
      <c r="Z399" s="93"/>
      <c r="AA399" s="85"/>
      <c r="AC399" s="94"/>
      <c r="AD399" s="93"/>
      <c r="AE399" s="85"/>
    </row>
    <row r="400" spans="6:31" x14ac:dyDescent="0.35">
      <c r="F400" s="93"/>
      <c r="G400" s="85"/>
      <c r="H400" s="87"/>
      <c r="M400" s="94"/>
      <c r="N400" s="93"/>
      <c r="O400" s="85"/>
      <c r="Q400" s="94"/>
      <c r="R400" s="93"/>
      <c r="S400" s="85"/>
      <c r="U400" s="94"/>
      <c r="V400" s="93"/>
      <c r="W400" s="85"/>
      <c r="Y400" s="94"/>
      <c r="Z400" s="93"/>
      <c r="AA400" s="85"/>
      <c r="AC400" s="94"/>
      <c r="AD400" s="93"/>
      <c r="AE400" s="85"/>
    </row>
    <row r="401" spans="6:31" x14ac:dyDescent="0.35">
      <c r="F401" s="93"/>
      <c r="G401" s="85"/>
      <c r="H401" s="87"/>
      <c r="M401" s="94"/>
      <c r="N401" s="93"/>
      <c r="O401" s="85"/>
      <c r="Q401" s="94"/>
      <c r="R401" s="93"/>
      <c r="S401" s="85"/>
      <c r="U401" s="94"/>
      <c r="V401" s="93"/>
      <c r="W401" s="85"/>
      <c r="Y401" s="94"/>
      <c r="Z401" s="93"/>
      <c r="AA401" s="85"/>
      <c r="AC401" s="94"/>
      <c r="AD401" s="93"/>
      <c r="AE401" s="85"/>
    </row>
    <row r="402" spans="6:31" x14ac:dyDescent="0.35">
      <c r="F402" s="93"/>
      <c r="G402" s="85"/>
      <c r="H402" s="87"/>
      <c r="M402" s="94"/>
      <c r="N402" s="93"/>
      <c r="O402" s="85"/>
      <c r="Q402" s="94"/>
      <c r="R402" s="93"/>
      <c r="S402" s="85"/>
      <c r="U402" s="94"/>
      <c r="V402" s="93"/>
      <c r="W402" s="85"/>
      <c r="Y402" s="94"/>
      <c r="Z402" s="93"/>
      <c r="AA402" s="85"/>
      <c r="AC402" s="94"/>
      <c r="AD402" s="93"/>
      <c r="AE402" s="85"/>
    </row>
    <row r="403" spans="6:31" x14ac:dyDescent="0.35">
      <c r="F403" s="93"/>
      <c r="G403" s="85"/>
      <c r="H403" s="87"/>
      <c r="M403" s="94"/>
      <c r="N403" s="93"/>
      <c r="O403" s="85"/>
      <c r="Q403" s="94"/>
      <c r="R403" s="93"/>
      <c r="S403" s="85"/>
      <c r="U403" s="94"/>
      <c r="V403" s="93"/>
      <c r="W403" s="85"/>
      <c r="Y403" s="94"/>
      <c r="Z403" s="93"/>
      <c r="AA403" s="85"/>
      <c r="AC403" s="94"/>
      <c r="AD403" s="93"/>
      <c r="AE403" s="85"/>
    </row>
    <row r="404" spans="6:31" x14ac:dyDescent="0.35">
      <c r="F404" s="93"/>
      <c r="G404" s="85"/>
      <c r="H404" s="87"/>
      <c r="M404" s="94"/>
      <c r="N404" s="93"/>
      <c r="O404" s="85"/>
      <c r="Q404" s="94"/>
      <c r="R404" s="93"/>
      <c r="S404" s="85"/>
      <c r="U404" s="94"/>
      <c r="V404" s="93"/>
      <c r="W404" s="85"/>
      <c r="Y404" s="94"/>
      <c r="Z404" s="93"/>
      <c r="AA404" s="85"/>
      <c r="AC404" s="94"/>
      <c r="AD404" s="93"/>
      <c r="AE404" s="85"/>
    </row>
    <row r="405" spans="6:31" x14ac:dyDescent="0.35">
      <c r="F405" s="93"/>
      <c r="G405" s="85"/>
      <c r="H405" s="87"/>
      <c r="M405" s="94"/>
      <c r="N405" s="93"/>
      <c r="O405" s="85"/>
      <c r="Q405" s="94"/>
      <c r="R405" s="93"/>
      <c r="S405" s="85"/>
      <c r="U405" s="94"/>
      <c r="V405" s="93"/>
      <c r="W405" s="85"/>
      <c r="Y405" s="94"/>
      <c r="Z405" s="93"/>
      <c r="AA405" s="85"/>
      <c r="AC405" s="94"/>
      <c r="AD405" s="93"/>
      <c r="AE405" s="85"/>
    </row>
    <row r="406" spans="6:31" x14ac:dyDescent="0.35">
      <c r="F406" s="93"/>
      <c r="G406" s="85"/>
      <c r="H406" s="87"/>
      <c r="M406" s="94"/>
      <c r="N406" s="93"/>
      <c r="O406" s="85"/>
      <c r="Q406" s="94"/>
      <c r="R406" s="93"/>
      <c r="S406" s="85"/>
      <c r="U406" s="94"/>
      <c r="V406" s="93"/>
      <c r="W406" s="85"/>
      <c r="Y406" s="94"/>
      <c r="Z406" s="93"/>
      <c r="AA406" s="85"/>
      <c r="AC406" s="94"/>
      <c r="AD406" s="93"/>
      <c r="AE406" s="85"/>
    </row>
    <row r="407" spans="6:31" x14ac:dyDescent="0.35">
      <c r="F407" s="93"/>
      <c r="G407" s="85"/>
      <c r="H407" s="87"/>
      <c r="M407" s="94"/>
      <c r="N407" s="93"/>
      <c r="O407" s="85"/>
      <c r="Q407" s="94"/>
      <c r="R407" s="93"/>
      <c r="S407" s="85"/>
      <c r="U407" s="94"/>
      <c r="V407" s="93"/>
      <c r="W407" s="85"/>
      <c r="Y407" s="94"/>
      <c r="Z407" s="93"/>
      <c r="AA407" s="85"/>
      <c r="AC407" s="94"/>
      <c r="AD407" s="93"/>
      <c r="AE407" s="85"/>
    </row>
    <row r="408" spans="6:31" x14ac:dyDescent="0.35">
      <c r="F408" s="93"/>
      <c r="G408" s="85"/>
      <c r="H408" s="87"/>
      <c r="M408" s="94"/>
      <c r="N408" s="93"/>
      <c r="O408" s="85"/>
      <c r="Q408" s="94"/>
      <c r="R408" s="93"/>
      <c r="S408" s="85"/>
      <c r="U408" s="94"/>
      <c r="V408" s="93"/>
      <c r="W408" s="85"/>
      <c r="Y408" s="94"/>
      <c r="Z408" s="93"/>
      <c r="AA408" s="85"/>
      <c r="AC408" s="94"/>
      <c r="AD408" s="93"/>
      <c r="AE408" s="85"/>
    </row>
    <row r="409" spans="6:31" x14ac:dyDescent="0.35">
      <c r="F409" s="93"/>
      <c r="G409" s="85"/>
      <c r="H409" s="87"/>
      <c r="M409" s="94"/>
      <c r="N409" s="93"/>
      <c r="O409" s="85"/>
      <c r="Q409" s="94"/>
      <c r="R409" s="93"/>
      <c r="S409" s="85"/>
      <c r="U409" s="94"/>
      <c r="V409" s="93"/>
      <c r="W409" s="85"/>
      <c r="Y409" s="94"/>
      <c r="Z409" s="93"/>
      <c r="AA409" s="85"/>
      <c r="AC409" s="94"/>
      <c r="AD409" s="93"/>
      <c r="AE409" s="85"/>
    </row>
    <row r="410" spans="6:31" x14ac:dyDescent="0.35">
      <c r="F410" s="93"/>
      <c r="G410" s="85"/>
      <c r="H410" s="87"/>
      <c r="M410" s="94"/>
      <c r="N410" s="93"/>
      <c r="O410" s="85"/>
      <c r="Q410" s="94"/>
      <c r="R410" s="93"/>
      <c r="S410" s="85"/>
      <c r="U410" s="94"/>
      <c r="V410" s="93"/>
      <c r="W410" s="85"/>
      <c r="Y410" s="94"/>
      <c r="Z410" s="93"/>
      <c r="AA410" s="85"/>
      <c r="AC410" s="94"/>
      <c r="AD410" s="93"/>
      <c r="AE410" s="85"/>
    </row>
    <row r="411" spans="6:31" x14ac:dyDescent="0.35">
      <c r="F411" s="93"/>
      <c r="G411" s="85"/>
      <c r="H411" s="87"/>
      <c r="M411" s="94"/>
      <c r="N411" s="93"/>
      <c r="O411" s="85"/>
      <c r="Q411" s="94"/>
      <c r="R411" s="93"/>
      <c r="S411" s="85"/>
      <c r="U411" s="94"/>
      <c r="V411" s="93"/>
      <c r="W411" s="85"/>
      <c r="Y411" s="94"/>
      <c r="Z411" s="93"/>
      <c r="AA411" s="85"/>
      <c r="AC411" s="94"/>
      <c r="AD411" s="93"/>
      <c r="AE411" s="85"/>
    </row>
    <row r="412" spans="6:31" x14ac:dyDescent="0.35">
      <c r="F412" s="93"/>
      <c r="G412" s="85"/>
      <c r="H412" s="87"/>
      <c r="M412" s="94"/>
      <c r="N412" s="93"/>
      <c r="O412" s="85"/>
      <c r="Q412" s="94"/>
      <c r="R412" s="93"/>
      <c r="S412" s="85"/>
      <c r="U412" s="94"/>
      <c r="V412" s="93"/>
      <c r="W412" s="85"/>
      <c r="Y412" s="94"/>
      <c r="Z412" s="93"/>
      <c r="AA412" s="85"/>
      <c r="AC412" s="94"/>
      <c r="AD412" s="93"/>
      <c r="AE412" s="85"/>
    </row>
    <row r="413" spans="6:31" x14ac:dyDescent="0.35">
      <c r="F413" s="93"/>
      <c r="G413" s="85"/>
      <c r="H413" s="87"/>
      <c r="M413" s="94"/>
      <c r="N413" s="93"/>
      <c r="O413" s="85"/>
      <c r="Q413" s="94"/>
      <c r="R413" s="93"/>
      <c r="S413" s="85"/>
      <c r="U413" s="94"/>
      <c r="V413" s="93"/>
      <c r="W413" s="85"/>
      <c r="Y413" s="94"/>
      <c r="Z413" s="93"/>
      <c r="AA413" s="85"/>
      <c r="AC413" s="94"/>
      <c r="AD413" s="93"/>
      <c r="AE413" s="85"/>
    </row>
    <row r="414" spans="6:31" x14ac:dyDescent="0.35">
      <c r="F414" s="93"/>
      <c r="G414" s="85"/>
      <c r="H414" s="87"/>
      <c r="M414" s="94"/>
      <c r="N414" s="93"/>
      <c r="O414" s="85"/>
      <c r="Q414" s="94"/>
      <c r="R414" s="93"/>
      <c r="S414" s="85"/>
      <c r="U414" s="94"/>
      <c r="V414" s="93"/>
      <c r="W414" s="85"/>
      <c r="Y414" s="94"/>
      <c r="Z414" s="93"/>
      <c r="AA414" s="85"/>
      <c r="AC414" s="94"/>
      <c r="AD414" s="93"/>
      <c r="AE414" s="85"/>
    </row>
    <row r="415" spans="6:31" x14ac:dyDescent="0.35">
      <c r="F415" s="93"/>
      <c r="G415" s="85"/>
      <c r="H415" s="87"/>
      <c r="M415" s="94"/>
      <c r="N415" s="93"/>
      <c r="O415" s="85"/>
      <c r="Q415" s="94"/>
      <c r="R415" s="93"/>
      <c r="S415" s="85"/>
      <c r="U415" s="94"/>
      <c r="V415" s="93"/>
      <c r="W415" s="85"/>
      <c r="Y415" s="94"/>
      <c r="Z415" s="93"/>
      <c r="AA415" s="85"/>
      <c r="AC415" s="94"/>
      <c r="AD415" s="93"/>
      <c r="AE415" s="85"/>
    </row>
    <row r="416" spans="6:31" x14ac:dyDescent="0.35">
      <c r="F416" s="93"/>
      <c r="G416" s="85"/>
      <c r="H416" s="87"/>
      <c r="M416" s="94"/>
      <c r="N416" s="93"/>
      <c r="O416" s="85"/>
      <c r="Q416" s="94"/>
      <c r="R416" s="93"/>
      <c r="S416" s="85"/>
      <c r="U416" s="94"/>
      <c r="V416" s="93"/>
      <c r="W416" s="85"/>
      <c r="Y416" s="94"/>
      <c r="Z416" s="93"/>
      <c r="AA416" s="85"/>
      <c r="AC416" s="94"/>
      <c r="AD416" s="93"/>
      <c r="AE416" s="85"/>
    </row>
    <row r="417" spans="6:31" x14ac:dyDescent="0.35">
      <c r="F417" s="93"/>
      <c r="G417" s="85"/>
      <c r="H417" s="87"/>
      <c r="M417" s="94"/>
      <c r="N417" s="93"/>
      <c r="O417" s="85"/>
      <c r="Q417" s="94"/>
      <c r="R417" s="93"/>
      <c r="S417" s="85"/>
      <c r="U417" s="94"/>
      <c r="V417" s="93"/>
      <c r="W417" s="85"/>
      <c r="Y417" s="94"/>
      <c r="Z417" s="93"/>
      <c r="AA417" s="85"/>
      <c r="AC417" s="94"/>
      <c r="AD417" s="93"/>
      <c r="AE417" s="85"/>
    </row>
    <row r="418" spans="6:31" x14ac:dyDescent="0.35">
      <c r="F418" s="93"/>
      <c r="G418" s="85"/>
      <c r="H418" s="87"/>
      <c r="M418" s="94"/>
      <c r="N418" s="93"/>
      <c r="O418" s="85"/>
      <c r="Q418" s="94"/>
      <c r="R418" s="93"/>
      <c r="S418" s="85"/>
      <c r="U418" s="94"/>
      <c r="V418" s="93"/>
      <c r="W418" s="85"/>
      <c r="Y418" s="94"/>
      <c r="Z418" s="93"/>
      <c r="AA418" s="85"/>
      <c r="AC418" s="94"/>
      <c r="AD418" s="93"/>
      <c r="AE418" s="85"/>
    </row>
    <row r="419" spans="6:31" x14ac:dyDescent="0.35">
      <c r="F419" s="93"/>
      <c r="G419" s="85"/>
      <c r="H419" s="87"/>
      <c r="M419" s="94"/>
      <c r="N419" s="93"/>
      <c r="O419" s="85"/>
      <c r="Q419" s="94"/>
      <c r="R419" s="93"/>
      <c r="S419" s="85"/>
      <c r="U419" s="94"/>
      <c r="V419" s="93"/>
      <c r="W419" s="85"/>
      <c r="Y419" s="94"/>
      <c r="Z419" s="93"/>
      <c r="AA419" s="85"/>
      <c r="AC419" s="94"/>
      <c r="AD419" s="93"/>
      <c r="AE419" s="85"/>
    </row>
    <row r="420" spans="6:31" x14ac:dyDescent="0.35">
      <c r="F420" s="93"/>
      <c r="G420" s="85"/>
      <c r="H420" s="87"/>
      <c r="M420" s="94"/>
      <c r="N420" s="93"/>
      <c r="O420" s="85"/>
      <c r="Q420" s="94"/>
      <c r="R420" s="93"/>
      <c r="S420" s="85"/>
      <c r="U420" s="94"/>
      <c r="V420" s="93"/>
      <c r="W420" s="85"/>
      <c r="Y420" s="94"/>
      <c r="Z420" s="93"/>
      <c r="AA420" s="85"/>
      <c r="AC420" s="94"/>
      <c r="AD420" s="93"/>
      <c r="AE420" s="85"/>
    </row>
    <row r="421" spans="6:31" x14ac:dyDescent="0.35">
      <c r="F421" s="93"/>
      <c r="G421" s="85"/>
      <c r="H421" s="87"/>
      <c r="M421" s="94"/>
      <c r="N421" s="93"/>
      <c r="O421" s="85"/>
      <c r="Q421" s="94"/>
      <c r="R421" s="93"/>
      <c r="S421" s="85"/>
      <c r="U421" s="94"/>
      <c r="V421" s="93"/>
      <c r="W421" s="85"/>
      <c r="Y421" s="94"/>
      <c r="Z421" s="93"/>
      <c r="AA421" s="85"/>
      <c r="AC421" s="94"/>
      <c r="AD421" s="93"/>
      <c r="AE421" s="85"/>
    </row>
    <row r="422" spans="6:31" x14ac:dyDescent="0.35">
      <c r="F422" s="93"/>
      <c r="G422" s="85"/>
      <c r="H422" s="87"/>
      <c r="M422" s="94"/>
      <c r="N422" s="93"/>
      <c r="O422" s="85"/>
      <c r="Q422" s="94"/>
      <c r="R422" s="93"/>
      <c r="S422" s="85"/>
      <c r="U422" s="94"/>
      <c r="V422" s="93"/>
      <c r="W422" s="85"/>
      <c r="Y422" s="94"/>
      <c r="Z422" s="93"/>
      <c r="AA422" s="85"/>
      <c r="AC422" s="94"/>
      <c r="AD422" s="93"/>
      <c r="AE422" s="85"/>
    </row>
    <row r="423" spans="6:31" x14ac:dyDescent="0.35">
      <c r="F423" s="93"/>
      <c r="G423" s="85"/>
      <c r="H423" s="87"/>
      <c r="M423" s="94"/>
      <c r="N423" s="93"/>
      <c r="O423" s="85"/>
      <c r="Q423" s="94"/>
      <c r="R423" s="93"/>
      <c r="S423" s="85"/>
      <c r="U423" s="94"/>
      <c r="V423" s="93"/>
      <c r="W423" s="85"/>
      <c r="Y423" s="94"/>
      <c r="Z423" s="93"/>
      <c r="AA423" s="85"/>
      <c r="AC423" s="94"/>
      <c r="AD423" s="93"/>
      <c r="AE423" s="85"/>
    </row>
    <row r="424" spans="6:31" x14ac:dyDescent="0.35">
      <c r="F424" s="93"/>
      <c r="G424" s="85"/>
      <c r="H424" s="87"/>
      <c r="M424" s="94"/>
      <c r="N424" s="93"/>
      <c r="O424" s="85"/>
      <c r="Q424" s="94"/>
      <c r="R424" s="93"/>
      <c r="S424" s="85"/>
      <c r="U424" s="94"/>
      <c r="V424" s="93"/>
      <c r="W424" s="85"/>
      <c r="Y424" s="94"/>
      <c r="Z424" s="93"/>
      <c r="AA424" s="85"/>
      <c r="AC424" s="94"/>
      <c r="AD424" s="93"/>
      <c r="AE424" s="85"/>
    </row>
    <row r="425" spans="6:31" x14ac:dyDescent="0.35">
      <c r="F425" s="93"/>
      <c r="G425" s="85"/>
      <c r="H425" s="87"/>
      <c r="M425" s="94"/>
      <c r="N425" s="93"/>
      <c r="O425" s="85"/>
      <c r="Q425" s="94"/>
      <c r="R425" s="93"/>
      <c r="S425" s="85"/>
      <c r="U425" s="94"/>
      <c r="V425" s="93"/>
      <c r="W425" s="85"/>
      <c r="Y425" s="94"/>
      <c r="Z425" s="93"/>
      <c r="AA425" s="85"/>
      <c r="AC425" s="94"/>
      <c r="AD425" s="93"/>
      <c r="AE425" s="85"/>
    </row>
    <row r="426" spans="6:31" x14ac:dyDescent="0.35">
      <c r="F426" s="93"/>
      <c r="G426" s="85"/>
      <c r="H426" s="87"/>
      <c r="M426" s="94"/>
      <c r="N426" s="93"/>
      <c r="O426" s="85"/>
      <c r="Q426" s="94"/>
      <c r="R426" s="93"/>
      <c r="S426" s="85"/>
      <c r="U426" s="94"/>
      <c r="V426" s="93"/>
      <c r="W426" s="85"/>
      <c r="Y426" s="94"/>
      <c r="Z426" s="93"/>
      <c r="AA426" s="85"/>
      <c r="AC426" s="94"/>
      <c r="AD426" s="93"/>
      <c r="AE426" s="85"/>
    </row>
    <row r="427" spans="6:31" x14ac:dyDescent="0.35">
      <c r="F427" s="93"/>
      <c r="G427" s="85"/>
      <c r="H427" s="87"/>
      <c r="M427" s="94"/>
      <c r="N427" s="93"/>
      <c r="O427" s="85"/>
      <c r="Q427" s="94"/>
      <c r="R427" s="93"/>
      <c r="S427" s="85"/>
      <c r="U427" s="94"/>
      <c r="V427" s="93"/>
      <c r="W427" s="85"/>
      <c r="Y427" s="94"/>
      <c r="Z427" s="93"/>
      <c r="AA427" s="85"/>
      <c r="AC427" s="94"/>
      <c r="AD427" s="93"/>
      <c r="AE427" s="85"/>
    </row>
    <row r="428" spans="6:31" x14ac:dyDescent="0.35">
      <c r="F428" s="93"/>
      <c r="G428" s="85"/>
      <c r="H428" s="87"/>
      <c r="M428" s="94"/>
      <c r="N428" s="93"/>
      <c r="O428" s="85"/>
      <c r="Q428" s="94"/>
      <c r="R428" s="93"/>
      <c r="S428" s="85"/>
      <c r="U428" s="94"/>
      <c r="V428" s="93"/>
      <c r="W428" s="85"/>
      <c r="Y428" s="94"/>
      <c r="Z428" s="93"/>
      <c r="AA428" s="85"/>
      <c r="AC428" s="94"/>
      <c r="AD428" s="93"/>
      <c r="AE428" s="85"/>
    </row>
    <row r="429" spans="6:31" x14ac:dyDescent="0.35">
      <c r="F429" s="93"/>
      <c r="G429" s="85"/>
      <c r="H429" s="87"/>
      <c r="M429" s="94"/>
      <c r="N429" s="93"/>
      <c r="O429" s="85"/>
      <c r="Q429" s="94"/>
      <c r="R429" s="93"/>
      <c r="S429" s="85"/>
      <c r="U429" s="94"/>
      <c r="V429" s="93"/>
      <c r="W429" s="85"/>
      <c r="Y429" s="94"/>
      <c r="Z429" s="93"/>
      <c r="AA429" s="85"/>
      <c r="AC429" s="94"/>
      <c r="AD429" s="93"/>
      <c r="AE429" s="85"/>
    </row>
    <row r="430" spans="6:31" x14ac:dyDescent="0.35">
      <c r="F430" s="93"/>
      <c r="G430" s="85"/>
      <c r="H430" s="87"/>
      <c r="M430" s="94"/>
      <c r="N430" s="93"/>
      <c r="O430" s="85"/>
      <c r="Q430" s="94"/>
      <c r="R430" s="93"/>
      <c r="S430" s="85"/>
      <c r="U430" s="94"/>
      <c r="V430" s="93"/>
      <c r="W430" s="85"/>
      <c r="Y430" s="94"/>
      <c r="Z430" s="93"/>
      <c r="AA430" s="85"/>
      <c r="AC430" s="94"/>
      <c r="AD430" s="93"/>
      <c r="AE430" s="85"/>
    </row>
    <row r="431" spans="6:31" x14ac:dyDescent="0.35">
      <c r="F431" s="93"/>
      <c r="G431" s="85"/>
      <c r="H431" s="87"/>
      <c r="M431" s="94"/>
      <c r="N431" s="93"/>
      <c r="O431" s="85"/>
      <c r="Q431" s="94"/>
      <c r="R431" s="93"/>
      <c r="S431" s="85"/>
      <c r="U431" s="94"/>
      <c r="V431" s="93"/>
      <c r="W431" s="85"/>
      <c r="Y431" s="94"/>
      <c r="Z431" s="93"/>
      <c r="AA431" s="85"/>
      <c r="AC431" s="94"/>
      <c r="AD431" s="93"/>
      <c r="AE431" s="85"/>
    </row>
    <row r="432" spans="6:31" x14ac:dyDescent="0.35">
      <c r="F432" s="93"/>
      <c r="G432" s="85"/>
      <c r="H432" s="87"/>
      <c r="M432" s="94"/>
      <c r="N432" s="93"/>
      <c r="O432" s="85"/>
      <c r="Q432" s="94"/>
      <c r="R432" s="93"/>
      <c r="S432" s="85"/>
      <c r="U432" s="94"/>
      <c r="V432" s="93"/>
      <c r="W432" s="85"/>
      <c r="Y432" s="94"/>
      <c r="Z432" s="93"/>
      <c r="AA432" s="85"/>
      <c r="AC432" s="94"/>
      <c r="AD432" s="93"/>
      <c r="AE432" s="85"/>
    </row>
    <row r="433" spans="6:31" x14ac:dyDescent="0.35">
      <c r="F433" s="93"/>
      <c r="G433" s="85"/>
      <c r="H433" s="87"/>
      <c r="M433" s="94"/>
      <c r="N433" s="93"/>
      <c r="O433" s="85"/>
      <c r="Q433" s="94"/>
      <c r="R433" s="93"/>
      <c r="S433" s="85"/>
      <c r="U433" s="94"/>
      <c r="V433" s="93"/>
      <c r="W433" s="85"/>
      <c r="Y433" s="94"/>
      <c r="Z433" s="93"/>
      <c r="AA433" s="85"/>
      <c r="AC433" s="94"/>
      <c r="AD433" s="93"/>
      <c r="AE433" s="85"/>
    </row>
    <row r="434" spans="6:31" x14ac:dyDescent="0.35">
      <c r="F434" s="93"/>
      <c r="G434" s="85"/>
      <c r="H434" s="87"/>
      <c r="M434" s="94"/>
      <c r="N434" s="93"/>
      <c r="O434" s="85"/>
      <c r="Q434" s="94"/>
      <c r="R434" s="93"/>
      <c r="S434" s="85"/>
      <c r="U434" s="94"/>
      <c r="V434" s="93"/>
      <c r="W434" s="85"/>
      <c r="Y434" s="94"/>
      <c r="Z434" s="93"/>
      <c r="AA434" s="85"/>
      <c r="AC434" s="94"/>
      <c r="AD434" s="93"/>
      <c r="AE434" s="85"/>
    </row>
    <row r="435" spans="6:31" x14ac:dyDescent="0.35">
      <c r="F435" s="93"/>
      <c r="G435" s="85"/>
      <c r="H435" s="87"/>
      <c r="M435" s="94"/>
      <c r="N435" s="93"/>
      <c r="O435" s="85"/>
      <c r="Q435" s="94"/>
      <c r="R435" s="93"/>
      <c r="S435" s="85"/>
      <c r="U435" s="94"/>
      <c r="V435" s="93"/>
      <c r="W435" s="85"/>
      <c r="Y435" s="94"/>
      <c r="Z435" s="93"/>
      <c r="AA435" s="85"/>
      <c r="AC435" s="94"/>
      <c r="AD435" s="93"/>
      <c r="AE435" s="85"/>
    </row>
    <row r="436" spans="6:31" x14ac:dyDescent="0.35">
      <c r="F436" s="93"/>
      <c r="G436" s="85"/>
      <c r="H436" s="87"/>
      <c r="M436" s="94"/>
      <c r="N436" s="93"/>
      <c r="O436" s="85"/>
      <c r="Q436" s="94"/>
      <c r="R436" s="93"/>
      <c r="S436" s="85"/>
      <c r="U436" s="94"/>
      <c r="V436" s="93"/>
      <c r="W436" s="85"/>
      <c r="Y436" s="94"/>
      <c r="Z436" s="93"/>
      <c r="AA436" s="85"/>
      <c r="AC436" s="94"/>
      <c r="AD436" s="93"/>
      <c r="AE436" s="85"/>
    </row>
    <row r="437" spans="6:31" x14ac:dyDescent="0.35">
      <c r="F437" s="93"/>
      <c r="G437" s="85"/>
      <c r="H437" s="87"/>
      <c r="M437" s="94"/>
      <c r="N437" s="93"/>
      <c r="O437" s="85"/>
      <c r="Q437" s="94"/>
      <c r="R437" s="93"/>
      <c r="S437" s="85"/>
      <c r="U437" s="94"/>
      <c r="V437" s="93"/>
      <c r="W437" s="85"/>
      <c r="Y437" s="94"/>
      <c r="Z437" s="93"/>
      <c r="AA437" s="85"/>
      <c r="AC437" s="94"/>
      <c r="AD437" s="93"/>
      <c r="AE437" s="85"/>
    </row>
    <row r="438" spans="6:31" x14ac:dyDescent="0.35">
      <c r="F438" s="93"/>
      <c r="G438" s="85"/>
      <c r="H438" s="87"/>
      <c r="M438" s="94"/>
      <c r="N438" s="93"/>
      <c r="O438" s="85"/>
      <c r="Q438" s="94"/>
      <c r="R438" s="93"/>
      <c r="S438" s="85"/>
      <c r="U438" s="94"/>
      <c r="V438" s="93"/>
      <c r="W438" s="85"/>
      <c r="Y438" s="94"/>
      <c r="Z438" s="93"/>
      <c r="AA438" s="85"/>
      <c r="AC438" s="94"/>
      <c r="AD438" s="93"/>
      <c r="AE438" s="85"/>
    </row>
    <row r="439" spans="6:31" x14ac:dyDescent="0.35">
      <c r="F439" s="93"/>
      <c r="G439" s="85"/>
      <c r="H439" s="87"/>
      <c r="M439" s="94"/>
      <c r="N439" s="93"/>
      <c r="O439" s="85"/>
      <c r="Q439" s="94"/>
      <c r="R439" s="93"/>
      <c r="S439" s="85"/>
      <c r="U439" s="94"/>
      <c r="V439" s="93"/>
      <c r="W439" s="85"/>
      <c r="Y439" s="94"/>
      <c r="Z439" s="93"/>
      <c r="AA439" s="85"/>
      <c r="AC439" s="94"/>
      <c r="AD439" s="93"/>
      <c r="AE439" s="85"/>
    </row>
    <row r="440" spans="6:31" x14ac:dyDescent="0.35">
      <c r="F440" s="93"/>
      <c r="G440" s="85"/>
      <c r="H440" s="87"/>
      <c r="M440" s="94"/>
      <c r="N440" s="93"/>
      <c r="O440" s="85"/>
      <c r="Q440" s="94"/>
      <c r="R440" s="93"/>
      <c r="S440" s="85"/>
      <c r="U440" s="94"/>
      <c r="V440" s="93"/>
      <c r="W440" s="85"/>
      <c r="Y440" s="94"/>
      <c r="Z440" s="93"/>
      <c r="AA440" s="85"/>
      <c r="AC440" s="94"/>
      <c r="AD440" s="93"/>
      <c r="AE440" s="85"/>
    </row>
    <row r="441" spans="6:31" x14ac:dyDescent="0.35">
      <c r="F441" s="93"/>
      <c r="G441" s="85"/>
      <c r="H441" s="87"/>
      <c r="M441" s="94"/>
      <c r="N441" s="93"/>
      <c r="O441" s="85"/>
      <c r="Q441" s="94"/>
      <c r="R441" s="93"/>
      <c r="S441" s="85"/>
      <c r="U441" s="94"/>
      <c r="V441" s="93"/>
      <c r="W441" s="85"/>
      <c r="Y441" s="94"/>
      <c r="Z441" s="93"/>
      <c r="AA441" s="85"/>
      <c r="AC441" s="94"/>
      <c r="AD441" s="93"/>
      <c r="AE441" s="85"/>
    </row>
    <row r="442" spans="6:31" x14ac:dyDescent="0.35">
      <c r="F442" s="93"/>
      <c r="G442" s="85"/>
      <c r="H442" s="87"/>
      <c r="M442" s="94"/>
      <c r="N442" s="93"/>
      <c r="O442" s="85"/>
      <c r="Q442" s="94"/>
      <c r="R442" s="93"/>
      <c r="S442" s="85"/>
      <c r="U442" s="94"/>
      <c r="V442" s="93"/>
      <c r="W442" s="85"/>
      <c r="Y442" s="94"/>
      <c r="Z442" s="93"/>
      <c r="AA442" s="85"/>
      <c r="AC442" s="94"/>
      <c r="AD442" s="93"/>
      <c r="AE442" s="85"/>
    </row>
    <row r="443" spans="6:31" x14ac:dyDescent="0.35">
      <c r="F443" s="93"/>
      <c r="G443" s="85"/>
      <c r="H443" s="87"/>
      <c r="M443" s="94"/>
      <c r="N443" s="93"/>
      <c r="O443" s="85"/>
      <c r="Q443" s="94"/>
      <c r="R443" s="93"/>
      <c r="S443" s="85"/>
      <c r="U443" s="94"/>
      <c r="V443" s="93"/>
      <c r="W443" s="85"/>
      <c r="Y443" s="94"/>
      <c r="Z443" s="93"/>
      <c r="AA443" s="85"/>
      <c r="AC443" s="94"/>
      <c r="AD443" s="93"/>
      <c r="AE443" s="85"/>
    </row>
    <row r="444" spans="6:31" x14ac:dyDescent="0.35">
      <c r="F444" s="93"/>
      <c r="G444" s="85"/>
      <c r="H444" s="87"/>
      <c r="M444" s="94"/>
      <c r="N444" s="93"/>
      <c r="O444" s="85"/>
      <c r="Q444" s="94"/>
      <c r="R444" s="93"/>
      <c r="S444" s="85"/>
      <c r="U444" s="94"/>
      <c r="V444" s="93"/>
      <c r="W444" s="85"/>
      <c r="Y444" s="94"/>
      <c r="Z444" s="93"/>
      <c r="AA444" s="85"/>
      <c r="AC444" s="94"/>
      <c r="AD444" s="93"/>
      <c r="AE444" s="85"/>
    </row>
    <row r="445" spans="6:31" x14ac:dyDescent="0.35">
      <c r="F445" s="93"/>
      <c r="G445" s="85"/>
      <c r="H445" s="87"/>
      <c r="M445" s="94"/>
      <c r="N445" s="93"/>
      <c r="O445" s="85"/>
      <c r="Q445" s="94"/>
      <c r="R445" s="93"/>
      <c r="S445" s="85"/>
      <c r="U445" s="94"/>
      <c r="V445" s="93"/>
      <c r="W445" s="85"/>
      <c r="Y445" s="94"/>
      <c r="Z445" s="93"/>
      <c r="AA445" s="85"/>
      <c r="AC445" s="94"/>
      <c r="AD445" s="93"/>
      <c r="AE445" s="85"/>
    </row>
    <row r="446" spans="6:31" x14ac:dyDescent="0.35">
      <c r="F446" s="93"/>
      <c r="G446" s="85"/>
      <c r="H446" s="87"/>
      <c r="M446" s="94"/>
      <c r="N446" s="93"/>
      <c r="O446" s="85"/>
      <c r="Q446" s="94"/>
      <c r="R446" s="93"/>
      <c r="S446" s="85"/>
      <c r="U446" s="94"/>
      <c r="V446" s="93"/>
      <c r="W446" s="85"/>
      <c r="Y446" s="94"/>
      <c r="Z446" s="93"/>
      <c r="AA446" s="85"/>
      <c r="AC446" s="94"/>
      <c r="AD446" s="93"/>
      <c r="AE446" s="85"/>
    </row>
    <row r="447" spans="6:31" x14ac:dyDescent="0.35">
      <c r="F447" s="93"/>
      <c r="G447" s="85"/>
      <c r="H447" s="87"/>
      <c r="M447" s="94"/>
      <c r="N447" s="93"/>
      <c r="O447" s="85"/>
      <c r="Q447" s="94"/>
      <c r="R447" s="93"/>
      <c r="S447" s="85"/>
      <c r="U447" s="94"/>
      <c r="V447" s="93"/>
      <c r="W447" s="85"/>
      <c r="Y447" s="94"/>
      <c r="Z447" s="93"/>
      <c r="AA447" s="85"/>
      <c r="AC447" s="94"/>
      <c r="AD447" s="93"/>
      <c r="AE447" s="85"/>
    </row>
    <row r="448" spans="6:31" x14ac:dyDescent="0.35">
      <c r="F448" s="93"/>
      <c r="G448" s="85"/>
      <c r="H448" s="87"/>
      <c r="M448" s="94"/>
      <c r="N448" s="93"/>
      <c r="O448" s="85"/>
      <c r="Q448" s="94"/>
      <c r="R448" s="93"/>
      <c r="S448" s="85"/>
      <c r="U448" s="94"/>
      <c r="V448" s="93"/>
      <c r="W448" s="85"/>
      <c r="Y448" s="94"/>
      <c r="Z448" s="93"/>
      <c r="AA448" s="85"/>
      <c r="AC448" s="94"/>
      <c r="AD448" s="93"/>
      <c r="AE448" s="85"/>
    </row>
    <row r="449" spans="6:31" x14ac:dyDescent="0.35">
      <c r="F449" s="93"/>
      <c r="G449" s="85"/>
      <c r="H449" s="87"/>
      <c r="M449" s="94"/>
      <c r="N449" s="93"/>
      <c r="O449" s="85"/>
      <c r="Q449" s="94"/>
      <c r="R449" s="93"/>
      <c r="S449" s="85"/>
      <c r="U449" s="94"/>
      <c r="V449" s="93"/>
      <c r="W449" s="85"/>
      <c r="Y449" s="94"/>
      <c r="Z449" s="93"/>
      <c r="AA449" s="85"/>
      <c r="AC449" s="94"/>
      <c r="AD449" s="93"/>
      <c r="AE449" s="85"/>
    </row>
    <row r="450" spans="6:31" x14ac:dyDescent="0.35">
      <c r="F450" s="93"/>
      <c r="G450" s="85"/>
      <c r="H450" s="87"/>
      <c r="M450" s="94"/>
      <c r="N450" s="93"/>
      <c r="O450" s="85"/>
      <c r="Q450" s="94"/>
      <c r="R450" s="93"/>
      <c r="S450" s="85"/>
      <c r="U450" s="94"/>
      <c r="V450" s="93"/>
      <c r="W450" s="85"/>
      <c r="Y450" s="94"/>
      <c r="Z450" s="93"/>
      <c r="AA450" s="85"/>
      <c r="AC450" s="94"/>
      <c r="AD450" s="93"/>
      <c r="AE450" s="85"/>
    </row>
    <row r="451" spans="6:31" x14ac:dyDescent="0.35">
      <c r="F451" s="93"/>
      <c r="G451" s="85"/>
      <c r="H451" s="87"/>
      <c r="M451" s="94"/>
      <c r="N451" s="93"/>
      <c r="O451" s="85"/>
      <c r="Q451" s="94"/>
      <c r="R451" s="93"/>
      <c r="S451" s="85"/>
      <c r="U451" s="94"/>
      <c r="V451" s="93"/>
      <c r="W451" s="85"/>
      <c r="Y451" s="94"/>
      <c r="Z451" s="93"/>
      <c r="AA451" s="85"/>
      <c r="AC451" s="94"/>
      <c r="AD451" s="93"/>
      <c r="AE451" s="85"/>
    </row>
    <row r="452" spans="6:31" x14ac:dyDescent="0.35">
      <c r="F452" s="93"/>
      <c r="G452" s="85"/>
      <c r="H452" s="87"/>
      <c r="M452" s="94"/>
      <c r="N452" s="93"/>
      <c r="O452" s="85"/>
      <c r="Q452" s="94"/>
      <c r="R452" s="93"/>
      <c r="S452" s="85"/>
      <c r="U452" s="94"/>
      <c r="V452" s="93"/>
      <c r="W452" s="85"/>
      <c r="Y452" s="94"/>
      <c r="Z452" s="93"/>
      <c r="AA452" s="85"/>
      <c r="AC452" s="94"/>
      <c r="AD452" s="93"/>
      <c r="AE452" s="85"/>
    </row>
    <row r="453" spans="6:31" x14ac:dyDescent="0.35">
      <c r="F453" s="93"/>
      <c r="G453" s="85"/>
      <c r="H453" s="87"/>
      <c r="M453" s="94"/>
      <c r="N453" s="93"/>
      <c r="O453" s="85"/>
      <c r="Q453" s="94"/>
      <c r="R453" s="93"/>
      <c r="S453" s="85"/>
      <c r="U453" s="94"/>
      <c r="V453" s="93"/>
      <c r="W453" s="85"/>
      <c r="Y453" s="94"/>
      <c r="Z453" s="93"/>
      <c r="AA453" s="85"/>
      <c r="AC453" s="94"/>
      <c r="AD453" s="93"/>
      <c r="AE453" s="85"/>
    </row>
    <row r="454" spans="6:31" x14ac:dyDescent="0.35">
      <c r="F454" s="93"/>
      <c r="G454" s="85"/>
      <c r="H454" s="87"/>
      <c r="M454" s="94"/>
      <c r="N454" s="93"/>
      <c r="O454" s="85"/>
      <c r="Q454" s="94"/>
      <c r="R454" s="93"/>
      <c r="S454" s="85"/>
      <c r="U454" s="94"/>
      <c r="V454" s="93"/>
      <c r="W454" s="85"/>
      <c r="Y454" s="94"/>
      <c r="Z454" s="93"/>
      <c r="AA454" s="85"/>
      <c r="AC454" s="94"/>
      <c r="AD454" s="93"/>
      <c r="AE454" s="85"/>
    </row>
    <row r="455" spans="6:31" x14ac:dyDescent="0.35">
      <c r="F455" s="93"/>
      <c r="G455" s="85"/>
      <c r="H455" s="87"/>
      <c r="M455" s="94"/>
      <c r="N455" s="93"/>
      <c r="O455" s="85"/>
      <c r="Q455" s="94"/>
      <c r="R455" s="93"/>
      <c r="S455" s="85"/>
      <c r="U455" s="94"/>
      <c r="V455" s="93"/>
      <c r="W455" s="85"/>
      <c r="Y455" s="94"/>
      <c r="Z455" s="93"/>
      <c r="AA455" s="85"/>
      <c r="AC455" s="94"/>
      <c r="AD455" s="93"/>
      <c r="AE455" s="85"/>
    </row>
    <row r="456" spans="6:31" x14ac:dyDescent="0.35">
      <c r="F456" s="93"/>
      <c r="G456" s="85"/>
      <c r="H456" s="87"/>
      <c r="M456" s="94"/>
      <c r="N456" s="93"/>
      <c r="O456" s="85"/>
      <c r="Q456" s="94"/>
      <c r="R456" s="93"/>
      <c r="S456" s="85"/>
      <c r="U456" s="94"/>
      <c r="V456" s="93"/>
      <c r="W456" s="85"/>
      <c r="Y456" s="94"/>
      <c r="Z456" s="93"/>
      <c r="AA456" s="85"/>
      <c r="AC456" s="94"/>
      <c r="AD456" s="93"/>
      <c r="AE456" s="85"/>
    </row>
    <row r="457" spans="6:31" x14ac:dyDescent="0.35">
      <c r="F457" s="93"/>
      <c r="G457" s="85"/>
      <c r="H457" s="87"/>
      <c r="M457" s="94"/>
      <c r="N457" s="93"/>
      <c r="O457" s="85"/>
      <c r="Q457" s="94"/>
      <c r="R457" s="93"/>
      <c r="S457" s="85"/>
      <c r="U457" s="94"/>
      <c r="V457" s="93"/>
      <c r="W457" s="85"/>
      <c r="Y457" s="94"/>
      <c r="Z457" s="93"/>
      <c r="AA457" s="85"/>
      <c r="AC457" s="94"/>
      <c r="AD457" s="93"/>
      <c r="AE457" s="85"/>
    </row>
    <row r="458" spans="6:31" x14ac:dyDescent="0.35">
      <c r="F458" s="93"/>
      <c r="G458" s="85"/>
      <c r="H458" s="87"/>
      <c r="M458" s="94"/>
      <c r="N458" s="93"/>
      <c r="O458" s="85"/>
      <c r="Q458" s="94"/>
      <c r="R458" s="93"/>
      <c r="S458" s="85"/>
      <c r="U458" s="94"/>
      <c r="V458" s="93"/>
      <c r="W458" s="85"/>
      <c r="Y458" s="94"/>
      <c r="Z458" s="93"/>
      <c r="AA458" s="85"/>
      <c r="AC458" s="94"/>
      <c r="AD458" s="93"/>
      <c r="AE458" s="85"/>
    </row>
    <row r="459" spans="6:31" x14ac:dyDescent="0.35">
      <c r="F459" s="93"/>
      <c r="G459" s="85"/>
      <c r="H459" s="87"/>
      <c r="M459" s="94"/>
      <c r="N459" s="93"/>
      <c r="O459" s="85"/>
      <c r="Q459" s="94"/>
      <c r="R459" s="93"/>
      <c r="S459" s="85"/>
      <c r="U459" s="94"/>
      <c r="V459" s="93"/>
      <c r="W459" s="85"/>
      <c r="Y459" s="94"/>
      <c r="Z459" s="93"/>
      <c r="AA459" s="85"/>
      <c r="AC459" s="94"/>
      <c r="AD459" s="93"/>
      <c r="AE459" s="85"/>
    </row>
    <row r="460" spans="6:31" x14ac:dyDescent="0.35">
      <c r="F460" s="93"/>
      <c r="G460" s="85"/>
      <c r="H460" s="87"/>
      <c r="M460" s="94"/>
      <c r="N460" s="93"/>
      <c r="O460" s="85"/>
      <c r="Q460" s="94"/>
      <c r="R460" s="93"/>
      <c r="S460" s="85"/>
      <c r="U460" s="94"/>
      <c r="V460" s="93"/>
      <c r="W460" s="85"/>
      <c r="Y460" s="94"/>
      <c r="Z460" s="93"/>
      <c r="AA460" s="85"/>
      <c r="AC460" s="94"/>
      <c r="AD460" s="93"/>
      <c r="AE460" s="85"/>
    </row>
    <row r="461" spans="6:31" x14ac:dyDescent="0.35">
      <c r="F461" s="93"/>
      <c r="G461" s="85"/>
      <c r="H461" s="87"/>
      <c r="M461" s="94"/>
      <c r="N461" s="93"/>
      <c r="O461" s="85"/>
      <c r="Q461" s="94"/>
      <c r="R461" s="93"/>
      <c r="S461" s="85"/>
      <c r="U461" s="94"/>
      <c r="V461" s="93"/>
      <c r="W461" s="85"/>
      <c r="Y461" s="94"/>
      <c r="Z461" s="93"/>
      <c r="AA461" s="85"/>
      <c r="AC461" s="94"/>
      <c r="AD461" s="93"/>
      <c r="AE461" s="85"/>
    </row>
    <row r="462" spans="6:31" x14ac:dyDescent="0.35">
      <c r="F462" s="93"/>
      <c r="G462" s="85"/>
      <c r="H462" s="87"/>
      <c r="M462" s="94"/>
      <c r="N462" s="93"/>
      <c r="O462" s="85"/>
      <c r="Q462" s="94"/>
      <c r="R462" s="93"/>
      <c r="S462" s="85"/>
      <c r="U462" s="94"/>
      <c r="V462" s="93"/>
      <c r="W462" s="85"/>
      <c r="Y462" s="94"/>
      <c r="Z462" s="93"/>
      <c r="AA462" s="85"/>
      <c r="AC462" s="94"/>
      <c r="AD462" s="93"/>
      <c r="AE462" s="85"/>
    </row>
    <row r="463" spans="6:31" x14ac:dyDescent="0.35">
      <c r="F463" s="93"/>
      <c r="G463" s="85"/>
      <c r="H463" s="87"/>
      <c r="M463" s="94"/>
      <c r="N463" s="93"/>
      <c r="O463" s="85"/>
      <c r="Q463" s="94"/>
      <c r="R463" s="93"/>
      <c r="S463" s="85"/>
      <c r="U463" s="94"/>
      <c r="V463" s="93"/>
      <c r="W463" s="85"/>
      <c r="Y463" s="94"/>
      <c r="Z463" s="93"/>
      <c r="AA463" s="85"/>
      <c r="AC463" s="94"/>
      <c r="AD463" s="93"/>
      <c r="AE463" s="85"/>
    </row>
    <row r="464" spans="6:31" x14ac:dyDescent="0.35">
      <c r="F464" s="93"/>
      <c r="G464" s="85"/>
      <c r="H464" s="87"/>
      <c r="M464" s="94"/>
      <c r="N464" s="93"/>
      <c r="O464" s="85"/>
      <c r="Q464" s="94"/>
      <c r="R464" s="93"/>
      <c r="S464" s="85"/>
      <c r="U464" s="94"/>
      <c r="V464" s="93"/>
      <c r="W464" s="85"/>
      <c r="Y464" s="94"/>
      <c r="Z464" s="93"/>
      <c r="AA464" s="85"/>
      <c r="AC464" s="94"/>
      <c r="AD464" s="93"/>
      <c r="AE464" s="85"/>
    </row>
    <row r="465" spans="6:31" x14ac:dyDescent="0.35">
      <c r="F465" s="93"/>
      <c r="G465" s="85"/>
      <c r="H465" s="87"/>
      <c r="M465" s="94"/>
      <c r="N465" s="93"/>
      <c r="O465" s="85"/>
      <c r="Q465" s="94"/>
      <c r="R465" s="93"/>
      <c r="S465" s="85"/>
      <c r="U465" s="94"/>
      <c r="V465" s="93"/>
      <c r="W465" s="85"/>
      <c r="Y465" s="94"/>
      <c r="Z465" s="93"/>
      <c r="AA465" s="85"/>
      <c r="AC465" s="94"/>
      <c r="AD465" s="93"/>
      <c r="AE465" s="85"/>
    </row>
    <row r="466" spans="6:31" x14ac:dyDescent="0.35">
      <c r="F466" s="93"/>
      <c r="G466" s="85"/>
      <c r="H466" s="87"/>
      <c r="M466" s="94"/>
      <c r="N466" s="93"/>
      <c r="O466" s="85"/>
      <c r="Q466" s="94"/>
      <c r="R466" s="93"/>
      <c r="S466" s="85"/>
      <c r="U466" s="94"/>
      <c r="V466" s="93"/>
      <c r="W466" s="85"/>
      <c r="Y466" s="94"/>
      <c r="Z466" s="93"/>
      <c r="AA466" s="85"/>
      <c r="AC466" s="94"/>
      <c r="AD466" s="93"/>
      <c r="AE466" s="85"/>
    </row>
    <row r="467" spans="6:31" x14ac:dyDescent="0.35">
      <c r="F467" s="93"/>
      <c r="G467" s="85"/>
      <c r="H467" s="87"/>
      <c r="M467" s="94"/>
      <c r="N467" s="93"/>
      <c r="O467" s="85"/>
      <c r="Q467" s="94"/>
      <c r="R467" s="93"/>
      <c r="S467" s="85"/>
      <c r="U467" s="94"/>
      <c r="V467" s="93"/>
      <c r="W467" s="85"/>
      <c r="Y467" s="94"/>
      <c r="Z467" s="93"/>
      <c r="AA467" s="85"/>
      <c r="AC467" s="94"/>
      <c r="AD467" s="93"/>
      <c r="AE467" s="85"/>
    </row>
    <row r="468" spans="6:31" x14ac:dyDescent="0.35">
      <c r="F468" s="93"/>
      <c r="G468" s="85"/>
      <c r="H468" s="87"/>
      <c r="M468" s="94"/>
      <c r="N468" s="93"/>
      <c r="O468" s="85"/>
      <c r="Q468" s="94"/>
      <c r="R468" s="93"/>
      <c r="S468" s="85"/>
      <c r="U468" s="94"/>
      <c r="V468" s="93"/>
      <c r="W468" s="85"/>
      <c r="Y468" s="94"/>
      <c r="Z468" s="93"/>
      <c r="AA468" s="85"/>
      <c r="AC468" s="94"/>
      <c r="AD468" s="93"/>
      <c r="AE468" s="85"/>
    </row>
    <row r="469" spans="6:31" x14ac:dyDescent="0.35">
      <c r="F469" s="93"/>
      <c r="G469" s="85"/>
      <c r="H469" s="87"/>
      <c r="M469" s="94"/>
      <c r="N469" s="93"/>
      <c r="O469" s="85"/>
      <c r="Q469" s="94"/>
      <c r="R469" s="93"/>
      <c r="S469" s="85"/>
      <c r="U469" s="94"/>
      <c r="V469" s="93"/>
      <c r="W469" s="85"/>
      <c r="Y469" s="94"/>
      <c r="Z469" s="93"/>
      <c r="AA469" s="85"/>
      <c r="AC469" s="94"/>
      <c r="AD469" s="93"/>
      <c r="AE469" s="85"/>
    </row>
    <row r="470" spans="6:31" x14ac:dyDescent="0.35">
      <c r="F470" s="93"/>
      <c r="G470" s="85"/>
      <c r="H470" s="87"/>
      <c r="M470" s="94"/>
      <c r="N470" s="93"/>
      <c r="O470" s="85"/>
      <c r="Q470" s="94"/>
      <c r="R470" s="93"/>
      <c r="S470" s="85"/>
      <c r="U470" s="94"/>
      <c r="V470" s="93"/>
      <c r="W470" s="85"/>
      <c r="Y470" s="94"/>
      <c r="Z470" s="93"/>
      <c r="AA470" s="85"/>
      <c r="AC470" s="94"/>
      <c r="AD470" s="93"/>
      <c r="AE470" s="85"/>
    </row>
    <row r="471" spans="6:31" x14ac:dyDescent="0.35">
      <c r="F471" s="93"/>
      <c r="G471" s="85"/>
      <c r="H471" s="87"/>
      <c r="M471" s="94"/>
      <c r="N471" s="93"/>
      <c r="O471" s="85"/>
      <c r="Q471" s="94"/>
      <c r="R471" s="93"/>
      <c r="S471" s="85"/>
      <c r="U471" s="94"/>
      <c r="V471" s="93"/>
      <c r="W471" s="85"/>
      <c r="Y471" s="94"/>
      <c r="Z471" s="93"/>
      <c r="AA471" s="85"/>
      <c r="AC471" s="94"/>
      <c r="AD471" s="93"/>
      <c r="AE471" s="85"/>
    </row>
    <row r="472" spans="6:31" x14ac:dyDescent="0.35">
      <c r="F472" s="93"/>
      <c r="G472" s="85"/>
      <c r="H472" s="87"/>
      <c r="M472" s="94"/>
      <c r="N472" s="93"/>
      <c r="O472" s="85"/>
      <c r="Q472" s="94"/>
      <c r="R472" s="93"/>
      <c r="S472" s="85"/>
      <c r="U472" s="94"/>
      <c r="V472" s="93"/>
      <c r="W472" s="85"/>
      <c r="Y472" s="94"/>
      <c r="Z472" s="93"/>
      <c r="AA472" s="85"/>
      <c r="AC472" s="94"/>
      <c r="AD472" s="93"/>
      <c r="AE472" s="85"/>
    </row>
    <row r="473" spans="6:31" x14ac:dyDescent="0.35">
      <c r="F473" s="93"/>
      <c r="G473" s="85"/>
      <c r="H473" s="87"/>
      <c r="M473" s="94"/>
      <c r="N473" s="93"/>
      <c r="O473" s="85"/>
      <c r="Q473" s="94"/>
      <c r="R473" s="93"/>
      <c r="S473" s="85"/>
      <c r="U473" s="94"/>
      <c r="V473" s="93"/>
      <c r="W473" s="85"/>
      <c r="Y473" s="94"/>
      <c r="Z473" s="93"/>
      <c r="AA473" s="85"/>
      <c r="AC473" s="94"/>
      <c r="AD473" s="93"/>
      <c r="AE473" s="85"/>
    </row>
    <row r="474" spans="6:31" x14ac:dyDescent="0.35">
      <c r="F474" s="93"/>
      <c r="G474" s="85"/>
      <c r="H474" s="87"/>
      <c r="M474" s="94"/>
      <c r="N474" s="93"/>
      <c r="O474" s="85"/>
      <c r="Q474" s="94"/>
      <c r="R474" s="93"/>
      <c r="S474" s="85"/>
      <c r="U474" s="94"/>
      <c r="V474" s="93"/>
      <c r="W474" s="85"/>
      <c r="Y474" s="94"/>
      <c r="Z474" s="93"/>
      <c r="AA474" s="85"/>
      <c r="AC474" s="94"/>
      <c r="AD474" s="93"/>
      <c r="AE474" s="85"/>
    </row>
    <row r="475" spans="6:31" x14ac:dyDescent="0.35">
      <c r="F475" s="93"/>
      <c r="G475" s="85"/>
      <c r="H475" s="87"/>
      <c r="M475" s="94"/>
      <c r="N475" s="93"/>
      <c r="O475" s="85"/>
      <c r="Q475" s="94"/>
      <c r="R475" s="93"/>
      <c r="S475" s="85"/>
      <c r="U475" s="94"/>
      <c r="V475" s="93"/>
      <c r="W475" s="85"/>
      <c r="Y475" s="94"/>
      <c r="Z475" s="93"/>
      <c r="AA475" s="85"/>
      <c r="AC475" s="94"/>
      <c r="AD475" s="93"/>
      <c r="AE475" s="85"/>
    </row>
    <row r="476" spans="6:31" x14ac:dyDescent="0.35">
      <c r="F476" s="93"/>
      <c r="G476" s="85"/>
      <c r="H476" s="87"/>
      <c r="M476" s="94"/>
      <c r="N476" s="93"/>
      <c r="O476" s="85"/>
      <c r="Q476" s="94"/>
      <c r="R476" s="93"/>
      <c r="S476" s="85"/>
      <c r="U476" s="94"/>
      <c r="V476" s="93"/>
      <c r="W476" s="85"/>
      <c r="Y476" s="94"/>
      <c r="Z476" s="93"/>
      <c r="AA476" s="85"/>
      <c r="AC476" s="94"/>
      <c r="AD476" s="93"/>
      <c r="AE476" s="85"/>
    </row>
    <row r="477" spans="6:31" x14ac:dyDescent="0.35">
      <c r="F477" s="93"/>
      <c r="G477" s="85"/>
      <c r="H477" s="87"/>
      <c r="M477" s="94"/>
      <c r="N477" s="93"/>
      <c r="O477" s="85"/>
      <c r="Q477" s="94"/>
      <c r="R477" s="93"/>
      <c r="S477" s="85"/>
      <c r="U477" s="94"/>
      <c r="V477" s="93"/>
      <c r="W477" s="85"/>
      <c r="Y477" s="94"/>
      <c r="Z477" s="93"/>
      <c r="AA477" s="85"/>
      <c r="AC477" s="94"/>
      <c r="AD477" s="93"/>
      <c r="AE477" s="85"/>
    </row>
    <row r="478" spans="6:31" x14ac:dyDescent="0.35">
      <c r="F478" s="93"/>
      <c r="G478" s="85"/>
      <c r="H478" s="87"/>
      <c r="M478" s="94"/>
      <c r="N478" s="93"/>
      <c r="O478" s="85"/>
      <c r="Q478" s="94"/>
      <c r="R478" s="93"/>
      <c r="S478" s="85"/>
      <c r="U478" s="94"/>
      <c r="V478" s="93"/>
      <c r="W478" s="85"/>
      <c r="Y478" s="94"/>
      <c r="Z478" s="93"/>
      <c r="AA478" s="85"/>
      <c r="AC478" s="94"/>
      <c r="AD478" s="93"/>
      <c r="AE478" s="85"/>
    </row>
    <row r="479" spans="6:31" x14ac:dyDescent="0.35">
      <c r="F479" s="93"/>
      <c r="G479" s="85"/>
      <c r="H479" s="87"/>
      <c r="M479" s="94"/>
      <c r="N479" s="93"/>
      <c r="O479" s="85"/>
      <c r="Q479" s="94"/>
      <c r="R479" s="93"/>
      <c r="S479" s="85"/>
      <c r="U479" s="94"/>
      <c r="V479" s="93"/>
      <c r="W479" s="85"/>
      <c r="Y479" s="94"/>
      <c r="Z479" s="93"/>
      <c r="AA479" s="85"/>
      <c r="AC479" s="94"/>
      <c r="AD479" s="93"/>
      <c r="AE479" s="85"/>
    </row>
    <row r="480" spans="6:31" x14ac:dyDescent="0.35">
      <c r="F480" s="93"/>
      <c r="G480" s="85"/>
      <c r="H480" s="87"/>
      <c r="M480" s="94"/>
      <c r="N480" s="93"/>
      <c r="O480" s="85"/>
      <c r="Q480" s="94"/>
      <c r="R480" s="93"/>
      <c r="S480" s="85"/>
      <c r="U480" s="94"/>
      <c r="V480" s="93"/>
      <c r="W480" s="85"/>
      <c r="Y480" s="94"/>
      <c r="Z480" s="93"/>
      <c r="AA480" s="85"/>
      <c r="AC480" s="94"/>
      <c r="AD480" s="93"/>
      <c r="AE480" s="85"/>
    </row>
    <row r="481" spans="6:31" x14ac:dyDescent="0.35">
      <c r="F481" s="93"/>
      <c r="G481" s="85"/>
      <c r="H481" s="87"/>
      <c r="M481" s="94"/>
      <c r="N481" s="93"/>
      <c r="O481" s="85"/>
      <c r="Q481" s="94"/>
      <c r="R481" s="93"/>
      <c r="S481" s="85"/>
      <c r="U481" s="94"/>
      <c r="V481" s="93"/>
      <c r="W481" s="85"/>
      <c r="Y481" s="94"/>
      <c r="Z481" s="93"/>
      <c r="AA481" s="85"/>
      <c r="AC481" s="94"/>
      <c r="AD481" s="93"/>
      <c r="AE481" s="85"/>
    </row>
    <row r="482" spans="6:31" x14ac:dyDescent="0.35">
      <c r="F482" s="93"/>
      <c r="G482" s="85"/>
      <c r="H482" s="87"/>
      <c r="M482" s="94"/>
      <c r="N482" s="93"/>
      <c r="O482" s="85"/>
      <c r="Q482" s="94"/>
      <c r="R482" s="93"/>
      <c r="S482" s="85"/>
      <c r="U482" s="94"/>
      <c r="V482" s="93"/>
      <c r="W482" s="85"/>
      <c r="Y482" s="94"/>
      <c r="Z482" s="93"/>
      <c r="AA482" s="85"/>
      <c r="AC482" s="94"/>
      <c r="AD482" s="93"/>
      <c r="AE482" s="85"/>
    </row>
    <row r="483" spans="6:31" x14ac:dyDescent="0.35">
      <c r="F483" s="93"/>
      <c r="G483" s="85"/>
      <c r="H483" s="87"/>
      <c r="M483" s="94"/>
      <c r="N483" s="93"/>
      <c r="O483" s="85"/>
      <c r="Q483" s="94"/>
      <c r="R483" s="93"/>
      <c r="S483" s="85"/>
      <c r="U483" s="94"/>
      <c r="V483" s="93"/>
      <c r="W483" s="85"/>
      <c r="Y483" s="94"/>
      <c r="Z483" s="93"/>
      <c r="AA483" s="85"/>
      <c r="AC483" s="94"/>
      <c r="AD483" s="93"/>
      <c r="AE483" s="85"/>
    </row>
    <row r="484" spans="6:31" x14ac:dyDescent="0.35">
      <c r="F484" s="93"/>
      <c r="G484" s="85"/>
      <c r="H484" s="87"/>
      <c r="M484" s="94"/>
      <c r="N484" s="93"/>
      <c r="O484" s="85"/>
      <c r="Q484" s="94"/>
      <c r="R484" s="93"/>
      <c r="S484" s="85"/>
      <c r="U484" s="94"/>
      <c r="V484" s="93"/>
      <c r="W484" s="85"/>
      <c r="Y484" s="94"/>
      <c r="Z484" s="93"/>
      <c r="AA484" s="85"/>
      <c r="AC484" s="94"/>
      <c r="AD484" s="93"/>
      <c r="AE484" s="85"/>
    </row>
    <row r="485" spans="6:31" x14ac:dyDescent="0.35">
      <c r="F485" s="93"/>
      <c r="G485" s="85"/>
      <c r="H485" s="87"/>
      <c r="M485" s="94"/>
      <c r="N485" s="93"/>
      <c r="O485" s="85"/>
      <c r="Q485" s="94"/>
      <c r="R485" s="93"/>
      <c r="S485" s="85"/>
      <c r="U485" s="94"/>
      <c r="V485" s="93"/>
      <c r="W485" s="85"/>
      <c r="Y485" s="94"/>
      <c r="Z485" s="93"/>
      <c r="AA485" s="85"/>
      <c r="AC485" s="94"/>
      <c r="AD485" s="93"/>
      <c r="AE485" s="85"/>
    </row>
    <row r="486" spans="6:31" x14ac:dyDescent="0.35">
      <c r="F486" s="93"/>
      <c r="G486" s="85"/>
      <c r="H486" s="87"/>
      <c r="M486" s="94"/>
      <c r="N486" s="93"/>
      <c r="O486" s="85"/>
      <c r="Q486" s="94"/>
      <c r="R486" s="93"/>
      <c r="S486" s="85"/>
      <c r="U486" s="94"/>
      <c r="V486" s="93"/>
      <c r="W486" s="85"/>
      <c r="Y486" s="94"/>
      <c r="Z486" s="93"/>
      <c r="AA486" s="85"/>
      <c r="AC486" s="94"/>
      <c r="AD486" s="93"/>
      <c r="AE486" s="85"/>
    </row>
    <row r="487" spans="6:31" x14ac:dyDescent="0.35">
      <c r="F487" s="93"/>
      <c r="G487" s="85"/>
      <c r="H487" s="87"/>
      <c r="M487" s="94"/>
      <c r="N487" s="93"/>
      <c r="O487" s="85"/>
      <c r="Q487" s="94"/>
      <c r="R487" s="93"/>
      <c r="S487" s="85"/>
      <c r="U487" s="94"/>
      <c r="V487" s="93"/>
      <c r="W487" s="85"/>
      <c r="Y487" s="94"/>
      <c r="Z487" s="93"/>
      <c r="AA487" s="85"/>
      <c r="AC487" s="94"/>
      <c r="AD487" s="93"/>
      <c r="AE487" s="85"/>
    </row>
    <row r="488" spans="6:31" x14ac:dyDescent="0.35">
      <c r="F488" s="93"/>
      <c r="G488" s="85"/>
      <c r="H488" s="87"/>
      <c r="M488" s="94"/>
      <c r="N488" s="93"/>
      <c r="O488" s="85"/>
      <c r="Q488" s="94"/>
      <c r="R488" s="93"/>
      <c r="S488" s="85"/>
      <c r="U488" s="94"/>
      <c r="V488" s="93"/>
      <c r="W488" s="85"/>
      <c r="Y488" s="94"/>
      <c r="Z488" s="93"/>
      <c r="AA488" s="85"/>
      <c r="AC488" s="94"/>
      <c r="AD488" s="93"/>
      <c r="AE488" s="85"/>
    </row>
    <row r="489" spans="6:31" x14ac:dyDescent="0.35">
      <c r="F489" s="93"/>
      <c r="G489" s="85"/>
      <c r="H489" s="87"/>
      <c r="M489" s="94"/>
      <c r="N489" s="93"/>
      <c r="O489" s="85"/>
      <c r="Q489" s="94"/>
      <c r="R489" s="93"/>
      <c r="S489" s="85"/>
      <c r="U489" s="94"/>
      <c r="V489" s="93"/>
      <c r="W489" s="85"/>
      <c r="Y489" s="94"/>
      <c r="Z489" s="93"/>
      <c r="AA489" s="85"/>
      <c r="AC489" s="94"/>
      <c r="AD489" s="93"/>
      <c r="AE489" s="85"/>
    </row>
    <row r="490" spans="6:31" x14ac:dyDescent="0.35">
      <c r="F490" s="93"/>
      <c r="G490" s="85"/>
      <c r="H490" s="87"/>
      <c r="M490" s="94"/>
      <c r="N490" s="93"/>
      <c r="O490" s="85"/>
      <c r="Q490" s="94"/>
      <c r="R490" s="93"/>
      <c r="S490" s="85"/>
      <c r="U490" s="94"/>
      <c r="V490" s="93"/>
      <c r="W490" s="85"/>
      <c r="Y490" s="94"/>
      <c r="Z490" s="93"/>
      <c r="AA490" s="85"/>
      <c r="AC490" s="94"/>
      <c r="AD490" s="93"/>
      <c r="AE490" s="85"/>
    </row>
    <row r="491" spans="6:31" x14ac:dyDescent="0.35">
      <c r="F491" s="93"/>
      <c r="G491" s="85"/>
      <c r="H491" s="87"/>
      <c r="M491" s="94"/>
      <c r="N491" s="93"/>
      <c r="O491" s="85"/>
      <c r="Q491" s="94"/>
      <c r="R491" s="93"/>
      <c r="S491" s="85"/>
      <c r="U491" s="94"/>
      <c r="V491" s="93"/>
      <c r="W491" s="85"/>
      <c r="Y491" s="94"/>
      <c r="Z491" s="93"/>
      <c r="AA491" s="85"/>
      <c r="AC491" s="94"/>
      <c r="AD491" s="93"/>
      <c r="AE491" s="85"/>
    </row>
    <row r="492" spans="6:31" x14ac:dyDescent="0.35">
      <c r="F492" s="93"/>
      <c r="G492" s="85"/>
      <c r="H492" s="87"/>
      <c r="M492" s="94"/>
      <c r="N492" s="93"/>
      <c r="O492" s="85"/>
      <c r="Q492" s="94"/>
      <c r="R492" s="93"/>
      <c r="S492" s="85"/>
      <c r="U492" s="94"/>
      <c r="V492" s="93"/>
      <c r="W492" s="85"/>
      <c r="Y492" s="94"/>
      <c r="Z492" s="93"/>
      <c r="AA492" s="85"/>
      <c r="AC492" s="94"/>
      <c r="AD492" s="93"/>
      <c r="AE492" s="85"/>
    </row>
    <row r="493" spans="6:31" x14ac:dyDescent="0.35">
      <c r="F493" s="93"/>
      <c r="G493" s="85"/>
      <c r="H493" s="87"/>
      <c r="M493" s="94"/>
      <c r="N493" s="93"/>
      <c r="O493" s="85"/>
      <c r="Q493" s="94"/>
      <c r="R493" s="93"/>
      <c r="S493" s="85"/>
      <c r="U493" s="94"/>
      <c r="V493" s="93"/>
      <c r="W493" s="85"/>
      <c r="Y493" s="94"/>
      <c r="Z493" s="93"/>
      <c r="AA493" s="85"/>
      <c r="AC493" s="94"/>
      <c r="AD493" s="93"/>
      <c r="AE493" s="85"/>
    </row>
    <row r="494" spans="6:31" x14ac:dyDescent="0.35">
      <c r="F494" s="93"/>
      <c r="G494" s="85"/>
      <c r="H494" s="87"/>
      <c r="M494" s="94"/>
      <c r="N494" s="93"/>
      <c r="O494" s="85"/>
      <c r="Q494" s="94"/>
      <c r="R494" s="93"/>
      <c r="S494" s="85"/>
      <c r="U494" s="94"/>
      <c r="V494" s="93"/>
      <c r="W494" s="85"/>
      <c r="Y494" s="94"/>
      <c r="Z494" s="93"/>
      <c r="AA494" s="85"/>
      <c r="AC494" s="94"/>
      <c r="AD494" s="93"/>
      <c r="AE494" s="85"/>
    </row>
    <row r="495" spans="6:31" x14ac:dyDescent="0.35">
      <c r="F495" s="93"/>
      <c r="G495" s="85"/>
      <c r="H495" s="87"/>
      <c r="M495" s="94"/>
      <c r="N495" s="93"/>
      <c r="O495" s="85"/>
      <c r="Q495" s="94"/>
      <c r="R495" s="93"/>
      <c r="S495" s="85"/>
      <c r="U495" s="94"/>
      <c r="V495" s="93"/>
      <c r="W495" s="85"/>
      <c r="Y495" s="94"/>
      <c r="Z495" s="93"/>
      <c r="AA495" s="85"/>
      <c r="AC495" s="94"/>
      <c r="AD495" s="93"/>
      <c r="AE495" s="85"/>
    </row>
    <row r="496" spans="6:31" x14ac:dyDescent="0.35">
      <c r="F496" s="93"/>
      <c r="G496" s="85"/>
      <c r="H496" s="87"/>
      <c r="M496" s="94"/>
      <c r="N496" s="93"/>
      <c r="O496" s="85"/>
      <c r="Q496" s="94"/>
      <c r="R496" s="93"/>
      <c r="S496" s="85"/>
      <c r="U496" s="94"/>
      <c r="V496" s="93"/>
      <c r="W496" s="85"/>
      <c r="Y496" s="94"/>
      <c r="Z496" s="93"/>
      <c r="AA496" s="85"/>
      <c r="AC496" s="94"/>
      <c r="AD496" s="93"/>
      <c r="AE496" s="85"/>
    </row>
    <row r="497" spans="6:31" x14ac:dyDescent="0.35">
      <c r="F497" s="93"/>
      <c r="G497" s="85"/>
      <c r="H497" s="87"/>
      <c r="M497" s="94"/>
      <c r="N497" s="93"/>
      <c r="O497" s="85"/>
      <c r="Q497" s="94"/>
      <c r="R497" s="93"/>
      <c r="S497" s="85"/>
      <c r="U497" s="94"/>
      <c r="V497" s="93"/>
      <c r="W497" s="85"/>
      <c r="Y497" s="94"/>
      <c r="Z497" s="93"/>
      <c r="AA497" s="85"/>
      <c r="AC497" s="94"/>
      <c r="AD497" s="93"/>
      <c r="AE497" s="85"/>
    </row>
    <row r="498" spans="6:31" x14ac:dyDescent="0.35">
      <c r="F498" s="93"/>
      <c r="G498" s="85"/>
      <c r="H498" s="87"/>
      <c r="M498" s="94"/>
      <c r="N498" s="93"/>
      <c r="O498" s="85"/>
      <c r="Q498" s="94"/>
      <c r="R498" s="93"/>
      <c r="S498" s="85"/>
      <c r="U498" s="94"/>
      <c r="V498" s="93"/>
      <c r="W498" s="85"/>
      <c r="Y498" s="94"/>
      <c r="Z498" s="93"/>
      <c r="AA498" s="85"/>
      <c r="AC498" s="94"/>
      <c r="AD498" s="93"/>
      <c r="AE498" s="85"/>
    </row>
    <row r="499" spans="6:31" x14ac:dyDescent="0.35">
      <c r="F499" s="93"/>
      <c r="G499" s="85"/>
      <c r="H499" s="87"/>
      <c r="M499" s="94"/>
      <c r="N499" s="93"/>
      <c r="O499" s="85"/>
      <c r="Q499" s="94"/>
      <c r="R499" s="93"/>
      <c r="S499" s="85"/>
      <c r="U499" s="94"/>
      <c r="V499" s="93"/>
      <c r="W499" s="85"/>
      <c r="Y499" s="94"/>
      <c r="Z499" s="93"/>
      <c r="AA499" s="85"/>
      <c r="AC499" s="94"/>
      <c r="AD499" s="93"/>
      <c r="AE499" s="85"/>
    </row>
    <row r="500" spans="6:31" x14ac:dyDescent="0.35">
      <c r="F500" s="93"/>
      <c r="G500" s="85"/>
      <c r="H500" s="87"/>
      <c r="M500" s="94"/>
      <c r="N500" s="93"/>
      <c r="O500" s="85"/>
      <c r="Q500" s="94"/>
      <c r="R500" s="93"/>
      <c r="S500" s="85"/>
      <c r="U500" s="94"/>
      <c r="V500" s="93"/>
      <c r="W500" s="85"/>
      <c r="Y500" s="94"/>
      <c r="Z500" s="93"/>
      <c r="AA500" s="85"/>
      <c r="AC500" s="94"/>
      <c r="AD500" s="93"/>
      <c r="AE500" s="85"/>
    </row>
    <row r="501" spans="6:31" x14ac:dyDescent="0.35">
      <c r="F501" s="93"/>
      <c r="G501" s="85"/>
      <c r="H501" s="87"/>
      <c r="M501" s="94"/>
      <c r="N501" s="93"/>
      <c r="O501" s="85"/>
      <c r="Q501" s="94"/>
      <c r="R501" s="93"/>
      <c r="S501" s="85"/>
      <c r="U501" s="94"/>
      <c r="V501" s="93"/>
      <c r="W501" s="85"/>
      <c r="Y501" s="94"/>
      <c r="Z501" s="93"/>
      <c r="AA501" s="85"/>
      <c r="AC501" s="94"/>
      <c r="AD501" s="93"/>
      <c r="AE501" s="85"/>
    </row>
    <row r="502" spans="6:31" x14ac:dyDescent="0.35">
      <c r="F502" s="93"/>
      <c r="G502" s="85"/>
      <c r="H502" s="87"/>
      <c r="M502" s="94"/>
      <c r="N502" s="93"/>
      <c r="O502" s="85"/>
      <c r="Q502" s="94"/>
      <c r="R502" s="93"/>
      <c r="S502" s="85"/>
      <c r="U502" s="94"/>
      <c r="V502" s="93"/>
      <c r="W502" s="85"/>
      <c r="Y502" s="94"/>
      <c r="Z502" s="93"/>
      <c r="AA502" s="85"/>
      <c r="AC502" s="94"/>
      <c r="AD502" s="93"/>
      <c r="AE502" s="85"/>
    </row>
    <row r="503" spans="6:31" x14ac:dyDescent="0.35">
      <c r="F503" s="93"/>
      <c r="G503" s="85"/>
      <c r="H503" s="87"/>
      <c r="M503" s="94"/>
      <c r="N503" s="93"/>
      <c r="O503" s="85"/>
      <c r="Q503" s="94"/>
      <c r="R503" s="93"/>
      <c r="S503" s="85"/>
      <c r="U503" s="94"/>
      <c r="V503" s="93"/>
      <c r="W503" s="85"/>
      <c r="Y503" s="94"/>
      <c r="Z503" s="93"/>
      <c r="AA503" s="85"/>
      <c r="AC503" s="94"/>
      <c r="AD503" s="93"/>
      <c r="AE503" s="85"/>
    </row>
    <row r="504" spans="6:31" x14ac:dyDescent="0.35">
      <c r="F504" s="93"/>
      <c r="G504" s="85"/>
      <c r="H504" s="87"/>
      <c r="M504" s="94"/>
      <c r="N504" s="93"/>
      <c r="O504" s="85"/>
      <c r="Q504" s="94"/>
      <c r="R504" s="93"/>
      <c r="S504" s="85"/>
      <c r="U504" s="94"/>
      <c r="V504" s="93"/>
      <c r="W504" s="85"/>
      <c r="Y504" s="94"/>
      <c r="Z504" s="93"/>
      <c r="AA504" s="85"/>
      <c r="AC504" s="94"/>
      <c r="AD504" s="93"/>
      <c r="AE504" s="85"/>
    </row>
    <row r="505" spans="6:31" x14ac:dyDescent="0.35">
      <c r="F505" s="93"/>
      <c r="G505" s="85"/>
      <c r="H505" s="87"/>
      <c r="M505" s="94"/>
      <c r="N505" s="93"/>
      <c r="O505" s="85"/>
      <c r="Q505" s="94"/>
      <c r="R505" s="93"/>
      <c r="S505" s="85"/>
      <c r="U505" s="94"/>
      <c r="V505" s="93"/>
      <c r="W505" s="85"/>
      <c r="Y505" s="94"/>
      <c r="Z505" s="93"/>
      <c r="AA505" s="85"/>
      <c r="AC505" s="94"/>
      <c r="AD505" s="93"/>
      <c r="AE505" s="85"/>
    </row>
    <row r="506" spans="6:31" x14ac:dyDescent="0.35">
      <c r="F506" s="93"/>
      <c r="G506" s="85"/>
      <c r="H506" s="87"/>
      <c r="M506" s="94"/>
      <c r="N506" s="93"/>
      <c r="O506" s="85"/>
      <c r="Q506" s="94"/>
      <c r="R506" s="93"/>
      <c r="S506" s="85"/>
      <c r="U506" s="94"/>
      <c r="V506" s="93"/>
      <c r="W506" s="85"/>
      <c r="Y506" s="94"/>
      <c r="Z506" s="93"/>
      <c r="AA506" s="85"/>
      <c r="AC506" s="94"/>
      <c r="AD506" s="93"/>
      <c r="AE506" s="85"/>
    </row>
    <row r="507" spans="6:31" x14ac:dyDescent="0.35">
      <c r="F507" s="93"/>
      <c r="G507" s="85"/>
      <c r="H507" s="87"/>
      <c r="M507" s="94"/>
      <c r="N507" s="93"/>
      <c r="O507" s="85"/>
      <c r="Q507" s="94"/>
      <c r="R507" s="93"/>
      <c r="S507" s="85"/>
      <c r="U507" s="94"/>
      <c r="V507" s="93"/>
      <c r="W507" s="85"/>
      <c r="Y507" s="94"/>
      <c r="Z507" s="93"/>
      <c r="AA507" s="85"/>
      <c r="AC507" s="94"/>
      <c r="AD507" s="93"/>
      <c r="AE507" s="85"/>
    </row>
    <row r="508" spans="6:31" x14ac:dyDescent="0.35">
      <c r="F508" s="93"/>
      <c r="G508" s="85"/>
      <c r="H508" s="87"/>
      <c r="M508" s="94"/>
      <c r="N508" s="93"/>
      <c r="O508" s="85"/>
      <c r="Q508" s="94"/>
      <c r="R508" s="93"/>
      <c r="S508" s="85"/>
      <c r="U508" s="94"/>
      <c r="V508" s="93"/>
      <c r="W508" s="85"/>
      <c r="Y508" s="94"/>
      <c r="Z508" s="93"/>
      <c r="AA508" s="85"/>
      <c r="AC508" s="94"/>
      <c r="AD508" s="93"/>
      <c r="AE508" s="85"/>
    </row>
    <row r="509" spans="6:31" x14ac:dyDescent="0.35">
      <c r="F509" s="93"/>
      <c r="G509" s="85"/>
      <c r="H509" s="87"/>
      <c r="M509" s="94"/>
      <c r="N509" s="93"/>
      <c r="O509" s="85"/>
      <c r="Q509" s="94"/>
      <c r="R509" s="93"/>
      <c r="S509" s="85"/>
      <c r="U509" s="94"/>
      <c r="V509" s="93"/>
      <c r="W509" s="85"/>
      <c r="Y509" s="94"/>
      <c r="Z509" s="93"/>
      <c r="AA509" s="85"/>
      <c r="AC509" s="94"/>
      <c r="AD509" s="93"/>
      <c r="AE509" s="85"/>
    </row>
    <row r="510" spans="6:31" x14ac:dyDescent="0.35">
      <c r="F510" s="93"/>
      <c r="G510" s="85"/>
      <c r="H510" s="87"/>
      <c r="M510" s="94"/>
      <c r="N510" s="93"/>
      <c r="O510" s="85"/>
      <c r="Q510" s="94"/>
      <c r="R510" s="93"/>
      <c r="S510" s="85"/>
      <c r="U510" s="94"/>
      <c r="V510" s="93"/>
      <c r="W510" s="85"/>
      <c r="Y510" s="94"/>
      <c r="Z510" s="93"/>
      <c r="AA510" s="85"/>
      <c r="AC510" s="94"/>
      <c r="AD510" s="93"/>
      <c r="AE510" s="85"/>
    </row>
    <row r="511" spans="6:31" x14ac:dyDescent="0.35">
      <c r="F511" s="93"/>
      <c r="G511" s="85"/>
      <c r="H511" s="87"/>
      <c r="M511" s="94"/>
      <c r="N511" s="93"/>
      <c r="O511" s="85"/>
      <c r="Q511" s="94"/>
      <c r="R511" s="93"/>
      <c r="S511" s="85"/>
      <c r="U511" s="94"/>
      <c r="V511" s="93"/>
      <c r="W511" s="85"/>
      <c r="Y511" s="94"/>
      <c r="Z511" s="93"/>
      <c r="AA511" s="85"/>
      <c r="AC511" s="94"/>
      <c r="AD511" s="93"/>
      <c r="AE511" s="85"/>
    </row>
    <row r="512" spans="6:31" x14ac:dyDescent="0.35">
      <c r="F512" s="93"/>
      <c r="G512" s="85"/>
      <c r="H512" s="87"/>
      <c r="M512" s="94"/>
      <c r="N512" s="93"/>
      <c r="O512" s="85"/>
      <c r="Q512" s="94"/>
      <c r="R512" s="93"/>
      <c r="S512" s="85"/>
      <c r="U512" s="94"/>
      <c r="V512" s="93"/>
      <c r="W512" s="85"/>
      <c r="Y512" s="94"/>
      <c r="Z512" s="93"/>
      <c r="AA512" s="85"/>
      <c r="AC512" s="94"/>
      <c r="AD512" s="93"/>
      <c r="AE512" s="85"/>
    </row>
    <row r="513" spans="6:31" x14ac:dyDescent="0.35">
      <c r="F513" s="93"/>
      <c r="G513" s="85"/>
      <c r="H513" s="87"/>
      <c r="M513" s="94"/>
      <c r="N513" s="93"/>
      <c r="O513" s="85"/>
      <c r="Q513" s="94"/>
      <c r="R513" s="93"/>
      <c r="S513" s="85"/>
      <c r="U513" s="94"/>
      <c r="V513" s="93"/>
      <c r="W513" s="85"/>
      <c r="Y513" s="94"/>
      <c r="Z513" s="93"/>
      <c r="AA513" s="85"/>
      <c r="AC513" s="94"/>
      <c r="AD513" s="93"/>
      <c r="AE513" s="85"/>
    </row>
    <row r="514" spans="6:31" x14ac:dyDescent="0.35">
      <c r="F514" s="93"/>
      <c r="G514" s="85"/>
      <c r="H514" s="87"/>
      <c r="M514" s="94"/>
      <c r="N514" s="93"/>
      <c r="O514" s="85"/>
      <c r="Q514" s="94"/>
      <c r="R514" s="93"/>
      <c r="S514" s="85"/>
      <c r="U514" s="94"/>
      <c r="V514" s="93"/>
      <c r="W514" s="85"/>
      <c r="Y514" s="94"/>
      <c r="Z514" s="93"/>
      <c r="AA514" s="85"/>
      <c r="AC514" s="94"/>
      <c r="AD514" s="93"/>
      <c r="AE514" s="85"/>
    </row>
    <row r="515" spans="6:31" x14ac:dyDescent="0.35">
      <c r="F515" s="93"/>
      <c r="G515" s="85"/>
      <c r="H515" s="87"/>
      <c r="M515" s="94"/>
      <c r="N515" s="93"/>
      <c r="O515" s="85"/>
      <c r="Q515" s="94"/>
      <c r="R515" s="93"/>
      <c r="S515" s="85"/>
      <c r="U515" s="94"/>
      <c r="V515" s="93"/>
      <c r="W515" s="85"/>
      <c r="Y515" s="94"/>
      <c r="Z515" s="93"/>
      <c r="AA515" s="85"/>
      <c r="AC515" s="94"/>
      <c r="AD515" s="93"/>
      <c r="AE515" s="85"/>
    </row>
    <row r="516" spans="6:31" x14ac:dyDescent="0.35">
      <c r="F516" s="93"/>
      <c r="G516" s="85"/>
      <c r="H516" s="87"/>
      <c r="M516" s="94"/>
      <c r="N516" s="93"/>
      <c r="O516" s="85"/>
      <c r="Q516" s="94"/>
      <c r="R516" s="93"/>
      <c r="S516" s="85"/>
      <c r="U516" s="94"/>
      <c r="V516" s="93"/>
      <c r="W516" s="85"/>
      <c r="Y516" s="94"/>
      <c r="Z516" s="93"/>
      <c r="AA516" s="85"/>
      <c r="AC516" s="94"/>
      <c r="AD516" s="93"/>
      <c r="AE516" s="85"/>
    </row>
    <row r="517" spans="6:31" x14ac:dyDescent="0.35">
      <c r="F517" s="93"/>
      <c r="G517" s="85"/>
      <c r="H517" s="87"/>
      <c r="M517" s="94"/>
      <c r="N517" s="93"/>
      <c r="O517" s="85"/>
      <c r="Q517" s="94"/>
      <c r="R517" s="93"/>
      <c r="S517" s="85"/>
      <c r="U517" s="94"/>
      <c r="V517" s="93"/>
      <c r="W517" s="85"/>
      <c r="Y517" s="94"/>
      <c r="Z517" s="93"/>
      <c r="AA517" s="85"/>
      <c r="AC517" s="94"/>
      <c r="AD517" s="93"/>
      <c r="AE517" s="85"/>
    </row>
    <row r="518" spans="6:31" x14ac:dyDescent="0.35">
      <c r="F518" s="93"/>
      <c r="G518" s="85"/>
      <c r="H518" s="87"/>
      <c r="M518" s="94"/>
      <c r="N518" s="93"/>
      <c r="O518" s="85"/>
      <c r="Q518" s="94"/>
      <c r="R518" s="93"/>
      <c r="S518" s="85"/>
      <c r="U518" s="94"/>
      <c r="V518" s="93"/>
      <c r="W518" s="85"/>
      <c r="Y518" s="94"/>
      <c r="Z518" s="93"/>
      <c r="AA518" s="85"/>
      <c r="AC518" s="94"/>
      <c r="AD518" s="93"/>
      <c r="AE518" s="85"/>
    </row>
    <row r="519" spans="6:31" x14ac:dyDescent="0.35">
      <c r="F519" s="93"/>
      <c r="G519" s="85"/>
      <c r="H519" s="87"/>
      <c r="M519" s="94"/>
      <c r="N519" s="93"/>
      <c r="O519" s="85"/>
      <c r="Q519" s="94"/>
      <c r="R519" s="93"/>
      <c r="S519" s="85"/>
      <c r="U519" s="94"/>
      <c r="V519" s="93"/>
      <c r="W519" s="85"/>
      <c r="Y519" s="94"/>
      <c r="Z519" s="93"/>
      <c r="AA519" s="85"/>
      <c r="AC519" s="94"/>
      <c r="AD519" s="93"/>
      <c r="AE519" s="85"/>
    </row>
    <row r="520" spans="6:31" x14ac:dyDescent="0.35">
      <c r="F520" s="93"/>
      <c r="G520" s="85"/>
      <c r="H520" s="87"/>
      <c r="M520" s="94"/>
      <c r="N520" s="93"/>
      <c r="O520" s="85"/>
      <c r="Q520" s="94"/>
      <c r="R520" s="93"/>
      <c r="S520" s="85"/>
      <c r="U520" s="94"/>
      <c r="V520" s="93"/>
      <c r="W520" s="85"/>
      <c r="Y520" s="94"/>
      <c r="Z520" s="93"/>
      <c r="AA520" s="85"/>
      <c r="AC520" s="94"/>
      <c r="AD520" s="93"/>
      <c r="AE520" s="85"/>
    </row>
    <row r="521" spans="6:31" x14ac:dyDescent="0.35">
      <c r="F521" s="93"/>
      <c r="G521" s="85"/>
      <c r="H521" s="87"/>
      <c r="M521" s="94"/>
      <c r="N521" s="93"/>
      <c r="O521" s="85"/>
      <c r="Q521" s="94"/>
      <c r="R521" s="93"/>
      <c r="S521" s="85"/>
      <c r="U521" s="94"/>
      <c r="V521" s="93"/>
      <c r="W521" s="85"/>
      <c r="Y521" s="94"/>
      <c r="Z521" s="93"/>
      <c r="AA521" s="85"/>
      <c r="AC521" s="94"/>
      <c r="AD521" s="93"/>
      <c r="AE521" s="85"/>
    </row>
    <row r="522" spans="6:31" x14ac:dyDescent="0.35">
      <c r="F522" s="93"/>
      <c r="G522" s="85"/>
      <c r="H522" s="87"/>
      <c r="M522" s="94"/>
      <c r="N522" s="93"/>
      <c r="O522" s="85"/>
      <c r="Q522" s="94"/>
      <c r="R522" s="93"/>
      <c r="S522" s="85"/>
      <c r="U522" s="94"/>
      <c r="V522" s="93"/>
      <c r="W522" s="85"/>
      <c r="Y522" s="94"/>
      <c r="Z522" s="93"/>
      <c r="AA522" s="85"/>
      <c r="AC522" s="94"/>
      <c r="AD522" s="93"/>
      <c r="AE522" s="85"/>
    </row>
    <row r="523" spans="6:31" x14ac:dyDescent="0.35">
      <c r="F523" s="93"/>
      <c r="G523" s="85"/>
      <c r="H523" s="87"/>
      <c r="M523" s="94"/>
      <c r="N523" s="93"/>
      <c r="O523" s="85"/>
      <c r="Q523" s="94"/>
      <c r="R523" s="93"/>
      <c r="S523" s="85"/>
      <c r="U523" s="94"/>
      <c r="V523" s="93"/>
      <c r="W523" s="85"/>
      <c r="Y523" s="94"/>
      <c r="Z523" s="93"/>
      <c r="AA523" s="85"/>
      <c r="AC523" s="94"/>
      <c r="AD523" s="93"/>
      <c r="AE523" s="85"/>
    </row>
    <row r="524" spans="6:31" x14ac:dyDescent="0.35">
      <c r="F524" s="93"/>
      <c r="G524" s="85"/>
      <c r="H524" s="87"/>
      <c r="M524" s="94"/>
      <c r="N524" s="93"/>
      <c r="O524" s="85"/>
      <c r="Q524" s="94"/>
      <c r="R524" s="93"/>
      <c r="S524" s="85"/>
      <c r="U524" s="94"/>
      <c r="V524" s="93"/>
      <c r="W524" s="85"/>
      <c r="Y524" s="94"/>
      <c r="Z524" s="93"/>
      <c r="AA524" s="85"/>
      <c r="AC524" s="94"/>
      <c r="AD524" s="93"/>
      <c r="AE524" s="85"/>
    </row>
    <row r="525" spans="6:31" x14ac:dyDescent="0.35">
      <c r="F525" s="93"/>
      <c r="G525" s="85"/>
      <c r="H525" s="87"/>
      <c r="M525" s="94"/>
      <c r="N525" s="93"/>
      <c r="O525" s="85"/>
      <c r="Q525" s="94"/>
      <c r="R525" s="93"/>
      <c r="S525" s="85"/>
      <c r="U525" s="94"/>
      <c r="V525" s="93"/>
      <c r="W525" s="85"/>
      <c r="Y525" s="94"/>
      <c r="Z525" s="93"/>
      <c r="AA525" s="85"/>
      <c r="AC525" s="94"/>
      <c r="AD525" s="93"/>
      <c r="AE525" s="85"/>
    </row>
    <row r="526" spans="6:31" x14ac:dyDescent="0.35">
      <c r="F526" s="93"/>
      <c r="G526" s="85"/>
      <c r="H526" s="87"/>
      <c r="M526" s="94"/>
      <c r="N526" s="93"/>
      <c r="O526" s="85"/>
      <c r="Q526" s="94"/>
      <c r="R526" s="93"/>
      <c r="S526" s="85"/>
      <c r="U526" s="94"/>
      <c r="V526" s="93"/>
      <c r="W526" s="85"/>
      <c r="Y526" s="94"/>
      <c r="Z526" s="93"/>
      <c r="AA526" s="85"/>
      <c r="AC526" s="94"/>
      <c r="AD526" s="93"/>
      <c r="AE526" s="85"/>
    </row>
    <row r="527" spans="6:31" x14ac:dyDescent="0.35">
      <c r="F527" s="93"/>
      <c r="G527" s="85"/>
      <c r="H527" s="87"/>
      <c r="M527" s="94"/>
      <c r="N527" s="93"/>
      <c r="O527" s="85"/>
      <c r="Q527" s="94"/>
      <c r="R527" s="93"/>
      <c r="S527" s="85"/>
      <c r="U527" s="94"/>
      <c r="V527" s="93"/>
      <c r="W527" s="85"/>
      <c r="Y527" s="94"/>
      <c r="Z527" s="93"/>
      <c r="AA527" s="85"/>
      <c r="AC527" s="94"/>
      <c r="AD527" s="93"/>
      <c r="AE527" s="85"/>
    </row>
    <row r="528" spans="6:31" x14ac:dyDescent="0.35">
      <c r="F528" s="93"/>
      <c r="G528" s="85"/>
      <c r="H528" s="87"/>
      <c r="M528" s="94"/>
      <c r="N528" s="93"/>
      <c r="O528" s="85"/>
      <c r="Q528" s="94"/>
      <c r="R528" s="93"/>
      <c r="S528" s="85"/>
      <c r="U528" s="94"/>
      <c r="V528" s="93"/>
      <c r="W528" s="85"/>
      <c r="Y528" s="94"/>
      <c r="Z528" s="93"/>
      <c r="AA528" s="85"/>
      <c r="AC528" s="94"/>
      <c r="AD528" s="93"/>
      <c r="AE528" s="85"/>
    </row>
    <row r="529" spans="6:31" x14ac:dyDescent="0.35">
      <c r="F529" s="93"/>
      <c r="G529" s="85"/>
      <c r="H529" s="87"/>
      <c r="M529" s="94"/>
      <c r="N529" s="93"/>
      <c r="O529" s="85"/>
      <c r="Q529" s="94"/>
      <c r="R529" s="93"/>
      <c r="S529" s="85"/>
      <c r="U529" s="94"/>
      <c r="V529" s="93"/>
      <c r="W529" s="85"/>
      <c r="Y529" s="94"/>
      <c r="Z529" s="93"/>
      <c r="AA529" s="85"/>
      <c r="AC529" s="94"/>
      <c r="AD529" s="93"/>
      <c r="AE529" s="85"/>
    </row>
    <row r="530" spans="6:31" x14ac:dyDescent="0.35">
      <c r="F530" s="93"/>
      <c r="G530" s="85"/>
      <c r="H530" s="87"/>
      <c r="M530" s="94"/>
      <c r="N530" s="93"/>
      <c r="O530" s="85"/>
      <c r="Q530" s="94"/>
      <c r="R530" s="93"/>
      <c r="S530" s="85"/>
      <c r="U530" s="94"/>
      <c r="V530" s="93"/>
      <c r="W530" s="85"/>
      <c r="Y530" s="94"/>
      <c r="Z530" s="93"/>
      <c r="AA530" s="85"/>
      <c r="AC530" s="94"/>
      <c r="AD530" s="93"/>
      <c r="AE530" s="85"/>
    </row>
    <row r="531" spans="6:31" x14ac:dyDescent="0.35">
      <c r="F531" s="93"/>
      <c r="G531" s="85"/>
      <c r="H531" s="87"/>
      <c r="M531" s="94"/>
      <c r="N531" s="93"/>
      <c r="O531" s="85"/>
      <c r="Q531" s="94"/>
      <c r="R531" s="93"/>
      <c r="S531" s="85"/>
      <c r="U531" s="94"/>
      <c r="V531" s="93"/>
      <c r="W531" s="85"/>
      <c r="Y531" s="94"/>
      <c r="Z531" s="93"/>
      <c r="AA531" s="85"/>
      <c r="AC531" s="94"/>
      <c r="AD531" s="93"/>
      <c r="AE531" s="85"/>
    </row>
    <row r="532" spans="6:31" x14ac:dyDescent="0.35">
      <c r="F532" s="93"/>
      <c r="G532" s="85"/>
      <c r="H532" s="87"/>
      <c r="M532" s="94"/>
      <c r="N532" s="93"/>
      <c r="O532" s="85"/>
      <c r="Q532" s="94"/>
      <c r="R532" s="93"/>
      <c r="S532" s="85"/>
      <c r="U532" s="94"/>
      <c r="V532" s="93"/>
      <c r="W532" s="85"/>
      <c r="Y532" s="94"/>
      <c r="Z532" s="93"/>
      <c r="AA532" s="85"/>
      <c r="AC532" s="94"/>
      <c r="AD532" s="93"/>
      <c r="AE532" s="85"/>
    </row>
    <row r="533" spans="6:31" x14ac:dyDescent="0.35">
      <c r="F533" s="93"/>
      <c r="G533" s="85"/>
      <c r="H533" s="87"/>
      <c r="M533" s="94"/>
      <c r="N533" s="93"/>
      <c r="O533" s="85"/>
      <c r="Q533" s="94"/>
      <c r="R533" s="93"/>
      <c r="S533" s="85"/>
      <c r="U533" s="94"/>
      <c r="V533" s="93"/>
      <c r="W533" s="85"/>
      <c r="Y533" s="94"/>
      <c r="Z533" s="93"/>
      <c r="AA533" s="85"/>
      <c r="AC533" s="94"/>
      <c r="AD533" s="93"/>
      <c r="AE533" s="85"/>
    </row>
    <row r="534" spans="6:31" x14ac:dyDescent="0.35">
      <c r="F534" s="93"/>
      <c r="G534" s="85"/>
      <c r="H534" s="87"/>
      <c r="M534" s="94"/>
      <c r="N534" s="93"/>
      <c r="O534" s="85"/>
      <c r="Q534" s="94"/>
      <c r="R534" s="93"/>
      <c r="S534" s="85"/>
      <c r="U534" s="94"/>
      <c r="V534" s="93"/>
      <c r="W534" s="85"/>
      <c r="Y534" s="94"/>
      <c r="Z534" s="93"/>
      <c r="AA534" s="85"/>
      <c r="AC534" s="94"/>
      <c r="AD534" s="93"/>
      <c r="AE534" s="85"/>
    </row>
    <row r="535" spans="6:31" x14ac:dyDescent="0.35">
      <c r="F535" s="93"/>
      <c r="G535" s="85"/>
      <c r="H535" s="87"/>
      <c r="M535" s="94"/>
      <c r="N535" s="93"/>
      <c r="O535" s="85"/>
      <c r="Q535" s="94"/>
      <c r="R535" s="93"/>
      <c r="S535" s="85"/>
      <c r="U535" s="94"/>
      <c r="V535" s="93"/>
      <c r="W535" s="85"/>
      <c r="Y535" s="94"/>
      <c r="Z535" s="93"/>
      <c r="AA535" s="85"/>
      <c r="AC535" s="94"/>
      <c r="AD535" s="93"/>
      <c r="AE535" s="85"/>
    </row>
    <row r="536" spans="6:31" x14ac:dyDescent="0.35">
      <c r="F536" s="93"/>
      <c r="G536" s="85"/>
      <c r="H536" s="87"/>
      <c r="M536" s="94"/>
      <c r="N536" s="93"/>
      <c r="O536" s="85"/>
      <c r="Q536" s="94"/>
      <c r="R536" s="93"/>
      <c r="S536" s="85"/>
      <c r="U536" s="94"/>
      <c r="V536" s="93"/>
      <c r="W536" s="85"/>
      <c r="Y536" s="94"/>
      <c r="Z536" s="93"/>
      <c r="AA536" s="85"/>
      <c r="AC536" s="94"/>
      <c r="AD536" s="93"/>
      <c r="AE536" s="85"/>
    </row>
    <row r="537" spans="6:31" x14ac:dyDescent="0.35">
      <c r="F537" s="93"/>
      <c r="G537" s="85"/>
      <c r="H537" s="87"/>
      <c r="M537" s="94"/>
      <c r="N537" s="93"/>
      <c r="O537" s="85"/>
      <c r="Q537" s="94"/>
      <c r="R537" s="93"/>
      <c r="S537" s="85"/>
      <c r="U537" s="94"/>
      <c r="V537" s="93"/>
      <c r="W537" s="85"/>
      <c r="Y537" s="94"/>
      <c r="Z537" s="93"/>
      <c r="AA537" s="85"/>
      <c r="AC537" s="94"/>
      <c r="AD537" s="93"/>
      <c r="AE537" s="85"/>
    </row>
    <row r="538" spans="6:31" x14ac:dyDescent="0.35">
      <c r="F538" s="93"/>
      <c r="G538" s="85"/>
      <c r="H538" s="87"/>
      <c r="M538" s="94"/>
      <c r="N538" s="93"/>
      <c r="O538" s="85"/>
      <c r="Q538" s="94"/>
      <c r="R538" s="93"/>
      <c r="S538" s="85"/>
      <c r="U538" s="94"/>
      <c r="V538" s="93"/>
      <c r="W538" s="85"/>
      <c r="Y538" s="94"/>
      <c r="Z538" s="93"/>
      <c r="AA538" s="85"/>
      <c r="AC538" s="94"/>
      <c r="AD538" s="93"/>
      <c r="AE538" s="85"/>
    </row>
    <row r="539" spans="6:31" x14ac:dyDescent="0.35">
      <c r="F539" s="93"/>
      <c r="G539" s="85"/>
      <c r="H539" s="87"/>
      <c r="M539" s="94"/>
      <c r="N539" s="93"/>
      <c r="O539" s="85"/>
      <c r="Q539" s="94"/>
      <c r="R539" s="93"/>
      <c r="S539" s="85"/>
      <c r="U539" s="94"/>
      <c r="V539" s="93"/>
      <c r="W539" s="85"/>
      <c r="Y539" s="94"/>
      <c r="Z539" s="93"/>
      <c r="AA539" s="85"/>
      <c r="AC539" s="94"/>
      <c r="AD539" s="93"/>
      <c r="AE539" s="85"/>
    </row>
    <row r="540" spans="6:31" x14ac:dyDescent="0.35">
      <c r="F540" s="93"/>
      <c r="G540" s="85"/>
      <c r="H540" s="87"/>
      <c r="M540" s="94"/>
      <c r="N540" s="93"/>
      <c r="O540" s="85"/>
      <c r="Q540" s="94"/>
      <c r="R540" s="93"/>
      <c r="S540" s="85"/>
      <c r="U540" s="94"/>
      <c r="V540" s="93"/>
      <c r="W540" s="85"/>
      <c r="Y540" s="94"/>
      <c r="Z540" s="93"/>
      <c r="AA540" s="85"/>
      <c r="AC540" s="94"/>
      <c r="AD540" s="93"/>
      <c r="AE540" s="85"/>
    </row>
    <row r="541" spans="6:31" x14ac:dyDescent="0.35">
      <c r="F541" s="93"/>
      <c r="G541" s="85"/>
      <c r="H541" s="87"/>
      <c r="M541" s="94"/>
      <c r="N541" s="93"/>
      <c r="O541" s="85"/>
      <c r="Q541" s="94"/>
      <c r="R541" s="93"/>
      <c r="S541" s="85"/>
      <c r="U541" s="94"/>
      <c r="V541" s="93"/>
      <c r="W541" s="85"/>
      <c r="Y541" s="94"/>
      <c r="Z541" s="93"/>
      <c r="AA541" s="85"/>
      <c r="AC541" s="94"/>
      <c r="AD541" s="93"/>
      <c r="AE541" s="85"/>
    </row>
    <row r="542" spans="6:31" x14ac:dyDescent="0.35">
      <c r="F542" s="93"/>
      <c r="G542" s="85"/>
      <c r="H542" s="87"/>
      <c r="M542" s="94"/>
      <c r="N542" s="93"/>
      <c r="O542" s="85"/>
      <c r="Q542" s="94"/>
      <c r="R542" s="93"/>
      <c r="S542" s="85"/>
      <c r="U542" s="94"/>
      <c r="V542" s="93"/>
      <c r="W542" s="85"/>
      <c r="Y542" s="94"/>
      <c r="Z542" s="93"/>
      <c r="AA542" s="85"/>
      <c r="AC542" s="94"/>
      <c r="AD542" s="93"/>
      <c r="AE542" s="85"/>
    </row>
    <row r="543" spans="6:31" x14ac:dyDescent="0.35">
      <c r="F543" s="93"/>
      <c r="G543" s="85"/>
      <c r="H543" s="87"/>
      <c r="M543" s="94"/>
      <c r="N543" s="93"/>
      <c r="O543" s="85"/>
      <c r="Q543" s="94"/>
      <c r="R543" s="93"/>
      <c r="S543" s="85"/>
      <c r="U543" s="94"/>
      <c r="V543" s="93"/>
      <c r="W543" s="85"/>
      <c r="Y543" s="94"/>
      <c r="Z543" s="93"/>
      <c r="AA543" s="85"/>
      <c r="AC543" s="94"/>
      <c r="AD543" s="93"/>
      <c r="AE543" s="85"/>
    </row>
    <row r="544" spans="6:31" x14ac:dyDescent="0.35">
      <c r="F544" s="93"/>
      <c r="G544" s="85"/>
      <c r="H544" s="87"/>
      <c r="M544" s="94"/>
      <c r="N544" s="93"/>
      <c r="O544" s="85"/>
      <c r="Q544" s="94"/>
      <c r="R544" s="93"/>
      <c r="S544" s="85"/>
      <c r="U544" s="94"/>
      <c r="V544" s="93"/>
      <c r="W544" s="85"/>
      <c r="Y544" s="94"/>
      <c r="Z544" s="93"/>
      <c r="AA544" s="85"/>
      <c r="AC544" s="94"/>
      <c r="AD544" s="93"/>
      <c r="AE544" s="85"/>
    </row>
    <row r="545" spans="6:31" x14ac:dyDescent="0.35">
      <c r="F545" s="93"/>
      <c r="G545" s="85"/>
      <c r="H545" s="87"/>
      <c r="M545" s="94"/>
      <c r="N545" s="93"/>
      <c r="O545" s="85"/>
      <c r="Q545" s="94"/>
      <c r="R545" s="93"/>
      <c r="S545" s="85"/>
      <c r="U545" s="94"/>
      <c r="V545" s="93"/>
      <c r="W545" s="85"/>
      <c r="Y545" s="94"/>
      <c r="Z545" s="93"/>
      <c r="AA545" s="85"/>
      <c r="AC545" s="94"/>
      <c r="AD545" s="93"/>
      <c r="AE545" s="85"/>
    </row>
    <row r="546" spans="6:31" x14ac:dyDescent="0.35">
      <c r="F546" s="93"/>
      <c r="G546" s="85"/>
      <c r="H546" s="87"/>
      <c r="M546" s="94"/>
      <c r="N546" s="93"/>
      <c r="O546" s="85"/>
      <c r="Q546" s="94"/>
      <c r="R546" s="93"/>
      <c r="S546" s="85"/>
      <c r="U546" s="94"/>
      <c r="V546" s="93"/>
      <c r="W546" s="85"/>
      <c r="Y546" s="94"/>
      <c r="Z546" s="93"/>
      <c r="AA546" s="85"/>
      <c r="AC546" s="94"/>
      <c r="AD546" s="93"/>
      <c r="AE546" s="85"/>
    </row>
    <row r="547" spans="6:31" x14ac:dyDescent="0.35">
      <c r="F547" s="93"/>
      <c r="G547" s="85"/>
      <c r="H547" s="87"/>
      <c r="M547" s="94"/>
      <c r="N547" s="93"/>
      <c r="O547" s="85"/>
      <c r="Q547" s="94"/>
      <c r="R547" s="93"/>
      <c r="S547" s="85"/>
      <c r="U547" s="94"/>
      <c r="V547" s="93"/>
      <c r="W547" s="85"/>
      <c r="Y547" s="94"/>
      <c r="Z547" s="93"/>
      <c r="AA547" s="85"/>
      <c r="AC547" s="94"/>
      <c r="AD547" s="93"/>
      <c r="AE547" s="85"/>
    </row>
    <row r="548" spans="6:31" x14ac:dyDescent="0.35">
      <c r="F548" s="93"/>
      <c r="G548" s="85"/>
      <c r="H548" s="87"/>
      <c r="M548" s="94"/>
      <c r="N548" s="93"/>
      <c r="O548" s="85"/>
      <c r="Q548" s="94"/>
      <c r="R548" s="93"/>
      <c r="S548" s="85"/>
      <c r="U548" s="94"/>
      <c r="V548" s="93"/>
      <c r="W548" s="85"/>
      <c r="Y548" s="94"/>
      <c r="Z548" s="93"/>
      <c r="AA548" s="85"/>
      <c r="AC548" s="94"/>
      <c r="AD548" s="93"/>
      <c r="AE548" s="85"/>
    </row>
    <row r="549" spans="6:31" x14ac:dyDescent="0.35">
      <c r="F549" s="93"/>
      <c r="G549" s="85"/>
      <c r="H549" s="87"/>
      <c r="M549" s="94"/>
      <c r="N549" s="93"/>
      <c r="O549" s="85"/>
      <c r="Q549" s="94"/>
      <c r="R549" s="93"/>
      <c r="S549" s="85"/>
      <c r="U549" s="94"/>
      <c r="V549" s="93"/>
      <c r="W549" s="85"/>
      <c r="Y549" s="94"/>
      <c r="Z549" s="93"/>
      <c r="AA549" s="85"/>
      <c r="AC549" s="94"/>
      <c r="AD549" s="93"/>
      <c r="AE549" s="85"/>
    </row>
    <row r="550" spans="6:31" x14ac:dyDescent="0.35">
      <c r="F550" s="93"/>
      <c r="G550" s="85"/>
      <c r="H550" s="87"/>
      <c r="M550" s="94"/>
      <c r="N550" s="93"/>
      <c r="O550" s="85"/>
      <c r="Q550" s="94"/>
      <c r="R550" s="93"/>
      <c r="S550" s="85"/>
      <c r="U550" s="94"/>
      <c r="V550" s="93"/>
      <c r="W550" s="85"/>
      <c r="Y550" s="94"/>
      <c r="Z550" s="93"/>
      <c r="AA550" s="85"/>
      <c r="AC550" s="94"/>
      <c r="AD550" s="93"/>
      <c r="AE550" s="85"/>
    </row>
    <row r="551" spans="6:31" x14ac:dyDescent="0.35">
      <c r="F551" s="93"/>
      <c r="G551" s="85"/>
      <c r="H551" s="87"/>
      <c r="M551" s="94"/>
      <c r="N551" s="93"/>
      <c r="O551" s="85"/>
      <c r="Q551" s="94"/>
      <c r="R551" s="93"/>
      <c r="S551" s="85"/>
      <c r="U551" s="94"/>
      <c r="V551" s="93"/>
      <c r="W551" s="85"/>
      <c r="Y551" s="94"/>
      <c r="Z551" s="93"/>
      <c r="AA551" s="85"/>
      <c r="AC551" s="94"/>
      <c r="AD551" s="93"/>
      <c r="AE551" s="85"/>
    </row>
    <row r="552" spans="6:31" x14ac:dyDescent="0.35">
      <c r="F552" s="93"/>
      <c r="G552" s="85"/>
      <c r="H552" s="87"/>
      <c r="M552" s="94"/>
      <c r="N552" s="93"/>
      <c r="O552" s="85"/>
      <c r="Q552" s="94"/>
      <c r="R552" s="93"/>
      <c r="S552" s="85"/>
      <c r="U552" s="94"/>
      <c r="V552" s="93"/>
      <c r="W552" s="85"/>
      <c r="Y552" s="94"/>
      <c r="Z552" s="93"/>
      <c r="AA552" s="85"/>
      <c r="AC552" s="94"/>
      <c r="AD552" s="93"/>
      <c r="AE552" s="85"/>
    </row>
    <row r="553" spans="6:31" x14ac:dyDescent="0.35">
      <c r="F553" s="93"/>
      <c r="G553" s="85"/>
      <c r="H553" s="87"/>
      <c r="M553" s="94"/>
      <c r="N553" s="93"/>
      <c r="O553" s="85"/>
      <c r="Q553" s="94"/>
      <c r="R553" s="93"/>
      <c r="S553" s="85"/>
      <c r="U553" s="94"/>
      <c r="V553" s="93"/>
      <c r="W553" s="85"/>
      <c r="Y553" s="94"/>
      <c r="Z553" s="93"/>
      <c r="AA553" s="85"/>
      <c r="AC553" s="94"/>
      <c r="AD553" s="93"/>
      <c r="AE553" s="85"/>
    </row>
    <row r="554" spans="6:31" x14ac:dyDescent="0.35">
      <c r="F554" s="93"/>
      <c r="G554" s="85"/>
      <c r="H554" s="87"/>
      <c r="M554" s="94"/>
      <c r="N554" s="93"/>
      <c r="O554" s="85"/>
      <c r="Q554" s="94"/>
      <c r="R554" s="93"/>
      <c r="S554" s="85"/>
      <c r="U554" s="94"/>
      <c r="V554" s="93"/>
      <c r="W554" s="85"/>
      <c r="Y554" s="94"/>
      <c r="Z554" s="93"/>
      <c r="AA554" s="85"/>
      <c r="AC554" s="94"/>
      <c r="AD554" s="93"/>
      <c r="AE554" s="85"/>
    </row>
    <row r="555" spans="6:31" x14ac:dyDescent="0.35">
      <c r="F555" s="93"/>
      <c r="G555" s="85"/>
      <c r="H555" s="87"/>
      <c r="M555" s="94"/>
      <c r="N555" s="93"/>
      <c r="O555" s="85"/>
      <c r="Q555" s="94"/>
      <c r="R555" s="93"/>
      <c r="S555" s="85"/>
      <c r="U555" s="94"/>
      <c r="V555" s="93"/>
      <c r="W555" s="85"/>
      <c r="Y555" s="94"/>
      <c r="Z555" s="93"/>
      <c r="AA555" s="85"/>
      <c r="AC555" s="94"/>
      <c r="AD555" s="93"/>
      <c r="AE555" s="85"/>
    </row>
    <row r="556" spans="6:31" x14ac:dyDescent="0.35">
      <c r="F556" s="93"/>
      <c r="G556" s="85"/>
      <c r="H556" s="87"/>
      <c r="M556" s="94"/>
      <c r="N556" s="93"/>
      <c r="O556" s="85"/>
      <c r="Q556" s="94"/>
      <c r="R556" s="93"/>
      <c r="S556" s="85"/>
      <c r="U556" s="94"/>
      <c r="V556" s="93"/>
      <c r="W556" s="85"/>
      <c r="Y556" s="94"/>
      <c r="Z556" s="93"/>
      <c r="AA556" s="85"/>
      <c r="AC556" s="94"/>
      <c r="AD556" s="93"/>
      <c r="AE556" s="85"/>
    </row>
    <row r="557" spans="6:31" x14ac:dyDescent="0.35">
      <c r="F557" s="93"/>
      <c r="G557" s="85"/>
      <c r="H557" s="87"/>
      <c r="M557" s="94"/>
      <c r="N557" s="93"/>
      <c r="O557" s="85"/>
      <c r="Q557" s="94"/>
      <c r="R557" s="93"/>
      <c r="S557" s="85"/>
      <c r="U557" s="94"/>
      <c r="V557" s="93"/>
      <c r="W557" s="85"/>
      <c r="Y557" s="94"/>
      <c r="Z557" s="93"/>
      <c r="AA557" s="85"/>
      <c r="AC557" s="94"/>
      <c r="AD557" s="93"/>
      <c r="AE557" s="85"/>
    </row>
    <row r="558" spans="6:31" x14ac:dyDescent="0.35">
      <c r="F558" s="93"/>
      <c r="G558" s="85"/>
      <c r="H558" s="87"/>
      <c r="M558" s="94"/>
      <c r="N558" s="93"/>
      <c r="O558" s="85"/>
      <c r="Q558" s="94"/>
      <c r="R558" s="93"/>
      <c r="S558" s="85"/>
      <c r="U558" s="94"/>
      <c r="V558" s="93"/>
      <c r="W558" s="85"/>
      <c r="Y558" s="94"/>
      <c r="Z558" s="93"/>
      <c r="AA558" s="85"/>
      <c r="AC558" s="94"/>
      <c r="AD558" s="93"/>
      <c r="AE558" s="85"/>
    </row>
    <row r="559" spans="6:31" x14ac:dyDescent="0.35">
      <c r="F559" s="93"/>
      <c r="G559" s="85"/>
      <c r="H559" s="87"/>
      <c r="M559" s="94"/>
      <c r="N559" s="93"/>
      <c r="O559" s="85"/>
      <c r="Q559" s="94"/>
      <c r="R559" s="93"/>
      <c r="S559" s="85"/>
      <c r="U559" s="94"/>
      <c r="V559" s="93"/>
      <c r="W559" s="85"/>
      <c r="Y559" s="94"/>
      <c r="Z559" s="93"/>
      <c r="AA559" s="85"/>
      <c r="AC559" s="94"/>
      <c r="AD559" s="93"/>
      <c r="AE559" s="85"/>
    </row>
    <row r="560" spans="6:31" x14ac:dyDescent="0.35">
      <c r="F560" s="93"/>
      <c r="G560" s="85"/>
      <c r="H560" s="87"/>
      <c r="M560" s="94"/>
      <c r="N560" s="93"/>
      <c r="O560" s="85"/>
      <c r="Q560" s="94"/>
      <c r="R560" s="93"/>
      <c r="S560" s="85"/>
      <c r="U560" s="94"/>
      <c r="V560" s="93"/>
      <c r="W560" s="85"/>
      <c r="Y560" s="94"/>
      <c r="Z560" s="93"/>
      <c r="AA560" s="85"/>
      <c r="AC560" s="94"/>
      <c r="AD560" s="93"/>
      <c r="AE560" s="85"/>
    </row>
    <row r="561" spans="6:31" x14ac:dyDescent="0.35">
      <c r="F561" s="93"/>
      <c r="G561" s="85"/>
      <c r="H561" s="87"/>
      <c r="M561" s="94"/>
      <c r="N561" s="93"/>
      <c r="O561" s="85"/>
      <c r="Q561" s="94"/>
      <c r="R561" s="93"/>
      <c r="S561" s="85"/>
      <c r="U561" s="94"/>
      <c r="V561" s="93"/>
      <c r="W561" s="85"/>
      <c r="Y561" s="94"/>
      <c r="Z561" s="93"/>
      <c r="AA561" s="85"/>
      <c r="AC561" s="94"/>
      <c r="AD561" s="93"/>
      <c r="AE561" s="85"/>
    </row>
    <row r="562" spans="6:31" x14ac:dyDescent="0.35">
      <c r="F562" s="93"/>
      <c r="G562" s="85"/>
      <c r="H562" s="87"/>
      <c r="M562" s="94"/>
      <c r="N562" s="93"/>
      <c r="O562" s="85"/>
      <c r="Q562" s="94"/>
      <c r="R562" s="93"/>
      <c r="S562" s="85"/>
      <c r="U562" s="94"/>
      <c r="V562" s="93"/>
      <c r="W562" s="85"/>
      <c r="Y562" s="94"/>
      <c r="Z562" s="93"/>
      <c r="AA562" s="85"/>
      <c r="AC562" s="94"/>
      <c r="AD562" s="93"/>
      <c r="AE562" s="85"/>
    </row>
    <row r="563" spans="6:31" x14ac:dyDescent="0.35">
      <c r="F563" s="93"/>
      <c r="G563" s="85"/>
      <c r="H563" s="87"/>
      <c r="M563" s="94"/>
      <c r="N563" s="93"/>
      <c r="O563" s="85"/>
      <c r="Q563" s="94"/>
      <c r="R563" s="93"/>
      <c r="S563" s="85"/>
      <c r="U563" s="94"/>
      <c r="V563" s="93"/>
      <c r="W563" s="85"/>
      <c r="Y563" s="94"/>
      <c r="Z563" s="93"/>
      <c r="AA563" s="85"/>
      <c r="AC563" s="94"/>
      <c r="AD563" s="93"/>
      <c r="AE563" s="85"/>
    </row>
    <row r="564" spans="6:31" x14ac:dyDescent="0.35">
      <c r="F564" s="93"/>
      <c r="G564" s="85"/>
      <c r="H564" s="87"/>
      <c r="M564" s="94"/>
      <c r="N564" s="93"/>
      <c r="O564" s="85"/>
      <c r="Q564" s="94"/>
      <c r="R564" s="93"/>
      <c r="S564" s="85"/>
      <c r="U564" s="94"/>
      <c r="V564" s="93"/>
      <c r="W564" s="85"/>
      <c r="Y564" s="94"/>
      <c r="Z564" s="93"/>
      <c r="AA564" s="85"/>
      <c r="AC564" s="94"/>
      <c r="AD564" s="93"/>
      <c r="AE564" s="85"/>
    </row>
    <row r="565" spans="6:31" x14ac:dyDescent="0.35">
      <c r="F565" s="93"/>
      <c r="G565" s="85"/>
      <c r="H565" s="87"/>
      <c r="M565" s="94"/>
      <c r="N565" s="93"/>
      <c r="O565" s="85"/>
      <c r="Q565" s="94"/>
      <c r="R565" s="93"/>
      <c r="S565" s="85"/>
      <c r="U565" s="94"/>
      <c r="V565" s="93"/>
      <c r="W565" s="85"/>
      <c r="Y565" s="94"/>
      <c r="Z565" s="93"/>
      <c r="AA565" s="85"/>
      <c r="AC565" s="94"/>
      <c r="AD565" s="93"/>
      <c r="AE565" s="85"/>
    </row>
    <row r="566" spans="6:31" x14ac:dyDescent="0.35">
      <c r="F566" s="93"/>
      <c r="G566" s="85"/>
      <c r="H566" s="87"/>
      <c r="M566" s="94"/>
      <c r="N566" s="93"/>
      <c r="O566" s="85"/>
      <c r="Q566" s="94"/>
      <c r="R566" s="93"/>
      <c r="S566" s="85"/>
      <c r="U566" s="94"/>
      <c r="V566" s="93"/>
      <c r="W566" s="85"/>
      <c r="Y566" s="94"/>
      <c r="Z566" s="93"/>
      <c r="AA566" s="85"/>
      <c r="AC566" s="94"/>
      <c r="AD566" s="93"/>
      <c r="AE566" s="85"/>
    </row>
    <row r="567" spans="6:31" x14ac:dyDescent="0.35">
      <c r="F567" s="93"/>
      <c r="G567" s="85"/>
      <c r="H567" s="87"/>
      <c r="M567" s="94"/>
      <c r="N567" s="93"/>
      <c r="O567" s="85"/>
      <c r="Q567" s="94"/>
      <c r="R567" s="93"/>
      <c r="S567" s="85"/>
      <c r="U567" s="94"/>
      <c r="V567" s="93"/>
      <c r="W567" s="85"/>
      <c r="Y567" s="94"/>
      <c r="Z567" s="93"/>
      <c r="AA567" s="85"/>
      <c r="AC567" s="94"/>
      <c r="AD567" s="93"/>
      <c r="AE567" s="85"/>
    </row>
    <row r="568" spans="6:31" x14ac:dyDescent="0.35">
      <c r="F568" s="93"/>
      <c r="G568" s="85"/>
      <c r="H568" s="87"/>
      <c r="M568" s="94"/>
      <c r="N568" s="93"/>
      <c r="O568" s="85"/>
      <c r="Q568" s="94"/>
      <c r="R568" s="93"/>
      <c r="S568" s="85"/>
      <c r="U568" s="94"/>
      <c r="V568" s="93"/>
      <c r="W568" s="85"/>
      <c r="Y568" s="94"/>
      <c r="Z568" s="93"/>
      <c r="AA568" s="85"/>
      <c r="AC568" s="94"/>
      <c r="AD568" s="93"/>
      <c r="AE568" s="85"/>
    </row>
    <row r="569" spans="6:31" x14ac:dyDescent="0.35">
      <c r="F569" s="93"/>
      <c r="G569" s="85"/>
      <c r="H569" s="87"/>
      <c r="M569" s="94"/>
      <c r="N569" s="93"/>
      <c r="O569" s="85"/>
      <c r="Q569" s="94"/>
      <c r="R569" s="93"/>
      <c r="S569" s="85"/>
      <c r="U569" s="94"/>
      <c r="V569" s="93"/>
      <c r="W569" s="85"/>
      <c r="Y569" s="94"/>
      <c r="Z569" s="93"/>
      <c r="AA569" s="85"/>
      <c r="AC569" s="94"/>
      <c r="AD569" s="93"/>
      <c r="AE569" s="85"/>
    </row>
    <row r="570" spans="6:31" x14ac:dyDescent="0.35">
      <c r="F570" s="93"/>
      <c r="G570" s="85"/>
      <c r="H570" s="87"/>
      <c r="M570" s="94"/>
      <c r="N570" s="93"/>
      <c r="O570" s="85"/>
      <c r="Q570" s="94"/>
      <c r="R570" s="93"/>
      <c r="S570" s="85"/>
      <c r="U570" s="94"/>
      <c r="V570" s="93"/>
      <c r="W570" s="85"/>
      <c r="Y570" s="94"/>
      <c r="Z570" s="93"/>
      <c r="AA570" s="85"/>
      <c r="AC570" s="94"/>
      <c r="AD570" s="93"/>
      <c r="AE570" s="85"/>
    </row>
    <row r="571" spans="6:31" x14ac:dyDescent="0.35">
      <c r="F571" s="93"/>
      <c r="G571" s="85"/>
      <c r="H571" s="87"/>
      <c r="M571" s="94"/>
      <c r="N571" s="93"/>
      <c r="O571" s="85"/>
      <c r="Q571" s="94"/>
      <c r="R571" s="93"/>
      <c r="S571" s="85"/>
      <c r="U571" s="94"/>
      <c r="V571" s="93"/>
      <c r="W571" s="85"/>
      <c r="Y571" s="94"/>
      <c r="Z571" s="93"/>
      <c r="AA571" s="85"/>
      <c r="AC571" s="94"/>
      <c r="AD571" s="93"/>
      <c r="AE571" s="85"/>
    </row>
    <row r="572" spans="6:31" x14ac:dyDescent="0.35">
      <c r="F572" s="93"/>
      <c r="G572" s="85"/>
      <c r="H572" s="87"/>
      <c r="M572" s="94"/>
      <c r="N572" s="93"/>
      <c r="O572" s="85"/>
      <c r="Q572" s="94"/>
      <c r="R572" s="93"/>
      <c r="S572" s="85"/>
      <c r="U572" s="94"/>
      <c r="V572" s="93"/>
      <c r="W572" s="85"/>
      <c r="Y572" s="94"/>
      <c r="Z572" s="93"/>
      <c r="AA572" s="85"/>
      <c r="AC572" s="94"/>
      <c r="AD572" s="93"/>
      <c r="AE572" s="85"/>
    </row>
    <row r="573" spans="6:31" x14ac:dyDescent="0.35">
      <c r="F573" s="93"/>
      <c r="G573" s="85"/>
      <c r="H573" s="87"/>
      <c r="M573" s="94"/>
      <c r="N573" s="93"/>
      <c r="O573" s="85"/>
      <c r="Q573" s="94"/>
      <c r="R573" s="93"/>
      <c r="S573" s="85"/>
      <c r="U573" s="94"/>
      <c r="V573" s="93"/>
      <c r="W573" s="85"/>
      <c r="Y573" s="94"/>
      <c r="Z573" s="93"/>
      <c r="AA573" s="85"/>
      <c r="AC573" s="94"/>
      <c r="AD573" s="93"/>
      <c r="AE573" s="85"/>
    </row>
    <row r="574" spans="6:31" x14ac:dyDescent="0.35">
      <c r="F574" s="93"/>
      <c r="G574" s="85"/>
      <c r="H574" s="87"/>
      <c r="M574" s="94"/>
      <c r="N574" s="93"/>
      <c r="O574" s="85"/>
      <c r="Q574" s="94"/>
      <c r="R574" s="93"/>
      <c r="S574" s="85"/>
      <c r="U574" s="94"/>
      <c r="V574" s="93"/>
      <c r="W574" s="85"/>
      <c r="Y574" s="94"/>
      <c r="Z574" s="93"/>
      <c r="AA574" s="85"/>
      <c r="AC574" s="94"/>
      <c r="AD574" s="93"/>
      <c r="AE574" s="85"/>
    </row>
    <row r="575" spans="6:31" x14ac:dyDescent="0.35">
      <c r="F575" s="93"/>
      <c r="G575" s="85"/>
      <c r="H575" s="87"/>
      <c r="M575" s="94"/>
      <c r="N575" s="93"/>
      <c r="O575" s="85"/>
      <c r="Q575" s="94"/>
      <c r="R575" s="93"/>
      <c r="S575" s="85"/>
      <c r="U575" s="94"/>
      <c r="V575" s="93"/>
      <c r="W575" s="85"/>
      <c r="Y575" s="94"/>
      <c r="Z575" s="93"/>
      <c r="AA575" s="85"/>
      <c r="AC575" s="94"/>
      <c r="AD575" s="93"/>
      <c r="AE575" s="85"/>
    </row>
    <row r="576" spans="6:31" x14ac:dyDescent="0.35">
      <c r="F576" s="93"/>
      <c r="G576" s="85"/>
      <c r="H576" s="87"/>
      <c r="M576" s="94"/>
      <c r="N576" s="93"/>
      <c r="O576" s="85"/>
      <c r="Q576" s="94"/>
      <c r="R576" s="93"/>
      <c r="S576" s="85"/>
      <c r="U576" s="94"/>
      <c r="V576" s="93"/>
      <c r="W576" s="85"/>
      <c r="Y576" s="94"/>
      <c r="Z576" s="93"/>
      <c r="AA576" s="85"/>
      <c r="AC576" s="94"/>
      <c r="AD576" s="93"/>
      <c r="AE576" s="85"/>
    </row>
    <row r="577" spans="6:31" x14ac:dyDescent="0.35">
      <c r="F577" s="93"/>
      <c r="G577" s="85"/>
      <c r="H577" s="87"/>
      <c r="M577" s="94"/>
      <c r="N577" s="93"/>
      <c r="O577" s="85"/>
      <c r="Q577" s="94"/>
      <c r="R577" s="93"/>
      <c r="S577" s="85"/>
      <c r="U577" s="94"/>
      <c r="V577" s="93"/>
      <c r="W577" s="85"/>
      <c r="Y577" s="94"/>
      <c r="Z577" s="93"/>
      <c r="AA577" s="85"/>
      <c r="AC577" s="94"/>
      <c r="AD577" s="93"/>
      <c r="AE577" s="85"/>
    </row>
    <row r="578" spans="6:31" x14ac:dyDescent="0.35">
      <c r="F578" s="93"/>
      <c r="G578" s="85"/>
      <c r="H578" s="87"/>
      <c r="M578" s="94"/>
      <c r="N578" s="93"/>
      <c r="O578" s="85"/>
      <c r="Q578" s="94"/>
      <c r="R578" s="93"/>
      <c r="S578" s="85"/>
      <c r="U578" s="94"/>
      <c r="V578" s="93"/>
      <c r="W578" s="85"/>
      <c r="Y578" s="94"/>
      <c r="Z578" s="93"/>
      <c r="AA578" s="85"/>
      <c r="AC578" s="94"/>
      <c r="AD578" s="93"/>
      <c r="AE578" s="85"/>
    </row>
    <row r="579" spans="6:31" x14ac:dyDescent="0.35">
      <c r="F579" s="93"/>
      <c r="G579" s="85"/>
      <c r="H579" s="87"/>
      <c r="M579" s="94"/>
      <c r="N579" s="93"/>
      <c r="O579" s="85"/>
      <c r="Q579" s="94"/>
      <c r="R579" s="93"/>
      <c r="S579" s="85"/>
      <c r="U579" s="94"/>
      <c r="V579" s="93"/>
      <c r="W579" s="85"/>
      <c r="Y579" s="94"/>
      <c r="Z579" s="93"/>
      <c r="AA579" s="85"/>
      <c r="AC579" s="94"/>
      <c r="AD579" s="93"/>
      <c r="AE579" s="85"/>
    </row>
    <row r="580" spans="6:31" x14ac:dyDescent="0.35">
      <c r="F580" s="93"/>
      <c r="G580" s="85"/>
      <c r="H580" s="87"/>
      <c r="M580" s="94"/>
      <c r="N580" s="93"/>
      <c r="O580" s="85"/>
      <c r="Q580" s="94"/>
      <c r="R580" s="93"/>
      <c r="S580" s="85"/>
      <c r="U580" s="94"/>
      <c r="V580" s="93"/>
      <c r="W580" s="85"/>
      <c r="Y580" s="94"/>
      <c r="Z580" s="93"/>
      <c r="AA580" s="85"/>
      <c r="AC580" s="94"/>
      <c r="AD580" s="93"/>
      <c r="AE580" s="85"/>
    </row>
    <row r="581" spans="6:31" x14ac:dyDescent="0.35">
      <c r="F581" s="93"/>
      <c r="G581" s="85"/>
      <c r="H581" s="87"/>
      <c r="M581" s="94"/>
      <c r="N581" s="93"/>
      <c r="O581" s="85"/>
      <c r="Q581" s="94"/>
      <c r="R581" s="93"/>
      <c r="S581" s="85"/>
      <c r="U581" s="94"/>
      <c r="V581" s="93"/>
      <c r="W581" s="85"/>
      <c r="Y581" s="94"/>
      <c r="Z581" s="93"/>
      <c r="AA581" s="85"/>
      <c r="AC581" s="94"/>
      <c r="AD581" s="93"/>
      <c r="AE581" s="85"/>
    </row>
    <row r="582" spans="6:31" x14ac:dyDescent="0.35">
      <c r="F582" s="93"/>
      <c r="G582" s="85"/>
      <c r="H582" s="87"/>
      <c r="M582" s="94"/>
      <c r="N582" s="93"/>
      <c r="O582" s="85"/>
      <c r="Q582" s="94"/>
      <c r="R582" s="93"/>
      <c r="S582" s="85"/>
      <c r="U582" s="94"/>
      <c r="V582" s="93"/>
      <c r="W582" s="85"/>
      <c r="Y582" s="94"/>
      <c r="Z582" s="93"/>
      <c r="AA582" s="85"/>
      <c r="AC582" s="94"/>
      <c r="AD582" s="93"/>
      <c r="AE582" s="85"/>
    </row>
    <row r="583" spans="6:31" x14ac:dyDescent="0.35">
      <c r="F583" s="93"/>
      <c r="G583" s="85"/>
      <c r="H583" s="87"/>
      <c r="M583" s="94"/>
      <c r="N583" s="93"/>
      <c r="O583" s="85"/>
      <c r="Q583" s="94"/>
      <c r="R583" s="93"/>
      <c r="S583" s="85"/>
      <c r="U583" s="94"/>
      <c r="V583" s="93"/>
      <c r="W583" s="85"/>
      <c r="Y583" s="94"/>
      <c r="Z583" s="93"/>
      <c r="AA583" s="85"/>
      <c r="AC583" s="94"/>
      <c r="AD583" s="93"/>
      <c r="AE583" s="85"/>
    </row>
    <row r="584" spans="6:31" x14ac:dyDescent="0.35">
      <c r="F584" s="93"/>
      <c r="G584" s="85"/>
      <c r="H584" s="87"/>
      <c r="M584" s="94"/>
      <c r="N584" s="93"/>
      <c r="O584" s="85"/>
      <c r="Q584" s="94"/>
      <c r="R584" s="93"/>
      <c r="S584" s="85"/>
      <c r="U584" s="94"/>
      <c r="V584" s="93"/>
      <c r="W584" s="85"/>
      <c r="Y584" s="94"/>
      <c r="Z584" s="93"/>
      <c r="AA584" s="85"/>
      <c r="AC584" s="94"/>
      <c r="AD584" s="93"/>
      <c r="AE584" s="85"/>
    </row>
    <row r="585" spans="6:31" x14ac:dyDescent="0.35">
      <c r="F585" s="93"/>
      <c r="G585" s="85"/>
      <c r="H585" s="87"/>
      <c r="M585" s="94"/>
      <c r="N585" s="93"/>
      <c r="O585" s="85"/>
      <c r="Q585" s="94"/>
      <c r="R585" s="93"/>
      <c r="S585" s="85"/>
      <c r="U585" s="94"/>
      <c r="V585" s="93"/>
      <c r="W585" s="85"/>
      <c r="Y585" s="94"/>
      <c r="Z585" s="93"/>
      <c r="AA585" s="85"/>
      <c r="AC585" s="94"/>
      <c r="AD585" s="93"/>
      <c r="AE585" s="85"/>
    </row>
    <row r="586" spans="6:31" x14ac:dyDescent="0.35">
      <c r="F586" s="93"/>
      <c r="G586" s="85"/>
      <c r="H586" s="87"/>
      <c r="M586" s="94"/>
      <c r="N586" s="93"/>
      <c r="O586" s="85"/>
      <c r="Q586" s="94"/>
      <c r="R586" s="93"/>
      <c r="S586" s="85"/>
      <c r="U586" s="94"/>
      <c r="V586" s="93"/>
      <c r="W586" s="85"/>
      <c r="Y586" s="94"/>
      <c r="Z586" s="93"/>
      <c r="AA586" s="85"/>
      <c r="AC586" s="94"/>
      <c r="AD586" s="93"/>
      <c r="AE586" s="85"/>
    </row>
    <row r="587" spans="6:31" x14ac:dyDescent="0.35">
      <c r="F587" s="93"/>
      <c r="G587" s="85"/>
      <c r="H587" s="87"/>
      <c r="M587" s="94"/>
      <c r="N587" s="93"/>
      <c r="O587" s="85"/>
      <c r="Q587" s="94"/>
      <c r="R587" s="93"/>
      <c r="S587" s="85"/>
      <c r="U587" s="94"/>
      <c r="V587" s="93"/>
      <c r="W587" s="85"/>
      <c r="Y587" s="94"/>
      <c r="Z587" s="93"/>
      <c r="AA587" s="85"/>
      <c r="AC587" s="94"/>
      <c r="AD587" s="93"/>
      <c r="AE587" s="85"/>
    </row>
    <row r="588" spans="6:31" x14ac:dyDescent="0.35">
      <c r="F588" s="93"/>
      <c r="G588" s="85"/>
      <c r="H588" s="87"/>
      <c r="M588" s="94"/>
      <c r="N588" s="93"/>
      <c r="O588" s="85"/>
      <c r="Q588" s="94"/>
      <c r="R588" s="93"/>
      <c r="S588" s="85"/>
      <c r="U588" s="94"/>
      <c r="V588" s="93"/>
      <c r="W588" s="85"/>
      <c r="Y588" s="94"/>
      <c r="Z588" s="93"/>
      <c r="AA588" s="85"/>
      <c r="AC588" s="94"/>
      <c r="AD588" s="93"/>
      <c r="AE588" s="85"/>
    </row>
    <row r="589" spans="6:31" x14ac:dyDescent="0.35">
      <c r="F589" s="93"/>
      <c r="G589" s="85"/>
      <c r="H589" s="87"/>
      <c r="M589" s="94"/>
      <c r="N589" s="93"/>
      <c r="O589" s="85"/>
      <c r="Q589" s="94"/>
      <c r="R589" s="93"/>
      <c r="S589" s="85"/>
      <c r="U589" s="94"/>
      <c r="V589" s="93"/>
      <c r="W589" s="85"/>
      <c r="Y589" s="94"/>
      <c r="Z589" s="93"/>
      <c r="AA589" s="85"/>
      <c r="AC589" s="94"/>
      <c r="AD589" s="93"/>
      <c r="AE589" s="85"/>
    </row>
    <row r="590" spans="6:31" x14ac:dyDescent="0.35">
      <c r="F590" s="93"/>
      <c r="G590" s="85"/>
      <c r="H590" s="87"/>
      <c r="M590" s="94"/>
      <c r="N590" s="93"/>
      <c r="O590" s="85"/>
      <c r="Q590" s="94"/>
      <c r="R590" s="93"/>
      <c r="S590" s="85"/>
      <c r="U590" s="94"/>
      <c r="V590" s="93"/>
      <c r="W590" s="85"/>
      <c r="Y590" s="94"/>
      <c r="Z590" s="93"/>
      <c r="AA590" s="85"/>
      <c r="AC590" s="94"/>
      <c r="AD590" s="93"/>
      <c r="AE590" s="85"/>
    </row>
    <row r="591" spans="6:31" x14ac:dyDescent="0.35">
      <c r="F591" s="93"/>
      <c r="G591" s="85"/>
      <c r="H591" s="87"/>
      <c r="M591" s="94"/>
      <c r="N591" s="93"/>
      <c r="O591" s="85"/>
      <c r="Q591" s="94"/>
      <c r="R591" s="93"/>
      <c r="S591" s="85"/>
      <c r="U591" s="94"/>
      <c r="V591" s="93"/>
      <c r="W591" s="85"/>
      <c r="Y591" s="94"/>
      <c r="Z591" s="93"/>
      <c r="AA591" s="85"/>
      <c r="AC591" s="94"/>
      <c r="AD591" s="93"/>
      <c r="AE591" s="85"/>
    </row>
    <row r="592" spans="6:31" x14ac:dyDescent="0.35">
      <c r="F592" s="93"/>
      <c r="G592" s="85"/>
      <c r="H592" s="87"/>
      <c r="M592" s="94"/>
      <c r="N592" s="93"/>
      <c r="O592" s="85"/>
      <c r="Q592" s="94"/>
      <c r="R592" s="93"/>
      <c r="S592" s="85"/>
      <c r="U592" s="94"/>
      <c r="V592" s="93"/>
      <c r="W592" s="85"/>
      <c r="Y592" s="94"/>
      <c r="Z592" s="93"/>
      <c r="AA592" s="85"/>
      <c r="AC592" s="94"/>
      <c r="AD592" s="93"/>
      <c r="AE592" s="85"/>
    </row>
    <row r="593" spans="6:31" x14ac:dyDescent="0.35">
      <c r="F593" s="93"/>
      <c r="G593" s="85"/>
      <c r="H593" s="87"/>
      <c r="M593" s="94"/>
      <c r="N593" s="93"/>
      <c r="O593" s="85"/>
      <c r="Q593" s="94"/>
      <c r="R593" s="93"/>
      <c r="S593" s="85"/>
      <c r="U593" s="94"/>
      <c r="V593" s="93"/>
      <c r="W593" s="85"/>
      <c r="Y593" s="94"/>
      <c r="Z593" s="93"/>
      <c r="AA593" s="85"/>
      <c r="AC593" s="94"/>
      <c r="AD593" s="93"/>
      <c r="AE593" s="85"/>
    </row>
    <row r="594" spans="6:31" x14ac:dyDescent="0.35">
      <c r="F594" s="93"/>
      <c r="G594" s="85"/>
      <c r="H594" s="87"/>
      <c r="M594" s="94"/>
      <c r="N594" s="93"/>
      <c r="O594" s="85"/>
      <c r="Q594" s="94"/>
      <c r="R594" s="93"/>
      <c r="S594" s="85"/>
      <c r="U594" s="94"/>
      <c r="V594" s="93"/>
      <c r="W594" s="85"/>
      <c r="Y594" s="94"/>
      <c r="Z594" s="93"/>
      <c r="AA594" s="85"/>
      <c r="AC594" s="94"/>
      <c r="AD594" s="93"/>
      <c r="AE594" s="85"/>
    </row>
    <row r="595" spans="6:31" x14ac:dyDescent="0.35">
      <c r="F595" s="93"/>
      <c r="G595" s="85"/>
      <c r="H595" s="87"/>
      <c r="M595" s="94"/>
      <c r="N595" s="93"/>
      <c r="O595" s="85"/>
      <c r="Q595" s="94"/>
      <c r="R595" s="93"/>
      <c r="S595" s="85"/>
      <c r="U595" s="94"/>
      <c r="V595" s="93"/>
      <c r="W595" s="85"/>
      <c r="Y595" s="94"/>
      <c r="Z595" s="93"/>
      <c r="AA595" s="85"/>
      <c r="AC595" s="94"/>
      <c r="AD595" s="93"/>
      <c r="AE595" s="85"/>
    </row>
    <row r="596" spans="6:31" x14ac:dyDescent="0.35">
      <c r="F596" s="93"/>
      <c r="G596" s="85"/>
      <c r="H596" s="87"/>
      <c r="M596" s="94"/>
      <c r="N596" s="93"/>
      <c r="O596" s="85"/>
      <c r="Q596" s="94"/>
      <c r="R596" s="93"/>
      <c r="S596" s="85"/>
      <c r="U596" s="94"/>
      <c r="V596" s="93"/>
      <c r="W596" s="85"/>
      <c r="Y596" s="94"/>
      <c r="Z596" s="93"/>
      <c r="AA596" s="85"/>
      <c r="AC596" s="94"/>
      <c r="AD596" s="93"/>
      <c r="AE596" s="85"/>
    </row>
    <row r="597" spans="6:31" x14ac:dyDescent="0.35">
      <c r="F597" s="93"/>
      <c r="G597" s="85"/>
      <c r="H597" s="87"/>
      <c r="M597" s="94"/>
      <c r="N597" s="93"/>
      <c r="O597" s="85"/>
      <c r="Q597" s="94"/>
      <c r="R597" s="93"/>
      <c r="S597" s="85"/>
      <c r="U597" s="94"/>
      <c r="V597" s="93"/>
      <c r="W597" s="85"/>
      <c r="Y597" s="94"/>
      <c r="Z597" s="93"/>
      <c r="AA597" s="85"/>
      <c r="AC597" s="94"/>
      <c r="AD597" s="93"/>
      <c r="AE597" s="85"/>
    </row>
    <row r="598" spans="6:31" x14ac:dyDescent="0.35">
      <c r="F598" s="93"/>
      <c r="G598" s="85"/>
      <c r="H598" s="87"/>
      <c r="M598" s="94"/>
      <c r="N598" s="93"/>
      <c r="O598" s="85"/>
      <c r="Q598" s="94"/>
      <c r="R598" s="93"/>
      <c r="S598" s="85"/>
      <c r="U598" s="94"/>
      <c r="V598" s="93"/>
      <c r="W598" s="85"/>
      <c r="Y598" s="94"/>
      <c r="Z598" s="93"/>
      <c r="AA598" s="85"/>
      <c r="AC598" s="94"/>
      <c r="AD598" s="93"/>
      <c r="AE598" s="85"/>
    </row>
    <row r="599" spans="6:31" x14ac:dyDescent="0.35">
      <c r="F599" s="93"/>
      <c r="G599" s="85"/>
      <c r="H599" s="87"/>
      <c r="M599" s="94"/>
      <c r="N599" s="93"/>
      <c r="O599" s="85"/>
      <c r="Q599" s="94"/>
      <c r="R599" s="93"/>
      <c r="S599" s="85"/>
      <c r="U599" s="94"/>
      <c r="V599" s="93"/>
      <c r="W599" s="85"/>
      <c r="Y599" s="94"/>
      <c r="Z599" s="93"/>
      <c r="AA599" s="85"/>
      <c r="AC599" s="94"/>
      <c r="AD599" s="93"/>
      <c r="AE599" s="85"/>
    </row>
    <row r="600" spans="6:31" x14ac:dyDescent="0.35">
      <c r="F600" s="93"/>
      <c r="G600" s="85"/>
      <c r="H600" s="87"/>
      <c r="M600" s="94"/>
      <c r="N600" s="93"/>
      <c r="O600" s="85"/>
      <c r="Q600" s="94"/>
      <c r="R600" s="93"/>
      <c r="S600" s="85"/>
      <c r="U600" s="94"/>
      <c r="V600" s="93"/>
      <c r="W600" s="85"/>
      <c r="Y600" s="94"/>
      <c r="Z600" s="93"/>
      <c r="AA600" s="85"/>
      <c r="AC600" s="94"/>
      <c r="AD600" s="93"/>
      <c r="AE600" s="85"/>
    </row>
    <row r="601" spans="6:31" x14ac:dyDescent="0.35">
      <c r="F601" s="93"/>
      <c r="G601" s="85"/>
      <c r="H601" s="87"/>
      <c r="M601" s="94"/>
      <c r="N601" s="93"/>
      <c r="O601" s="85"/>
      <c r="Q601" s="94"/>
      <c r="R601" s="93"/>
      <c r="S601" s="85"/>
      <c r="U601" s="94"/>
      <c r="V601" s="93"/>
      <c r="W601" s="85"/>
      <c r="Y601" s="94"/>
      <c r="Z601" s="93"/>
      <c r="AA601" s="85"/>
      <c r="AC601" s="94"/>
      <c r="AD601" s="93"/>
      <c r="AE601" s="85"/>
    </row>
    <row r="602" spans="6:31" x14ac:dyDescent="0.35">
      <c r="F602" s="93"/>
      <c r="G602" s="85"/>
      <c r="H602" s="87"/>
      <c r="M602" s="94"/>
      <c r="N602" s="93"/>
      <c r="O602" s="85"/>
      <c r="Q602" s="94"/>
      <c r="R602" s="93"/>
      <c r="S602" s="85"/>
      <c r="U602" s="94"/>
      <c r="V602" s="93"/>
      <c r="W602" s="85"/>
      <c r="Y602" s="94"/>
      <c r="Z602" s="93"/>
      <c r="AA602" s="85"/>
      <c r="AC602" s="94"/>
      <c r="AD602" s="93"/>
      <c r="AE602" s="85"/>
    </row>
    <row r="603" spans="6:31" x14ac:dyDescent="0.35">
      <c r="F603" s="93"/>
      <c r="G603" s="85"/>
      <c r="H603" s="87"/>
      <c r="M603" s="94"/>
      <c r="N603" s="93"/>
      <c r="O603" s="85"/>
      <c r="Q603" s="94"/>
      <c r="R603" s="93"/>
      <c r="S603" s="85"/>
      <c r="U603" s="94"/>
      <c r="V603" s="93"/>
      <c r="W603" s="85"/>
      <c r="Y603" s="94"/>
      <c r="Z603" s="93"/>
      <c r="AA603" s="85"/>
      <c r="AC603" s="94"/>
      <c r="AD603" s="93"/>
      <c r="AE603" s="85"/>
    </row>
    <row r="604" spans="6:31" x14ac:dyDescent="0.35">
      <c r="F604" s="93"/>
      <c r="G604" s="85"/>
      <c r="H604" s="87"/>
      <c r="M604" s="94"/>
      <c r="N604" s="93"/>
      <c r="O604" s="85"/>
      <c r="Q604" s="94"/>
      <c r="R604" s="93"/>
      <c r="S604" s="85"/>
      <c r="U604" s="94"/>
      <c r="V604" s="93"/>
      <c r="W604" s="85"/>
      <c r="Y604" s="94"/>
      <c r="Z604" s="93"/>
      <c r="AA604" s="85"/>
      <c r="AC604" s="94"/>
      <c r="AD604" s="93"/>
      <c r="AE604" s="85"/>
    </row>
    <row r="605" spans="6:31" x14ac:dyDescent="0.35">
      <c r="F605" s="93"/>
      <c r="G605" s="85"/>
      <c r="H605" s="87"/>
      <c r="M605" s="94"/>
      <c r="N605" s="93"/>
      <c r="O605" s="85"/>
      <c r="Q605" s="94"/>
      <c r="R605" s="93"/>
      <c r="S605" s="85"/>
      <c r="U605" s="94"/>
      <c r="V605" s="93"/>
      <c r="W605" s="85"/>
      <c r="Y605" s="94"/>
      <c r="Z605" s="93"/>
      <c r="AA605" s="85"/>
      <c r="AC605" s="94"/>
      <c r="AD605" s="93"/>
      <c r="AE605" s="85"/>
    </row>
    <row r="606" spans="6:31" x14ac:dyDescent="0.35">
      <c r="F606" s="93"/>
      <c r="G606" s="85"/>
      <c r="H606" s="87"/>
      <c r="M606" s="94"/>
      <c r="N606" s="93"/>
      <c r="O606" s="85"/>
      <c r="Q606" s="94"/>
      <c r="R606" s="93"/>
      <c r="S606" s="85"/>
      <c r="U606" s="94"/>
      <c r="V606" s="93"/>
      <c r="W606" s="85"/>
      <c r="Y606" s="94"/>
      <c r="Z606" s="93"/>
      <c r="AA606" s="85"/>
      <c r="AC606" s="94"/>
      <c r="AD606" s="93"/>
      <c r="AE606" s="85"/>
    </row>
    <row r="607" spans="6:31" x14ac:dyDescent="0.35">
      <c r="F607" s="93"/>
      <c r="G607" s="85"/>
      <c r="H607" s="87"/>
      <c r="M607" s="94"/>
      <c r="N607" s="93"/>
      <c r="O607" s="85"/>
      <c r="Q607" s="94"/>
      <c r="R607" s="93"/>
      <c r="S607" s="85"/>
      <c r="U607" s="94"/>
      <c r="V607" s="93"/>
      <c r="W607" s="85"/>
      <c r="Y607" s="94"/>
      <c r="Z607" s="93"/>
      <c r="AA607" s="85"/>
      <c r="AC607" s="94"/>
      <c r="AD607" s="93"/>
      <c r="AE607" s="85"/>
    </row>
    <row r="608" spans="6:31" x14ac:dyDescent="0.35">
      <c r="F608" s="93"/>
      <c r="G608" s="85"/>
      <c r="H608" s="87"/>
      <c r="M608" s="94"/>
      <c r="N608" s="93"/>
      <c r="O608" s="85"/>
      <c r="Q608" s="94"/>
      <c r="R608" s="93"/>
      <c r="S608" s="85"/>
      <c r="U608" s="94"/>
      <c r="V608" s="93"/>
      <c r="W608" s="85"/>
      <c r="Y608" s="94"/>
      <c r="Z608" s="93"/>
      <c r="AA608" s="85"/>
      <c r="AC608" s="94"/>
      <c r="AD608" s="93"/>
      <c r="AE608" s="85"/>
    </row>
    <row r="609" spans="6:31" x14ac:dyDescent="0.35">
      <c r="F609" s="93"/>
      <c r="G609" s="85"/>
      <c r="H609" s="87"/>
      <c r="M609" s="94"/>
      <c r="N609" s="93"/>
      <c r="O609" s="85"/>
      <c r="Q609" s="94"/>
      <c r="R609" s="93"/>
      <c r="S609" s="85"/>
      <c r="U609" s="94"/>
      <c r="V609" s="93"/>
      <c r="W609" s="85"/>
      <c r="Y609" s="94"/>
      <c r="Z609" s="93"/>
      <c r="AA609" s="85"/>
      <c r="AC609" s="94"/>
      <c r="AD609" s="93"/>
      <c r="AE609" s="85"/>
    </row>
    <row r="610" spans="6:31" x14ac:dyDescent="0.35">
      <c r="F610" s="93"/>
      <c r="G610" s="85"/>
      <c r="H610" s="87"/>
      <c r="M610" s="94"/>
      <c r="N610" s="93"/>
      <c r="O610" s="85"/>
      <c r="Q610" s="94"/>
      <c r="R610" s="93"/>
      <c r="S610" s="85"/>
      <c r="U610" s="94"/>
      <c r="V610" s="93"/>
      <c r="W610" s="85"/>
      <c r="Y610" s="94"/>
      <c r="Z610" s="93"/>
      <c r="AA610" s="85"/>
      <c r="AC610" s="94"/>
      <c r="AD610" s="93"/>
      <c r="AE610" s="85"/>
    </row>
    <row r="611" spans="6:31" x14ac:dyDescent="0.35">
      <c r="F611" s="93"/>
      <c r="G611" s="85"/>
      <c r="H611" s="87"/>
      <c r="M611" s="94"/>
      <c r="N611" s="93"/>
      <c r="O611" s="85"/>
      <c r="Q611" s="94"/>
      <c r="R611" s="93"/>
      <c r="S611" s="85"/>
      <c r="U611" s="94"/>
      <c r="V611" s="93"/>
      <c r="W611" s="85"/>
      <c r="Y611" s="94"/>
      <c r="Z611" s="93"/>
      <c r="AA611" s="85"/>
      <c r="AC611" s="94"/>
      <c r="AD611" s="93"/>
      <c r="AE611" s="85"/>
    </row>
    <row r="612" spans="6:31" x14ac:dyDescent="0.35">
      <c r="F612" s="93"/>
      <c r="G612" s="85"/>
      <c r="H612" s="87"/>
      <c r="M612" s="94"/>
      <c r="N612" s="93"/>
      <c r="O612" s="85"/>
      <c r="Q612" s="94"/>
      <c r="R612" s="93"/>
      <c r="S612" s="85"/>
      <c r="U612" s="94"/>
      <c r="V612" s="93"/>
      <c r="W612" s="85"/>
      <c r="Y612" s="94"/>
      <c r="Z612" s="93"/>
      <c r="AA612" s="85"/>
      <c r="AC612" s="94"/>
      <c r="AD612" s="93"/>
      <c r="AE612" s="85"/>
    </row>
    <row r="613" spans="6:31" x14ac:dyDescent="0.35">
      <c r="F613" s="93"/>
      <c r="G613" s="85"/>
      <c r="H613" s="87"/>
      <c r="M613" s="94"/>
      <c r="N613" s="93"/>
      <c r="O613" s="85"/>
      <c r="Q613" s="94"/>
      <c r="R613" s="93"/>
      <c r="S613" s="85"/>
      <c r="U613" s="94"/>
      <c r="V613" s="93"/>
      <c r="W613" s="85"/>
      <c r="Y613" s="94"/>
      <c r="Z613" s="93"/>
      <c r="AA613" s="85"/>
      <c r="AC613" s="94"/>
      <c r="AD613" s="93"/>
      <c r="AE613" s="85"/>
    </row>
    <row r="614" spans="6:31" x14ac:dyDescent="0.35">
      <c r="F614" s="93"/>
      <c r="G614" s="85"/>
      <c r="H614" s="87"/>
      <c r="M614" s="94"/>
      <c r="N614" s="93"/>
      <c r="O614" s="85"/>
      <c r="Q614" s="94"/>
      <c r="R614" s="93"/>
      <c r="S614" s="85"/>
      <c r="U614" s="94"/>
      <c r="V614" s="93"/>
      <c r="W614" s="85"/>
      <c r="Y614" s="94"/>
      <c r="Z614" s="93"/>
      <c r="AA614" s="85"/>
      <c r="AC614" s="94"/>
      <c r="AD614" s="93"/>
      <c r="AE614" s="85"/>
    </row>
    <row r="615" spans="6:31" x14ac:dyDescent="0.35">
      <c r="F615" s="93"/>
      <c r="G615" s="85"/>
      <c r="H615" s="87"/>
      <c r="M615" s="94"/>
      <c r="N615" s="93"/>
      <c r="O615" s="85"/>
      <c r="Q615" s="94"/>
      <c r="R615" s="93"/>
      <c r="S615" s="85"/>
      <c r="U615" s="94"/>
      <c r="V615" s="93"/>
      <c r="W615" s="85"/>
      <c r="Y615" s="94"/>
      <c r="Z615" s="93"/>
      <c r="AA615" s="85"/>
      <c r="AC615" s="94"/>
      <c r="AD615" s="93"/>
      <c r="AE615" s="85"/>
    </row>
    <row r="616" spans="6:31" x14ac:dyDescent="0.35">
      <c r="F616" s="93"/>
      <c r="G616" s="85"/>
      <c r="H616" s="87"/>
      <c r="M616" s="94"/>
      <c r="N616" s="93"/>
      <c r="O616" s="85"/>
      <c r="Q616" s="94"/>
      <c r="R616" s="93"/>
      <c r="S616" s="85"/>
      <c r="U616" s="94"/>
      <c r="V616" s="93"/>
      <c r="W616" s="85"/>
      <c r="Y616" s="94"/>
      <c r="Z616" s="93"/>
      <c r="AA616" s="85"/>
      <c r="AC616" s="94"/>
      <c r="AD616" s="93"/>
      <c r="AE616" s="85"/>
    </row>
    <row r="617" spans="6:31" x14ac:dyDescent="0.35">
      <c r="F617" s="93"/>
      <c r="G617" s="85"/>
      <c r="H617" s="87"/>
      <c r="M617" s="94"/>
      <c r="N617" s="93"/>
      <c r="O617" s="85"/>
      <c r="Q617" s="94"/>
      <c r="R617" s="93"/>
      <c r="S617" s="85"/>
      <c r="U617" s="94"/>
      <c r="V617" s="93"/>
      <c r="W617" s="85"/>
      <c r="Y617" s="94"/>
      <c r="Z617" s="93"/>
      <c r="AA617" s="85"/>
      <c r="AC617" s="94"/>
      <c r="AD617" s="93"/>
      <c r="AE617" s="85"/>
    </row>
    <row r="618" spans="6:31" x14ac:dyDescent="0.35">
      <c r="F618" s="93"/>
      <c r="G618" s="85"/>
      <c r="H618" s="87"/>
      <c r="M618" s="94"/>
      <c r="N618" s="93"/>
      <c r="O618" s="85"/>
      <c r="Q618" s="94"/>
      <c r="R618" s="93"/>
      <c r="S618" s="85"/>
      <c r="U618" s="94"/>
      <c r="V618" s="93"/>
      <c r="W618" s="85"/>
      <c r="Y618" s="94"/>
      <c r="Z618" s="93"/>
      <c r="AA618" s="85"/>
      <c r="AC618" s="94"/>
      <c r="AD618" s="93"/>
      <c r="AE618" s="85"/>
    </row>
    <row r="619" spans="6:31" x14ac:dyDescent="0.35">
      <c r="F619" s="93"/>
      <c r="G619" s="85"/>
      <c r="H619" s="87"/>
      <c r="M619" s="94"/>
      <c r="N619" s="93"/>
      <c r="O619" s="85"/>
      <c r="Q619" s="94"/>
      <c r="R619" s="93"/>
      <c r="S619" s="85"/>
      <c r="U619" s="94"/>
      <c r="V619" s="93"/>
      <c r="W619" s="85"/>
      <c r="Y619" s="94"/>
      <c r="Z619" s="93"/>
      <c r="AA619" s="85"/>
      <c r="AC619" s="94"/>
      <c r="AD619" s="93"/>
      <c r="AE619" s="85"/>
    </row>
    <row r="620" spans="6:31" x14ac:dyDescent="0.35">
      <c r="F620" s="93"/>
      <c r="G620" s="85"/>
      <c r="H620" s="87"/>
      <c r="M620" s="94"/>
      <c r="N620" s="93"/>
      <c r="O620" s="85"/>
      <c r="Q620" s="94"/>
      <c r="R620" s="93"/>
      <c r="S620" s="85"/>
      <c r="U620" s="94"/>
      <c r="V620" s="93"/>
      <c r="W620" s="85"/>
      <c r="Y620" s="94"/>
      <c r="Z620" s="93"/>
      <c r="AA620" s="85"/>
      <c r="AC620" s="94"/>
      <c r="AD620" s="93"/>
      <c r="AE620" s="85"/>
    </row>
    <row r="621" spans="6:31" x14ac:dyDescent="0.35">
      <c r="F621" s="93"/>
      <c r="G621" s="85"/>
      <c r="H621" s="87"/>
      <c r="M621" s="94"/>
      <c r="N621" s="93"/>
      <c r="O621" s="85"/>
      <c r="Q621" s="94"/>
      <c r="R621" s="93"/>
      <c r="S621" s="85"/>
      <c r="U621" s="94"/>
      <c r="V621" s="93"/>
      <c r="W621" s="85"/>
      <c r="Y621" s="94"/>
      <c r="Z621" s="93"/>
      <c r="AA621" s="85"/>
      <c r="AC621" s="94"/>
      <c r="AD621" s="93"/>
      <c r="AE621" s="85"/>
    </row>
    <row r="622" spans="6:31" x14ac:dyDescent="0.35">
      <c r="F622" s="93"/>
      <c r="G622" s="85"/>
      <c r="H622" s="87"/>
      <c r="M622" s="94"/>
      <c r="N622" s="93"/>
      <c r="O622" s="85"/>
      <c r="Q622" s="94"/>
      <c r="R622" s="93"/>
      <c r="S622" s="85"/>
      <c r="U622" s="94"/>
      <c r="V622" s="93"/>
      <c r="W622" s="85"/>
      <c r="Y622" s="94"/>
      <c r="Z622" s="93"/>
      <c r="AA622" s="85"/>
      <c r="AC622" s="94"/>
      <c r="AD622" s="93"/>
      <c r="AE622" s="85"/>
    </row>
    <row r="623" spans="6:31" x14ac:dyDescent="0.35">
      <c r="F623" s="93"/>
      <c r="G623" s="85"/>
      <c r="H623" s="87"/>
      <c r="M623" s="94"/>
      <c r="N623" s="93"/>
      <c r="O623" s="85"/>
      <c r="Q623" s="94"/>
      <c r="R623" s="93"/>
      <c r="S623" s="85"/>
      <c r="U623" s="94"/>
      <c r="V623" s="93"/>
      <c r="W623" s="85"/>
      <c r="Y623" s="94"/>
      <c r="Z623" s="93"/>
      <c r="AA623" s="85"/>
      <c r="AC623" s="94"/>
      <c r="AD623" s="93"/>
      <c r="AE623" s="85"/>
    </row>
    <row r="624" spans="6:31" x14ac:dyDescent="0.35">
      <c r="F624" s="93"/>
      <c r="G624" s="85"/>
      <c r="H624" s="87"/>
      <c r="M624" s="94"/>
      <c r="N624" s="93"/>
      <c r="O624" s="85"/>
      <c r="Q624" s="94"/>
      <c r="R624" s="93"/>
      <c r="S624" s="85"/>
      <c r="U624" s="94"/>
      <c r="V624" s="93"/>
      <c r="W624" s="85"/>
      <c r="Y624" s="94"/>
      <c r="Z624" s="93"/>
      <c r="AA624" s="85"/>
      <c r="AC624" s="94"/>
      <c r="AD624" s="93"/>
      <c r="AE624" s="85"/>
    </row>
    <row r="625" spans="6:31" x14ac:dyDescent="0.35">
      <c r="F625" s="93"/>
      <c r="G625" s="85"/>
      <c r="H625" s="87"/>
      <c r="M625" s="94"/>
      <c r="N625" s="93"/>
      <c r="O625" s="85"/>
      <c r="Q625" s="94"/>
      <c r="R625" s="93"/>
      <c r="S625" s="85"/>
      <c r="U625" s="94"/>
      <c r="V625" s="93"/>
      <c r="W625" s="85"/>
      <c r="Y625" s="94"/>
      <c r="Z625" s="93"/>
      <c r="AA625" s="85"/>
      <c r="AC625" s="94"/>
      <c r="AD625" s="93"/>
      <c r="AE625" s="85"/>
    </row>
    <row r="626" spans="6:31" x14ac:dyDescent="0.35">
      <c r="F626" s="93"/>
      <c r="G626" s="85"/>
      <c r="H626" s="87"/>
      <c r="M626" s="94"/>
      <c r="N626" s="93"/>
      <c r="O626" s="85"/>
      <c r="Q626" s="94"/>
      <c r="R626" s="93"/>
      <c r="S626" s="85"/>
      <c r="U626" s="94"/>
      <c r="V626" s="93"/>
      <c r="W626" s="85"/>
      <c r="Y626" s="94"/>
      <c r="Z626" s="93"/>
      <c r="AA626" s="85"/>
      <c r="AC626" s="94"/>
      <c r="AD626" s="93"/>
      <c r="AE626" s="85"/>
    </row>
    <row r="627" spans="6:31" x14ac:dyDescent="0.35">
      <c r="F627" s="93"/>
      <c r="G627" s="85"/>
      <c r="H627" s="87"/>
      <c r="M627" s="94"/>
      <c r="N627" s="93"/>
      <c r="O627" s="85"/>
      <c r="Q627" s="94"/>
      <c r="R627" s="93"/>
      <c r="S627" s="85"/>
      <c r="U627" s="94"/>
      <c r="V627" s="93"/>
      <c r="W627" s="85"/>
      <c r="Y627" s="94"/>
      <c r="Z627" s="93"/>
      <c r="AA627" s="85"/>
      <c r="AC627" s="94"/>
      <c r="AD627" s="93"/>
      <c r="AE627" s="85"/>
    </row>
    <row r="628" spans="6:31" x14ac:dyDescent="0.35">
      <c r="F628" s="93"/>
      <c r="G628" s="85"/>
      <c r="H628" s="87"/>
      <c r="M628" s="94"/>
      <c r="N628" s="93"/>
      <c r="O628" s="85"/>
      <c r="Q628" s="94"/>
      <c r="R628" s="93"/>
      <c r="S628" s="85"/>
      <c r="U628" s="94"/>
      <c r="V628" s="93"/>
      <c r="W628" s="85"/>
      <c r="Y628" s="94"/>
      <c r="Z628" s="93"/>
      <c r="AA628" s="85"/>
      <c r="AC628" s="94"/>
      <c r="AD628" s="93"/>
      <c r="AE628" s="85"/>
    </row>
    <row r="629" spans="6:31" x14ac:dyDescent="0.35">
      <c r="F629" s="93"/>
      <c r="G629" s="85"/>
      <c r="H629" s="87"/>
      <c r="M629" s="94"/>
      <c r="N629" s="93"/>
      <c r="O629" s="85"/>
      <c r="Q629" s="94"/>
      <c r="R629" s="93"/>
      <c r="S629" s="85"/>
      <c r="U629" s="94"/>
      <c r="V629" s="93"/>
      <c r="W629" s="85"/>
      <c r="Y629" s="94"/>
      <c r="Z629" s="93"/>
      <c r="AA629" s="85"/>
      <c r="AC629" s="94"/>
      <c r="AD629" s="93"/>
      <c r="AE629" s="85"/>
    </row>
    <row r="630" spans="6:31" x14ac:dyDescent="0.35">
      <c r="F630" s="93"/>
      <c r="G630" s="85"/>
      <c r="H630" s="87"/>
      <c r="M630" s="94"/>
      <c r="N630" s="93"/>
      <c r="O630" s="85"/>
      <c r="Q630" s="94"/>
      <c r="R630" s="93"/>
      <c r="S630" s="85"/>
      <c r="U630" s="94"/>
      <c r="V630" s="93"/>
      <c r="W630" s="85"/>
      <c r="Y630" s="94"/>
      <c r="Z630" s="93"/>
      <c r="AA630" s="85"/>
      <c r="AC630" s="94"/>
      <c r="AD630" s="93"/>
      <c r="AE630" s="85"/>
    </row>
    <row r="631" spans="6:31" x14ac:dyDescent="0.35">
      <c r="F631" s="93"/>
      <c r="G631" s="85"/>
      <c r="H631" s="87"/>
      <c r="M631" s="94"/>
      <c r="N631" s="93"/>
      <c r="O631" s="85"/>
      <c r="Q631" s="94"/>
      <c r="R631" s="93"/>
      <c r="S631" s="85"/>
      <c r="U631" s="94"/>
      <c r="V631" s="93"/>
      <c r="W631" s="85"/>
      <c r="Y631" s="94"/>
      <c r="Z631" s="93"/>
      <c r="AA631" s="85"/>
      <c r="AC631" s="94"/>
      <c r="AD631" s="93"/>
      <c r="AE631" s="85"/>
    </row>
    <row r="632" spans="6:31" x14ac:dyDescent="0.35">
      <c r="F632" s="93"/>
      <c r="G632" s="85"/>
      <c r="H632" s="87"/>
      <c r="M632" s="94"/>
      <c r="N632" s="93"/>
      <c r="O632" s="85"/>
      <c r="Q632" s="94"/>
      <c r="R632" s="93"/>
      <c r="S632" s="85"/>
      <c r="U632" s="94"/>
      <c r="V632" s="93"/>
      <c r="W632" s="85"/>
      <c r="Y632" s="94"/>
      <c r="Z632" s="93"/>
      <c r="AA632" s="85"/>
      <c r="AC632" s="94"/>
      <c r="AD632" s="93"/>
      <c r="AE632" s="85"/>
    </row>
    <row r="633" spans="6:31" x14ac:dyDescent="0.35">
      <c r="F633" s="93"/>
      <c r="G633" s="85"/>
      <c r="H633" s="87"/>
      <c r="M633" s="94"/>
      <c r="N633" s="93"/>
      <c r="O633" s="85"/>
      <c r="Q633" s="94"/>
      <c r="R633" s="93"/>
      <c r="S633" s="85"/>
      <c r="U633" s="94"/>
      <c r="V633" s="93"/>
      <c r="W633" s="85"/>
      <c r="Y633" s="94"/>
      <c r="Z633" s="93"/>
      <c r="AA633" s="85"/>
      <c r="AC633" s="94"/>
      <c r="AD633" s="93"/>
      <c r="AE633" s="85"/>
    </row>
    <row r="634" spans="6:31" x14ac:dyDescent="0.35">
      <c r="F634" s="93"/>
      <c r="G634" s="85"/>
      <c r="H634" s="87"/>
      <c r="M634" s="94"/>
      <c r="N634" s="93"/>
      <c r="O634" s="85"/>
      <c r="Q634" s="94"/>
      <c r="R634" s="93"/>
      <c r="S634" s="85"/>
      <c r="U634" s="94"/>
      <c r="V634" s="93"/>
      <c r="W634" s="85"/>
      <c r="Y634" s="94"/>
      <c r="Z634" s="93"/>
      <c r="AA634" s="85"/>
      <c r="AC634" s="94"/>
      <c r="AD634" s="93"/>
      <c r="AE634" s="85"/>
    </row>
    <row r="635" spans="6:31" x14ac:dyDescent="0.35">
      <c r="F635" s="93"/>
      <c r="G635" s="85"/>
      <c r="H635" s="87"/>
      <c r="M635" s="94"/>
      <c r="N635" s="93"/>
      <c r="O635" s="85"/>
      <c r="Q635" s="94"/>
      <c r="R635" s="93"/>
      <c r="S635" s="85"/>
      <c r="U635" s="94"/>
      <c r="V635" s="93"/>
      <c r="W635" s="85"/>
      <c r="Y635" s="94"/>
      <c r="Z635" s="93"/>
      <c r="AA635" s="85"/>
      <c r="AC635" s="94"/>
      <c r="AD635" s="93"/>
      <c r="AE635" s="85"/>
    </row>
    <row r="636" spans="6:31" x14ac:dyDescent="0.35">
      <c r="F636" s="93"/>
      <c r="G636" s="85"/>
      <c r="H636" s="87"/>
      <c r="M636" s="94"/>
      <c r="N636" s="93"/>
      <c r="O636" s="85"/>
      <c r="Q636" s="94"/>
      <c r="R636" s="93"/>
      <c r="S636" s="85"/>
      <c r="U636" s="94"/>
      <c r="V636" s="93"/>
      <c r="W636" s="85"/>
      <c r="Y636" s="94"/>
      <c r="Z636" s="93"/>
      <c r="AA636" s="85"/>
      <c r="AC636" s="94"/>
      <c r="AD636" s="93"/>
      <c r="AE636" s="85"/>
    </row>
    <row r="637" spans="6:31" x14ac:dyDescent="0.35">
      <c r="F637" s="93"/>
      <c r="G637" s="85"/>
      <c r="H637" s="87"/>
      <c r="M637" s="94"/>
      <c r="N637" s="93"/>
      <c r="O637" s="85"/>
      <c r="Q637" s="94"/>
      <c r="R637" s="93"/>
      <c r="S637" s="85"/>
      <c r="U637" s="94"/>
      <c r="V637" s="93"/>
      <c r="W637" s="85"/>
      <c r="Y637" s="94"/>
      <c r="Z637" s="93"/>
      <c r="AA637" s="85"/>
      <c r="AC637" s="94"/>
      <c r="AD637" s="93"/>
      <c r="AE637" s="85"/>
    </row>
    <row r="638" spans="6:31" x14ac:dyDescent="0.35">
      <c r="F638" s="93"/>
      <c r="G638" s="85"/>
      <c r="H638" s="87"/>
      <c r="M638" s="94"/>
      <c r="N638" s="93"/>
      <c r="O638" s="85"/>
      <c r="Q638" s="94"/>
      <c r="R638" s="93"/>
      <c r="S638" s="85"/>
      <c r="U638" s="94"/>
      <c r="V638" s="93"/>
      <c r="W638" s="85"/>
      <c r="Y638" s="94"/>
      <c r="Z638" s="93"/>
      <c r="AA638" s="85"/>
      <c r="AC638" s="94"/>
      <c r="AD638" s="93"/>
      <c r="AE638" s="85"/>
    </row>
    <row r="639" spans="6:31" x14ac:dyDescent="0.35">
      <c r="F639" s="93"/>
      <c r="G639" s="85"/>
      <c r="H639" s="87"/>
      <c r="M639" s="94"/>
      <c r="N639" s="93"/>
      <c r="O639" s="85"/>
      <c r="Q639" s="94"/>
      <c r="R639" s="93"/>
      <c r="S639" s="85"/>
      <c r="U639" s="94"/>
      <c r="V639" s="93"/>
      <c r="W639" s="85"/>
      <c r="Y639" s="94"/>
      <c r="Z639" s="93"/>
      <c r="AA639" s="85"/>
      <c r="AC639" s="94"/>
      <c r="AD639" s="93"/>
      <c r="AE639" s="85"/>
    </row>
    <row r="640" spans="6:31" x14ac:dyDescent="0.35">
      <c r="F640" s="93"/>
      <c r="G640" s="85"/>
      <c r="H640" s="87"/>
      <c r="M640" s="94"/>
      <c r="N640" s="93"/>
      <c r="O640" s="85"/>
      <c r="Q640" s="94"/>
      <c r="R640" s="93"/>
      <c r="S640" s="85"/>
      <c r="U640" s="94"/>
      <c r="V640" s="93"/>
      <c r="W640" s="85"/>
      <c r="Y640" s="94"/>
      <c r="Z640" s="93"/>
      <c r="AA640" s="85"/>
      <c r="AC640" s="94"/>
      <c r="AD640" s="93"/>
      <c r="AE640" s="85"/>
    </row>
    <row r="641" spans="6:31" x14ac:dyDescent="0.35">
      <c r="F641" s="93"/>
      <c r="G641" s="85"/>
      <c r="H641" s="87"/>
      <c r="M641" s="94"/>
      <c r="N641" s="93"/>
      <c r="O641" s="85"/>
      <c r="Q641" s="94"/>
      <c r="R641" s="93"/>
      <c r="S641" s="85"/>
      <c r="U641" s="94"/>
      <c r="V641" s="93"/>
      <c r="W641" s="85"/>
      <c r="Y641" s="94"/>
      <c r="Z641" s="93"/>
      <c r="AA641" s="85"/>
      <c r="AC641" s="94"/>
      <c r="AD641" s="93"/>
      <c r="AE641" s="85"/>
    </row>
    <row r="642" spans="6:31" x14ac:dyDescent="0.35">
      <c r="F642" s="93"/>
      <c r="G642" s="85"/>
      <c r="H642" s="87"/>
      <c r="M642" s="94"/>
      <c r="N642" s="93"/>
      <c r="O642" s="85"/>
      <c r="Q642" s="94"/>
      <c r="R642" s="93"/>
      <c r="S642" s="85"/>
      <c r="U642" s="94"/>
      <c r="V642" s="93"/>
      <c r="W642" s="85"/>
      <c r="Y642" s="94"/>
      <c r="Z642" s="93"/>
      <c r="AA642" s="85"/>
      <c r="AC642" s="94"/>
      <c r="AD642" s="93"/>
      <c r="AE642" s="85"/>
    </row>
    <row r="643" spans="6:31" x14ac:dyDescent="0.35">
      <c r="F643" s="93"/>
      <c r="G643" s="85"/>
      <c r="H643" s="87"/>
      <c r="M643" s="94"/>
      <c r="N643" s="93"/>
      <c r="O643" s="85"/>
      <c r="Q643" s="94"/>
      <c r="R643" s="93"/>
      <c r="S643" s="85"/>
      <c r="U643" s="94"/>
      <c r="V643" s="93"/>
      <c r="W643" s="85"/>
      <c r="Y643" s="94"/>
      <c r="Z643" s="93"/>
      <c r="AA643" s="85"/>
      <c r="AC643" s="94"/>
      <c r="AD643" s="93"/>
      <c r="AE643" s="85"/>
    </row>
    <row r="644" spans="6:31" x14ac:dyDescent="0.35">
      <c r="F644" s="93"/>
      <c r="G644" s="85"/>
      <c r="H644" s="87"/>
      <c r="M644" s="94"/>
      <c r="N644" s="93"/>
      <c r="O644" s="85"/>
      <c r="Q644" s="94"/>
      <c r="R644" s="93"/>
      <c r="S644" s="85"/>
      <c r="U644" s="94"/>
      <c r="V644" s="93"/>
      <c r="W644" s="85"/>
      <c r="Y644" s="94"/>
      <c r="Z644" s="93"/>
      <c r="AA644" s="85"/>
      <c r="AC644" s="94"/>
      <c r="AD644" s="93"/>
      <c r="AE644" s="85"/>
    </row>
    <row r="645" spans="6:31" x14ac:dyDescent="0.35">
      <c r="F645" s="93"/>
      <c r="G645" s="85"/>
      <c r="H645" s="87"/>
      <c r="M645" s="94"/>
      <c r="N645" s="93"/>
      <c r="O645" s="85"/>
      <c r="Q645" s="94"/>
      <c r="R645" s="93"/>
      <c r="S645" s="85"/>
      <c r="U645" s="94"/>
      <c r="V645" s="93"/>
      <c r="W645" s="85"/>
      <c r="Y645" s="94"/>
      <c r="Z645" s="93"/>
      <c r="AA645" s="85"/>
      <c r="AC645" s="94"/>
      <c r="AD645" s="93"/>
      <c r="AE645" s="85"/>
    </row>
    <row r="646" spans="6:31" x14ac:dyDescent="0.35">
      <c r="F646" s="93"/>
      <c r="G646" s="85"/>
      <c r="H646" s="87"/>
      <c r="M646" s="94"/>
      <c r="N646" s="93"/>
      <c r="O646" s="85"/>
      <c r="Q646" s="94"/>
      <c r="R646" s="93"/>
      <c r="S646" s="85"/>
      <c r="U646" s="94"/>
      <c r="V646" s="93"/>
      <c r="W646" s="85"/>
      <c r="Y646" s="94"/>
      <c r="Z646" s="93"/>
      <c r="AA646" s="85"/>
      <c r="AC646" s="94"/>
      <c r="AD646" s="93"/>
      <c r="AE646" s="85"/>
    </row>
    <row r="647" spans="6:31" x14ac:dyDescent="0.35">
      <c r="F647" s="93"/>
      <c r="G647" s="85"/>
      <c r="H647" s="87"/>
      <c r="M647" s="94"/>
      <c r="N647" s="93"/>
      <c r="O647" s="85"/>
      <c r="Q647" s="94"/>
      <c r="R647" s="93"/>
      <c r="S647" s="85"/>
      <c r="U647" s="94"/>
      <c r="V647" s="93"/>
      <c r="W647" s="85"/>
      <c r="Y647" s="94"/>
      <c r="Z647" s="93"/>
      <c r="AA647" s="85"/>
      <c r="AC647" s="94"/>
      <c r="AD647" s="93"/>
      <c r="AE647" s="85"/>
    </row>
    <row r="648" spans="6:31" x14ac:dyDescent="0.35">
      <c r="F648" s="93"/>
      <c r="G648" s="85"/>
      <c r="H648" s="87"/>
      <c r="M648" s="94"/>
      <c r="N648" s="93"/>
      <c r="O648" s="85"/>
      <c r="Q648" s="94"/>
      <c r="R648" s="93"/>
      <c r="S648" s="85"/>
      <c r="U648" s="94"/>
      <c r="V648" s="93"/>
      <c r="W648" s="85"/>
      <c r="Y648" s="94"/>
      <c r="Z648" s="93"/>
      <c r="AA648" s="85"/>
      <c r="AC648" s="94"/>
      <c r="AD648" s="93"/>
      <c r="AE648" s="85"/>
    </row>
    <row r="649" spans="6:31" x14ac:dyDescent="0.35">
      <c r="F649" s="93"/>
      <c r="G649" s="85"/>
      <c r="H649" s="87"/>
      <c r="M649" s="94"/>
      <c r="N649" s="93"/>
      <c r="O649" s="85"/>
      <c r="Q649" s="94"/>
      <c r="R649" s="93"/>
      <c r="S649" s="85"/>
      <c r="U649" s="94"/>
      <c r="V649" s="93"/>
      <c r="W649" s="85"/>
      <c r="Y649" s="94"/>
      <c r="Z649" s="93"/>
      <c r="AA649" s="85"/>
      <c r="AC649" s="94"/>
      <c r="AD649" s="93"/>
      <c r="AE649" s="85"/>
    </row>
    <row r="650" spans="6:31" x14ac:dyDescent="0.35">
      <c r="F650" s="93"/>
      <c r="G650" s="85"/>
      <c r="H650" s="87"/>
      <c r="M650" s="94"/>
      <c r="N650" s="93"/>
      <c r="O650" s="85"/>
      <c r="Q650" s="94"/>
      <c r="R650" s="93"/>
      <c r="S650" s="85"/>
      <c r="U650" s="94"/>
      <c r="V650" s="93"/>
      <c r="W650" s="85"/>
      <c r="Y650" s="94"/>
      <c r="Z650" s="93"/>
      <c r="AA650" s="85"/>
      <c r="AC650" s="94"/>
      <c r="AD650" s="93"/>
      <c r="AE650" s="85"/>
    </row>
    <row r="651" spans="6:31" x14ac:dyDescent="0.35">
      <c r="F651" s="93"/>
      <c r="G651" s="85"/>
      <c r="H651" s="87"/>
      <c r="M651" s="94"/>
      <c r="N651" s="93"/>
      <c r="O651" s="85"/>
      <c r="Q651" s="94"/>
      <c r="R651" s="93"/>
      <c r="S651" s="85"/>
      <c r="U651" s="94"/>
      <c r="V651" s="93"/>
      <c r="W651" s="85"/>
      <c r="Y651" s="94"/>
      <c r="Z651" s="93"/>
      <c r="AA651" s="85"/>
      <c r="AC651" s="94"/>
      <c r="AD651" s="93"/>
      <c r="AE651" s="85"/>
    </row>
    <row r="652" spans="6:31" x14ac:dyDescent="0.35">
      <c r="F652" s="93"/>
      <c r="G652" s="85"/>
      <c r="H652" s="87"/>
      <c r="M652" s="94"/>
      <c r="N652" s="93"/>
      <c r="O652" s="85"/>
      <c r="Q652" s="94"/>
      <c r="R652" s="93"/>
      <c r="S652" s="85"/>
      <c r="U652" s="94"/>
      <c r="V652" s="93"/>
      <c r="W652" s="85"/>
      <c r="Y652" s="94"/>
      <c r="Z652" s="93"/>
      <c r="AA652" s="85"/>
      <c r="AC652" s="94"/>
      <c r="AD652" s="93"/>
      <c r="AE652" s="85"/>
    </row>
    <row r="653" spans="6:31" x14ac:dyDescent="0.35">
      <c r="F653" s="93"/>
      <c r="G653" s="85"/>
      <c r="H653" s="87"/>
      <c r="M653" s="94"/>
      <c r="N653" s="93"/>
      <c r="O653" s="85"/>
      <c r="Q653" s="94"/>
      <c r="R653" s="93"/>
      <c r="S653" s="85"/>
      <c r="U653" s="94"/>
      <c r="V653" s="93"/>
      <c r="W653" s="85"/>
      <c r="Y653" s="94"/>
      <c r="Z653" s="93"/>
      <c r="AA653" s="85"/>
      <c r="AC653" s="94"/>
      <c r="AD653" s="93"/>
      <c r="AE653" s="85"/>
    </row>
    <row r="654" spans="6:31" x14ac:dyDescent="0.35">
      <c r="F654" s="93"/>
      <c r="G654" s="85"/>
      <c r="H654" s="87"/>
      <c r="M654" s="94"/>
      <c r="N654" s="93"/>
      <c r="O654" s="85"/>
      <c r="Q654" s="94"/>
      <c r="R654" s="93"/>
      <c r="S654" s="85"/>
      <c r="U654" s="94"/>
      <c r="V654" s="93"/>
      <c r="W654" s="85"/>
      <c r="Y654" s="94"/>
      <c r="Z654" s="93"/>
      <c r="AA654" s="85"/>
      <c r="AC654" s="94"/>
      <c r="AD654" s="93"/>
      <c r="AE654" s="85"/>
    </row>
    <row r="655" spans="6:31" x14ac:dyDescent="0.35">
      <c r="F655" s="93"/>
      <c r="G655" s="85"/>
      <c r="H655" s="87"/>
      <c r="M655" s="94"/>
      <c r="N655" s="93"/>
      <c r="O655" s="85"/>
      <c r="Q655" s="94"/>
      <c r="R655" s="93"/>
      <c r="S655" s="85"/>
      <c r="U655" s="94"/>
      <c r="V655" s="93"/>
      <c r="W655" s="85"/>
      <c r="Y655" s="94"/>
      <c r="Z655" s="93"/>
      <c r="AA655" s="85"/>
      <c r="AC655" s="94"/>
      <c r="AD655" s="93"/>
      <c r="AE655" s="85"/>
    </row>
    <row r="656" spans="6:31" x14ac:dyDescent="0.35">
      <c r="F656" s="93"/>
      <c r="G656" s="85"/>
      <c r="H656" s="87"/>
      <c r="M656" s="94"/>
      <c r="N656" s="93"/>
      <c r="O656" s="85"/>
      <c r="Q656" s="94"/>
      <c r="R656" s="93"/>
      <c r="S656" s="85"/>
      <c r="U656" s="94"/>
      <c r="V656" s="93"/>
      <c r="W656" s="85"/>
      <c r="Y656" s="94"/>
      <c r="Z656" s="93"/>
      <c r="AA656" s="85"/>
      <c r="AC656" s="94"/>
      <c r="AD656" s="93"/>
      <c r="AE656" s="85"/>
    </row>
    <row r="657" spans="6:31" x14ac:dyDescent="0.35">
      <c r="F657" s="93"/>
      <c r="G657" s="85"/>
      <c r="H657" s="87"/>
      <c r="M657" s="94"/>
      <c r="N657" s="93"/>
      <c r="O657" s="85"/>
      <c r="Q657" s="94"/>
      <c r="R657" s="93"/>
      <c r="S657" s="85"/>
      <c r="U657" s="94"/>
      <c r="V657" s="93"/>
      <c r="W657" s="85"/>
      <c r="Y657" s="94"/>
      <c r="Z657" s="93"/>
      <c r="AA657" s="85"/>
      <c r="AC657" s="94"/>
      <c r="AD657" s="93"/>
      <c r="AE657" s="85"/>
    </row>
    <row r="658" spans="6:31" x14ac:dyDescent="0.35">
      <c r="F658" s="93"/>
      <c r="G658" s="85"/>
      <c r="H658" s="87"/>
      <c r="M658" s="94"/>
      <c r="N658" s="93"/>
      <c r="O658" s="85"/>
      <c r="Q658" s="94"/>
      <c r="R658" s="93"/>
      <c r="S658" s="85"/>
      <c r="U658" s="94"/>
      <c r="V658" s="93"/>
      <c r="W658" s="85"/>
      <c r="Y658" s="94"/>
      <c r="Z658" s="93"/>
      <c r="AA658" s="85"/>
      <c r="AC658" s="94"/>
      <c r="AD658" s="93"/>
      <c r="AE658" s="85"/>
    </row>
    <row r="659" spans="6:31" x14ac:dyDescent="0.35">
      <c r="F659" s="93"/>
      <c r="G659" s="85"/>
      <c r="H659" s="87"/>
      <c r="M659" s="94"/>
      <c r="N659" s="93"/>
      <c r="O659" s="85"/>
      <c r="Q659" s="94"/>
      <c r="R659" s="93"/>
      <c r="S659" s="85"/>
      <c r="U659" s="94"/>
      <c r="V659" s="93"/>
      <c r="W659" s="85"/>
      <c r="Y659" s="94"/>
      <c r="Z659" s="93"/>
      <c r="AA659" s="85"/>
      <c r="AC659" s="94"/>
      <c r="AD659" s="93"/>
      <c r="AE659" s="85"/>
    </row>
    <row r="660" spans="6:31" x14ac:dyDescent="0.35">
      <c r="F660" s="93"/>
      <c r="G660" s="85"/>
      <c r="H660" s="87"/>
      <c r="M660" s="94"/>
      <c r="N660" s="93"/>
      <c r="O660" s="85"/>
      <c r="Q660" s="94"/>
      <c r="R660" s="93"/>
      <c r="S660" s="85"/>
      <c r="U660" s="94"/>
      <c r="V660" s="93"/>
      <c r="W660" s="85"/>
      <c r="Y660" s="94"/>
      <c r="Z660" s="93"/>
      <c r="AA660" s="85"/>
      <c r="AC660" s="94"/>
      <c r="AD660" s="93"/>
      <c r="AE660" s="85"/>
    </row>
    <row r="661" spans="6:31" x14ac:dyDescent="0.35">
      <c r="F661" s="93"/>
      <c r="G661" s="85"/>
      <c r="H661" s="87"/>
      <c r="M661" s="94"/>
      <c r="N661" s="93"/>
      <c r="O661" s="85"/>
      <c r="Q661" s="94"/>
      <c r="R661" s="93"/>
      <c r="S661" s="85"/>
      <c r="U661" s="94"/>
      <c r="V661" s="93"/>
      <c r="W661" s="85"/>
      <c r="Y661" s="94"/>
      <c r="Z661" s="93"/>
      <c r="AA661" s="85"/>
      <c r="AC661" s="94"/>
      <c r="AD661" s="93"/>
      <c r="AE661" s="85"/>
    </row>
    <row r="662" spans="6:31" x14ac:dyDescent="0.35">
      <c r="F662" s="93"/>
      <c r="G662" s="85"/>
      <c r="H662" s="87"/>
      <c r="M662" s="94"/>
      <c r="N662" s="93"/>
      <c r="O662" s="85"/>
      <c r="Q662" s="94"/>
      <c r="R662" s="93"/>
      <c r="S662" s="85"/>
      <c r="U662" s="94"/>
      <c r="V662" s="93"/>
      <c r="W662" s="85"/>
      <c r="Y662" s="94"/>
      <c r="Z662" s="93"/>
      <c r="AA662" s="85"/>
      <c r="AC662" s="94"/>
      <c r="AD662" s="93"/>
      <c r="AE662" s="85"/>
    </row>
    <row r="663" spans="6:31" x14ac:dyDescent="0.35">
      <c r="F663" s="93"/>
      <c r="G663" s="85"/>
      <c r="H663" s="87"/>
      <c r="M663" s="94"/>
      <c r="N663" s="93"/>
      <c r="O663" s="85"/>
      <c r="Q663" s="94"/>
      <c r="R663" s="93"/>
      <c r="S663" s="85"/>
      <c r="U663" s="94"/>
      <c r="V663" s="93"/>
      <c r="W663" s="85"/>
      <c r="Y663" s="94"/>
      <c r="Z663" s="93"/>
      <c r="AA663" s="85"/>
      <c r="AC663" s="94"/>
      <c r="AD663" s="93"/>
      <c r="AE663" s="85"/>
    </row>
    <row r="664" spans="6:31" x14ac:dyDescent="0.35">
      <c r="F664" s="93"/>
      <c r="G664" s="85"/>
      <c r="H664" s="87"/>
      <c r="M664" s="94"/>
      <c r="N664" s="93"/>
      <c r="O664" s="85"/>
      <c r="Q664" s="94"/>
      <c r="R664" s="93"/>
      <c r="S664" s="85"/>
      <c r="U664" s="94"/>
      <c r="V664" s="93"/>
      <c r="W664" s="85"/>
      <c r="Y664" s="94"/>
      <c r="Z664" s="93"/>
      <c r="AA664" s="85"/>
      <c r="AC664" s="94"/>
      <c r="AD664" s="93"/>
      <c r="AE664" s="85"/>
    </row>
    <row r="665" spans="6:31" x14ac:dyDescent="0.35">
      <c r="F665" s="93"/>
      <c r="G665" s="85"/>
      <c r="H665" s="87"/>
      <c r="M665" s="94"/>
      <c r="N665" s="93"/>
      <c r="O665" s="85"/>
      <c r="Q665" s="94"/>
      <c r="R665" s="93"/>
      <c r="S665" s="85"/>
      <c r="U665" s="94"/>
      <c r="V665" s="93"/>
      <c r="W665" s="85"/>
      <c r="Y665" s="94"/>
      <c r="Z665" s="93"/>
      <c r="AA665" s="85"/>
      <c r="AC665" s="94"/>
      <c r="AD665" s="93"/>
      <c r="AE665" s="85"/>
    </row>
    <row r="666" spans="6:31" x14ac:dyDescent="0.35">
      <c r="F666" s="93"/>
      <c r="G666" s="85"/>
      <c r="H666" s="87"/>
      <c r="M666" s="94"/>
      <c r="N666" s="93"/>
      <c r="O666" s="85"/>
      <c r="Q666" s="94"/>
      <c r="R666" s="93"/>
      <c r="S666" s="85"/>
      <c r="U666" s="94"/>
      <c r="V666" s="93"/>
      <c r="W666" s="85"/>
      <c r="Y666" s="94"/>
      <c r="Z666" s="93"/>
      <c r="AA666" s="85"/>
      <c r="AC666" s="94"/>
      <c r="AD666" s="93"/>
      <c r="AE666" s="85"/>
    </row>
    <row r="667" spans="6:31" x14ac:dyDescent="0.35">
      <c r="F667" s="93"/>
      <c r="G667" s="85"/>
      <c r="H667" s="87"/>
      <c r="M667" s="94"/>
      <c r="N667" s="93"/>
      <c r="O667" s="85"/>
      <c r="Q667" s="94"/>
      <c r="R667" s="93"/>
      <c r="S667" s="85"/>
      <c r="U667" s="94"/>
      <c r="V667" s="93"/>
      <c r="W667" s="85"/>
      <c r="Y667" s="94"/>
      <c r="Z667" s="93"/>
      <c r="AA667" s="85"/>
      <c r="AC667" s="94"/>
      <c r="AD667" s="93"/>
      <c r="AE667" s="85"/>
    </row>
    <row r="668" spans="6:31" x14ac:dyDescent="0.35">
      <c r="F668" s="93"/>
      <c r="G668" s="85"/>
      <c r="H668" s="87"/>
      <c r="M668" s="94"/>
      <c r="N668" s="93"/>
      <c r="O668" s="85"/>
      <c r="Q668" s="94"/>
      <c r="R668" s="93"/>
      <c r="S668" s="85"/>
      <c r="U668" s="94"/>
      <c r="V668" s="93"/>
      <c r="W668" s="85"/>
      <c r="Y668" s="94"/>
      <c r="Z668" s="93"/>
      <c r="AA668" s="85"/>
      <c r="AC668" s="94"/>
      <c r="AD668" s="93"/>
      <c r="AE668" s="85"/>
    </row>
    <row r="669" spans="6:31" x14ac:dyDescent="0.35">
      <c r="F669" s="93"/>
      <c r="G669" s="85"/>
      <c r="H669" s="87"/>
      <c r="M669" s="94"/>
      <c r="N669" s="93"/>
      <c r="O669" s="85"/>
      <c r="Q669" s="94"/>
      <c r="R669" s="93"/>
      <c r="S669" s="85"/>
      <c r="U669" s="94"/>
      <c r="V669" s="93"/>
      <c r="W669" s="85"/>
      <c r="Y669" s="94"/>
      <c r="Z669" s="93"/>
      <c r="AA669" s="85"/>
      <c r="AC669" s="94"/>
      <c r="AD669" s="93"/>
      <c r="AE669" s="85"/>
    </row>
    <row r="670" spans="6:31" x14ac:dyDescent="0.35">
      <c r="F670" s="93"/>
      <c r="G670" s="85"/>
      <c r="H670" s="87"/>
      <c r="M670" s="94"/>
      <c r="N670" s="93"/>
      <c r="O670" s="85"/>
      <c r="Q670" s="94"/>
      <c r="R670" s="93"/>
      <c r="S670" s="85"/>
      <c r="U670" s="94"/>
      <c r="V670" s="93"/>
      <c r="W670" s="85"/>
      <c r="Y670" s="94"/>
      <c r="Z670" s="93"/>
      <c r="AA670" s="85"/>
      <c r="AC670" s="94"/>
      <c r="AD670" s="93"/>
      <c r="AE670" s="85"/>
    </row>
    <row r="671" spans="6:31" x14ac:dyDescent="0.35">
      <c r="F671" s="93"/>
      <c r="G671" s="85"/>
      <c r="H671" s="87"/>
      <c r="M671" s="94"/>
      <c r="N671" s="93"/>
      <c r="O671" s="85"/>
      <c r="Q671" s="94"/>
      <c r="R671" s="93"/>
      <c r="S671" s="85"/>
      <c r="U671" s="94"/>
      <c r="V671" s="93"/>
      <c r="W671" s="85"/>
      <c r="Y671" s="94"/>
      <c r="Z671" s="93"/>
      <c r="AA671" s="85"/>
      <c r="AC671" s="94"/>
      <c r="AD671" s="93"/>
      <c r="AE671" s="85"/>
    </row>
    <row r="672" spans="6:31" x14ac:dyDescent="0.35">
      <c r="F672" s="93"/>
      <c r="G672" s="85"/>
      <c r="H672" s="87"/>
      <c r="M672" s="94"/>
      <c r="N672" s="93"/>
      <c r="O672" s="85"/>
      <c r="Q672" s="94"/>
      <c r="R672" s="93"/>
      <c r="S672" s="85"/>
      <c r="U672" s="94"/>
      <c r="V672" s="93"/>
      <c r="W672" s="85"/>
      <c r="Y672" s="94"/>
      <c r="Z672" s="93"/>
      <c r="AA672" s="85"/>
      <c r="AC672" s="94"/>
      <c r="AD672" s="93"/>
      <c r="AE672" s="85"/>
    </row>
    <row r="673" spans="6:31" x14ac:dyDescent="0.35">
      <c r="F673" s="93"/>
      <c r="G673" s="85"/>
      <c r="H673" s="87"/>
      <c r="M673" s="94"/>
      <c r="N673" s="93"/>
      <c r="O673" s="85"/>
      <c r="Q673" s="94"/>
      <c r="R673" s="93"/>
      <c r="S673" s="85"/>
      <c r="U673" s="94"/>
      <c r="V673" s="93"/>
      <c r="W673" s="85"/>
      <c r="Y673" s="94"/>
      <c r="Z673" s="93"/>
      <c r="AA673" s="85"/>
      <c r="AC673" s="94"/>
      <c r="AD673" s="93"/>
      <c r="AE673" s="85"/>
    </row>
    <row r="674" spans="6:31" x14ac:dyDescent="0.35">
      <c r="F674" s="93"/>
      <c r="G674" s="85"/>
      <c r="H674" s="87"/>
      <c r="M674" s="94"/>
      <c r="N674" s="93"/>
      <c r="O674" s="85"/>
      <c r="Q674" s="94"/>
      <c r="R674" s="93"/>
      <c r="S674" s="85"/>
      <c r="U674" s="94"/>
      <c r="V674" s="93"/>
      <c r="W674" s="85"/>
      <c r="Y674" s="94"/>
      <c r="Z674" s="93"/>
      <c r="AA674" s="85"/>
      <c r="AC674" s="94"/>
      <c r="AD674" s="93"/>
      <c r="AE674" s="85"/>
    </row>
    <row r="675" spans="6:31" x14ac:dyDescent="0.35">
      <c r="F675" s="93"/>
      <c r="G675" s="85"/>
      <c r="H675" s="87"/>
      <c r="M675" s="94"/>
      <c r="N675" s="93"/>
      <c r="O675" s="85"/>
      <c r="Q675" s="94"/>
      <c r="R675" s="93"/>
      <c r="S675" s="85"/>
      <c r="U675" s="94"/>
      <c r="V675" s="93"/>
      <c r="W675" s="85"/>
      <c r="Y675" s="94"/>
      <c r="Z675" s="93"/>
      <c r="AA675" s="85"/>
      <c r="AC675" s="94"/>
      <c r="AD675" s="93"/>
      <c r="AE675" s="85"/>
    </row>
    <row r="676" spans="6:31" x14ac:dyDescent="0.35">
      <c r="F676" s="93"/>
      <c r="G676" s="85"/>
      <c r="H676" s="87"/>
      <c r="M676" s="94"/>
      <c r="N676" s="93"/>
      <c r="O676" s="85"/>
      <c r="Q676" s="94"/>
      <c r="R676" s="93"/>
      <c r="S676" s="85"/>
      <c r="U676" s="94"/>
      <c r="V676" s="93"/>
      <c r="W676" s="85"/>
      <c r="Y676" s="94"/>
      <c r="Z676" s="93"/>
      <c r="AA676" s="85"/>
      <c r="AC676" s="94"/>
      <c r="AD676" s="93"/>
      <c r="AE676" s="85"/>
    </row>
    <row r="677" spans="6:31" x14ac:dyDescent="0.35">
      <c r="F677" s="93"/>
      <c r="G677" s="85"/>
      <c r="H677" s="87"/>
      <c r="M677" s="94"/>
      <c r="N677" s="93"/>
      <c r="O677" s="85"/>
      <c r="Q677" s="94"/>
      <c r="R677" s="93"/>
      <c r="S677" s="85"/>
      <c r="U677" s="94"/>
      <c r="V677" s="93"/>
      <c r="W677" s="85"/>
      <c r="Y677" s="94"/>
      <c r="Z677" s="93"/>
      <c r="AA677" s="85"/>
      <c r="AC677" s="94"/>
      <c r="AD677" s="93"/>
      <c r="AE677" s="85"/>
    </row>
    <row r="678" spans="6:31" x14ac:dyDescent="0.35">
      <c r="F678" s="93"/>
      <c r="G678" s="85"/>
      <c r="H678" s="87"/>
      <c r="M678" s="94"/>
      <c r="N678" s="93"/>
      <c r="O678" s="85"/>
      <c r="Q678" s="94"/>
      <c r="R678" s="93"/>
      <c r="S678" s="85"/>
      <c r="U678" s="94"/>
      <c r="V678" s="93"/>
      <c r="W678" s="85"/>
      <c r="Y678" s="94"/>
      <c r="Z678" s="93"/>
      <c r="AA678" s="85"/>
      <c r="AC678" s="94"/>
      <c r="AD678" s="93"/>
      <c r="AE678" s="85"/>
    </row>
    <row r="679" spans="6:31" x14ac:dyDescent="0.35">
      <c r="F679" s="93"/>
      <c r="G679" s="85"/>
      <c r="H679" s="87"/>
      <c r="M679" s="94"/>
      <c r="N679" s="93"/>
      <c r="O679" s="85"/>
      <c r="Q679" s="94"/>
      <c r="R679" s="93"/>
      <c r="S679" s="85"/>
      <c r="U679" s="94"/>
      <c r="V679" s="93"/>
      <c r="W679" s="85"/>
      <c r="Y679" s="94"/>
      <c r="Z679" s="93"/>
      <c r="AA679" s="85"/>
      <c r="AC679" s="94"/>
      <c r="AD679" s="93"/>
      <c r="AE679" s="85"/>
    </row>
    <row r="680" spans="6:31" x14ac:dyDescent="0.35">
      <c r="F680" s="93"/>
      <c r="G680" s="85"/>
      <c r="H680" s="87"/>
      <c r="M680" s="94"/>
      <c r="N680" s="93"/>
      <c r="O680" s="85"/>
      <c r="Q680" s="94"/>
      <c r="R680" s="93"/>
      <c r="S680" s="85"/>
      <c r="U680" s="94"/>
      <c r="V680" s="93"/>
      <c r="W680" s="85"/>
      <c r="Y680" s="94"/>
      <c r="Z680" s="93"/>
      <c r="AA680" s="85"/>
      <c r="AC680" s="94"/>
      <c r="AD680" s="93"/>
      <c r="AE680" s="85"/>
    </row>
    <row r="681" spans="6:31" x14ac:dyDescent="0.35">
      <c r="F681" s="93"/>
      <c r="G681" s="85"/>
      <c r="H681" s="87"/>
      <c r="M681" s="94"/>
      <c r="N681" s="93"/>
      <c r="O681" s="85"/>
      <c r="Q681" s="94"/>
      <c r="R681" s="93"/>
      <c r="S681" s="85"/>
      <c r="U681" s="94"/>
      <c r="V681" s="93"/>
      <c r="W681" s="85"/>
      <c r="Y681" s="94"/>
      <c r="Z681" s="93"/>
      <c r="AA681" s="85"/>
      <c r="AC681" s="94"/>
      <c r="AD681" s="93"/>
      <c r="AE681" s="85"/>
    </row>
    <row r="682" spans="6:31" x14ac:dyDescent="0.35">
      <c r="F682" s="93"/>
      <c r="G682" s="85"/>
      <c r="H682" s="87"/>
      <c r="M682" s="94"/>
      <c r="N682" s="93"/>
      <c r="O682" s="85"/>
      <c r="Q682" s="94"/>
      <c r="R682" s="93"/>
      <c r="S682" s="85"/>
      <c r="U682" s="94"/>
      <c r="V682" s="93"/>
      <c r="W682" s="85"/>
      <c r="Y682" s="94"/>
      <c r="Z682" s="93"/>
      <c r="AA682" s="85"/>
      <c r="AC682" s="94"/>
      <c r="AD682" s="93"/>
      <c r="AE682" s="85"/>
    </row>
    <row r="683" spans="6:31" x14ac:dyDescent="0.35">
      <c r="F683" s="93"/>
      <c r="G683" s="85"/>
      <c r="H683" s="87"/>
      <c r="M683" s="94"/>
      <c r="N683" s="93"/>
      <c r="O683" s="85"/>
      <c r="Q683" s="94"/>
      <c r="R683" s="93"/>
      <c r="S683" s="85"/>
      <c r="U683" s="94"/>
      <c r="V683" s="93"/>
      <c r="W683" s="85"/>
      <c r="Y683" s="94"/>
      <c r="Z683" s="93"/>
      <c r="AA683" s="85"/>
      <c r="AC683" s="94"/>
      <c r="AD683" s="93"/>
      <c r="AE683" s="85"/>
    </row>
    <row r="684" spans="6:31" x14ac:dyDescent="0.35">
      <c r="F684" s="93"/>
      <c r="G684" s="85"/>
      <c r="H684" s="87"/>
      <c r="M684" s="94"/>
      <c r="N684" s="93"/>
      <c r="O684" s="85"/>
      <c r="Q684" s="94"/>
      <c r="R684" s="93"/>
      <c r="S684" s="85"/>
      <c r="U684" s="94"/>
      <c r="V684" s="93"/>
      <c r="W684" s="85"/>
      <c r="Y684" s="94"/>
      <c r="Z684" s="93"/>
      <c r="AA684" s="85"/>
      <c r="AC684" s="94"/>
      <c r="AD684" s="93"/>
      <c r="AE684" s="85"/>
    </row>
    <row r="685" spans="6:31" x14ac:dyDescent="0.35">
      <c r="F685" s="93"/>
      <c r="G685" s="85"/>
      <c r="H685" s="87"/>
      <c r="M685" s="94"/>
      <c r="N685" s="93"/>
      <c r="O685" s="85"/>
      <c r="Q685" s="94"/>
      <c r="R685" s="93"/>
      <c r="S685" s="85"/>
      <c r="U685" s="94"/>
      <c r="V685" s="93"/>
      <c r="W685" s="85"/>
      <c r="Y685" s="94"/>
      <c r="Z685" s="93"/>
      <c r="AA685" s="85"/>
      <c r="AC685" s="94"/>
      <c r="AD685" s="93"/>
      <c r="AE685" s="85"/>
    </row>
    <row r="686" spans="6:31" x14ac:dyDescent="0.35">
      <c r="F686" s="93"/>
      <c r="G686" s="85"/>
      <c r="H686" s="87"/>
      <c r="M686" s="94"/>
      <c r="N686" s="93"/>
      <c r="O686" s="85"/>
      <c r="Q686" s="94"/>
      <c r="R686" s="93"/>
      <c r="S686" s="85"/>
      <c r="U686" s="94"/>
      <c r="V686" s="93"/>
      <c r="W686" s="85"/>
      <c r="Y686" s="94"/>
      <c r="Z686" s="93"/>
      <c r="AA686" s="85"/>
      <c r="AC686" s="94"/>
      <c r="AD686" s="93"/>
      <c r="AE686" s="85"/>
    </row>
    <row r="687" spans="6:31" x14ac:dyDescent="0.35">
      <c r="F687" s="93"/>
      <c r="G687" s="85"/>
      <c r="H687" s="87"/>
      <c r="M687" s="94"/>
      <c r="N687" s="93"/>
      <c r="O687" s="85"/>
      <c r="Q687" s="94"/>
      <c r="R687" s="93"/>
      <c r="S687" s="85"/>
      <c r="U687" s="94"/>
      <c r="V687" s="93"/>
      <c r="W687" s="85"/>
      <c r="Y687" s="94"/>
      <c r="Z687" s="93"/>
      <c r="AA687" s="85"/>
      <c r="AC687" s="94"/>
      <c r="AD687" s="93"/>
      <c r="AE687" s="85"/>
    </row>
    <row r="688" spans="6:31" x14ac:dyDescent="0.35">
      <c r="F688" s="93"/>
      <c r="G688" s="85"/>
      <c r="H688" s="87"/>
      <c r="M688" s="94"/>
      <c r="N688" s="93"/>
      <c r="O688" s="85"/>
      <c r="Q688" s="94"/>
      <c r="R688" s="93"/>
      <c r="S688" s="85"/>
      <c r="U688" s="94"/>
      <c r="V688" s="93"/>
      <c r="W688" s="85"/>
      <c r="Y688" s="94"/>
      <c r="Z688" s="93"/>
      <c r="AA688" s="85"/>
      <c r="AC688" s="94"/>
      <c r="AD688" s="93"/>
      <c r="AE688" s="85"/>
    </row>
    <row r="689" spans="6:31" x14ac:dyDescent="0.35">
      <c r="F689" s="93"/>
      <c r="G689" s="85"/>
      <c r="H689" s="87"/>
      <c r="M689" s="94"/>
      <c r="N689" s="93"/>
      <c r="O689" s="85"/>
      <c r="Q689" s="94"/>
      <c r="R689" s="93"/>
      <c r="S689" s="85"/>
      <c r="U689" s="94"/>
      <c r="V689" s="93"/>
      <c r="W689" s="85"/>
      <c r="Y689" s="94"/>
      <c r="Z689" s="93"/>
      <c r="AA689" s="85"/>
      <c r="AC689" s="94"/>
      <c r="AD689" s="93"/>
      <c r="AE689" s="85"/>
    </row>
    <row r="690" spans="6:31" x14ac:dyDescent="0.35">
      <c r="F690" s="93"/>
      <c r="G690" s="85"/>
      <c r="H690" s="87"/>
      <c r="M690" s="94"/>
      <c r="N690" s="93"/>
      <c r="O690" s="85"/>
      <c r="Q690" s="94"/>
      <c r="R690" s="93"/>
      <c r="S690" s="85"/>
      <c r="U690" s="94"/>
      <c r="V690" s="93"/>
      <c r="W690" s="85"/>
      <c r="Y690" s="94"/>
      <c r="Z690" s="93"/>
      <c r="AA690" s="85"/>
      <c r="AC690" s="94"/>
      <c r="AD690" s="93"/>
      <c r="AE690" s="85"/>
    </row>
    <row r="691" spans="6:31" x14ac:dyDescent="0.35">
      <c r="F691" s="93"/>
      <c r="G691" s="85"/>
      <c r="H691" s="87"/>
      <c r="M691" s="94"/>
      <c r="N691" s="93"/>
      <c r="O691" s="85"/>
      <c r="Q691" s="94"/>
      <c r="R691" s="93"/>
      <c r="S691" s="85"/>
      <c r="U691" s="94"/>
      <c r="V691" s="93"/>
      <c r="W691" s="85"/>
      <c r="Y691" s="94"/>
      <c r="Z691" s="93"/>
      <c r="AA691" s="85"/>
      <c r="AC691" s="94"/>
      <c r="AD691" s="93"/>
      <c r="AE691" s="85"/>
    </row>
    <row r="692" spans="6:31" x14ac:dyDescent="0.35">
      <c r="F692" s="93"/>
      <c r="G692" s="85"/>
      <c r="H692" s="87"/>
      <c r="M692" s="94"/>
      <c r="N692" s="93"/>
      <c r="O692" s="85"/>
      <c r="Q692" s="94"/>
      <c r="R692" s="93"/>
      <c r="S692" s="85"/>
      <c r="U692" s="94"/>
      <c r="V692" s="93"/>
      <c r="W692" s="85"/>
      <c r="Y692" s="94"/>
      <c r="Z692" s="93"/>
      <c r="AA692" s="85"/>
      <c r="AC692" s="94"/>
      <c r="AD692" s="93"/>
      <c r="AE692" s="85"/>
    </row>
    <row r="693" spans="6:31" x14ac:dyDescent="0.35">
      <c r="F693" s="93"/>
      <c r="G693" s="85"/>
      <c r="H693" s="87"/>
      <c r="M693" s="94"/>
      <c r="N693" s="93"/>
      <c r="O693" s="85"/>
      <c r="Q693" s="94"/>
      <c r="R693" s="93"/>
      <c r="S693" s="85"/>
      <c r="U693" s="94"/>
      <c r="V693" s="93"/>
      <c r="W693" s="85"/>
      <c r="Y693" s="94"/>
      <c r="Z693" s="93"/>
      <c r="AA693" s="85"/>
      <c r="AC693" s="94"/>
      <c r="AD693" s="93"/>
      <c r="AE693" s="85"/>
    </row>
    <row r="694" spans="6:31" x14ac:dyDescent="0.35">
      <c r="F694" s="93"/>
      <c r="G694" s="85"/>
      <c r="H694" s="87"/>
      <c r="M694" s="94"/>
      <c r="N694" s="93"/>
      <c r="O694" s="85"/>
      <c r="Q694" s="94"/>
      <c r="R694" s="93"/>
      <c r="S694" s="85"/>
      <c r="U694" s="94"/>
      <c r="V694" s="93"/>
      <c r="W694" s="85"/>
      <c r="Y694" s="94"/>
      <c r="Z694" s="93"/>
      <c r="AA694" s="85"/>
      <c r="AC694" s="94"/>
      <c r="AD694" s="93"/>
      <c r="AE694" s="85"/>
    </row>
    <row r="695" spans="6:31" x14ac:dyDescent="0.35">
      <c r="F695" s="93"/>
      <c r="G695" s="85"/>
      <c r="H695" s="87"/>
      <c r="M695" s="94"/>
      <c r="N695" s="93"/>
      <c r="O695" s="85"/>
      <c r="Q695" s="94"/>
      <c r="R695" s="93"/>
      <c r="S695" s="85"/>
      <c r="U695" s="94"/>
      <c r="V695" s="93"/>
      <c r="W695" s="85"/>
      <c r="Y695" s="94"/>
      <c r="Z695" s="93"/>
      <c r="AA695" s="85"/>
      <c r="AC695" s="94"/>
      <c r="AD695" s="93"/>
      <c r="AE695" s="85"/>
    </row>
    <row r="696" spans="6:31" x14ac:dyDescent="0.35">
      <c r="F696" s="93"/>
      <c r="G696" s="85"/>
      <c r="H696" s="87"/>
      <c r="M696" s="94"/>
      <c r="N696" s="93"/>
      <c r="O696" s="85"/>
      <c r="Q696" s="94"/>
      <c r="R696" s="93"/>
      <c r="S696" s="85"/>
      <c r="U696" s="94"/>
      <c r="V696" s="93"/>
      <c r="W696" s="85"/>
      <c r="Y696" s="94"/>
      <c r="Z696" s="93"/>
      <c r="AA696" s="85"/>
      <c r="AC696" s="94"/>
      <c r="AD696" s="93"/>
      <c r="AE696" s="85"/>
    </row>
    <row r="697" spans="6:31" x14ac:dyDescent="0.35">
      <c r="F697" s="93"/>
      <c r="G697" s="85"/>
      <c r="H697" s="87"/>
      <c r="M697" s="94"/>
      <c r="N697" s="93"/>
      <c r="O697" s="85"/>
      <c r="Q697" s="94"/>
      <c r="R697" s="93"/>
      <c r="S697" s="85"/>
      <c r="U697" s="94"/>
      <c r="V697" s="93"/>
      <c r="W697" s="85"/>
      <c r="Y697" s="94"/>
      <c r="Z697" s="93"/>
      <c r="AA697" s="85"/>
      <c r="AC697" s="94"/>
      <c r="AD697" s="93"/>
      <c r="AE697" s="85"/>
    </row>
    <row r="698" spans="6:31" x14ac:dyDescent="0.35">
      <c r="F698" s="93"/>
      <c r="G698" s="85"/>
      <c r="H698" s="87"/>
      <c r="M698" s="94"/>
      <c r="N698" s="93"/>
      <c r="O698" s="85"/>
      <c r="Q698" s="94"/>
      <c r="R698" s="93"/>
      <c r="S698" s="85"/>
      <c r="U698" s="94"/>
      <c r="V698" s="93"/>
      <c r="W698" s="85"/>
      <c r="Y698" s="94"/>
      <c r="Z698" s="93"/>
      <c r="AA698" s="85"/>
      <c r="AC698" s="94"/>
      <c r="AD698" s="93"/>
      <c r="AE698" s="85"/>
    </row>
    <row r="699" spans="6:31" x14ac:dyDescent="0.35">
      <c r="F699" s="93"/>
      <c r="G699" s="85"/>
      <c r="H699" s="87"/>
      <c r="M699" s="94"/>
      <c r="N699" s="93"/>
      <c r="O699" s="85"/>
      <c r="Q699" s="94"/>
      <c r="R699" s="93"/>
      <c r="S699" s="85"/>
      <c r="U699" s="94"/>
      <c r="V699" s="93"/>
      <c r="W699" s="85"/>
      <c r="Y699" s="94"/>
      <c r="Z699" s="93"/>
      <c r="AA699" s="85"/>
      <c r="AC699" s="94"/>
      <c r="AD699" s="93"/>
      <c r="AE699" s="85"/>
    </row>
    <row r="700" spans="6:31" x14ac:dyDescent="0.35">
      <c r="F700" s="93"/>
      <c r="G700" s="85"/>
      <c r="H700" s="87"/>
      <c r="M700" s="94"/>
      <c r="N700" s="93"/>
      <c r="O700" s="85"/>
      <c r="Q700" s="94"/>
      <c r="R700" s="93"/>
      <c r="S700" s="85"/>
      <c r="U700" s="94"/>
      <c r="V700" s="93"/>
      <c r="W700" s="85"/>
      <c r="Y700" s="94"/>
      <c r="Z700" s="93"/>
      <c r="AA700" s="85"/>
      <c r="AC700" s="94"/>
      <c r="AD700" s="93"/>
      <c r="AE700" s="85"/>
    </row>
    <row r="701" spans="6:31" x14ac:dyDescent="0.35">
      <c r="F701" s="93"/>
      <c r="G701" s="85"/>
      <c r="H701" s="87"/>
      <c r="M701" s="94"/>
      <c r="N701" s="93"/>
      <c r="O701" s="85"/>
      <c r="Q701" s="94"/>
      <c r="R701" s="93"/>
      <c r="S701" s="85"/>
      <c r="U701" s="94"/>
      <c r="V701" s="93"/>
      <c r="W701" s="85"/>
      <c r="Y701" s="94"/>
      <c r="Z701" s="93"/>
      <c r="AA701" s="85"/>
      <c r="AC701" s="94"/>
      <c r="AD701" s="93"/>
      <c r="AE701" s="85"/>
    </row>
    <row r="702" spans="6:31" x14ac:dyDescent="0.35">
      <c r="F702" s="93"/>
      <c r="G702" s="85"/>
      <c r="H702" s="87"/>
      <c r="M702" s="94"/>
      <c r="N702" s="93"/>
      <c r="O702" s="85"/>
      <c r="Q702" s="94"/>
      <c r="R702" s="93"/>
      <c r="S702" s="85"/>
      <c r="U702" s="94"/>
      <c r="V702" s="93"/>
      <c r="W702" s="85"/>
      <c r="Y702" s="94"/>
      <c r="Z702" s="93"/>
      <c r="AA702" s="85"/>
      <c r="AC702" s="94"/>
      <c r="AD702" s="93"/>
      <c r="AE702" s="85"/>
    </row>
    <row r="703" spans="6:31" x14ac:dyDescent="0.35">
      <c r="F703" s="93"/>
      <c r="G703" s="85"/>
      <c r="H703" s="87"/>
      <c r="M703" s="94"/>
      <c r="N703" s="93"/>
      <c r="O703" s="85"/>
      <c r="Q703" s="94"/>
      <c r="R703" s="93"/>
      <c r="S703" s="85"/>
      <c r="U703" s="94"/>
      <c r="V703" s="93"/>
      <c r="W703" s="85"/>
      <c r="Y703" s="94"/>
      <c r="Z703" s="93"/>
      <c r="AA703" s="85"/>
      <c r="AC703" s="94"/>
      <c r="AD703" s="93"/>
      <c r="AE703" s="85"/>
    </row>
    <row r="704" spans="6:31" x14ac:dyDescent="0.35">
      <c r="F704" s="93"/>
      <c r="G704" s="85"/>
      <c r="H704" s="87"/>
      <c r="M704" s="94"/>
      <c r="N704" s="93"/>
      <c r="O704" s="85"/>
      <c r="Q704" s="94"/>
      <c r="R704" s="93"/>
      <c r="S704" s="85"/>
      <c r="U704" s="94"/>
      <c r="V704" s="93"/>
      <c r="W704" s="85"/>
      <c r="Y704" s="94"/>
      <c r="Z704" s="93"/>
      <c r="AA704" s="85"/>
      <c r="AC704" s="94"/>
      <c r="AD704" s="93"/>
      <c r="AE704" s="85"/>
    </row>
    <row r="705" spans="6:31" x14ac:dyDescent="0.35">
      <c r="F705" s="93"/>
      <c r="G705" s="85"/>
      <c r="H705" s="87"/>
      <c r="M705" s="94"/>
      <c r="N705" s="93"/>
      <c r="O705" s="85"/>
      <c r="Q705" s="94"/>
      <c r="R705" s="93"/>
      <c r="S705" s="85"/>
      <c r="U705" s="94"/>
      <c r="V705" s="93"/>
      <c r="W705" s="85"/>
      <c r="Y705" s="94"/>
      <c r="Z705" s="93"/>
      <c r="AA705" s="85"/>
      <c r="AC705" s="94"/>
      <c r="AD705" s="93"/>
      <c r="AE705" s="85"/>
    </row>
    <row r="706" spans="6:31" x14ac:dyDescent="0.35">
      <c r="F706" s="93"/>
      <c r="G706" s="85"/>
      <c r="H706" s="87"/>
      <c r="M706" s="94"/>
      <c r="N706" s="93"/>
      <c r="O706" s="85"/>
      <c r="Q706" s="94"/>
      <c r="R706" s="93"/>
      <c r="S706" s="85"/>
      <c r="U706" s="94"/>
      <c r="V706" s="93"/>
      <c r="W706" s="85"/>
      <c r="Y706" s="94"/>
      <c r="Z706" s="93"/>
      <c r="AA706" s="85"/>
      <c r="AC706" s="94"/>
      <c r="AD706" s="93"/>
      <c r="AE706" s="85"/>
    </row>
    <row r="707" spans="6:31" x14ac:dyDescent="0.35">
      <c r="F707" s="93"/>
      <c r="G707" s="85"/>
      <c r="H707" s="87"/>
      <c r="M707" s="94"/>
      <c r="N707" s="93"/>
      <c r="O707" s="85"/>
      <c r="Q707" s="94"/>
      <c r="R707" s="93"/>
      <c r="S707" s="85"/>
      <c r="U707" s="94"/>
      <c r="V707" s="93"/>
      <c r="W707" s="85"/>
      <c r="Y707" s="94"/>
      <c r="Z707" s="93"/>
      <c r="AA707" s="85"/>
      <c r="AC707" s="94"/>
      <c r="AD707" s="93"/>
      <c r="AE707" s="85"/>
    </row>
    <row r="708" spans="6:31" x14ac:dyDescent="0.35">
      <c r="F708" s="93"/>
      <c r="G708" s="85"/>
      <c r="H708" s="87"/>
      <c r="M708" s="94"/>
      <c r="N708" s="93"/>
      <c r="O708" s="85"/>
      <c r="Q708" s="94"/>
      <c r="R708" s="93"/>
      <c r="S708" s="85"/>
      <c r="U708" s="94"/>
      <c r="V708" s="93"/>
      <c r="W708" s="85"/>
      <c r="Y708" s="94"/>
      <c r="Z708" s="93"/>
      <c r="AA708" s="85"/>
      <c r="AC708" s="94"/>
      <c r="AD708" s="93"/>
      <c r="AE708" s="85"/>
    </row>
    <row r="709" spans="6:31" x14ac:dyDescent="0.35">
      <c r="F709" s="93"/>
      <c r="G709" s="85"/>
      <c r="H709" s="87"/>
      <c r="M709" s="94"/>
      <c r="N709" s="93"/>
      <c r="O709" s="85"/>
      <c r="Q709" s="94"/>
      <c r="R709" s="93"/>
      <c r="S709" s="85"/>
      <c r="U709" s="94"/>
      <c r="V709" s="93"/>
      <c r="W709" s="85"/>
      <c r="Y709" s="94"/>
      <c r="Z709" s="93"/>
      <c r="AA709" s="85"/>
      <c r="AC709" s="94"/>
      <c r="AD709" s="93"/>
      <c r="AE709" s="85"/>
    </row>
    <row r="710" spans="6:31" x14ac:dyDescent="0.35">
      <c r="F710" s="93"/>
      <c r="G710" s="85"/>
      <c r="H710" s="87"/>
      <c r="M710" s="94"/>
      <c r="N710" s="93"/>
      <c r="O710" s="85"/>
      <c r="Q710" s="94"/>
      <c r="R710" s="93"/>
      <c r="S710" s="85"/>
      <c r="U710" s="94"/>
      <c r="V710" s="93"/>
      <c r="W710" s="85"/>
      <c r="Y710" s="94"/>
      <c r="Z710" s="93"/>
      <c r="AA710" s="85"/>
      <c r="AC710" s="94"/>
      <c r="AD710" s="93"/>
      <c r="AE710" s="85"/>
    </row>
    <row r="711" spans="6:31" x14ac:dyDescent="0.35">
      <c r="F711" s="93"/>
      <c r="G711" s="85"/>
      <c r="H711" s="87"/>
      <c r="M711" s="94"/>
      <c r="N711" s="93"/>
      <c r="O711" s="85"/>
      <c r="Q711" s="94"/>
      <c r="R711" s="93"/>
      <c r="S711" s="85"/>
      <c r="U711" s="94"/>
      <c r="V711" s="93"/>
      <c r="W711" s="85"/>
      <c r="Y711" s="94"/>
      <c r="Z711" s="93"/>
      <c r="AA711" s="85"/>
      <c r="AC711" s="94"/>
      <c r="AD711" s="93"/>
      <c r="AE711" s="85"/>
    </row>
    <row r="712" spans="6:31" x14ac:dyDescent="0.35">
      <c r="F712" s="93"/>
      <c r="G712" s="85"/>
      <c r="H712" s="87"/>
      <c r="M712" s="94"/>
      <c r="N712" s="93"/>
      <c r="O712" s="85"/>
      <c r="Q712" s="94"/>
      <c r="R712" s="93"/>
      <c r="S712" s="85"/>
      <c r="U712" s="94"/>
      <c r="V712" s="93"/>
      <c r="W712" s="85"/>
      <c r="Y712" s="94"/>
      <c r="Z712" s="93"/>
      <c r="AA712" s="85"/>
      <c r="AC712" s="94"/>
      <c r="AD712" s="93"/>
      <c r="AE712" s="85"/>
    </row>
    <row r="713" spans="6:31" x14ac:dyDescent="0.35">
      <c r="F713" s="93"/>
      <c r="G713" s="85"/>
      <c r="H713" s="87"/>
      <c r="M713" s="94"/>
      <c r="N713" s="93"/>
      <c r="O713" s="85"/>
      <c r="Q713" s="94"/>
      <c r="R713" s="93"/>
      <c r="S713" s="85"/>
      <c r="U713" s="94"/>
      <c r="V713" s="93"/>
      <c r="W713" s="85"/>
      <c r="Y713" s="94"/>
      <c r="Z713" s="93"/>
      <c r="AA713" s="85"/>
      <c r="AC713" s="94"/>
      <c r="AD713" s="93"/>
      <c r="AE713" s="85"/>
    </row>
    <row r="714" spans="6:31" x14ac:dyDescent="0.35">
      <c r="F714" s="93"/>
      <c r="G714" s="85"/>
      <c r="H714" s="87"/>
      <c r="M714" s="94"/>
      <c r="N714" s="93"/>
      <c r="O714" s="85"/>
      <c r="Q714" s="94"/>
      <c r="R714" s="93"/>
      <c r="S714" s="85"/>
      <c r="U714" s="94"/>
      <c r="V714" s="93"/>
      <c r="W714" s="85"/>
      <c r="Y714" s="94"/>
      <c r="Z714" s="93"/>
      <c r="AA714" s="85"/>
      <c r="AC714" s="94"/>
      <c r="AD714" s="93"/>
      <c r="AE714" s="85"/>
    </row>
    <row r="715" spans="6:31" x14ac:dyDescent="0.35">
      <c r="F715" s="93"/>
      <c r="G715" s="85"/>
      <c r="H715" s="87"/>
      <c r="M715" s="94"/>
      <c r="N715" s="93"/>
      <c r="O715" s="85"/>
      <c r="Q715" s="94"/>
      <c r="R715" s="93"/>
      <c r="S715" s="85"/>
      <c r="U715" s="94"/>
      <c r="V715" s="93"/>
      <c r="W715" s="85"/>
      <c r="Y715" s="94"/>
      <c r="Z715" s="93"/>
      <c r="AA715" s="85"/>
      <c r="AC715" s="94"/>
      <c r="AD715" s="93"/>
      <c r="AE715" s="85"/>
    </row>
    <row r="716" spans="6:31" x14ac:dyDescent="0.35">
      <c r="F716" s="93"/>
      <c r="G716" s="85"/>
      <c r="H716" s="87"/>
      <c r="M716" s="94"/>
      <c r="N716" s="93"/>
      <c r="O716" s="85"/>
      <c r="Q716" s="94"/>
      <c r="R716" s="93"/>
      <c r="S716" s="85"/>
      <c r="U716" s="94"/>
      <c r="V716" s="93"/>
      <c r="W716" s="85"/>
      <c r="Y716" s="94"/>
      <c r="Z716" s="93"/>
      <c r="AA716" s="85"/>
      <c r="AC716" s="94"/>
      <c r="AD716" s="93"/>
      <c r="AE716" s="85"/>
    </row>
    <row r="717" spans="6:31" x14ac:dyDescent="0.35">
      <c r="F717" s="93"/>
      <c r="G717" s="85"/>
      <c r="H717" s="87"/>
      <c r="M717" s="94"/>
      <c r="N717" s="93"/>
      <c r="O717" s="85"/>
      <c r="Q717" s="94"/>
      <c r="R717" s="93"/>
      <c r="S717" s="85"/>
      <c r="U717" s="94"/>
      <c r="V717" s="93"/>
      <c r="W717" s="85"/>
      <c r="Y717" s="94"/>
      <c r="Z717" s="93"/>
      <c r="AA717" s="85"/>
      <c r="AC717" s="94"/>
      <c r="AD717" s="93"/>
      <c r="AE717" s="85"/>
    </row>
    <row r="718" spans="6:31" x14ac:dyDescent="0.35">
      <c r="F718" s="93"/>
      <c r="G718" s="85"/>
      <c r="H718" s="87"/>
      <c r="M718" s="94"/>
      <c r="N718" s="93"/>
      <c r="O718" s="85"/>
      <c r="Q718" s="94"/>
      <c r="R718" s="93"/>
      <c r="S718" s="85"/>
      <c r="U718" s="94"/>
      <c r="V718" s="93"/>
      <c r="W718" s="85"/>
      <c r="Y718" s="94"/>
      <c r="Z718" s="93"/>
      <c r="AA718" s="85"/>
      <c r="AC718" s="94"/>
      <c r="AD718" s="93"/>
      <c r="AE718" s="85"/>
    </row>
    <row r="719" spans="6:31" x14ac:dyDescent="0.35">
      <c r="F719" s="93"/>
      <c r="G719" s="85"/>
      <c r="H719" s="87"/>
      <c r="M719" s="94"/>
      <c r="N719" s="93"/>
      <c r="O719" s="85"/>
      <c r="Q719" s="94"/>
      <c r="R719" s="93"/>
      <c r="S719" s="85"/>
      <c r="U719" s="94"/>
      <c r="V719" s="93"/>
      <c r="W719" s="85"/>
      <c r="Y719" s="94"/>
      <c r="Z719" s="93"/>
      <c r="AA719" s="85"/>
      <c r="AC719" s="94"/>
      <c r="AD719" s="93"/>
      <c r="AE719" s="85"/>
    </row>
    <row r="720" spans="6:31" x14ac:dyDescent="0.35">
      <c r="F720" s="93"/>
      <c r="G720" s="85"/>
      <c r="H720" s="87"/>
      <c r="M720" s="94"/>
      <c r="N720" s="93"/>
      <c r="O720" s="85"/>
      <c r="Q720" s="94"/>
      <c r="R720" s="93"/>
      <c r="S720" s="85"/>
      <c r="U720" s="94"/>
      <c r="V720" s="93"/>
      <c r="W720" s="85"/>
      <c r="Y720" s="94"/>
      <c r="Z720" s="93"/>
      <c r="AA720" s="85"/>
      <c r="AC720" s="94"/>
      <c r="AD720" s="93"/>
      <c r="AE720" s="85"/>
    </row>
    <row r="721" spans="6:31" x14ac:dyDescent="0.35">
      <c r="F721" s="93"/>
      <c r="G721" s="85"/>
      <c r="H721" s="87"/>
      <c r="M721" s="94"/>
      <c r="N721" s="93"/>
      <c r="O721" s="85"/>
      <c r="Q721" s="94"/>
      <c r="R721" s="93"/>
      <c r="S721" s="85"/>
      <c r="U721" s="94"/>
      <c r="V721" s="93"/>
      <c r="W721" s="85"/>
      <c r="Y721" s="94"/>
      <c r="Z721" s="93"/>
      <c r="AA721" s="85"/>
      <c r="AC721" s="94"/>
      <c r="AD721" s="93"/>
      <c r="AE721" s="85"/>
    </row>
    <row r="722" spans="6:31" x14ac:dyDescent="0.35">
      <c r="F722" s="93"/>
      <c r="G722" s="85"/>
      <c r="H722" s="87"/>
      <c r="M722" s="94"/>
      <c r="N722" s="93"/>
      <c r="O722" s="85"/>
      <c r="Q722" s="94"/>
      <c r="R722" s="93"/>
      <c r="S722" s="85"/>
      <c r="U722" s="94"/>
      <c r="V722" s="93"/>
      <c r="W722" s="85"/>
      <c r="Y722" s="94"/>
      <c r="Z722" s="93"/>
      <c r="AA722" s="85"/>
      <c r="AC722" s="94"/>
      <c r="AD722" s="93"/>
      <c r="AE722" s="85"/>
    </row>
    <row r="723" spans="6:31" x14ac:dyDescent="0.35">
      <c r="F723" s="93"/>
      <c r="G723" s="85"/>
      <c r="H723" s="87"/>
      <c r="M723" s="94"/>
      <c r="N723" s="93"/>
      <c r="O723" s="85"/>
      <c r="Q723" s="94"/>
      <c r="R723" s="93"/>
      <c r="S723" s="85"/>
      <c r="U723" s="94"/>
      <c r="V723" s="93"/>
      <c r="W723" s="85"/>
      <c r="Y723" s="94"/>
      <c r="Z723" s="93"/>
      <c r="AA723" s="85"/>
      <c r="AC723" s="94"/>
      <c r="AD723" s="93"/>
      <c r="AE723" s="85"/>
    </row>
    <row r="724" spans="6:31" x14ac:dyDescent="0.35">
      <c r="F724" s="93"/>
      <c r="G724" s="85"/>
      <c r="H724" s="87"/>
      <c r="M724" s="94"/>
      <c r="N724" s="93"/>
      <c r="O724" s="85"/>
      <c r="Q724" s="94"/>
      <c r="R724" s="93"/>
      <c r="S724" s="85"/>
      <c r="U724" s="94"/>
      <c r="V724" s="93"/>
      <c r="W724" s="85"/>
      <c r="Y724" s="94"/>
      <c r="Z724" s="93"/>
      <c r="AA724" s="85"/>
      <c r="AC724" s="94"/>
      <c r="AD724" s="93"/>
      <c r="AE724" s="85"/>
    </row>
    <row r="725" spans="6:31" x14ac:dyDescent="0.35">
      <c r="F725" s="93"/>
      <c r="G725" s="85"/>
      <c r="H725" s="87"/>
      <c r="M725" s="94"/>
      <c r="N725" s="93"/>
      <c r="O725" s="85"/>
      <c r="Q725" s="94"/>
      <c r="R725" s="93"/>
      <c r="S725" s="85"/>
      <c r="U725" s="94"/>
      <c r="V725" s="93"/>
      <c r="W725" s="85"/>
      <c r="Y725" s="94"/>
      <c r="Z725" s="93"/>
      <c r="AA725" s="85"/>
      <c r="AC725" s="94"/>
      <c r="AD725" s="93"/>
      <c r="AE725" s="85"/>
    </row>
    <row r="726" spans="6:31" x14ac:dyDescent="0.35">
      <c r="F726" s="93"/>
      <c r="G726" s="85"/>
      <c r="H726" s="87"/>
      <c r="M726" s="94"/>
      <c r="N726" s="93"/>
      <c r="O726" s="85"/>
      <c r="Q726" s="94"/>
      <c r="R726" s="93"/>
      <c r="S726" s="85"/>
      <c r="U726" s="94"/>
      <c r="V726" s="93"/>
      <c r="W726" s="85"/>
      <c r="Y726" s="94"/>
      <c r="Z726" s="93"/>
      <c r="AA726" s="85"/>
      <c r="AC726" s="94"/>
      <c r="AD726" s="93"/>
      <c r="AE726" s="85"/>
    </row>
    <row r="727" spans="6:31" x14ac:dyDescent="0.35">
      <c r="F727" s="93"/>
      <c r="G727" s="85"/>
      <c r="H727" s="87"/>
      <c r="M727" s="94"/>
      <c r="N727" s="93"/>
      <c r="O727" s="85"/>
      <c r="Q727" s="94"/>
      <c r="R727" s="93"/>
      <c r="S727" s="85"/>
      <c r="U727" s="94"/>
      <c r="V727" s="93"/>
      <c r="W727" s="85"/>
      <c r="Y727" s="94"/>
      <c r="Z727" s="93"/>
      <c r="AA727" s="85"/>
      <c r="AC727" s="94"/>
      <c r="AD727" s="93"/>
      <c r="AE727" s="85"/>
    </row>
    <row r="728" spans="6:31" x14ac:dyDescent="0.35">
      <c r="F728" s="93"/>
      <c r="G728" s="85"/>
      <c r="H728" s="87"/>
      <c r="M728" s="94"/>
      <c r="N728" s="93"/>
      <c r="O728" s="85"/>
      <c r="Q728" s="94"/>
      <c r="R728" s="93"/>
      <c r="S728" s="85"/>
      <c r="U728" s="94"/>
      <c r="V728" s="93"/>
      <c r="W728" s="85"/>
      <c r="Y728" s="94"/>
      <c r="Z728" s="93"/>
      <c r="AA728" s="85"/>
      <c r="AC728" s="94"/>
      <c r="AD728" s="93"/>
      <c r="AE728" s="85"/>
    </row>
    <row r="729" spans="6:31" x14ac:dyDescent="0.35">
      <c r="F729" s="93"/>
      <c r="G729" s="85"/>
      <c r="H729" s="87"/>
      <c r="M729" s="94"/>
      <c r="N729" s="93"/>
      <c r="O729" s="85"/>
      <c r="Q729" s="94"/>
      <c r="R729" s="93"/>
      <c r="S729" s="85"/>
      <c r="U729" s="94"/>
      <c r="V729" s="93"/>
      <c r="W729" s="85"/>
      <c r="Y729" s="94"/>
      <c r="Z729" s="93"/>
      <c r="AA729" s="85"/>
      <c r="AC729" s="94"/>
      <c r="AD729" s="93"/>
      <c r="AE729" s="85"/>
    </row>
    <row r="730" spans="6:31" x14ac:dyDescent="0.35">
      <c r="F730" s="93"/>
      <c r="G730" s="85"/>
      <c r="H730" s="87"/>
      <c r="M730" s="94"/>
      <c r="N730" s="93"/>
      <c r="O730" s="85"/>
      <c r="Q730" s="94"/>
      <c r="R730" s="93"/>
      <c r="S730" s="85"/>
      <c r="U730" s="94"/>
      <c r="V730" s="93"/>
      <c r="W730" s="85"/>
      <c r="Y730" s="94"/>
      <c r="Z730" s="93"/>
      <c r="AA730" s="85"/>
      <c r="AC730" s="94"/>
      <c r="AD730" s="93"/>
      <c r="AE730" s="85"/>
    </row>
    <row r="731" spans="6:31" x14ac:dyDescent="0.35">
      <c r="F731" s="93"/>
      <c r="G731" s="85"/>
      <c r="H731" s="87"/>
      <c r="M731" s="94"/>
      <c r="N731" s="93"/>
      <c r="O731" s="85"/>
      <c r="Q731" s="94"/>
      <c r="R731" s="93"/>
      <c r="S731" s="85"/>
      <c r="U731" s="94"/>
      <c r="V731" s="93"/>
      <c r="W731" s="85"/>
      <c r="Y731" s="94"/>
      <c r="Z731" s="93"/>
      <c r="AA731" s="85"/>
      <c r="AC731" s="94"/>
      <c r="AD731" s="93"/>
      <c r="AE731" s="85"/>
    </row>
    <row r="732" spans="6:31" x14ac:dyDescent="0.35">
      <c r="F732" s="93"/>
      <c r="G732" s="85"/>
      <c r="H732" s="87"/>
      <c r="M732" s="94"/>
      <c r="N732" s="93"/>
      <c r="O732" s="85"/>
      <c r="Q732" s="94"/>
      <c r="R732" s="93"/>
      <c r="S732" s="85"/>
      <c r="U732" s="94"/>
      <c r="V732" s="93"/>
      <c r="W732" s="85"/>
      <c r="Y732" s="94"/>
      <c r="Z732" s="93"/>
      <c r="AA732" s="85"/>
      <c r="AC732" s="94"/>
      <c r="AD732" s="93"/>
      <c r="AE732" s="85"/>
    </row>
    <row r="733" spans="6:31" x14ac:dyDescent="0.35">
      <c r="F733" s="93"/>
      <c r="G733" s="85"/>
      <c r="H733" s="87"/>
      <c r="M733" s="94"/>
      <c r="N733" s="93"/>
      <c r="O733" s="85"/>
      <c r="Q733" s="94"/>
      <c r="R733" s="93"/>
      <c r="S733" s="85"/>
      <c r="U733" s="94"/>
      <c r="V733" s="93"/>
      <c r="W733" s="85"/>
      <c r="Y733" s="94"/>
      <c r="Z733" s="93"/>
      <c r="AA733" s="85"/>
      <c r="AC733" s="94"/>
      <c r="AD733" s="93"/>
      <c r="AE733" s="85"/>
    </row>
    <row r="734" spans="6:31" x14ac:dyDescent="0.35">
      <c r="F734" s="93"/>
      <c r="G734" s="85"/>
      <c r="H734" s="87"/>
      <c r="M734" s="94"/>
      <c r="N734" s="93"/>
      <c r="O734" s="85"/>
      <c r="Q734" s="94"/>
      <c r="R734" s="93"/>
      <c r="S734" s="85"/>
      <c r="U734" s="94"/>
      <c r="V734" s="93"/>
      <c r="W734" s="85"/>
      <c r="Y734" s="94"/>
      <c r="Z734" s="93"/>
      <c r="AA734" s="85"/>
      <c r="AC734" s="94"/>
      <c r="AD734" s="93"/>
      <c r="AE734" s="85"/>
    </row>
    <row r="735" spans="6:31" x14ac:dyDescent="0.35">
      <c r="F735" s="93"/>
      <c r="G735" s="85"/>
      <c r="H735" s="87"/>
      <c r="M735" s="94"/>
      <c r="N735" s="93"/>
      <c r="O735" s="85"/>
      <c r="Q735" s="94"/>
      <c r="R735" s="93"/>
      <c r="S735" s="85"/>
      <c r="U735" s="94"/>
      <c r="V735" s="93"/>
      <c r="W735" s="85"/>
      <c r="Y735" s="94"/>
      <c r="Z735" s="93"/>
      <c r="AA735" s="85"/>
      <c r="AC735" s="94"/>
      <c r="AD735" s="93"/>
      <c r="AE735" s="85"/>
    </row>
    <row r="736" spans="6:31" x14ac:dyDescent="0.35">
      <c r="F736" s="93"/>
      <c r="G736" s="85"/>
      <c r="H736" s="87"/>
      <c r="M736" s="94"/>
      <c r="N736" s="93"/>
      <c r="O736" s="85"/>
      <c r="Q736" s="94"/>
      <c r="R736" s="93"/>
      <c r="S736" s="85"/>
      <c r="U736" s="94"/>
      <c r="V736" s="93"/>
      <c r="W736" s="85"/>
      <c r="Y736" s="94"/>
      <c r="Z736" s="93"/>
      <c r="AA736" s="85"/>
      <c r="AC736" s="94"/>
      <c r="AD736" s="93"/>
      <c r="AE736" s="85"/>
    </row>
    <row r="737" spans="6:31" x14ac:dyDescent="0.35">
      <c r="F737" s="93"/>
      <c r="G737" s="85"/>
      <c r="H737" s="87"/>
      <c r="M737" s="94"/>
      <c r="N737" s="93"/>
      <c r="O737" s="85"/>
      <c r="Q737" s="94"/>
      <c r="R737" s="93"/>
      <c r="S737" s="85"/>
      <c r="U737" s="94"/>
      <c r="V737" s="93"/>
      <c r="W737" s="85"/>
      <c r="Y737" s="94"/>
      <c r="Z737" s="93"/>
      <c r="AA737" s="85"/>
      <c r="AC737" s="94"/>
      <c r="AD737" s="93"/>
      <c r="AE737" s="85"/>
    </row>
    <row r="738" spans="6:31" x14ac:dyDescent="0.35">
      <c r="F738" s="93"/>
      <c r="G738" s="85"/>
      <c r="H738" s="87"/>
      <c r="M738" s="94"/>
      <c r="N738" s="93"/>
      <c r="O738" s="85"/>
      <c r="Q738" s="94"/>
      <c r="R738" s="93"/>
      <c r="S738" s="85"/>
      <c r="U738" s="94"/>
      <c r="V738" s="93"/>
      <c r="W738" s="85"/>
      <c r="Y738" s="94"/>
      <c r="Z738" s="93"/>
      <c r="AA738" s="85"/>
      <c r="AC738" s="94"/>
      <c r="AD738" s="93"/>
      <c r="AE738" s="85"/>
    </row>
    <row r="739" spans="6:31" x14ac:dyDescent="0.35">
      <c r="F739" s="93"/>
      <c r="G739" s="85"/>
      <c r="H739" s="87"/>
      <c r="M739" s="94"/>
      <c r="N739" s="93"/>
      <c r="O739" s="85"/>
      <c r="Q739" s="94"/>
      <c r="R739" s="93"/>
      <c r="S739" s="85"/>
      <c r="U739" s="94"/>
      <c r="V739" s="93"/>
      <c r="W739" s="85"/>
      <c r="Y739" s="94"/>
      <c r="Z739" s="93"/>
      <c r="AA739" s="85"/>
      <c r="AC739" s="94"/>
      <c r="AD739" s="93"/>
      <c r="AE739" s="85"/>
    </row>
    <row r="740" spans="6:31" x14ac:dyDescent="0.35">
      <c r="F740" s="93"/>
      <c r="G740" s="85"/>
      <c r="H740" s="87"/>
      <c r="M740" s="94"/>
      <c r="N740" s="93"/>
      <c r="O740" s="85"/>
      <c r="Q740" s="94"/>
      <c r="R740" s="93"/>
      <c r="S740" s="85"/>
      <c r="U740" s="94"/>
      <c r="V740" s="93"/>
      <c r="W740" s="85"/>
      <c r="Y740" s="94"/>
      <c r="Z740" s="93"/>
      <c r="AA740" s="85"/>
      <c r="AC740" s="94"/>
      <c r="AD740" s="93"/>
      <c r="AE740" s="85"/>
    </row>
    <row r="741" spans="6:31" x14ac:dyDescent="0.35">
      <c r="F741" s="93"/>
      <c r="G741" s="85"/>
      <c r="H741" s="87"/>
      <c r="M741" s="94"/>
      <c r="N741" s="93"/>
      <c r="O741" s="85"/>
      <c r="Q741" s="94"/>
      <c r="R741" s="93"/>
      <c r="S741" s="85"/>
      <c r="U741" s="94"/>
      <c r="V741" s="93"/>
      <c r="W741" s="85"/>
      <c r="Y741" s="94"/>
      <c r="Z741" s="93"/>
      <c r="AA741" s="85"/>
      <c r="AC741" s="94"/>
      <c r="AD741" s="93"/>
      <c r="AE741" s="85"/>
    </row>
    <row r="742" spans="6:31" x14ac:dyDescent="0.35">
      <c r="F742" s="93"/>
      <c r="G742" s="85"/>
      <c r="H742" s="87"/>
      <c r="M742" s="94"/>
      <c r="N742" s="93"/>
      <c r="O742" s="85"/>
      <c r="Q742" s="94"/>
      <c r="R742" s="93"/>
      <c r="S742" s="85"/>
      <c r="U742" s="94"/>
      <c r="V742" s="93"/>
      <c r="W742" s="85"/>
      <c r="Y742" s="94"/>
      <c r="Z742" s="93"/>
      <c r="AA742" s="85"/>
      <c r="AC742" s="94"/>
      <c r="AD742" s="93"/>
      <c r="AE742" s="85"/>
    </row>
    <row r="743" spans="6:31" x14ac:dyDescent="0.35">
      <c r="F743" s="93"/>
      <c r="G743" s="85"/>
      <c r="H743" s="87"/>
      <c r="M743" s="94"/>
      <c r="N743" s="93"/>
      <c r="O743" s="85"/>
      <c r="Q743" s="94"/>
      <c r="R743" s="93"/>
      <c r="S743" s="85"/>
      <c r="U743" s="94"/>
      <c r="V743" s="93"/>
      <c r="W743" s="85"/>
      <c r="Y743" s="94"/>
      <c r="Z743" s="93"/>
      <c r="AA743" s="85"/>
      <c r="AC743" s="94"/>
      <c r="AD743" s="93"/>
      <c r="AE743" s="85"/>
    </row>
    <row r="744" spans="6:31" x14ac:dyDescent="0.35">
      <c r="F744" s="93"/>
      <c r="G744" s="85"/>
      <c r="H744" s="87"/>
      <c r="M744" s="94"/>
      <c r="N744" s="93"/>
      <c r="O744" s="85"/>
      <c r="Q744" s="94"/>
      <c r="R744" s="93"/>
      <c r="S744" s="85"/>
      <c r="U744" s="94"/>
      <c r="V744" s="93"/>
      <c r="W744" s="85"/>
      <c r="Y744" s="94"/>
      <c r="Z744" s="93"/>
      <c r="AA744" s="85"/>
      <c r="AC744" s="94"/>
      <c r="AD744" s="93"/>
      <c r="AE744" s="85"/>
    </row>
    <row r="745" spans="6:31" x14ac:dyDescent="0.35">
      <c r="F745" s="93"/>
      <c r="G745" s="85"/>
      <c r="H745" s="87"/>
      <c r="M745" s="94"/>
      <c r="N745" s="93"/>
      <c r="O745" s="85"/>
      <c r="Q745" s="94"/>
      <c r="R745" s="93"/>
      <c r="S745" s="85"/>
      <c r="U745" s="94"/>
      <c r="V745" s="93"/>
      <c r="W745" s="85"/>
      <c r="Y745" s="94"/>
      <c r="Z745" s="93"/>
      <c r="AA745" s="85"/>
      <c r="AC745" s="94"/>
      <c r="AD745" s="93"/>
      <c r="AE745" s="85"/>
    </row>
    <row r="746" spans="6:31" x14ac:dyDescent="0.35">
      <c r="F746" s="93"/>
      <c r="G746" s="85"/>
      <c r="H746" s="87"/>
      <c r="M746" s="94"/>
      <c r="N746" s="93"/>
      <c r="O746" s="85"/>
      <c r="Q746" s="94"/>
      <c r="R746" s="93"/>
      <c r="S746" s="85"/>
      <c r="U746" s="94"/>
      <c r="V746" s="93"/>
      <c r="W746" s="85"/>
      <c r="Y746" s="94"/>
      <c r="Z746" s="93"/>
      <c r="AA746" s="85"/>
      <c r="AC746" s="94"/>
      <c r="AD746" s="93"/>
      <c r="AE746" s="85"/>
    </row>
    <row r="747" spans="6:31" x14ac:dyDescent="0.35">
      <c r="F747" s="93"/>
      <c r="G747" s="85"/>
      <c r="H747" s="87"/>
      <c r="M747" s="94"/>
      <c r="N747" s="93"/>
      <c r="O747" s="85"/>
      <c r="Q747" s="94"/>
      <c r="R747" s="93"/>
      <c r="S747" s="85"/>
      <c r="U747" s="94"/>
      <c r="V747" s="93"/>
      <c r="W747" s="85"/>
      <c r="Y747" s="94"/>
      <c r="Z747" s="93"/>
      <c r="AA747" s="85"/>
      <c r="AC747" s="94"/>
      <c r="AD747" s="93"/>
      <c r="AE747" s="85"/>
    </row>
    <row r="748" spans="6:31" x14ac:dyDescent="0.35">
      <c r="F748" s="93"/>
      <c r="G748" s="85"/>
      <c r="H748" s="87"/>
      <c r="M748" s="94"/>
      <c r="N748" s="93"/>
      <c r="O748" s="85"/>
      <c r="Q748" s="94"/>
      <c r="R748" s="93"/>
      <c r="S748" s="85"/>
      <c r="U748" s="94"/>
      <c r="V748" s="93"/>
      <c r="W748" s="85"/>
      <c r="Y748" s="94"/>
      <c r="Z748" s="93"/>
      <c r="AA748" s="85"/>
      <c r="AC748" s="94"/>
      <c r="AD748" s="93"/>
      <c r="AE748" s="85"/>
    </row>
    <row r="749" spans="6:31" x14ac:dyDescent="0.35">
      <c r="F749" s="93"/>
      <c r="G749" s="85"/>
      <c r="H749" s="87"/>
      <c r="M749" s="94"/>
      <c r="N749" s="93"/>
      <c r="O749" s="85"/>
      <c r="Q749" s="94"/>
      <c r="R749" s="93"/>
      <c r="S749" s="85"/>
      <c r="U749" s="94"/>
      <c r="V749" s="93"/>
      <c r="W749" s="85"/>
      <c r="Y749" s="94"/>
      <c r="Z749" s="93"/>
      <c r="AA749" s="85"/>
      <c r="AC749" s="94"/>
      <c r="AD749" s="93"/>
      <c r="AE749" s="85"/>
    </row>
    <row r="750" spans="6:31" x14ac:dyDescent="0.35">
      <c r="F750" s="93"/>
      <c r="G750" s="85"/>
      <c r="H750" s="87"/>
      <c r="M750" s="94"/>
      <c r="N750" s="93"/>
      <c r="O750" s="85"/>
      <c r="Q750" s="94"/>
      <c r="R750" s="93"/>
      <c r="S750" s="85"/>
      <c r="U750" s="94"/>
      <c r="V750" s="93"/>
      <c r="W750" s="85"/>
      <c r="Y750" s="94"/>
      <c r="Z750" s="93"/>
      <c r="AA750" s="85"/>
      <c r="AC750" s="94"/>
      <c r="AD750" s="93"/>
      <c r="AE750" s="85"/>
    </row>
    <row r="751" spans="6:31" x14ac:dyDescent="0.35">
      <c r="F751" s="93"/>
      <c r="G751" s="85"/>
      <c r="H751" s="87"/>
      <c r="M751" s="94"/>
      <c r="N751" s="93"/>
      <c r="O751" s="85"/>
      <c r="Q751" s="94"/>
      <c r="R751" s="93"/>
      <c r="S751" s="85"/>
      <c r="U751" s="94"/>
      <c r="V751" s="93"/>
      <c r="W751" s="85"/>
      <c r="Y751" s="94"/>
      <c r="Z751" s="93"/>
      <c r="AA751" s="85"/>
      <c r="AC751" s="94"/>
      <c r="AD751" s="93"/>
      <c r="AE751" s="85"/>
    </row>
    <row r="752" spans="6:31" x14ac:dyDescent="0.35">
      <c r="F752" s="93"/>
      <c r="G752" s="85"/>
      <c r="H752" s="87"/>
      <c r="M752" s="94"/>
      <c r="N752" s="93"/>
      <c r="O752" s="85"/>
      <c r="Q752" s="94"/>
      <c r="R752" s="93"/>
      <c r="S752" s="85"/>
      <c r="U752" s="94"/>
      <c r="V752" s="93"/>
      <c r="W752" s="85"/>
      <c r="Y752" s="94"/>
      <c r="Z752" s="93"/>
      <c r="AA752" s="85"/>
      <c r="AC752" s="94"/>
      <c r="AD752" s="93"/>
      <c r="AE752" s="85"/>
    </row>
    <row r="753" spans="6:31" x14ac:dyDescent="0.35">
      <c r="F753" s="93"/>
      <c r="G753" s="85"/>
      <c r="H753" s="87"/>
      <c r="M753" s="94"/>
      <c r="N753" s="93"/>
      <c r="O753" s="85"/>
      <c r="Q753" s="94"/>
      <c r="R753" s="93"/>
      <c r="S753" s="85"/>
      <c r="U753" s="94"/>
      <c r="V753" s="93"/>
      <c r="W753" s="85"/>
      <c r="Y753" s="94"/>
      <c r="Z753" s="93"/>
      <c r="AA753" s="85"/>
      <c r="AC753" s="94"/>
      <c r="AD753" s="93"/>
      <c r="AE753" s="85"/>
    </row>
    <row r="754" spans="6:31" x14ac:dyDescent="0.35">
      <c r="F754" s="93"/>
      <c r="G754" s="85"/>
      <c r="H754" s="87"/>
      <c r="M754" s="94"/>
      <c r="N754" s="93"/>
      <c r="O754" s="85"/>
      <c r="Q754" s="94"/>
      <c r="R754" s="93"/>
      <c r="S754" s="85"/>
      <c r="U754" s="94"/>
      <c r="V754" s="93"/>
      <c r="W754" s="85"/>
      <c r="Y754" s="94"/>
      <c r="Z754" s="93"/>
      <c r="AA754" s="85"/>
      <c r="AC754" s="94"/>
      <c r="AD754" s="93"/>
      <c r="AE754" s="85"/>
    </row>
    <row r="755" spans="6:31" x14ac:dyDescent="0.35">
      <c r="F755" s="93"/>
      <c r="G755" s="85"/>
      <c r="H755" s="87"/>
      <c r="M755" s="94"/>
      <c r="N755" s="93"/>
      <c r="O755" s="85"/>
      <c r="Q755" s="94"/>
      <c r="R755" s="93"/>
      <c r="S755" s="85"/>
      <c r="U755" s="94"/>
      <c r="V755" s="93"/>
      <c r="W755" s="85"/>
      <c r="Y755" s="94"/>
      <c r="Z755" s="93"/>
      <c r="AA755" s="85"/>
      <c r="AC755" s="94"/>
      <c r="AD755" s="93"/>
      <c r="AE755" s="85"/>
    </row>
    <row r="756" spans="6:31" x14ac:dyDescent="0.35">
      <c r="F756" s="93"/>
      <c r="G756" s="85"/>
      <c r="H756" s="87"/>
      <c r="M756" s="94"/>
      <c r="N756" s="93"/>
      <c r="O756" s="85"/>
      <c r="Q756" s="94"/>
      <c r="R756" s="93"/>
      <c r="S756" s="85"/>
      <c r="U756" s="94"/>
      <c r="V756" s="93"/>
      <c r="W756" s="85"/>
      <c r="Y756" s="94"/>
      <c r="Z756" s="93"/>
      <c r="AA756" s="85"/>
      <c r="AC756" s="94"/>
      <c r="AD756" s="93"/>
      <c r="AE756" s="85"/>
    </row>
    <row r="757" spans="6:31" x14ac:dyDescent="0.35">
      <c r="F757" s="93"/>
      <c r="G757" s="85"/>
      <c r="H757" s="87"/>
      <c r="M757" s="94"/>
      <c r="N757" s="93"/>
      <c r="O757" s="85"/>
      <c r="Q757" s="94"/>
      <c r="R757" s="93"/>
      <c r="S757" s="85"/>
      <c r="U757" s="94"/>
      <c r="V757" s="93"/>
      <c r="W757" s="85"/>
      <c r="Y757" s="94"/>
      <c r="Z757" s="93"/>
      <c r="AA757" s="85"/>
      <c r="AC757" s="94"/>
      <c r="AD757" s="93"/>
      <c r="AE757" s="85"/>
    </row>
    <row r="758" spans="6:31" x14ac:dyDescent="0.35">
      <c r="F758" s="93"/>
      <c r="G758" s="85"/>
      <c r="H758" s="87"/>
      <c r="M758" s="94"/>
      <c r="N758" s="93"/>
      <c r="O758" s="85"/>
      <c r="Q758" s="94"/>
      <c r="R758" s="93"/>
      <c r="S758" s="85"/>
      <c r="U758" s="94"/>
      <c r="V758" s="93"/>
      <c r="W758" s="85"/>
      <c r="Y758" s="94"/>
      <c r="Z758" s="93"/>
      <c r="AA758" s="85"/>
      <c r="AC758" s="94"/>
      <c r="AD758" s="93"/>
      <c r="AE758" s="85"/>
    </row>
    <row r="759" spans="6:31" x14ac:dyDescent="0.35">
      <c r="F759" s="93"/>
      <c r="G759" s="85"/>
      <c r="H759" s="87"/>
      <c r="M759" s="94"/>
      <c r="N759" s="93"/>
      <c r="O759" s="85"/>
      <c r="Q759" s="94"/>
      <c r="R759" s="93"/>
      <c r="S759" s="85"/>
      <c r="U759" s="94"/>
      <c r="V759" s="93"/>
      <c r="W759" s="85"/>
      <c r="Y759" s="94"/>
      <c r="Z759" s="93"/>
      <c r="AA759" s="85"/>
      <c r="AC759" s="94"/>
      <c r="AD759" s="93"/>
      <c r="AE759" s="85"/>
    </row>
    <row r="760" spans="6:31" x14ac:dyDescent="0.35">
      <c r="F760" s="93"/>
      <c r="G760" s="85"/>
      <c r="H760" s="87"/>
      <c r="M760" s="94"/>
      <c r="N760" s="93"/>
      <c r="O760" s="85"/>
      <c r="Q760" s="94"/>
      <c r="R760" s="93"/>
      <c r="S760" s="85"/>
      <c r="U760" s="94"/>
      <c r="V760" s="93"/>
      <c r="W760" s="85"/>
      <c r="Y760" s="94"/>
      <c r="Z760" s="93"/>
      <c r="AA760" s="85"/>
      <c r="AC760" s="94"/>
      <c r="AD760" s="93"/>
      <c r="AE760" s="85"/>
    </row>
    <row r="761" spans="6:31" x14ac:dyDescent="0.35">
      <c r="F761" s="93"/>
      <c r="G761" s="85"/>
      <c r="H761" s="87"/>
      <c r="M761" s="94"/>
      <c r="N761" s="93"/>
      <c r="O761" s="85"/>
      <c r="Q761" s="94"/>
      <c r="R761" s="93"/>
      <c r="S761" s="85"/>
      <c r="U761" s="94"/>
      <c r="V761" s="93"/>
      <c r="W761" s="85"/>
      <c r="Y761" s="94"/>
      <c r="Z761" s="93"/>
      <c r="AA761" s="85"/>
      <c r="AC761" s="94"/>
      <c r="AD761" s="93"/>
      <c r="AE761" s="85"/>
    </row>
    <row r="762" spans="6:31" x14ac:dyDescent="0.35">
      <c r="F762" s="93"/>
      <c r="G762" s="85"/>
      <c r="H762" s="87"/>
      <c r="M762" s="94"/>
      <c r="N762" s="93"/>
      <c r="O762" s="85"/>
      <c r="Q762" s="94"/>
      <c r="R762" s="93"/>
      <c r="S762" s="85"/>
      <c r="U762" s="94"/>
      <c r="V762" s="93"/>
      <c r="W762" s="85"/>
      <c r="Y762" s="94"/>
      <c r="Z762" s="93"/>
      <c r="AA762" s="85"/>
      <c r="AC762" s="94"/>
      <c r="AD762" s="93"/>
      <c r="AE762" s="85"/>
    </row>
    <row r="763" spans="6:31" x14ac:dyDescent="0.35">
      <c r="F763" s="93"/>
      <c r="G763" s="85"/>
      <c r="H763" s="87"/>
      <c r="M763" s="94"/>
      <c r="N763" s="93"/>
      <c r="O763" s="85"/>
      <c r="Q763" s="94"/>
      <c r="R763" s="93"/>
      <c r="S763" s="85"/>
      <c r="U763" s="94"/>
      <c r="V763" s="93"/>
      <c r="W763" s="85"/>
      <c r="Y763" s="94"/>
      <c r="Z763" s="93"/>
      <c r="AA763" s="85"/>
      <c r="AC763" s="94"/>
      <c r="AD763" s="93"/>
      <c r="AE763" s="85"/>
    </row>
    <row r="764" spans="6:31" x14ac:dyDescent="0.35">
      <c r="F764" s="93"/>
      <c r="G764" s="85"/>
      <c r="H764" s="87"/>
      <c r="M764" s="94"/>
      <c r="N764" s="93"/>
      <c r="O764" s="85"/>
      <c r="Q764" s="94"/>
      <c r="R764" s="93"/>
      <c r="S764" s="85"/>
      <c r="U764" s="94"/>
      <c r="V764" s="93"/>
      <c r="W764" s="85"/>
      <c r="Y764" s="94"/>
      <c r="Z764" s="93"/>
      <c r="AA764" s="85"/>
      <c r="AC764" s="94"/>
      <c r="AD764" s="93"/>
      <c r="AE764" s="85"/>
    </row>
    <row r="765" spans="6:31" x14ac:dyDescent="0.35">
      <c r="F765" s="93"/>
      <c r="G765" s="85"/>
      <c r="H765" s="87"/>
      <c r="M765" s="94"/>
      <c r="N765" s="93"/>
      <c r="O765" s="85"/>
      <c r="Q765" s="94"/>
      <c r="R765" s="93"/>
      <c r="S765" s="85"/>
      <c r="U765" s="94"/>
      <c r="V765" s="93"/>
      <c r="W765" s="85"/>
      <c r="Y765" s="94"/>
      <c r="Z765" s="93"/>
      <c r="AA765" s="85"/>
      <c r="AC765" s="94"/>
      <c r="AD765" s="93"/>
      <c r="AE765" s="85"/>
    </row>
    <row r="766" spans="6:31" x14ac:dyDescent="0.35">
      <c r="F766" s="93"/>
      <c r="G766" s="85"/>
      <c r="H766" s="87"/>
      <c r="M766" s="94"/>
      <c r="N766" s="93"/>
      <c r="O766" s="85"/>
      <c r="Q766" s="94"/>
      <c r="R766" s="93"/>
      <c r="S766" s="85"/>
      <c r="U766" s="94"/>
      <c r="V766" s="93"/>
      <c r="W766" s="85"/>
      <c r="Y766" s="94"/>
      <c r="Z766" s="93"/>
      <c r="AA766" s="85"/>
      <c r="AC766" s="94"/>
      <c r="AD766" s="93"/>
      <c r="AE766" s="85"/>
    </row>
    <row r="767" spans="6:31" x14ac:dyDescent="0.35">
      <c r="F767" s="93"/>
      <c r="G767" s="85"/>
      <c r="H767" s="87"/>
      <c r="M767" s="94"/>
      <c r="N767" s="93"/>
      <c r="O767" s="85"/>
      <c r="Q767" s="94"/>
      <c r="R767" s="93"/>
      <c r="S767" s="85"/>
      <c r="U767" s="94"/>
      <c r="V767" s="93"/>
      <c r="W767" s="85"/>
      <c r="Y767" s="94"/>
      <c r="Z767" s="93"/>
      <c r="AA767" s="85"/>
      <c r="AC767" s="94"/>
      <c r="AD767" s="93"/>
      <c r="AE767" s="85"/>
    </row>
    <row r="768" spans="6:31" x14ac:dyDescent="0.35">
      <c r="F768" s="93"/>
      <c r="G768" s="85"/>
      <c r="H768" s="87"/>
      <c r="M768" s="94"/>
      <c r="N768" s="93"/>
      <c r="O768" s="85"/>
      <c r="Q768" s="94"/>
      <c r="R768" s="93"/>
      <c r="S768" s="85"/>
      <c r="U768" s="94"/>
      <c r="V768" s="93"/>
      <c r="W768" s="85"/>
      <c r="Y768" s="94"/>
      <c r="Z768" s="93"/>
      <c r="AA768" s="85"/>
      <c r="AC768" s="94"/>
      <c r="AD768" s="93"/>
      <c r="AE768" s="85"/>
    </row>
    <row r="769" spans="6:31" x14ac:dyDescent="0.35">
      <c r="F769" s="93"/>
      <c r="G769" s="85"/>
      <c r="H769" s="87"/>
      <c r="M769" s="94"/>
      <c r="N769" s="93"/>
      <c r="O769" s="85"/>
      <c r="Q769" s="94"/>
      <c r="R769" s="93"/>
      <c r="S769" s="85"/>
      <c r="U769" s="94"/>
      <c r="V769" s="93"/>
      <c r="W769" s="85"/>
      <c r="Y769" s="94"/>
      <c r="Z769" s="93"/>
      <c r="AA769" s="85"/>
      <c r="AC769" s="94"/>
      <c r="AD769" s="93"/>
      <c r="AE769" s="85"/>
    </row>
    <row r="770" spans="6:31" x14ac:dyDescent="0.35">
      <c r="F770" s="93"/>
      <c r="G770" s="85"/>
      <c r="H770" s="87"/>
      <c r="M770" s="94"/>
      <c r="N770" s="93"/>
      <c r="O770" s="85"/>
      <c r="Q770" s="94"/>
      <c r="R770" s="93"/>
      <c r="S770" s="85"/>
      <c r="U770" s="94"/>
      <c r="V770" s="93"/>
      <c r="W770" s="85"/>
      <c r="Y770" s="94"/>
      <c r="Z770" s="93"/>
      <c r="AA770" s="85"/>
      <c r="AC770" s="94"/>
      <c r="AD770" s="93"/>
      <c r="AE770" s="85"/>
    </row>
    <row r="771" spans="6:31" x14ac:dyDescent="0.35">
      <c r="F771" s="93"/>
      <c r="G771" s="85"/>
      <c r="H771" s="87"/>
      <c r="M771" s="94"/>
      <c r="N771" s="93"/>
      <c r="O771" s="85"/>
      <c r="Q771" s="94"/>
      <c r="R771" s="93"/>
      <c r="S771" s="85"/>
      <c r="U771" s="94"/>
      <c r="V771" s="93"/>
      <c r="W771" s="85"/>
      <c r="Y771" s="94"/>
      <c r="Z771" s="93"/>
      <c r="AA771" s="85"/>
      <c r="AC771" s="94"/>
      <c r="AD771" s="93"/>
      <c r="AE771" s="85"/>
    </row>
    <row r="772" spans="6:31" x14ac:dyDescent="0.35">
      <c r="F772" s="93"/>
      <c r="G772" s="85"/>
      <c r="H772" s="87"/>
      <c r="M772" s="94"/>
      <c r="N772" s="93"/>
      <c r="O772" s="85"/>
      <c r="Q772" s="94"/>
      <c r="R772" s="93"/>
      <c r="S772" s="85"/>
      <c r="U772" s="94"/>
      <c r="V772" s="93"/>
      <c r="W772" s="85"/>
      <c r="Y772" s="94"/>
      <c r="Z772" s="93"/>
      <c r="AA772" s="85"/>
      <c r="AC772" s="94"/>
      <c r="AD772" s="93"/>
      <c r="AE772" s="85"/>
    </row>
    <row r="773" spans="6:31" x14ac:dyDescent="0.35">
      <c r="F773" s="93"/>
      <c r="G773" s="85"/>
      <c r="H773" s="87"/>
      <c r="M773" s="94"/>
      <c r="N773" s="93"/>
      <c r="O773" s="85"/>
      <c r="Q773" s="94"/>
      <c r="R773" s="93"/>
      <c r="S773" s="85"/>
      <c r="U773" s="94"/>
      <c r="V773" s="93"/>
      <c r="W773" s="85"/>
      <c r="Y773" s="94"/>
      <c r="Z773" s="93"/>
      <c r="AA773" s="85"/>
      <c r="AC773" s="94"/>
      <c r="AD773" s="93"/>
      <c r="AE773" s="85"/>
    </row>
    <row r="774" spans="6:31" x14ac:dyDescent="0.35">
      <c r="F774" s="93"/>
      <c r="G774" s="85"/>
      <c r="H774" s="87"/>
      <c r="M774" s="94"/>
      <c r="N774" s="93"/>
      <c r="O774" s="85"/>
      <c r="Q774" s="94"/>
      <c r="R774" s="93"/>
      <c r="S774" s="85"/>
      <c r="U774" s="94"/>
      <c r="V774" s="93"/>
      <c r="W774" s="85"/>
      <c r="Y774" s="94"/>
      <c r="Z774" s="93"/>
      <c r="AA774" s="85"/>
      <c r="AC774" s="94"/>
      <c r="AD774" s="93"/>
      <c r="AE774" s="85"/>
    </row>
    <row r="775" spans="6:31" x14ac:dyDescent="0.35">
      <c r="F775" s="93"/>
      <c r="G775" s="85"/>
      <c r="H775" s="87"/>
      <c r="M775" s="94"/>
      <c r="N775" s="93"/>
      <c r="O775" s="85"/>
      <c r="Q775" s="94"/>
      <c r="R775" s="93"/>
      <c r="S775" s="85"/>
      <c r="U775" s="94"/>
      <c r="V775" s="93"/>
      <c r="W775" s="85"/>
      <c r="Y775" s="94"/>
      <c r="Z775" s="93"/>
      <c r="AA775" s="85"/>
      <c r="AC775" s="94"/>
      <c r="AD775" s="93"/>
      <c r="AE775" s="85"/>
    </row>
    <row r="776" spans="6:31" x14ac:dyDescent="0.35">
      <c r="F776" s="93"/>
      <c r="G776" s="85"/>
      <c r="H776" s="87"/>
      <c r="M776" s="94"/>
      <c r="N776" s="93"/>
      <c r="O776" s="85"/>
      <c r="Q776" s="94"/>
      <c r="R776" s="93"/>
      <c r="S776" s="85"/>
      <c r="U776" s="94"/>
      <c r="V776" s="93"/>
      <c r="W776" s="85"/>
      <c r="Y776" s="94"/>
      <c r="Z776" s="93"/>
      <c r="AA776" s="85"/>
      <c r="AC776" s="94"/>
      <c r="AD776" s="93"/>
      <c r="AE776" s="85"/>
    </row>
    <row r="777" spans="6:31" x14ac:dyDescent="0.35">
      <c r="F777" s="93"/>
      <c r="G777" s="85"/>
      <c r="H777" s="87"/>
      <c r="M777" s="94"/>
      <c r="N777" s="93"/>
      <c r="O777" s="85"/>
      <c r="Q777" s="94"/>
      <c r="R777" s="93"/>
      <c r="S777" s="85"/>
      <c r="U777" s="94"/>
      <c r="V777" s="93"/>
      <c r="W777" s="85"/>
      <c r="Y777" s="94"/>
      <c r="Z777" s="93"/>
      <c r="AA777" s="85"/>
      <c r="AC777" s="94"/>
      <c r="AD777" s="93"/>
      <c r="AE777" s="85"/>
    </row>
    <row r="778" spans="6:31" x14ac:dyDescent="0.35">
      <c r="F778" s="93"/>
      <c r="G778" s="85"/>
      <c r="H778" s="87"/>
      <c r="M778" s="94"/>
      <c r="N778" s="93"/>
      <c r="O778" s="85"/>
      <c r="Q778" s="94"/>
      <c r="R778" s="93"/>
      <c r="S778" s="85"/>
      <c r="U778" s="94"/>
      <c r="V778" s="93"/>
      <c r="W778" s="85"/>
      <c r="Y778" s="94"/>
      <c r="Z778" s="93"/>
      <c r="AA778" s="85"/>
      <c r="AC778" s="94"/>
      <c r="AD778" s="93"/>
      <c r="AE778" s="85"/>
    </row>
    <row r="779" spans="6:31" x14ac:dyDescent="0.35">
      <c r="F779" s="93"/>
      <c r="G779" s="85"/>
      <c r="H779" s="87"/>
      <c r="M779" s="94"/>
      <c r="N779" s="93"/>
      <c r="O779" s="85"/>
      <c r="Q779" s="94"/>
      <c r="R779" s="93"/>
      <c r="S779" s="85"/>
      <c r="U779" s="94"/>
      <c r="V779" s="93"/>
      <c r="W779" s="85"/>
      <c r="Y779" s="94"/>
      <c r="Z779" s="93"/>
      <c r="AA779" s="85"/>
      <c r="AC779" s="94"/>
      <c r="AD779" s="93"/>
      <c r="AE779" s="85"/>
    </row>
    <row r="780" spans="6:31" x14ac:dyDescent="0.35">
      <c r="F780" s="93"/>
      <c r="G780" s="85"/>
      <c r="H780" s="87"/>
      <c r="M780" s="94"/>
      <c r="N780" s="93"/>
      <c r="O780" s="85"/>
      <c r="Q780" s="94"/>
      <c r="R780" s="93"/>
      <c r="S780" s="85"/>
      <c r="U780" s="94"/>
      <c r="V780" s="93"/>
      <c r="W780" s="85"/>
      <c r="Y780" s="94"/>
      <c r="Z780" s="93"/>
      <c r="AA780" s="85"/>
      <c r="AC780" s="94"/>
      <c r="AD780" s="93"/>
      <c r="AE780" s="85"/>
    </row>
    <row r="781" spans="6:31" x14ac:dyDescent="0.35">
      <c r="F781" s="93"/>
      <c r="G781" s="85"/>
      <c r="H781" s="87"/>
      <c r="M781" s="94"/>
      <c r="N781" s="93"/>
      <c r="O781" s="85"/>
      <c r="Q781" s="94"/>
      <c r="R781" s="93"/>
      <c r="S781" s="85"/>
      <c r="U781" s="94"/>
      <c r="V781" s="93"/>
      <c r="W781" s="85"/>
      <c r="Y781" s="94"/>
      <c r="Z781" s="93"/>
      <c r="AA781" s="85"/>
      <c r="AC781" s="94"/>
      <c r="AD781" s="93"/>
      <c r="AE781" s="85"/>
    </row>
    <row r="782" spans="6:31" x14ac:dyDescent="0.35">
      <c r="F782" s="93"/>
      <c r="G782" s="85"/>
      <c r="H782" s="87"/>
      <c r="M782" s="94"/>
      <c r="N782" s="93"/>
      <c r="O782" s="85"/>
      <c r="Q782" s="94"/>
      <c r="R782" s="93"/>
      <c r="S782" s="85"/>
      <c r="U782" s="94"/>
      <c r="V782" s="93"/>
      <c r="W782" s="85"/>
      <c r="Y782" s="94"/>
      <c r="Z782" s="93"/>
      <c r="AA782" s="85"/>
      <c r="AC782" s="94"/>
      <c r="AD782" s="93"/>
      <c r="AE782" s="85"/>
    </row>
    <row r="783" spans="6:31" x14ac:dyDescent="0.35">
      <c r="F783" s="93"/>
      <c r="G783" s="85"/>
      <c r="H783" s="87"/>
      <c r="M783" s="94"/>
      <c r="N783" s="93"/>
      <c r="O783" s="85"/>
      <c r="Q783" s="94"/>
      <c r="R783" s="93"/>
      <c r="S783" s="85"/>
      <c r="U783" s="94"/>
      <c r="V783" s="93"/>
      <c r="W783" s="85"/>
      <c r="Y783" s="94"/>
      <c r="Z783" s="93"/>
      <c r="AA783" s="85"/>
      <c r="AC783" s="94"/>
      <c r="AD783" s="93"/>
      <c r="AE783" s="85"/>
    </row>
    <row r="784" spans="6:31" x14ac:dyDescent="0.35">
      <c r="F784" s="93"/>
      <c r="G784" s="85"/>
      <c r="H784" s="87"/>
      <c r="M784" s="94"/>
      <c r="N784" s="93"/>
      <c r="O784" s="85"/>
      <c r="Q784" s="94"/>
      <c r="R784" s="93"/>
      <c r="S784" s="85"/>
      <c r="U784" s="94"/>
      <c r="V784" s="93"/>
      <c r="W784" s="85"/>
      <c r="Y784" s="94"/>
      <c r="Z784" s="93"/>
      <c r="AA784" s="85"/>
      <c r="AC784" s="94"/>
      <c r="AD784" s="93"/>
      <c r="AE784" s="85"/>
    </row>
    <row r="785" spans="6:31" x14ac:dyDescent="0.35">
      <c r="F785" s="93"/>
      <c r="G785" s="85"/>
      <c r="H785" s="87"/>
      <c r="M785" s="94"/>
      <c r="N785" s="93"/>
      <c r="O785" s="85"/>
      <c r="Q785" s="94"/>
      <c r="R785" s="93"/>
      <c r="S785" s="85"/>
      <c r="U785" s="94"/>
      <c r="V785" s="93"/>
      <c r="W785" s="85"/>
      <c r="Y785" s="94"/>
      <c r="Z785" s="93"/>
      <c r="AA785" s="85"/>
      <c r="AC785" s="94"/>
      <c r="AD785" s="93"/>
      <c r="AE785" s="85"/>
    </row>
    <row r="786" spans="6:31" x14ac:dyDescent="0.35">
      <c r="F786" s="93"/>
      <c r="G786" s="85"/>
      <c r="H786" s="87"/>
      <c r="M786" s="94"/>
      <c r="N786" s="93"/>
      <c r="O786" s="85"/>
      <c r="Q786" s="94"/>
      <c r="R786" s="93"/>
      <c r="S786" s="85"/>
      <c r="U786" s="94"/>
      <c r="V786" s="93"/>
      <c r="W786" s="85"/>
      <c r="Y786" s="94"/>
      <c r="Z786" s="93"/>
      <c r="AA786" s="85"/>
      <c r="AC786" s="94"/>
      <c r="AD786" s="93"/>
      <c r="AE786" s="85"/>
    </row>
    <row r="787" spans="6:31" x14ac:dyDescent="0.35">
      <c r="F787" s="93"/>
      <c r="G787" s="85"/>
      <c r="H787" s="87"/>
      <c r="M787" s="94"/>
      <c r="N787" s="93"/>
      <c r="O787" s="85"/>
      <c r="Q787" s="94"/>
      <c r="R787" s="93"/>
      <c r="S787" s="85"/>
      <c r="U787" s="94"/>
      <c r="V787" s="93"/>
      <c r="W787" s="85"/>
      <c r="Y787" s="94"/>
      <c r="Z787" s="93"/>
      <c r="AA787" s="85"/>
      <c r="AC787" s="94"/>
      <c r="AD787" s="93"/>
      <c r="AE787" s="85"/>
    </row>
    <row r="788" spans="6:31" x14ac:dyDescent="0.35">
      <c r="F788" s="93"/>
      <c r="G788" s="85"/>
      <c r="H788" s="87"/>
      <c r="M788" s="94"/>
      <c r="N788" s="93"/>
      <c r="O788" s="85"/>
      <c r="Q788" s="94"/>
      <c r="R788" s="93"/>
      <c r="S788" s="85"/>
      <c r="U788" s="94"/>
      <c r="V788" s="93"/>
      <c r="W788" s="85"/>
      <c r="Y788" s="94"/>
      <c r="Z788" s="93"/>
      <c r="AA788" s="85"/>
      <c r="AC788" s="94"/>
      <c r="AD788" s="93"/>
      <c r="AE788" s="85"/>
    </row>
    <row r="789" spans="6:31" x14ac:dyDescent="0.35">
      <c r="F789" s="93"/>
      <c r="G789" s="85"/>
      <c r="H789" s="87"/>
      <c r="M789" s="94"/>
      <c r="N789" s="93"/>
      <c r="O789" s="85"/>
      <c r="Q789" s="94"/>
      <c r="R789" s="93"/>
      <c r="S789" s="85"/>
      <c r="U789" s="94"/>
      <c r="V789" s="93"/>
      <c r="W789" s="85"/>
      <c r="Y789" s="94"/>
      <c r="Z789" s="93"/>
      <c r="AA789" s="85"/>
      <c r="AC789" s="94"/>
      <c r="AD789" s="93"/>
      <c r="AE789" s="85"/>
    </row>
    <row r="790" spans="6:31" x14ac:dyDescent="0.35">
      <c r="F790" s="93"/>
      <c r="G790" s="85"/>
      <c r="H790" s="87"/>
      <c r="M790" s="94"/>
      <c r="N790" s="93"/>
      <c r="O790" s="85"/>
      <c r="Q790" s="94"/>
      <c r="R790" s="93"/>
      <c r="S790" s="85"/>
      <c r="U790" s="94"/>
      <c r="V790" s="93"/>
      <c r="W790" s="85"/>
      <c r="Y790" s="94"/>
      <c r="Z790" s="93"/>
      <c r="AA790" s="85"/>
      <c r="AC790" s="94"/>
      <c r="AD790" s="93"/>
      <c r="AE790" s="85"/>
    </row>
    <row r="791" spans="6:31" x14ac:dyDescent="0.35">
      <c r="F791" s="93"/>
      <c r="G791" s="85"/>
      <c r="H791" s="87"/>
      <c r="M791" s="94"/>
      <c r="N791" s="93"/>
      <c r="O791" s="85"/>
      <c r="Q791" s="94"/>
      <c r="R791" s="93"/>
      <c r="S791" s="85"/>
      <c r="U791" s="94"/>
      <c r="V791" s="93"/>
      <c r="W791" s="85"/>
      <c r="Y791" s="94"/>
      <c r="Z791" s="93"/>
      <c r="AA791" s="85"/>
      <c r="AC791" s="94"/>
      <c r="AD791" s="93"/>
      <c r="AE791" s="85"/>
    </row>
    <row r="792" spans="6:31" x14ac:dyDescent="0.35">
      <c r="F792" s="93"/>
      <c r="G792" s="85"/>
      <c r="H792" s="87"/>
      <c r="M792" s="94"/>
      <c r="N792" s="93"/>
      <c r="O792" s="85"/>
      <c r="Q792" s="94"/>
      <c r="R792" s="93"/>
      <c r="S792" s="85"/>
      <c r="U792" s="94"/>
      <c r="V792" s="93"/>
      <c r="W792" s="85"/>
      <c r="Y792" s="94"/>
      <c r="Z792" s="93"/>
      <c r="AA792" s="85"/>
      <c r="AC792" s="94"/>
      <c r="AD792" s="93"/>
      <c r="AE792" s="85"/>
    </row>
    <row r="793" spans="6:31" x14ac:dyDescent="0.35">
      <c r="F793" s="93"/>
      <c r="G793" s="85"/>
      <c r="H793" s="87"/>
      <c r="M793" s="94"/>
      <c r="N793" s="93"/>
      <c r="O793" s="85"/>
      <c r="Q793" s="94"/>
      <c r="R793" s="93"/>
      <c r="S793" s="85"/>
      <c r="U793" s="94"/>
      <c r="V793" s="93"/>
      <c r="W793" s="85"/>
      <c r="Y793" s="94"/>
      <c r="Z793" s="93"/>
      <c r="AA793" s="85"/>
      <c r="AC793" s="94"/>
      <c r="AD793" s="93"/>
      <c r="AE793" s="85"/>
    </row>
    <row r="794" spans="6:31" x14ac:dyDescent="0.35">
      <c r="F794" s="93"/>
      <c r="G794" s="85"/>
      <c r="H794" s="87"/>
      <c r="M794" s="94"/>
      <c r="N794" s="93"/>
      <c r="O794" s="85"/>
      <c r="Q794" s="94"/>
      <c r="R794" s="93"/>
      <c r="S794" s="85"/>
      <c r="U794" s="94"/>
      <c r="V794" s="93"/>
      <c r="W794" s="85"/>
      <c r="Y794" s="94"/>
      <c r="Z794" s="93"/>
      <c r="AA794" s="85"/>
      <c r="AC794" s="94"/>
      <c r="AD794" s="93"/>
      <c r="AE794" s="85"/>
    </row>
    <row r="795" spans="6:31" x14ac:dyDescent="0.35">
      <c r="F795" s="93"/>
      <c r="G795" s="85"/>
      <c r="H795" s="87"/>
      <c r="M795" s="94"/>
      <c r="N795" s="93"/>
      <c r="O795" s="85"/>
      <c r="Q795" s="94"/>
      <c r="R795" s="93"/>
      <c r="S795" s="85"/>
      <c r="U795" s="94"/>
      <c r="V795" s="93"/>
      <c r="W795" s="85"/>
      <c r="Y795" s="94"/>
      <c r="Z795" s="93"/>
      <c r="AA795" s="85"/>
      <c r="AC795" s="94"/>
      <c r="AD795" s="93"/>
      <c r="AE795" s="85"/>
    </row>
    <row r="796" spans="6:31" x14ac:dyDescent="0.35">
      <c r="F796" s="93"/>
      <c r="G796" s="85"/>
      <c r="H796" s="87"/>
      <c r="M796" s="94"/>
      <c r="N796" s="93"/>
      <c r="O796" s="85"/>
      <c r="Q796" s="94"/>
      <c r="R796" s="93"/>
      <c r="S796" s="85"/>
      <c r="U796" s="94"/>
      <c r="V796" s="93"/>
      <c r="W796" s="85"/>
      <c r="Y796" s="94"/>
      <c r="Z796" s="93"/>
      <c r="AA796" s="85"/>
      <c r="AC796" s="94"/>
      <c r="AD796" s="93"/>
      <c r="AE796" s="85"/>
    </row>
    <row r="797" spans="6:31" x14ac:dyDescent="0.35">
      <c r="F797" s="93"/>
      <c r="G797" s="85"/>
      <c r="H797" s="87"/>
      <c r="M797" s="94"/>
      <c r="N797" s="93"/>
      <c r="O797" s="85"/>
      <c r="Q797" s="94"/>
      <c r="R797" s="93"/>
      <c r="S797" s="85"/>
      <c r="U797" s="94"/>
      <c r="V797" s="93"/>
      <c r="W797" s="85"/>
      <c r="Y797" s="94"/>
      <c r="Z797" s="93"/>
      <c r="AA797" s="85"/>
      <c r="AC797" s="94"/>
      <c r="AD797" s="93"/>
      <c r="AE797" s="85"/>
    </row>
    <row r="798" spans="6:31" x14ac:dyDescent="0.35">
      <c r="F798" s="93"/>
      <c r="G798" s="85"/>
      <c r="H798" s="87"/>
      <c r="M798" s="94"/>
      <c r="N798" s="93"/>
      <c r="O798" s="85"/>
      <c r="Q798" s="94"/>
      <c r="R798" s="93"/>
      <c r="S798" s="85"/>
      <c r="U798" s="94"/>
      <c r="V798" s="93"/>
      <c r="W798" s="85"/>
      <c r="Y798" s="94"/>
      <c r="Z798" s="93"/>
      <c r="AA798" s="85"/>
      <c r="AC798" s="94"/>
      <c r="AD798" s="93"/>
      <c r="AE798" s="85"/>
    </row>
    <row r="799" spans="6:31" x14ac:dyDescent="0.35">
      <c r="F799" s="93"/>
      <c r="G799" s="85"/>
      <c r="H799" s="87"/>
      <c r="M799" s="94"/>
      <c r="N799" s="93"/>
      <c r="O799" s="85"/>
      <c r="Q799" s="94"/>
      <c r="R799" s="93"/>
      <c r="S799" s="85"/>
      <c r="U799" s="94"/>
      <c r="V799" s="93"/>
      <c r="W799" s="85"/>
      <c r="Y799" s="94"/>
      <c r="Z799" s="93"/>
      <c r="AA799" s="85"/>
      <c r="AC799" s="94"/>
      <c r="AD799" s="93"/>
      <c r="AE799" s="85"/>
    </row>
    <row r="800" spans="6:31" x14ac:dyDescent="0.35">
      <c r="F800" s="93"/>
      <c r="G800" s="85"/>
      <c r="H800" s="87"/>
      <c r="M800" s="94"/>
      <c r="N800" s="93"/>
      <c r="O800" s="85"/>
      <c r="Q800" s="94"/>
      <c r="R800" s="93"/>
      <c r="S800" s="85"/>
      <c r="U800" s="94"/>
      <c r="V800" s="93"/>
      <c r="W800" s="85"/>
      <c r="Y800" s="94"/>
      <c r="Z800" s="93"/>
      <c r="AA800" s="85"/>
      <c r="AC800" s="94"/>
      <c r="AD800" s="93"/>
      <c r="AE800" s="85"/>
    </row>
    <row r="801" spans="6:31" x14ac:dyDescent="0.35">
      <c r="F801" s="93"/>
      <c r="G801" s="85"/>
      <c r="H801" s="87"/>
      <c r="M801" s="94"/>
      <c r="N801" s="93"/>
      <c r="O801" s="85"/>
      <c r="Q801" s="94"/>
      <c r="R801" s="93"/>
      <c r="S801" s="85"/>
      <c r="U801" s="94"/>
      <c r="V801" s="93"/>
      <c r="W801" s="85"/>
      <c r="Y801" s="94"/>
      <c r="Z801" s="93"/>
      <c r="AA801" s="85"/>
      <c r="AC801" s="94"/>
      <c r="AD801" s="93"/>
      <c r="AE801" s="85"/>
    </row>
    <row r="802" spans="6:31" x14ac:dyDescent="0.35">
      <c r="F802" s="93"/>
      <c r="G802" s="85"/>
      <c r="H802" s="87"/>
      <c r="M802" s="94"/>
      <c r="N802" s="93"/>
      <c r="O802" s="85"/>
      <c r="Q802" s="94"/>
      <c r="R802" s="93"/>
      <c r="S802" s="85"/>
      <c r="U802" s="94"/>
      <c r="V802" s="93"/>
      <c r="W802" s="85"/>
      <c r="Y802" s="94"/>
      <c r="Z802" s="93"/>
      <c r="AA802" s="85"/>
      <c r="AC802" s="94"/>
      <c r="AD802" s="93"/>
      <c r="AE802" s="85"/>
    </row>
    <row r="803" spans="6:31" x14ac:dyDescent="0.35">
      <c r="F803" s="93"/>
      <c r="G803" s="85"/>
      <c r="H803" s="87"/>
      <c r="M803" s="94"/>
      <c r="N803" s="93"/>
      <c r="O803" s="85"/>
      <c r="Q803" s="94"/>
      <c r="R803" s="93"/>
      <c r="S803" s="85"/>
      <c r="U803" s="94"/>
      <c r="V803" s="93"/>
      <c r="W803" s="85"/>
      <c r="Y803" s="94"/>
      <c r="Z803" s="93"/>
      <c r="AA803" s="85"/>
      <c r="AC803" s="94"/>
      <c r="AD803" s="93"/>
      <c r="AE803" s="85"/>
    </row>
    <row r="804" spans="6:31" x14ac:dyDescent="0.35">
      <c r="F804" s="93"/>
      <c r="G804" s="85"/>
      <c r="H804" s="87"/>
      <c r="M804" s="94"/>
      <c r="N804" s="93"/>
      <c r="O804" s="85"/>
      <c r="Q804" s="94"/>
      <c r="R804" s="93"/>
      <c r="S804" s="85"/>
      <c r="U804" s="94"/>
      <c r="V804" s="93"/>
      <c r="W804" s="85"/>
      <c r="Y804" s="94"/>
      <c r="Z804" s="93"/>
      <c r="AA804" s="85"/>
      <c r="AC804" s="94"/>
      <c r="AD804" s="93"/>
      <c r="AE804" s="85"/>
    </row>
    <row r="805" spans="6:31" x14ac:dyDescent="0.35">
      <c r="F805" s="93"/>
      <c r="G805" s="85"/>
      <c r="H805" s="87"/>
      <c r="M805" s="94"/>
      <c r="N805" s="93"/>
      <c r="O805" s="85"/>
      <c r="Q805" s="94"/>
      <c r="R805" s="93"/>
      <c r="S805" s="85"/>
      <c r="U805" s="94"/>
      <c r="V805" s="93"/>
      <c r="W805" s="85"/>
      <c r="Y805" s="94"/>
      <c r="Z805" s="93"/>
      <c r="AA805" s="85"/>
      <c r="AC805" s="94"/>
      <c r="AD805" s="93"/>
      <c r="AE805" s="85"/>
    </row>
    <row r="806" spans="6:31" x14ac:dyDescent="0.35">
      <c r="F806" s="93"/>
      <c r="G806" s="85"/>
      <c r="H806" s="87"/>
      <c r="M806" s="94"/>
      <c r="N806" s="93"/>
      <c r="O806" s="85"/>
      <c r="Q806" s="94"/>
      <c r="R806" s="93"/>
      <c r="S806" s="85"/>
      <c r="U806" s="94"/>
      <c r="V806" s="93"/>
      <c r="W806" s="85"/>
      <c r="Y806" s="94"/>
      <c r="Z806" s="93"/>
      <c r="AA806" s="85"/>
      <c r="AC806" s="94"/>
      <c r="AD806" s="93"/>
      <c r="AE806" s="85"/>
    </row>
    <row r="807" spans="6:31" x14ac:dyDescent="0.35">
      <c r="F807" s="93"/>
      <c r="G807" s="85"/>
      <c r="H807" s="87"/>
      <c r="M807" s="94"/>
      <c r="N807" s="93"/>
      <c r="O807" s="85"/>
      <c r="Q807" s="94"/>
      <c r="R807" s="93"/>
      <c r="S807" s="85"/>
      <c r="U807" s="94"/>
      <c r="V807" s="93"/>
      <c r="W807" s="85"/>
      <c r="Y807" s="94"/>
      <c r="Z807" s="93"/>
      <c r="AA807" s="85"/>
      <c r="AC807" s="94"/>
      <c r="AD807" s="93"/>
      <c r="AE807" s="85"/>
    </row>
    <row r="808" spans="6:31" x14ac:dyDescent="0.35">
      <c r="F808" s="93"/>
      <c r="G808" s="85"/>
      <c r="H808" s="87"/>
      <c r="M808" s="94"/>
      <c r="N808" s="93"/>
      <c r="O808" s="85"/>
      <c r="Q808" s="94"/>
      <c r="R808" s="93"/>
      <c r="S808" s="85"/>
      <c r="U808" s="94"/>
      <c r="V808" s="93"/>
      <c r="W808" s="85"/>
      <c r="Y808" s="94"/>
      <c r="Z808" s="93"/>
      <c r="AA808" s="85"/>
      <c r="AC808" s="94"/>
      <c r="AD808" s="93"/>
      <c r="AE808" s="85"/>
    </row>
    <row r="809" spans="6:31" x14ac:dyDescent="0.35">
      <c r="F809" s="93"/>
      <c r="G809" s="85"/>
      <c r="H809" s="87"/>
      <c r="M809" s="94"/>
      <c r="N809" s="93"/>
      <c r="O809" s="85"/>
      <c r="Q809" s="94"/>
      <c r="R809" s="93"/>
      <c r="S809" s="85"/>
      <c r="U809" s="94"/>
      <c r="V809" s="93"/>
      <c r="W809" s="85"/>
      <c r="Y809" s="94"/>
      <c r="Z809" s="93"/>
      <c r="AA809" s="85"/>
      <c r="AC809" s="94"/>
      <c r="AD809" s="93"/>
      <c r="AE809" s="85"/>
    </row>
    <row r="810" spans="6:31" x14ac:dyDescent="0.35">
      <c r="F810" s="93"/>
      <c r="G810" s="85"/>
      <c r="H810" s="87"/>
      <c r="M810" s="94"/>
      <c r="N810" s="93"/>
      <c r="O810" s="85"/>
      <c r="Q810" s="94"/>
      <c r="R810" s="93"/>
      <c r="S810" s="85"/>
      <c r="U810" s="94"/>
      <c r="V810" s="93"/>
      <c r="W810" s="85"/>
      <c r="Y810" s="94"/>
      <c r="Z810" s="93"/>
      <c r="AA810" s="85"/>
      <c r="AC810" s="94"/>
      <c r="AD810" s="93"/>
      <c r="AE810" s="85"/>
    </row>
    <row r="811" spans="6:31" x14ac:dyDescent="0.35">
      <c r="F811" s="93"/>
      <c r="G811" s="85"/>
      <c r="H811" s="87"/>
      <c r="M811" s="94"/>
      <c r="N811" s="93"/>
      <c r="O811" s="85"/>
      <c r="Q811" s="94"/>
      <c r="R811" s="93"/>
      <c r="S811" s="85"/>
      <c r="U811" s="94"/>
      <c r="V811" s="93"/>
      <c r="W811" s="85"/>
      <c r="Y811" s="94"/>
      <c r="Z811" s="93"/>
      <c r="AA811" s="85"/>
      <c r="AC811" s="94"/>
      <c r="AD811" s="93"/>
      <c r="AE811" s="85"/>
    </row>
    <row r="812" spans="6:31" x14ac:dyDescent="0.35">
      <c r="F812" s="93"/>
      <c r="G812" s="85"/>
      <c r="H812" s="87"/>
      <c r="M812" s="94"/>
      <c r="N812" s="93"/>
      <c r="O812" s="85"/>
      <c r="Q812" s="94"/>
      <c r="R812" s="93"/>
      <c r="S812" s="85"/>
      <c r="U812" s="94"/>
      <c r="V812" s="93"/>
      <c r="W812" s="85"/>
      <c r="Y812" s="94"/>
      <c r="Z812" s="93"/>
      <c r="AA812" s="85"/>
      <c r="AC812" s="94"/>
      <c r="AD812" s="93"/>
      <c r="AE812" s="85"/>
    </row>
    <row r="813" spans="6:31" x14ac:dyDescent="0.35">
      <c r="F813" s="93"/>
      <c r="G813" s="85"/>
      <c r="H813" s="87"/>
      <c r="M813" s="94"/>
      <c r="N813" s="93"/>
      <c r="O813" s="85"/>
      <c r="Q813" s="94"/>
      <c r="R813" s="93"/>
      <c r="S813" s="85"/>
      <c r="U813" s="94"/>
      <c r="V813" s="93"/>
      <c r="W813" s="85"/>
      <c r="Y813" s="94"/>
      <c r="Z813" s="93"/>
      <c r="AA813" s="85"/>
      <c r="AC813" s="94"/>
      <c r="AD813" s="93"/>
      <c r="AE813" s="85"/>
    </row>
    <row r="814" spans="6:31" x14ac:dyDescent="0.35">
      <c r="F814" s="93"/>
      <c r="G814" s="85"/>
      <c r="H814" s="87"/>
      <c r="M814" s="94"/>
      <c r="N814" s="93"/>
      <c r="O814" s="85"/>
      <c r="Q814" s="94"/>
      <c r="R814" s="93"/>
      <c r="S814" s="85"/>
      <c r="U814" s="94"/>
      <c r="V814" s="93"/>
      <c r="W814" s="85"/>
      <c r="Y814" s="94"/>
      <c r="Z814" s="93"/>
      <c r="AA814" s="85"/>
      <c r="AC814" s="94"/>
      <c r="AD814" s="93"/>
      <c r="AE814" s="85"/>
    </row>
    <row r="815" spans="6:31" x14ac:dyDescent="0.35">
      <c r="F815" s="93"/>
      <c r="G815" s="85"/>
      <c r="H815" s="87"/>
      <c r="M815" s="94"/>
      <c r="N815" s="93"/>
      <c r="O815" s="85"/>
      <c r="Q815" s="94"/>
      <c r="R815" s="93"/>
      <c r="S815" s="85"/>
      <c r="U815" s="94"/>
      <c r="V815" s="93"/>
      <c r="W815" s="85"/>
      <c r="Y815" s="94"/>
      <c r="Z815" s="93"/>
      <c r="AA815" s="85"/>
      <c r="AC815" s="94"/>
      <c r="AD815" s="93"/>
      <c r="AE815" s="85"/>
    </row>
    <row r="816" spans="6:31" x14ac:dyDescent="0.35">
      <c r="F816" s="93"/>
      <c r="G816" s="85"/>
      <c r="H816" s="87"/>
      <c r="M816" s="94"/>
      <c r="N816" s="93"/>
      <c r="O816" s="85"/>
      <c r="Q816" s="94"/>
      <c r="R816" s="93"/>
      <c r="S816" s="85"/>
      <c r="U816" s="94"/>
      <c r="V816" s="93"/>
      <c r="W816" s="85"/>
      <c r="Y816" s="94"/>
      <c r="Z816" s="93"/>
      <c r="AA816" s="85"/>
      <c r="AC816" s="94"/>
      <c r="AD816" s="93"/>
      <c r="AE816" s="85"/>
    </row>
    <row r="817" spans="6:31" x14ac:dyDescent="0.35">
      <c r="F817" s="93"/>
      <c r="G817" s="85"/>
      <c r="H817" s="87"/>
      <c r="M817" s="94"/>
      <c r="N817" s="93"/>
      <c r="O817" s="85"/>
      <c r="Q817" s="94"/>
      <c r="R817" s="93"/>
      <c r="S817" s="85"/>
      <c r="U817" s="94"/>
      <c r="V817" s="93"/>
      <c r="W817" s="85"/>
      <c r="Y817" s="94"/>
      <c r="Z817" s="93"/>
      <c r="AA817" s="85"/>
      <c r="AC817" s="94"/>
      <c r="AD817" s="93"/>
      <c r="AE817" s="85"/>
    </row>
    <row r="818" spans="6:31" x14ac:dyDescent="0.35">
      <c r="F818" s="93"/>
      <c r="G818" s="85"/>
      <c r="H818" s="87"/>
      <c r="M818" s="94"/>
      <c r="N818" s="93"/>
      <c r="O818" s="85"/>
      <c r="Q818" s="94"/>
      <c r="R818" s="93"/>
      <c r="S818" s="85"/>
      <c r="U818" s="94"/>
      <c r="V818" s="93"/>
      <c r="W818" s="85"/>
      <c r="Y818" s="94"/>
      <c r="Z818" s="93"/>
      <c r="AA818" s="85"/>
      <c r="AC818" s="94"/>
      <c r="AD818" s="93"/>
      <c r="AE818" s="85"/>
    </row>
    <row r="819" spans="6:31" x14ac:dyDescent="0.35">
      <c r="F819" s="93"/>
      <c r="G819" s="85"/>
      <c r="H819" s="87"/>
      <c r="M819" s="94"/>
      <c r="N819" s="93"/>
      <c r="O819" s="85"/>
      <c r="Q819" s="94"/>
      <c r="R819" s="93"/>
      <c r="S819" s="85"/>
      <c r="U819" s="94"/>
      <c r="V819" s="93"/>
      <c r="W819" s="85"/>
      <c r="Y819" s="94"/>
      <c r="Z819" s="93"/>
      <c r="AA819" s="85"/>
      <c r="AC819" s="94"/>
      <c r="AD819" s="93"/>
      <c r="AE819" s="85"/>
    </row>
    <row r="820" spans="6:31" x14ac:dyDescent="0.35">
      <c r="F820" s="93"/>
      <c r="G820" s="85"/>
      <c r="H820" s="87"/>
      <c r="M820" s="94"/>
      <c r="N820" s="93"/>
      <c r="O820" s="85"/>
      <c r="Q820" s="94"/>
      <c r="R820" s="93"/>
      <c r="S820" s="85"/>
      <c r="U820" s="94"/>
      <c r="V820" s="93"/>
      <c r="W820" s="85"/>
      <c r="Y820" s="94"/>
      <c r="Z820" s="93"/>
      <c r="AA820" s="85"/>
      <c r="AC820" s="94"/>
      <c r="AD820" s="93"/>
      <c r="AE820" s="85"/>
    </row>
    <row r="821" spans="6:31" x14ac:dyDescent="0.35">
      <c r="F821" s="93"/>
      <c r="G821" s="85"/>
      <c r="H821" s="87"/>
      <c r="M821" s="94"/>
      <c r="N821" s="93"/>
      <c r="O821" s="85"/>
      <c r="Q821" s="94"/>
      <c r="R821" s="93"/>
      <c r="S821" s="85"/>
      <c r="U821" s="94"/>
      <c r="V821" s="93"/>
      <c r="W821" s="85"/>
      <c r="Y821" s="94"/>
      <c r="Z821" s="93"/>
      <c r="AA821" s="85"/>
      <c r="AC821" s="94"/>
      <c r="AD821" s="93"/>
      <c r="AE821" s="85"/>
    </row>
    <row r="822" spans="6:31" x14ac:dyDescent="0.35">
      <c r="F822" s="93"/>
      <c r="G822" s="85"/>
      <c r="H822" s="87"/>
      <c r="M822" s="94"/>
      <c r="N822" s="93"/>
      <c r="O822" s="85"/>
      <c r="Q822" s="94"/>
      <c r="R822" s="93"/>
      <c r="S822" s="85"/>
      <c r="U822" s="94"/>
      <c r="V822" s="93"/>
      <c r="W822" s="85"/>
      <c r="Y822" s="94"/>
      <c r="Z822" s="93"/>
      <c r="AA822" s="85"/>
      <c r="AC822" s="94"/>
      <c r="AD822" s="93"/>
      <c r="AE822" s="85"/>
    </row>
    <row r="823" spans="6:31" x14ac:dyDescent="0.35">
      <c r="F823" s="93"/>
      <c r="G823" s="85"/>
      <c r="H823" s="87"/>
      <c r="M823" s="94"/>
      <c r="N823" s="93"/>
      <c r="O823" s="85"/>
      <c r="Q823" s="94"/>
      <c r="R823" s="93"/>
      <c r="S823" s="85"/>
      <c r="U823" s="94"/>
      <c r="V823" s="93"/>
      <c r="W823" s="85"/>
      <c r="Y823" s="94"/>
      <c r="Z823" s="93"/>
      <c r="AA823" s="85"/>
      <c r="AC823" s="94"/>
      <c r="AD823" s="93"/>
      <c r="AE823" s="85"/>
    </row>
    <row r="824" spans="6:31" x14ac:dyDescent="0.35">
      <c r="F824" s="93"/>
      <c r="G824" s="85"/>
      <c r="H824" s="87"/>
      <c r="M824" s="94"/>
      <c r="N824" s="93"/>
      <c r="O824" s="85"/>
      <c r="Q824" s="94"/>
      <c r="R824" s="93"/>
      <c r="S824" s="85"/>
      <c r="U824" s="94"/>
      <c r="V824" s="93"/>
      <c r="W824" s="85"/>
      <c r="Y824" s="94"/>
      <c r="Z824" s="93"/>
      <c r="AA824" s="85"/>
      <c r="AC824" s="94"/>
      <c r="AD824" s="93"/>
      <c r="AE824" s="85"/>
    </row>
    <row r="825" spans="6:31" x14ac:dyDescent="0.35">
      <c r="F825" s="93"/>
      <c r="G825" s="85"/>
      <c r="H825" s="87"/>
      <c r="M825" s="94"/>
      <c r="N825" s="93"/>
      <c r="O825" s="85"/>
      <c r="Q825" s="94"/>
      <c r="R825" s="93"/>
      <c r="S825" s="85"/>
      <c r="U825" s="94"/>
      <c r="V825" s="93"/>
      <c r="W825" s="85"/>
      <c r="Y825" s="94"/>
      <c r="Z825" s="93"/>
      <c r="AA825" s="85"/>
      <c r="AC825" s="94"/>
      <c r="AD825" s="93"/>
      <c r="AE825" s="85"/>
    </row>
    <row r="826" spans="6:31" x14ac:dyDescent="0.35">
      <c r="F826" s="93"/>
      <c r="G826" s="85"/>
      <c r="H826" s="87"/>
      <c r="M826" s="94"/>
      <c r="N826" s="93"/>
      <c r="O826" s="85"/>
      <c r="Q826" s="94"/>
      <c r="R826" s="93"/>
      <c r="S826" s="85"/>
      <c r="U826" s="94"/>
      <c r="V826" s="93"/>
      <c r="W826" s="85"/>
      <c r="Y826" s="94"/>
      <c r="Z826" s="93"/>
      <c r="AA826" s="85"/>
      <c r="AC826" s="94"/>
      <c r="AD826" s="93"/>
      <c r="AE826" s="85"/>
    </row>
    <row r="827" spans="6:31" x14ac:dyDescent="0.35">
      <c r="F827" s="93"/>
      <c r="G827" s="85"/>
      <c r="H827" s="87"/>
      <c r="M827" s="94"/>
      <c r="N827" s="93"/>
      <c r="O827" s="85"/>
      <c r="Q827" s="94"/>
      <c r="R827" s="93"/>
      <c r="S827" s="85"/>
      <c r="U827" s="94"/>
      <c r="V827" s="93"/>
      <c r="W827" s="85"/>
      <c r="Y827" s="94"/>
      <c r="Z827" s="93"/>
      <c r="AA827" s="85"/>
      <c r="AC827" s="94"/>
      <c r="AD827" s="93"/>
      <c r="AE827" s="85"/>
    </row>
    <row r="828" spans="6:31" x14ac:dyDescent="0.35">
      <c r="F828" s="93"/>
      <c r="G828" s="85"/>
      <c r="H828" s="87"/>
      <c r="M828" s="94"/>
      <c r="N828" s="93"/>
      <c r="O828" s="85"/>
      <c r="Q828" s="94"/>
      <c r="R828" s="93"/>
      <c r="S828" s="85"/>
      <c r="U828" s="94"/>
      <c r="V828" s="93"/>
      <c r="W828" s="85"/>
      <c r="Y828" s="94"/>
      <c r="Z828" s="93"/>
      <c r="AA828" s="85"/>
      <c r="AC828" s="94"/>
      <c r="AD828" s="93"/>
      <c r="AE828" s="85"/>
    </row>
    <row r="829" spans="6:31" x14ac:dyDescent="0.35">
      <c r="F829" s="93"/>
      <c r="G829" s="85"/>
      <c r="H829" s="87"/>
      <c r="M829" s="94"/>
      <c r="N829" s="93"/>
      <c r="O829" s="85"/>
      <c r="Q829" s="94"/>
      <c r="R829" s="93"/>
      <c r="S829" s="85"/>
      <c r="U829" s="94"/>
      <c r="V829" s="93"/>
      <c r="W829" s="85"/>
      <c r="Y829" s="94"/>
      <c r="Z829" s="93"/>
      <c r="AA829" s="85"/>
      <c r="AC829" s="94"/>
      <c r="AD829" s="93"/>
      <c r="AE829" s="85"/>
    </row>
    <row r="830" spans="6:31" x14ac:dyDescent="0.35">
      <c r="F830" s="93"/>
      <c r="G830" s="85"/>
      <c r="H830" s="87"/>
      <c r="M830" s="94"/>
      <c r="N830" s="93"/>
      <c r="O830" s="85"/>
      <c r="Q830" s="94"/>
      <c r="R830" s="93"/>
      <c r="S830" s="85"/>
      <c r="U830" s="94"/>
      <c r="V830" s="93"/>
      <c r="W830" s="85"/>
      <c r="Y830" s="94"/>
      <c r="Z830" s="93"/>
      <c r="AA830" s="85"/>
      <c r="AC830" s="94"/>
      <c r="AD830" s="93"/>
      <c r="AE830" s="85"/>
    </row>
    <row r="831" spans="6:31" x14ac:dyDescent="0.35">
      <c r="F831" s="93"/>
      <c r="G831" s="85"/>
      <c r="H831" s="87"/>
      <c r="M831" s="94"/>
      <c r="N831" s="93"/>
      <c r="O831" s="85"/>
      <c r="Q831" s="94"/>
      <c r="R831" s="93"/>
      <c r="S831" s="85"/>
      <c r="U831" s="94"/>
      <c r="V831" s="93"/>
      <c r="W831" s="85"/>
      <c r="Y831" s="94"/>
      <c r="Z831" s="93"/>
      <c r="AA831" s="85"/>
      <c r="AC831" s="94"/>
      <c r="AD831" s="93"/>
      <c r="AE831" s="85"/>
    </row>
    <row r="832" spans="6:31" x14ac:dyDescent="0.35">
      <c r="F832" s="93"/>
      <c r="G832" s="85"/>
      <c r="H832" s="87"/>
      <c r="M832" s="94"/>
      <c r="N832" s="93"/>
      <c r="O832" s="85"/>
      <c r="Q832" s="94"/>
      <c r="R832" s="93"/>
      <c r="S832" s="85"/>
      <c r="U832" s="94"/>
      <c r="V832" s="93"/>
      <c r="W832" s="85"/>
      <c r="Y832" s="94"/>
      <c r="Z832" s="93"/>
      <c r="AA832" s="85"/>
      <c r="AC832" s="94"/>
      <c r="AD832" s="93"/>
      <c r="AE832" s="85"/>
    </row>
    <row r="833" spans="6:31" x14ac:dyDescent="0.35">
      <c r="F833" s="93"/>
      <c r="G833" s="85"/>
      <c r="H833" s="87"/>
      <c r="M833" s="94"/>
      <c r="N833" s="93"/>
      <c r="O833" s="85"/>
      <c r="Q833" s="94"/>
      <c r="R833" s="93"/>
      <c r="S833" s="85"/>
      <c r="U833" s="94"/>
      <c r="V833" s="93"/>
      <c r="W833" s="85"/>
      <c r="Y833" s="94"/>
      <c r="Z833" s="93"/>
      <c r="AA833" s="85"/>
      <c r="AC833" s="94"/>
      <c r="AD833" s="93"/>
      <c r="AE833" s="85"/>
    </row>
    <row r="834" spans="6:31" x14ac:dyDescent="0.35">
      <c r="F834" s="93"/>
      <c r="G834" s="85"/>
      <c r="H834" s="87"/>
      <c r="M834" s="94"/>
      <c r="N834" s="93"/>
      <c r="O834" s="85"/>
      <c r="Q834" s="94"/>
      <c r="R834" s="93"/>
      <c r="S834" s="85"/>
      <c r="U834" s="94"/>
      <c r="V834" s="93"/>
      <c r="W834" s="85"/>
      <c r="Y834" s="94"/>
      <c r="Z834" s="93"/>
      <c r="AA834" s="85"/>
      <c r="AC834" s="94"/>
      <c r="AD834" s="93"/>
      <c r="AE834" s="85"/>
    </row>
    <row r="835" spans="6:31" x14ac:dyDescent="0.35">
      <c r="F835" s="93"/>
      <c r="G835" s="85"/>
      <c r="H835" s="87"/>
      <c r="M835" s="94"/>
      <c r="N835" s="93"/>
      <c r="O835" s="85"/>
      <c r="Q835" s="94"/>
      <c r="R835" s="93"/>
      <c r="S835" s="85"/>
      <c r="U835" s="94"/>
      <c r="V835" s="93"/>
      <c r="W835" s="85"/>
      <c r="Y835" s="94"/>
      <c r="Z835" s="93"/>
      <c r="AA835" s="85"/>
      <c r="AC835" s="94"/>
      <c r="AD835" s="93"/>
      <c r="AE835" s="85"/>
    </row>
    <row r="836" spans="6:31" x14ac:dyDescent="0.35">
      <c r="F836" s="93"/>
      <c r="G836" s="85"/>
      <c r="H836" s="87"/>
      <c r="M836" s="94"/>
      <c r="N836" s="93"/>
      <c r="O836" s="85"/>
      <c r="Q836" s="94"/>
      <c r="R836" s="93"/>
      <c r="S836" s="85"/>
      <c r="U836" s="94"/>
      <c r="V836" s="93"/>
      <c r="W836" s="85"/>
      <c r="Y836" s="94"/>
      <c r="Z836" s="93"/>
      <c r="AA836" s="85"/>
      <c r="AC836" s="94"/>
      <c r="AD836" s="93"/>
      <c r="AE836" s="85"/>
    </row>
    <row r="837" spans="6:31" x14ac:dyDescent="0.35">
      <c r="F837" s="93"/>
      <c r="G837" s="85"/>
      <c r="H837" s="87"/>
      <c r="M837" s="94"/>
      <c r="N837" s="93"/>
      <c r="O837" s="85"/>
      <c r="Q837" s="94"/>
      <c r="R837" s="93"/>
      <c r="S837" s="85"/>
      <c r="U837" s="94"/>
      <c r="V837" s="93"/>
      <c r="W837" s="85"/>
      <c r="Y837" s="94"/>
      <c r="Z837" s="93"/>
      <c r="AA837" s="85"/>
      <c r="AC837" s="94"/>
      <c r="AD837" s="93"/>
      <c r="AE837" s="85"/>
    </row>
    <row r="838" spans="6:31" x14ac:dyDescent="0.35">
      <c r="F838" s="93"/>
      <c r="G838" s="85"/>
      <c r="H838" s="87"/>
      <c r="M838" s="94"/>
      <c r="N838" s="93"/>
      <c r="O838" s="85"/>
      <c r="Q838" s="94"/>
      <c r="R838" s="93"/>
      <c r="S838" s="85"/>
      <c r="U838" s="94"/>
      <c r="V838" s="93"/>
      <c r="W838" s="85"/>
      <c r="Y838" s="94"/>
      <c r="Z838" s="93"/>
      <c r="AA838" s="85"/>
      <c r="AC838" s="94"/>
      <c r="AD838" s="93"/>
      <c r="AE838" s="85"/>
    </row>
    <row r="839" spans="6:31" x14ac:dyDescent="0.35">
      <c r="F839" s="93"/>
      <c r="G839" s="85"/>
      <c r="H839" s="87"/>
      <c r="M839" s="94"/>
      <c r="N839" s="93"/>
      <c r="O839" s="85"/>
      <c r="Q839" s="94"/>
      <c r="R839" s="93"/>
      <c r="S839" s="85"/>
      <c r="U839" s="94"/>
      <c r="V839" s="93"/>
      <c r="W839" s="85"/>
      <c r="Y839" s="94"/>
      <c r="Z839" s="93"/>
      <c r="AA839" s="85"/>
      <c r="AC839" s="94"/>
      <c r="AD839" s="93"/>
      <c r="AE839" s="85"/>
    </row>
    <row r="840" spans="6:31" x14ac:dyDescent="0.35">
      <c r="F840" s="93"/>
      <c r="G840" s="85"/>
      <c r="H840" s="87"/>
      <c r="M840" s="94"/>
      <c r="N840" s="93"/>
      <c r="O840" s="85"/>
      <c r="Q840" s="94"/>
      <c r="R840" s="93"/>
      <c r="S840" s="85"/>
      <c r="U840" s="94"/>
      <c r="V840" s="93"/>
      <c r="W840" s="85"/>
      <c r="Y840" s="94"/>
      <c r="Z840" s="93"/>
      <c r="AA840" s="85"/>
      <c r="AC840" s="94"/>
      <c r="AD840" s="93"/>
      <c r="AE840" s="85"/>
    </row>
    <row r="841" spans="6:31" x14ac:dyDescent="0.35">
      <c r="F841" s="93"/>
      <c r="G841" s="85"/>
      <c r="H841" s="87"/>
      <c r="M841" s="94"/>
      <c r="N841" s="93"/>
      <c r="O841" s="85"/>
      <c r="Q841" s="94"/>
      <c r="R841" s="93"/>
      <c r="S841" s="85"/>
      <c r="U841" s="94"/>
      <c r="V841" s="93"/>
      <c r="W841" s="85"/>
      <c r="Y841" s="94"/>
      <c r="Z841" s="93"/>
      <c r="AA841" s="85"/>
      <c r="AC841" s="94"/>
      <c r="AD841" s="93"/>
      <c r="AE841" s="85"/>
    </row>
    <row r="842" spans="6:31" x14ac:dyDescent="0.35">
      <c r="F842" s="93"/>
      <c r="G842" s="85"/>
      <c r="H842" s="87"/>
      <c r="M842" s="94"/>
      <c r="N842" s="93"/>
      <c r="O842" s="85"/>
      <c r="Q842" s="94"/>
      <c r="R842" s="93"/>
      <c r="S842" s="85"/>
      <c r="U842" s="94"/>
      <c r="V842" s="93"/>
      <c r="W842" s="85"/>
      <c r="Y842" s="94"/>
      <c r="Z842" s="93"/>
      <c r="AA842" s="85"/>
      <c r="AC842" s="94"/>
      <c r="AD842" s="93"/>
      <c r="AE842" s="85"/>
    </row>
    <row r="843" spans="6:31" x14ac:dyDescent="0.35">
      <c r="F843" s="93"/>
      <c r="G843" s="85"/>
      <c r="H843" s="87"/>
      <c r="M843" s="94"/>
      <c r="N843" s="93"/>
      <c r="O843" s="85"/>
      <c r="Q843" s="94"/>
      <c r="R843" s="93"/>
      <c r="S843" s="85"/>
      <c r="U843" s="94"/>
      <c r="V843" s="93"/>
      <c r="W843" s="85"/>
      <c r="Y843" s="94"/>
      <c r="Z843" s="93"/>
      <c r="AA843" s="85"/>
      <c r="AC843" s="94"/>
      <c r="AD843" s="93"/>
      <c r="AE843" s="85"/>
    </row>
    <row r="844" spans="6:31" x14ac:dyDescent="0.35">
      <c r="F844" s="93"/>
      <c r="G844" s="85"/>
      <c r="H844" s="87"/>
      <c r="M844" s="94"/>
      <c r="N844" s="93"/>
      <c r="O844" s="85"/>
      <c r="Q844" s="94"/>
      <c r="R844" s="93"/>
      <c r="S844" s="85"/>
      <c r="U844" s="94"/>
      <c r="V844" s="93"/>
      <c r="W844" s="85"/>
      <c r="Y844" s="94"/>
      <c r="Z844" s="93"/>
      <c r="AA844" s="85"/>
      <c r="AC844" s="94"/>
      <c r="AD844" s="93"/>
      <c r="AE844" s="85"/>
    </row>
    <row r="845" spans="6:31" x14ac:dyDescent="0.35">
      <c r="F845" s="93"/>
      <c r="G845" s="85"/>
      <c r="H845" s="87"/>
      <c r="M845" s="94"/>
      <c r="N845" s="93"/>
      <c r="O845" s="85"/>
      <c r="Q845" s="94"/>
      <c r="R845" s="93"/>
      <c r="S845" s="85"/>
      <c r="U845" s="94"/>
      <c r="V845" s="93"/>
      <c r="W845" s="85"/>
      <c r="Y845" s="94"/>
      <c r="Z845" s="93"/>
      <c r="AA845" s="85"/>
      <c r="AC845" s="94"/>
      <c r="AD845" s="93"/>
      <c r="AE845" s="85"/>
    </row>
    <row r="846" spans="6:31" x14ac:dyDescent="0.35">
      <c r="F846" s="93"/>
      <c r="G846" s="85"/>
      <c r="H846" s="87"/>
      <c r="M846" s="94"/>
      <c r="N846" s="93"/>
      <c r="O846" s="85"/>
      <c r="Q846" s="94"/>
      <c r="R846" s="93"/>
      <c r="S846" s="85"/>
      <c r="U846" s="94"/>
      <c r="V846" s="93"/>
      <c r="W846" s="85"/>
      <c r="Y846" s="94"/>
      <c r="Z846" s="93"/>
      <c r="AA846" s="85"/>
      <c r="AC846" s="94"/>
      <c r="AD846" s="93"/>
      <c r="AE846" s="85"/>
    </row>
    <row r="847" spans="6:31" x14ac:dyDescent="0.35">
      <c r="F847" s="93"/>
      <c r="G847" s="85"/>
      <c r="H847" s="87"/>
      <c r="M847" s="94"/>
      <c r="N847" s="93"/>
      <c r="O847" s="85"/>
      <c r="Q847" s="94"/>
      <c r="R847" s="93"/>
      <c r="S847" s="85"/>
      <c r="U847" s="94"/>
      <c r="V847" s="93"/>
      <c r="W847" s="85"/>
      <c r="Y847" s="94"/>
      <c r="Z847" s="93"/>
      <c r="AA847" s="85"/>
      <c r="AC847" s="94"/>
      <c r="AD847" s="93"/>
      <c r="AE847" s="85"/>
    </row>
    <row r="848" spans="6:31" x14ac:dyDescent="0.35">
      <c r="F848" s="93"/>
      <c r="G848" s="85"/>
      <c r="H848" s="87"/>
      <c r="M848" s="94"/>
      <c r="N848" s="93"/>
      <c r="O848" s="85"/>
      <c r="Q848" s="94"/>
      <c r="R848" s="93"/>
      <c r="S848" s="85"/>
      <c r="U848" s="94"/>
      <c r="V848" s="93"/>
      <c r="W848" s="85"/>
      <c r="Y848" s="94"/>
      <c r="Z848" s="93"/>
      <c r="AA848" s="85"/>
      <c r="AC848" s="94"/>
      <c r="AD848" s="93"/>
      <c r="AE848" s="85"/>
    </row>
    <row r="849" spans="6:31" x14ac:dyDescent="0.35">
      <c r="F849" s="93"/>
      <c r="G849" s="85"/>
      <c r="H849" s="87"/>
      <c r="M849" s="94"/>
      <c r="N849" s="93"/>
      <c r="O849" s="85"/>
      <c r="Q849" s="94"/>
      <c r="R849" s="93"/>
      <c r="S849" s="85"/>
      <c r="U849" s="94"/>
      <c r="V849" s="93"/>
      <c r="W849" s="85"/>
      <c r="Y849" s="94"/>
      <c r="Z849" s="93"/>
      <c r="AA849" s="85"/>
      <c r="AC849" s="94"/>
      <c r="AD849" s="93"/>
      <c r="AE849" s="85"/>
    </row>
    <row r="850" spans="6:31" x14ac:dyDescent="0.35">
      <c r="F850" s="93"/>
      <c r="G850" s="85"/>
      <c r="H850" s="87"/>
      <c r="M850" s="94"/>
      <c r="N850" s="93"/>
      <c r="O850" s="85"/>
      <c r="Q850" s="94"/>
      <c r="R850" s="93"/>
      <c r="S850" s="85"/>
      <c r="U850" s="94"/>
      <c r="V850" s="93"/>
      <c r="W850" s="85"/>
      <c r="Y850" s="94"/>
      <c r="Z850" s="93"/>
      <c r="AA850" s="85"/>
      <c r="AC850" s="94"/>
      <c r="AD850" s="93"/>
      <c r="AE850" s="85"/>
    </row>
    <row r="851" spans="6:31" x14ac:dyDescent="0.35">
      <c r="F851" s="93"/>
      <c r="G851" s="85"/>
      <c r="H851" s="87"/>
      <c r="M851" s="94"/>
      <c r="N851" s="93"/>
      <c r="O851" s="85"/>
      <c r="Q851" s="94"/>
      <c r="R851" s="93"/>
      <c r="S851" s="85"/>
      <c r="U851" s="94"/>
      <c r="V851" s="93"/>
      <c r="W851" s="85"/>
      <c r="Y851" s="94"/>
      <c r="Z851" s="93"/>
      <c r="AA851" s="85"/>
      <c r="AC851" s="94"/>
      <c r="AD851" s="93"/>
      <c r="AE851" s="85"/>
    </row>
    <row r="852" spans="6:31" x14ac:dyDescent="0.35">
      <c r="F852" s="93"/>
      <c r="G852" s="85"/>
      <c r="H852" s="87"/>
      <c r="M852" s="94"/>
      <c r="N852" s="93"/>
      <c r="O852" s="85"/>
      <c r="Q852" s="94"/>
      <c r="R852" s="93"/>
      <c r="S852" s="85"/>
      <c r="U852" s="94"/>
      <c r="V852" s="93"/>
      <c r="W852" s="85"/>
      <c r="Y852" s="94"/>
      <c r="Z852" s="93"/>
      <c r="AA852" s="85"/>
      <c r="AC852" s="94"/>
      <c r="AD852" s="93"/>
      <c r="AE852" s="85"/>
    </row>
    <row r="853" spans="6:31" x14ac:dyDescent="0.35">
      <c r="F853" s="93"/>
      <c r="G853" s="85"/>
      <c r="H853" s="87"/>
      <c r="M853" s="94"/>
      <c r="N853" s="93"/>
      <c r="O853" s="85"/>
      <c r="Q853" s="94"/>
      <c r="R853" s="93"/>
      <c r="S853" s="85"/>
      <c r="U853" s="94"/>
      <c r="V853" s="93"/>
      <c r="W853" s="85"/>
      <c r="Y853" s="94"/>
      <c r="Z853" s="93"/>
      <c r="AA853" s="85"/>
      <c r="AC853" s="94"/>
      <c r="AD853" s="93"/>
      <c r="AE853" s="85"/>
    </row>
    <row r="854" spans="6:31" x14ac:dyDescent="0.35">
      <c r="F854" s="93"/>
      <c r="G854" s="85"/>
      <c r="H854" s="87"/>
      <c r="M854" s="94"/>
      <c r="N854" s="93"/>
      <c r="O854" s="85"/>
      <c r="Q854" s="94"/>
      <c r="R854" s="93"/>
      <c r="S854" s="85"/>
      <c r="U854" s="94"/>
      <c r="V854" s="93"/>
      <c r="W854" s="85"/>
      <c r="Y854" s="94"/>
      <c r="Z854" s="93"/>
      <c r="AA854" s="85"/>
      <c r="AC854" s="94"/>
      <c r="AD854" s="93"/>
      <c r="AE854" s="85"/>
    </row>
    <row r="855" spans="6:31" x14ac:dyDescent="0.35">
      <c r="F855" s="93"/>
      <c r="G855" s="85"/>
      <c r="H855" s="87"/>
      <c r="M855" s="94"/>
      <c r="N855" s="93"/>
      <c r="O855" s="85"/>
      <c r="Q855" s="94"/>
      <c r="R855" s="93"/>
      <c r="S855" s="85"/>
      <c r="U855" s="94"/>
      <c r="V855" s="93"/>
      <c r="W855" s="85"/>
      <c r="Y855" s="94"/>
      <c r="Z855" s="93"/>
      <c r="AA855" s="85"/>
      <c r="AC855" s="94"/>
      <c r="AD855" s="93"/>
      <c r="AE855" s="85"/>
    </row>
    <row r="856" spans="6:31" x14ac:dyDescent="0.35">
      <c r="F856" s="93"/>
      <c r="G856" s="85"/>
      <c r="H856" s="87"/>
      <c r="M856" s="94"/>
      <c r="N856" s="93"/>
      <c r="O856" s="85"/>
      <c r="Q856" s="94"/>
      <c r="R856" s="93"/>
      <c r="S856" s="85"/>
      <c r="U856" s="94"/>
      <c r="V856" s="93"/>
      <c r="W856" s="85"/>
      <c r="Y856" s="94"/>
      <c r="Z856" s="93"/>
      <c r="AA856" s="85"/>
      <c r="AC856" s="94"/>
      <c r="AD856" s="93"/>
      <c r="AE856" s="85"/>
    </row>
    <row r="857" spans="6:31" x14ac:dyDescent="0.35">
      <c r="F857" s="93"/>
      <c r="G857" s="85"/>
      <c r="H857" s="87"/>
      <c r="M857" s="94"/>
      <c r="N857" s="93"/>
      <c r="O857" s="85"/>
      <c r="Q857" s="94"/>
      <c r="R857" s="93"/>
      <c r="S857" s="85"/>
      <c r="U857" s="94"/>
      <c r="V857" s="93"/>
      <c r="W857" s="85"/>
      <c r="Y857" s="94"/>
      <c r="Z857" s="93"/>
      <c r="AA857" s="85"/>
      <c r="AC857" s="94"/>
      <c r="AD857" s="93"/>
      <c r="AE857" s="85"/>
    </row>
    <row r="858" spans="6:31" x14ac:dyDescent="0.35">
      <c r="F858" s="93"/>
      <c r="G858" s="85"/>
      <c r="H858" s="87"/>
      <c r="M858" s="94"/>
      <c r="N858" s="93"/>
      <c r="O858" s="85"/>
      <c r="Q858" s="94"/>
      <c r="R858" s="93"/>
      <c r="S858" s="85"/>
      <c r="U858" s="94"/>
      <c r="V858" s="93"/>
      <c r="W858" s="85"/>
      <c r="Y858" s="94"/>
      <c r="Z858" s="93"/>
      <c r="AA858" s="85"/>
      <c r="AC858" s="94"/>
      <c r="AD858" s="93"/>
      <c r="AE858" s="85"/>
    </row>
    <row r="859" spans="6:31" x14ac:dyDescent="0.35">
      <c r="F859" s="93"/>
      <c r="G859" s="85"/>
      <c r="H859" s="87"/>
      <c r="M859" s="94"/>
      <c r="N859" s="93"/>
      <c r="O859" s="85"/>
      <c r="Q859" s="94"/>
      <c r="R859" s="93"/>
      <c r="S859" s="85"/>
      <c r="U859" s="94"/>
      <c r="V859" s="93"/>
      <c r="W859" s="85"/>
      <c r="Y859" s="94"/>
      <c r="Z859" s="93"/>
      <c r="AA859" s="85"/>
      <c r="AC859" s="94"/>
      <c r="AD859" s="93"/>
      <c r="AE859" s="85"/>
    </row>
    <row r="860" spans="6:31" x14ac:dyDescent="0.35">
      <c r="F860" s="93"/>
      <c r="G860" s="85"/>
      <c r="H860" s="87"/>
      <c r="M860" s="94"/>
      <c r="N860" s="93"/>
      <c r="O860" s="85"/>
      <c r="Q860" s="94"/>
      <c r="R860" s="93"/>
      <c r="S860" s="85"/>
      <c r="U860" s="94"/>
      <c r="V860" s="93"/>
      <c r="W860" s="85"/>
      <c r="Y860" s="94"/>
      <c r="Z860" s="93"/>
      <c r="AA860" s="85"/>
      <c r="AC860" s="94"/>
      <c r="AD860" s="93"/>
      <c r="AE860" s="85"/>
    </row>
    <row r="861" spans="6:31" x14ac:dyDescent="0.35">
      <c r="F861" s="93"/>
      <c r="G861" s="85"/>
      <c r="H861" s="87"/>
      <c r="M861" s="94"/>
      <c r="N861" s="93"/>
      <c r="O861" s="85"/>
      <c r="Q861" s="94"/>
      <c r="R861" s="93"/>
      <c r="S861" s="85"/>
      <c r="U861" s="94"/>
      <c r="V861" s="93"/>
      <c r="W861" s="85"/>
      <c r="Y861" s="94"/>
      <c r="Z861" s="93"/>
      <c r="AA861" s="85"/>
      <c r="AC861" s="94"/>
      <c r="AD861" s="93"/>
      <c r="AE861" s="85"/>
    </row>
    <row r="862" spans="6:31" x14ac:dyDescent="0.35">
      <c r="F862" s="93"/>
      <c r="G862" s="85"/>
      <c r="H862" s="87"/>
      <c r="M862" s="94"/>
      <c r="N862" s="93"/>
      <c r="O862" s="85"/>
      <c r="Q862" s="94"/>
      <c r="R862" s="93"/>
      <c r="S862" s="85"/>
      <c r="U862" s="94"/>
      <c r="V862" s="93"/>
      <c r="W862" s="85"/>
      <c r="Y862" s="94"/>
      <c r="Z862" s="93"/>
      <c r="AA862" s="85"/>
      <c r="AC862" s="94"/>
      <c r="AD862" s="93"/>
      <c r="AE862" s="85"/>
    </row>
    <row r="863" spans="6:31" x14ac:dyDescent="0.35">
      <c r="F863" s="93"/>
      <c r="G863" s="85"/>
      <c r="H863" s="87"/>
      <c r="M863" s="94"/>
      <c r="N863" s="93"/>
      <c r="O863" s="85"/>
      <c r="Q863" s="94"/>
      <c r="R863" s="93"/>
      <c r="S863" s="85"/>
      <c r="U863" s="94"/>
      <c r="V863" s="93"/>
      <c r="W863" s="85"/>
      <c r="Y863" s="94"/>
      <c r="Z863" s="93"/>
      <c r="AA863" s="85"/>
      <c r="AC863" s="94"/>
      <c r="AD863" s="93"/>
      <c r="AE863" s="85"/>
    </row>
    <row r="864" spans="6:31" x14ac:dyDescent="0.35">
      <c r="F864" s="93"/>
      <c r="G864" s="85"/>
      <c r="H864" s="87"/>
      <c r="M864" s="94"/>
      <c r="N864" s="93"/>
      <c r="O864" s="85"/>
      <c r="Q864" s="94"/>
      <c r="R864" s="93"/>
      <c r="S864" s="85"/>
      <c r="U864" s="94"/>
      <c r="V864" s="93"/>
      <c r="W864" s="85"/>
      <c r="Y864" s="94"/>
      <c r="Z864" s="93"/>
      <c r="AA864" s="85"/>
      <c r="AC864" s="94"/>
      <c r="AD864" s="93"/>
      <c r="AE864" s="85"/>
    </row>
    <row r="865" spans="6:31" x14ac:dyDescent="0.35">
      <c r="F865" s="93"/>
      <c r="G865" s="85"/>
      <c r="H865" s="87"/>
      <c r="M865" s="94"/>
      <c r="N865" s="93"/>
      <c r="O865" s="85"/>
      <c r="Q865" s="94"/>
      <c r="R865" s="93"/>
      <c r="S865" s="85"/>
      <c r="U865" s="94"/>
      <c r="V865" s="93"/>
      <c r="W865" s="85"/>
      <c r="Y865" s="94"/>
      <c r="Z865" s="93"/>
      <c r="AA865" s="85"/>
      <c r="AC865" s="94"/>
      <c r="AD865" s="93"/>
      <c r="AE865" s="85"/>
    </row>
    <row r="866" spans="6:31" x14ac:dyDescent="0.35">
      <c r="F866" s="93"/>
      <c r="G866" s="85"/>
      <c r="H866" s="87"/>
      <c r="M866" s="94"/>
      <c r="N866" s="93"/>
      <c r="O866" s="85"/>
      <c r="Q866" s="94"/>
      <c r="R866" s="93"/>
      <c r="S866" s="85"/>
      <c r="U866" s="94"/>
      <c r="V866" s="93"/>
      <c r="W866" s="85"/>
      <c r="Y866" s="94"/>
      <c r="Z866" s="93"/>
      <c r="AA866" s="85"/>
      <c r="AC866" s="94"/>
      <c r="AD866" s="93"/>
      <c r="AE866" s="85"/>
    </row>
    <row r="867" spans="6:31" x14ac:dyDescent="0.35">
      <c r="F867" s="93"/>
      <c r="G867" s="85"/>
      <c r="H867" s="87"/>
      <c r="M867" s="94"/>
      <c r="N867" s="93"/>
      <c r="O867" s="85"/>
      <c r="Q867" s="94"/>
      <c r="R867" s="93"/>
      <c r="S867" s="85"/>
      <c r="U867" s="94"/>
      <c r="V867" s="93"/>
      <c r="W867" s="85"/>
      <c r="Y867" s="94"/>
      <c r="Z867" s="93"/>
      <c r="AA867" s="85"/>
      <c r="AC867" s="94"/>
      <c r="AD867" s="93"/>
      <c r="AE867" s="85"/>
    </row>
    <row r="868" spans="6:31" x14ac:dyDescent="0.35">
      <c r="F868" s="93"/>
      <c r="G868" s="85"/>
      <c r="H868" s="87"/>
      <c r="M868" s="94"/>
      <c r="N868" s="93"/>
      <c r="O868" s="85"/>
      <c r="Q868" s="94"/>
      <c r="R868" s="93"/>
      <c r="S868" s="85"/>
      <c r="U868" s="94"/>
      <c r="V868" s="93"/>
      <c r="W868" s="85"/>
      <c r="Y868" s="94"/>
      <c r="Z868" s="93"/>
      <c r="AA868" s="85"/>
      <c r="AC868" s="94"/>
      <c r="AD868" s="93"/>
      <c r="AE868" s="85"/>
    </row>
    <row r="869" spans="6:31" x14ac:dyDescent="0.35">
      <c r="F869" s="93"/>
      <c r="G869" s="85"/>
      <c r="H869" s="87"/>
      <c r="M869" s="94"/>
      <c r="N869" s="93"/>
      <c r="O869" s="85"/>
      <c r="Q869" s="94"/>
      <c r="R869" s="93"/>
      <c r="S869" s="85"/>
      <c r="U869" s="94"/>
      <c r="V869" s="93"/>
      <c r="W869" s="85"/>
      <c r="Y869" s="94"/>
      <c r="Z869" s="93"/>
      <c r="AA869" s="85"/>
      <c r="AC869" s="94"/>
      <c r="AD869" s="93"/>
      <c r="AE869" s="85"/>
    </row>
    <row r="870" spans="6:31" x14ac:dyDescent="0.35">
      <c r="F870" s="93"/>
      <c r="G870" s="85"/>
      <c r="H870" s="87"/>
      <c r="M870" s="94"/>
      <c r="N870" s="93"/>
      <c r="O870" s="85"/>
      <c r="Q870" s="94"/>
      <c r="R870" s="93"/>
      <c r="S870" s="85"/>
      <c r="U870" s="94"/>
      <c r="V870" s="93"/>
      <c r="W870" s="85"/>
      <c r="Y870" s="94"/>
      <c r="Z870" s="93"/>
      <c r="AA870" s="85"/>
      <c r="AC870" s="94"/>
      <c r="AD870" s="93"/>
      <c r="AE870" s="85"/>
    </row>
    <row r="871" spans="6:31" x14ac:dyDescent="0.35">
      <c r="F871" s="93"/>
      <c r="G871" s="85"/>
      <c r="H871" s="87"/>
      <c r="M871" s="94"/>
      <c r="N871" s="93"/>
      <c r="O871" s="85"/>
      <c r="Q871" s="94"/>
      <c r="R871" s="93"/>
      <c r="S871" s="85"/>
      <c r="U871" s="94"/>
      <c r="V871" s="93"/>
      <c r="W871" s="85"/>
      <c r="Y871" s="94"/>
      <c r="Z871" s="93"/>
      <c r="AA871" s="85"/>
      <c r="AC871" s="94"/>
      <c r="AD871" s="93"/>
      <c r="AE871" s="85"/>
    </row>
    <row r="872" spans="6:31" x14ac:dyDescent="0.35">
      <c r="F872" s="93"/>
      <c r="G872" s="85"/>
      <c r="H872" s="87"/>
      <c r="M872" s="94"/>
      <c r="N872" s="93"/>
      <c r="O872" s="85"/>
      <c r="Q872" s="94"/>
      <c r="R872" s="93"/>
      <c r="S872" s="85"/>
      <c r="U872" s="94"/>
      <c r="V872" s="93"/>
      <c r="W872" s="85"/>
      <c r="Y872" s="94"/>
      <c r="Z872" s="93"/>
      <c r="AA872" s="85"/>
      <c r="AC872" s="94"/>
      <c r="AD872" s="93"/>
      <c r="AE872" s="85"/>
    </row>
    <row r="873" spans="6:31" x14ac:dyDescent="0.35">
      <c r="F873" s="93"/>
      <c r="G873" s="85"/>
      <c r="H873" s="87"/>
      <c r="M873" s="94"/>
      <c r="N873" s="93"/>
      <c r="O873" s="85"/>
      <c r="Q873" s="94"/>
      <c r="R873" s="93"/>
      <c r="S873" s="85"/>
      <c r="U873" s="94"/>
      <c r="V873" s="93"/>
      <c r="W873" s="85"/>
      <c r="Y873" s="94"/>
      <c r="Z873" s="93"/>
      <c r="AA873" s="85"/>
      <c r="AC873" s="94"/>
      <c r="AD873" s="93"/>
      <c r="AE873" s="85"/>
    </row>
    <row r="874" spans="6:31" x14ac:dyDescent="0.35">
      <c r="F874" s="93"/>
      <c r="G874" s="85"/>
      <c r="H874" s="87"/>
      <c r="M874" s="94"/>
      <c r="N874" s="93"/>
      <c r="O874" s="85"/>
      <c r="Q874" s="94"/>
      <c r="R874" s="93"/>
      <c r="S874" s="85"/>
      <c r="U874" s="94"/>
      <c r="V874" s="93"/>
      <c r="W874" s="85"/>
      <c r="Y874" s="94"/>
      <c r="Z874" s="93"/>
      <c r="AA874" s="85"/>
      <c r="AC874" s="94"/>
      <c r="AD874" s="93"/>
      <c r="AE874" s="85"/>
    </row>
    <row r="875" spans="6:31" x14ac:dyDescent="0.35">
      <c r="F875" s="93"/>
      <c r="G875" s="85"/>
      <c r="H875" s="87"/>
      <c r="M875" s="94"/>
      <c r="N875" s="93"/>
      <c r="O875" s="85"/>
      <c r="Q875" s="94"/>
      <c r="R875" s="93"/>
      <c r="S875" s="85"/>
      <c r="U875" s="94"/>
      <c r="V875" s="93"/>
      <c r="W875" s="85"/>
      <c r="Y875" s="94"/>
      <c r="Z875" s="93"/>
      <c r="AA875" s="85"/>
      <c r="AC875" s="94"/>
      <c r="AD875" s="93"/>
      <c r="AE875" s="85"/>
    </row>
    <row r="876" spans="6:31" x14ac:dyDescent="0.35">
      <c r="F876" s="93"/>
      <c r="G876" s="85"/>
      <c r="H876" s="87"/>
      <c r="M876" s="94"/>
      <c r="N876" s="93"/>
      <c r="O876" s="85"/>
      <c r="Q876" s="94"/>
      <c r="R876" s="93"/>
      <c r="S876" s="85"/>
      <c r="U876" s="94"/>
      <c r="V876" s="93"/>
      <c r="W876" s="85"/>
      <c r="Y876" s="94"/>
      <c r="Z876" s="93"/>
      <c r="AA876" s="85"/>
      <c r="AC876" s="94"/>
      <c r="AD876" s="93"/>
      <c r="AE876" s="85"/>
    </row>
    <row r="877" spans="6:31" x14ac:dyDescent="0.35">
      <c r="F877" s="93"/>
      <c r="G877" s="85"/>
      <c r="H877" s="87"/>
      <c r="M877" s="94"/>
      <c r="N877" s="93"/>
      <c r="O877" s="85"/>
      <c r="Q877" s="94"/>
      <c r="R877" s="93"/>
      <c r="S877" s="85"/>
      <c r="U877" s="94"/>
      <c r="V877" s="93"/>
      <c r="W877" s="85"/>
      <c r="Y877" s="94"/>
      <c r="Z877" s="93"/>
      <c r="AA877" s="85"/>
      <c r="AC877" s="94"/>
      <c r="AD877" s="93"/>
      <c r="AE877" s="85"/>
    </row>
    <row r="878" spans="6:31" x14ac:dyDescent="0.35">
      <c r="F878" s="93"/>
      <c r="G878" s="85"/>
      <c r="H878" s="87"/>
      <c r="M878" s="94"/>
      <c r="N878" s="93"/>
      <c r="O878" s="85"/>
      <c r="Q878" s="94"/>
      <c r="R878" s="93"/>
      <c r="S878" s="85"/>
      <c r="U878" s="94"/>
      <c r="V878" s="93"/>
      <c r="W878" s="85"/>
      <c r="Y878" s="94"/>
      <c r="Z878" s="93"/>
      <c r="AA878" s="85"/>
      <c r="AC878" s="94"/>
      <c r="AD878" s="93"/>
      <c r="AE878" s="85"/>
    </row>
    <row r="879" spans="6:31" x14ac:dyDescent="0.35">
      <c r="F879" s="93"/>
      <c r="G879" s="85"/>
      <c r="H879" s="87"/>
      <c r="M879" s="94"/>
      <c r="N879" s="93"/>
      <c r="O879" s="85"/>
      <c r="Q879" s="94"/>
      <c r="R879" s="93"/>
      <c r="S879" s="85"/>
      <c r="U879" s="94"/>
      <c r="V879" s="93"/>
      <c r="W879" s="85"/>
      <c r="Y879" s="94"/>
      <c r="Z879" s="93"/>
      <c r="AA879" s="85"/>
      <c r="AC879" s="94"/>
      <c r="AD879" s="93"/>
      <c r="AE879" s="85"/>
    </row>
    <row r="880" spans="6:31" x14ac:dyDescent="0.35">
      <c r="F880" s="93"/>
      <c r="G880" s="85"/>
      <c r="H880" s="87"/>
      <c r="M880" s="94"/>
      <c r="N880" s="93"/>
      <c r="O880" s="85"/>
      <c r="Q880" s="94"/>
      <c r="R880" s="93"/>
      <c r="S880" s="85"/>
      <c r="U880" s="94"/>
      <c r="V880" s="93"/>
      <c r="W880" s="85"/>
      <c r="Y880" s="94"/>
      <c r="Z880" s="93"/>
      <c r="AA880" s="85"/>
      <c r="AC880" s="94"/>
      <c r="AD880" s="93"/>
      <c r="AE880" s="85"/>
    </row>
    <row r="881" spans="6:31" x14ac:dyDescent="0.35">
      <c r="F881" s="93"/>
      <c r="G881" s="85"/>
      <c r="H881" s="87"/>
      <c r="M881" s="94"/>
      <c r="N881" s="93"/>
      <c r="O881" s="85"/>
      <c r="Q881" s="94"/>
      <c r="R881" s="93"/>
      <c r="S881" s="85"/>
      <c r="U881" s="94"/>
      <c r="V881" s="93"/>
      <c r="W881" s="85"/>
      <c r="Y881" s="94"/>
      <c r="Z881" s="93"/>
      <c r="AA881" s="85"/>
      <c r="AC881" s="94"/>
      <c r="AD881" s="93"/>
      <c r="AE881" s="85"/>
    </row>
    <row r="882" spans="6:31" x14ac:dyDescent="0.35">
      <c r="F882" s="93"/>
      <c r="G882" s="85"/>
      <c r="H882" s="87"/>
      <c r="M882" s="94"/>
      <c r="N882" s="93"/>
      <c r="O882" s="85"/>
      <c r="Q882" s="94"/>
      <c r="R882" s="93"/>
      <c r="S882" s="85"/>
      <c r="U882" s="94"/>
      <c r="V882" s="93"/>
      <c r="W882" s="85"/>
      <c r="Y882" s="94"/>
      <c r="Z882" s="93"/>
      <c r="AA882" s="85"/>
      <c r="AC882" s="94"/>
      <c r="AD882" s="93"/>
      <c r="AE882" s="85"/>
    </row>
    <row r="883" spans="6:31" x14ac:dyDescent="0.35">
      <c r="F883" s="93"/>
      <c r="G883" s="85"/>
      <c r="H883" s="87"/>
      <c r="M883" s="94"/>
      <c r="N883" s="93"/>
      <c r="O883" s="85"/>
      <c r="Q883" s="94"/>
      <c r="R883" s="93"/>
      <c r="S883" s="85"/>
      <c r="U883" s="94"/>
      <c r="V883" s="93"/>
      <c r="W883" s="85"/>
      <c r="Y883" s="94"/>
      <c r="Z883" s="93"/>
      <c r="AA883" s="85"/>
      <c r="AC883" s="94"/>
      <c r="AD883" s="93"/>
      <c r="AE883" s="85"/>
    </row>
    <row r="884" spans="6:31" x14ac:dyDescent="0.35">
      <c r="F884" s="93"/>
      <c r="G884" s="85"/>
      <c r="H884" s="87"/>
      <c r="M884" s="94"/>
      <c r="N884" s="93"/>
      <c r="O884" s="85"/>
      <c r="Q884" s="94"/>
      <c r="R884" s="93"/>
      <c r="S884" s="85"/>
      <c r="U884" s="94"/>
      <c r="V884" s="93"/>
      <c r="W884" s="85"/>
      <c r="Y884" s="94"/>
      <c r="Z884" s="93"/>
      <c r="AA884" s="85"/>
      <c r="AC884" s="94"/>
      <c r="AD884" s="93"/>
      <c r="AE884" s="85"/>
    </row>
    <row r="885" spans="6:31" x14ac:dyDescent="0.35">
      <c r="F885" s="93"/>
      <c r="G885" s="85"/>
      <c r="H885" s="87"/>
      <c r="M885" s="94"/>
      <c r="N885" s="93"/>
      <c r="O885" s="85"/>
      <c r="Q885" s="94"/>
      <c r="R885" s="93"/>
      <c r="S885" s="85"/>
      <c r="U885" s="94"/>
      <c r="V885" s="93"/>
      <c r="W885" s="85"/>
      <c r="Y885" s="94"/>
      <c r="Z885" s="93"/>
      <c r="AA885" s="85"/>
      <c r="AC885" s="94"/>
      <c r="AD885" s="93"/>
      <c r="AE885" s="85"/>
    </row>
    <row r="886" spans="6:31" x14ac:dyDescent="0.35">
      <c r="F886" s="93"/>
      <c r="G886" s="85"/>
      <c r="H886" s="87"/>
      <c r="M886" s="94"/>
      <c r="N886" s="93"/>
      <c r="O886" s="85"/>
      <c r="Q886" s="94"/>
      <c r="R886" s="93"/>
      <c r="S886" s="85"/>
      <c r="U886" s="94"/>
      <c r="V886" s="93"/>
      <c r="W886" s="85"/>
      <c r="Y886" s="94"/>
      <c r="Z886" s="93"/>
      <c r="AA886" s="85"/>
      <c r="AC886" s="94"/>
      <c r="AD886" s="93"/>
      <c r="AE886" s="85"/>
    </row>
    <row r="887" spans="6:31" x14ac:dyDescent="0.35">
      <c r="F887" s="93"/>
      <c r="G887" s="85"/>
      <c r="H887" s="87"/>
      <c r="M887" s="94"/>
      <c r="N887" s="93"/>
      <c r="O887" s="85"/>
      <c r="Q887" s="94"/>
      <c r="R887" s="93"/>
      <c r="S887" s="85"/>
      <c r="U887" s="94"/>
      <c r="V887" s="93"/>
      <c r="W887" s="85"/>
      <c r="Y887" s="94"/>
      <c r="Z887" s="93"/>
      <c r="AA887" s="85"/>
      <c r="AC887" s="94"/>
      <c r="AD887" s="93"/>
      <c r="AE887" s="85"/>
    </row>
    <row r="888" spans="6:31" x14ac:dyDescent="0.35">
      <c r="F888" s="93"/>
      <c r="G888" s="85"/>
      <c r="H888" s="87"/>
      <c r="M888" s="94"/>
      <c r="N888" s="93"/>
      <c r="O888" s="85"/>
      <c r="Q888" s="94"/>
      <c r="R888" s="93"/>
      <c r="S888" s="85"/>
      <c r="U888" s="94"/>
      <c r="V888" s="93"/>
      <c r="W888" s="85"/>
      <c r="Y888" s="94"/>
      <c r="Z888" s="93"/>
      <c r="AA888" s="85"/>
      <c r="AC888" s="94"/>
      <c r="AD888" s="93"/>
      <c r="AE888" s="85"/>
    </row>
    <row r="889" spans="6:31" x14ac:dyDescent="0.35">
      <c r="F889" s="93"/>
      <c r="G889" s="85"/>
      <c r="H889" s="87"/>
      <c r="M889" s="94"/>
      <c r="N889" s="93"/>
      <c r="O889" s="85"/>
      <c r="Q889" s="94"/>
      <c r="R889" s="93"/>
      <c r="S889" s="85"/>
      <c r="U889" s="94"/>
      <c r="V889" s="93"/>
      <c r="W889" s="85"/>
      <c r="Y889" s="94"/>
      <c r="Z889" s="93"/>
      <c r="AA889" s="85"/>
      <c r="AC889" s="94"/>
      <c r="AD889" s="93"/>
      <c r="AE889" s="85"/>
    </row>
    <row r="890" spans="6:31" x14ac:dyDescent="0.35">
      <c r="F890" s="93"/>
      <c r="G890" s="85"/>
      <c r="H890" s="87"/>
      <c r="M890" s="94"/>
      <c r="N890" s="93"/>
      <c r="O890" s="85"/>
      <c r="Q890" s="94"/>
      <c r="R890" s="93"/>
      <c r="S890" s="85"/>
      <c r="U890" s="94"/>
      <c r="V890" s="93"/>
      <c r="W890" s="85"/>
      <c r="Y890" s="94"/>
      <c r="Z890" s="93"/>
      <c r="AA890" s="85"/>
      <c r="AC890" s="94"/>
      <c r="AD890" s="93"/>
      <c r="AE890" s="85"/>
    </row>
    <row r="891" spans="6:31" x14ac:dyDescent="0.35">
      <c r="F891" s="93"/>
      <c r="G891" s="85"/>
      <c r="H891" s="87"/>
      <c r="M891" s="94"/>
      <c r="N891" s="93"/>
      <c r="O891" s="85"/>
      <c r="Q891" s="94"/>
      <c r="R891" s="93"/>
      <c r="S891" s="85"/>
      <c r="U891" s="94"/>
      <c r="V891" s="93"/>
      <c r="W891" s="85"/>
      <c r="Y891" s="94"/>
      <c r="Z891" s="93"/>
      <c r="AA891" s="85"/>
      <c r="AC891" s="94"/>
      <c r="AD891" s="93"/>
      <c r="AE891" s="85"/>
    </row>
    <row r="892" spans="6:31" x14ac:dyDescent="0.35">
      <c r="F892" s="93"/>
      <c r="G892" s="85"/>
      <c r="H892" s="87"/>
      <c r="M892" s="94"/>
      <c r="N892" s="93"/>
      <c r="O892" s="85"/>
      <c r="Q892" s="94"/>
      <c r="R892" s="93"/>
      <c r="S892" s="85"/>
      <c r="U892" s="94"/>
      <c r="V892" s="93"/>
      <c r="W892" s="85"/>
      <c r="Y892" s="94"/>
      <c r="Z892" s="93"/>
      <c r="AA892" s="85"/>
      <c r="AC892" s="94"/>
      <c r="AD892" s="93"/>
      <c r="AE892" s="85"/>
    </row>
    <row r="893" spans="6:31" x14ac:dyDescent="0.35">
      <c r="F893" s="93"/>
      <c r="G893" s="85"/>
      <c r="H893" s="87"/>
      <c r="M893" s="94"/>
      <c r="N893" s="93"/>
      <c r="O893" s="85"/>
      <c r="Q893" s="94"/>
      <c r="R893" s="93"/>
      <c r="S893" s="85"/>
      <c r="U893" s="94"/>
      <c r="V893" s="93"/>
      <c r="W893" s="85"/>
      <c r="Y893" s="94"/>
      <c r="Z893" s="93"/>
      <c r="AA893" s="85"/>
      <c r="AC893" s="94"/>
      <c r="AD893" s="93"/>
      <c r="AE893" s="85"/>
    </row>
    <row r="894" spans="6:31" x14ac:dyDescent="0.35">
      <c r="F894" s="93"/>
      <c r="G894" s="85"/>
      <c r="H894" s="87"/>
      <c r="M894" s="94"/>
      <c r="N894" s="93"/>
      <c r="O894" s="85"/>
      <c r="Q894" s="94"/>
      <c r="R894" s="93"/>
      <c r="S894" s="85"/>
      <c r="U894" s="94"/>
      <c r="V894" s="93"/>
      <c r="W894" s="85"/>
      <c r="Y894" s="94"/>
      <c r="Z894" s="93"/>
      <c r="AA894" s="85"/>
      <c r="AC894" s="94"/>
      <c r="AD894" s="93"/>
      <c r="AE894" s="85"/>
    </row>
    <row r="895" spans="6:31" x14ac:dyDescent="0.35">
      <c r="F895" s="93"/>
      <c r="G895" s="85"/>
      <c r="H895" s="87"/>
      <c r="M895" s="94"/>
      <c r="N895" s="93"/>
      <c r="O895" s="85"/>
      <c r="Q895" s="94"/>
      <c r="R895" s="93"/>
      <c r="S895" s="85"/>
      <c r="U895" s="94"/>
      <c r="V895" s="93"/>
      <c r="W895" s="85"/>
      <c r="Y895" s="94"/>
      <c r="Z895" s="93"/>
      <c r="AA895" s="85"/>
      <c r="AC895" s="94"/>
      <c r="AD895" s="93"/>
      <c r="AE895" s="85"/>
    </row>
    <row r="896" spans="6:31" x14ac:dyDescent="0.35">
      <c r="F896" s="93"/>
      <c r="G896" s="85"/>
      <c r="H896" s="87"/>
      <c r="M896" s="94"/>
      <c r="N896" s="93"/>
      <c r="O896" s="85"/>
      <c r="Q896" s="94"/>
      <c r="R896" s="93"/>
      <c r="S896" s="85"/>
      <c r="U896" s="94"/>
      <c r="V896" s="93"/>
      <c r="W896" s="85"/>
      <c r="Y896" s="94"/>
      <c r="Z896" s="93"/>
      <c r="AA896" s="85"/>
      <c r="AC896" s="94"/>
      <c r="AD896" s="93"/>
      <c r="AE896" s="85"/>
    </row>
    <row r="897" spans="6:31" x14ac:dyDescent="0.35">
      <c r="F897" s="93"/>
      <c r="G897" s="85"/>
      <c r="H897" s="87"/>
      <c r="M897" s="94"/>
      <c r="N897" s="93"/>
      <c r="O897" s="85"/>
      <c r="Q897" s="94"/>
      <c r="R897" s="93"/>
      <c r="S897" s="85"/>
      <c r="U897" s="94"/>
      <c r="V897" s="93"/>
      <c r="W897" s="85"/>
      <c r="Y897" s="94"/>
      <c r="Z897" s="93"/>
      <c r="AA897" s="85"/>
      <c r="AC897" s="94"/>
      <c r="AD897" s="93"/>
      <c r="AE897" s="85"/>
    </row>
    <row r="898" spans="6:31" x14ac:dyDescent="0.35">
      <c r="F898" s="93"/>
      <c r="G898" s="85"/>
      <c r="H898" s="87"/>
      <c r="M898" s="94"/>
      <c r="N898" s="93"/>
      <c r="O898" s="85"/>
      <c r="Q898" s="94"/>
      <c r="R898" s="93"/>
      <c r="S898" s="85"/>
      <c r="U898" s="94"/>
      <c r="V898" s="93"/>
      <c r="W898" s="85"/>
      <c r="Y898" s="94"/>
      <c r="Z898" s="93"/>
      <c r="AA898" s="85"/>
      <c r="AC898" s="94"/>
      <c r="AD898" s="93"/>
      <c r="AE898" s="85"/>
    </row>
    <row r="899" spans="6:31" x14ac:dyDescent="0.35">
      <c r="F899" s="93"/>
      <c r="G899" s="85"/>
      <c r="H899" s="87"/>
      <c r="M899" s="94"/>
      <c r="N899" s="93"/>
      <c r="O899" s="85"/>
      <c r="Q899" s="94"/>
      <c r="R899" s="93"/>
      <c r="S899" s="85"/>
      <c r="U899" s="94"/>
      <c r="V899" s="93"/>
      <c r="W899" s="85"/>
      <c r="Y899" s="94"/>
      <c r="Z899" s="93"/>
      <c r="AA899" s="85"/>
      <c r="AC899" s="94"/>
      <c r="AD899" s="93"/>
      <c r="AE899" s="85"/>
    </row>
    <row r="900" spans="6:31" x14ac:dyDescent="0.35">
      <c r="F900" s="93"/>
      <c r="G900" s="85"/>
      <c r="H900" s="87"/>
      <c r="M900" s="94"/>
      <c r="N900" s="93"/>
      <c r="O900" s="85"/>
      <c r="Q900" s="94"/>
      <c r="R900" s="93"/>
      <c r="S900" s="85"/>
      <c r="U900" s="94"/>
      <c r="V900" s="93"/>
      <c r="W900" s="85"/>
      <c r="Y900" s="94"/>
      <c r="Z900" s="93"/>
      <c r="AA900" s="85"/>
      <c r="AC900" s="94"/>
      <c r="AD900" s="93"/>
      <c r="AE900" s="85"/>
    </row>
    <row r="901" spans="6:31" x14ac:dyDescent="0.35">
      <c r="F901" s="93"/>
      <c r="G901" s="85"/>
      <c r="H901" s="87"/>
      <c r="M901" s="94"/>
      <c r="N901" s="93"/>
      <c r="O901" s="85"/>
      <c r="Q901" s="94"/>
      <c r="R901" s="93"/>
      <c r="S901" s="85"/>
      <c r="U901" s="94"/>
      <c r="V901" s="93"/>
      <c r="W901" s="85"/>
      <c r="Y901" s="94"/>
      <c r="Z901" s="93"/>
      <c r="AA901" s="85"/>
      <c r="AC901" s="94"/>
      <c r="AD901" s="93"/>
      <c r="AE901" s="85"/>
    </row>
    <row r="902" spans="6:31" x14ac:dyDescent="0.35">
      <c r="F902" s="93"/>
      <c r="G902" s="85"/>
      <c r="H902" s="87"/>
      <c r="M902" s="94"/>
      <c r="N902" s="93"/>
      <c r="O902" s="85"/>
      <c r="Q902" s="94"/>
      <c r="R902" s="93"/>
      <c r="S902" s="85"/>
      <c r="U902" s="94"/>
      <c r="V902" s="93"/>
      <c r="W902" s="85"/>
      <c r="Y902" s="94"/>
      <c r="Z902" s="93"/>
      <c r="AA902" s="85"/>
      <c r="AC902" s="94"/>
      <c r="AD902" s="93"/>
      <c r="AE902" s="85"/>
    </row>
    <row r="903" spans="6:31" x14ac:dyDescent="0.35">
      <c r="F903" s="93"/>
      <c r="G903" s="85"/>
      <c r="H903" s="87"/>
      <c r="M903" s="94"/>
      <c r="N903" s="93"/>
      <c r="O903" s="85"/>
      <c r="Q903" s="94"/>
      <c r="R903" s="93"/>
      <c r="S903" s="85"/>
      <c r="U903" s="94"/>
      <c r="V903" s="93"/>
      <c r="W903" s="85"/>
      <c r="Y903" s="94"/>
      <c r="Z903" s="93"/>
      <c r="AA903" s="85"/>
      <c r="AC903" s="94"/>
      <c r="AD903" s="93"/>
      <c r="AE903" s="85"/>
    </row>
    <row r="904" spans="6:31" x14ac:dyDescent="0.35">
      <c r="F904" s="93"/>
      <c r="G904" s="85"/>
      <c r="H904" s="87"/>
      <c r="M904" s="94"/>
      <c r="N904" s="93"/>
      <c r="O904" s="85"/>
      <c r="Q904" s="94"/>
      <c r="R904" s="93"/>
      <c r="S904" s="85"/>
      <c r="U904" s="94"/>
      <c r="V904" s="93"/>
      <c r="W904" s="85"/>
      <c r="Y904" s="94"/>
      <c r="Z904" s="93"/>
      <c r="AA904" s="85"/>
      <c r="AC904" s="94"/>
      <c r="AD904" s="93"/>
      <c r="AE904" s="85"/>
    </row>
    <row r="905" spans="6:31" x14ac:dyDescent="0.35">
      <c r="F905" s="93"/>
      <c r="G905" s="85"/>
      <c r="H905" s="87"/>
      <c r="M905" s="94"/>
      <c r="N905" s="93"/>
      <c r="O905" s="85"/>
      <c r="Q905" s="94"/>
      <c r="R905" s="93"/>
      <c r="S905" s="85"/>
      <c r="U905" s="94"/>
      <c r="V905" s="93"/>
      <c r="W905" s="85"/>
      <c r="Y905" s="94"/>
      <c r="Z905" s="93"/>
      <c r="AA905" s="85"/>
      <c r="AC905" s="94"/>
      <c r="AD905" s="93"/>
      <c r="AE905" s="85"/>
    </row>
    <row r="906" spans="6:31" x14ac:dyDescent="0.35">
      <c r="F906" s="93"/>
      <c r="G906" s="85"/>
      <c r="H906" s="87"/>
      <c r="M906" s="94"/>
      <c r="N906" s="93"/>
      <c r="O906" s="85"/>
      <c r="Q906" s="94"/>
      <c r="R906" s="93"/>
      <c r="S906" s="85"/>
      <c r="U906" s="94"/>
      <c r="V906" s="93"/>
      <c r="W906" s="85"/>
      <c r="Y906" s="94"/>
      <c r="Z906" s="93"/>
      <c r="AA906" s="85"/>
      <c r="AC906" s="94"/>
      <c r="AD906" s="93"/>
      <c r="AE906" s="85"/>
    </row>
    <row r="907" spans="6:31" x14ac:dyDescent="0.35">
      <c r="F907" s="93"/>
      <c r="G907" s="85"/>
      <c r="H907" s="87"/>
      <c r="M907" s="94"/>
      <c r="N907" s="93"/>
      <c r="O907" s="85"/>
      <c r="Q907" s="94"/>
      <c r="R907" s="93"/>
      <c r="S907" s="85"/>
      <c r="U907" s="94"/>
      <c r="V907" s="93"/>
      <c r="W907" s="85"/>
      <c r="Y907" s="94"/>
      <c r="Z907" s="93"/>
      <c r="AA907" s="85"/>
      <c r="AC907" s="94"/>
      <c r="AD907" s="93"/>
      <c r="AE907" s="85"/>
    </row>
    <row r="908" spans="6:31" x14ac:dyDescent="0.35">
      <c r="F908" s="93"/>
      <c r="G908" s="85"/>
      <c r="H908" s="87"/>
      <c r="M908" s="94"/>
      <c r="N908" s="93"/>
      <c r="O908" s="85"/>
      <c r="Q908" s="94"/>
      <c r="R908" s="93"/>
      <c r="S908" s="85"/>
      <c r="U908" s="94"/>
      <c r="V908" s="93"/>
      <c r="W908" s="85"/>
      <c r="Y908" s="94"/>
      <c r="Z908" s="93"/>
      <c r="AA908" s="85"/>
      <c r="AC908" s="94"/>
      <c r="AD908" s="93"/>
      <c r="AE908" s="85"/>
    </row>
    <row r="909" spans="6:31" x14ac:dyDescent="0.35">
      <c r="F909" s="93"/>
      <c r="G909" s="85"/>
      <c r="H909" s="87"/>
      <c r="M909" s="94"/>
      <c r="N909" s="93"/>
      <c r="O909" s="85"/>
      <c r="Q909" s="94"/>
      <c r="R909" s="93"/>
      <c r="S909" s="85"/>
      <c r="U909" s="94"/>
      <c r="V909" s="93"/>
      <c r="W909" s="85"/>
      <c r="Y909" s="94"/>
      <c r="Z909" s="93"/>
      <c r="AA909" s="85"/>
      <c r="AC909" s="94"/>
      <c r="AD909" s="93"/>
      <c r="AE909" s="85"/>
    </row>
    <row r="910" spans="6:31" x14ac:dyDescent="0.35">
      <c r="F910" s="93"/>
      <c r="G910" s="85"/>
      <c r="H910" s="87"/>
      <c r="M910" s="94"/>
      <c r="N910" s="93"/>
      <c r="O910" s="85"/>
      <c r="Q910" s="94"/>
      <c r="R910" s="93"/>
      <c r="S910" s="85"/>
      <c r="U910" s="94"/>
      <c r="V910" s="93"/>
      <c r="W910" s="85"/>
      <c r="Y910" s="94"/>
      <c r="Z910" s="93"/>
      <c r="AA910" s="85"/>
      <c r="AC910" s="94"/>
      <c r="AD910" s="93"/>
      <c r="AE910" s="85"/>
    </row>
    <row r="911" spans="6:31" x14ac:dyDescent="0.35">
      <c r="F911" s="93"/>
      <c r="G911" s="85"/>
      <c r="H911" s="87"/>
      <c r="M911" s="94"/>
      <c r="N911" s="93"/>
      <c r="O911" s="85"/>
      <c r="Q911" s="94"/>
      <c r="R911" s="93"/>
      <c r="S911" s="85"/>
      <c r="U911" s="94"/>
      <c r="V911" s="93"/>
      <c r="W911" s="85"/>
      <c r="Y911" s="94"/>
      <c r="Z911" s="93"/>
      <c r="AA911" s="85"/>
      <c r="AC911" s="94"/>
      <c r="AD911" s="93"/>
      <c r="AE911" s="85"/>
    </row>
    <row r="912" spans="6:31" x14ac:dyDescent="0.35">
      <c r="F912" s="93"/>
      <c r="G912" s="85"/>
      <c r="H912" s="87"/>
      <c r="M912" s="94"/>
      <c r="N912" s="93"/>
      <c r="O912" s="85"/>
      <c r="Q912" s="94"/>
      <c r="R912" s="93"/>
      <c r="S912" s="85"/>
      <c r="U912" s="94"/>
      <c r="V912" s="93"/>
      <c r="W912" s="85"/>
      <c r="Y912" s="94"/>
      <c r="Z912" s="93"/>
      <c r="AA912" s="85"/>
      <c r="AC912" s="94"/>
      <c r="AD912" s="93"/>
      <c r="AE912" s="85"/>
    </row>
    <row r="913" spans="6:31" x14ac:dyDescent="0.35">
      <c r="F913" s="93"/>
      <c r="G913" s="85"/>
      <c r="H913" s="87"/>
      <c r="M913" s="94"/>
      <c r="N913" s="93"/>
      <c r="O913" s="85"/>
      <c r="Q913" s="94"/>
      <c r="R913" s="93"/>
      <c r="S913" s="85"/>
      <c r="U913" s="94"/>
      <c r="V913" s="93"/>
      <c r="W913" s="85"/>
      <c r="Y913" s="94"/>
      <c r="Z913" s="93"/>
      <c r="AA913" s="85"/>
      <c r="AC913" s="94"/>
      <c r="AD913" s="93"/>
      <c r="AE913" s="85"/>
    </row>
    <row r="914" spans="6:31" x14ac:dyDescent="0.35">
      <c r="F914" s="93"/>
      <c r="G914" s="85"/>
      <c r="H914" s="87"/>
      <c r="M914" s="94"/>
      <c r="N914" s="93"/>
      <c r="O914" s="85"/>
      <c r="Q914" s="94"/>
      <c r="R914" s="93"/>
      <c r="S914" s="85"/>
      <c r="U914" s="94"/>
      <c r="V914" s="93"/>
      <c r="W914" s="85"/>
      <c r="Y914" s="94"/>
      <c r="Z914" s="93"/>
      <c r="AA914" s="85"/>
      <c r="AC914" s="94"/>
      <c r="AD914" s="93"/>
      <c r="AE914" s="85"/>
    </row>
    <row r="915" spans="6:31" x14ac:dyDescent="0.35">
      <c r="F915" s="93"/>
      <c r="G915" s="85"/>
      <c r="H915" s="87"/>
      <c r="M915" s="94"/>
      <c r="N915" s="93"/>
      <c r="O915" s="85"/>
      <c r="Q915" s="94"/>
      <c r="R915" s="93"/>
      <c r="S915" s="85"/>
      <c r="U915" s="94"/>
      <c r="V915" s="93"/>
      <c r="W915" s="85"/>
      <c r="Y915" s="94"/>
      <c r="Z915" s="93"/>
      <c r="AA915" s="85"/>
      <c r="AC915" s="94"/>
      <c r="AD915" s="93"/>
      <c r="AE915" s="85"/>
    </row>
    <row r="916" spans="6:31" x14ac:dyDescent="0.35">
      <c r="F916" s="93"/>
      <c r="G916" s="85"/>
      <c r="H916" s="87"/>
      <c r="M916" s="94"/>
      <c r="N916" s="93"/>
      <c r="O916" s="85"/>
      <c r="Q916" s="94"/>
      <c r="R916" s="93"/>
      <c r="S916" s="85"/>
      <c r="U916" s="94"/>
      <c r="V916" s="93"/>
      <c r="W916" s="85"/>
      <c r="Y916" s="94"/>
      <c r="Z916" s="93"/>
      <c r="AA916" s="85"/>
      <c r="AC916" s="94"/>
      <c r="AD916" s="93"/>
      <c r="AE916" s="85"/>
    </row>
    <row r="917" spans="6:31" x14ac:dyDescent="0.35">
      <c r="F917" s="93"/>
      <c r="G917" s="85"/>
      <c r="H917" s="87"/>
      <c r="M917" s="94"/>
      <c r="N917" s="93"/>
      <c r="O917" s="85"/>
      <c r="Q917" s="94"/>
      <c r="R917" s="93"/>
      <c r="S917" s="85"/>
      <c r="U917" s="94"/>
      <c r="V917" s="93"/>
      <c r="W917" s="85"/>
      <c r="Y917" s="94"/>
      <c r="Z917" s="93"/>
      <c r="AA917" s="85"/>
      <c r="AC917" s="94"/>
      <c r="AD917" s="93"/>
      <c r="AE917" s="85"/>
    </row>
    <row r="918" spans="6:31" x14ac:dyDescent="0.35">
      <c r="F918" s="93"/>
      <c r="G918" s="85"/>
      <c r="H918" s="87"/>
      <c r="M918" s="94"/>
      <c r="N918" s="93"/>
      <c r="O918" s="85"/>
      <c r="Q918" s="94"/>
      <c r="R918" s="93"/>
      <c r="S918" s="85"/>
      <c r="U918" s="94"/>
      <c r="V918" s="93"/>
      <c r="W918" s="85"/>
      <c r="Y918" s="94"/>
      <c r="Z918" s="93"/>
      <c r="AA918" s="85"/>
      <c r="AC918" s="94"/>
      <c r="AD918" s="93"/>
      <c r="AE918" s="85"/>
    </row>
    <row r="919" spans="6:31" x14ac:dyDescent="0.35">
      <c r="F919" s="93"/>
      <c r="G919" s="85"/>
      <c r="H919" s="87"/>
      <c r="M919" s="94"/>
      <c r="N919" s="93"/>
      <c r="O919" s="85"/>
      <c r="Q919" s="94"/>
      <c r="R919" s="93"/>
      <c r="S919" s="85"/>
      <c r="U919" s="94"/>
      <c r="V919" s="93"/>
      <c r="W919" s="85"/>
      <c r="Y919" s="94"/>
      <c r="Z919" s="93"/>
      <c r="AA919" s="85"/>
      <c r="AC919" s="94"/>
      <c r="AD919" s="93"/>
      <c r="AE919" s="85"/>
    </row>
    <row r="920" spans="6:31" x14ac:dyDescent="0.35">
      <c r="F920" s="93"/>
      <c r="G920" s="85"/>
      <c r="H920" s="87"/>
      <c r="M920" s="94"/>
      <c r="N920" s="93"/>
      <c r="O920" s="85"/>
      <c r="Q920" s="94"/>
      <c r="R920" s="93"/>
      <c r="S920" s="85"/>
      <c r="U920" s="94"/>
      <c r="V920" s="93"/>
      <c r="W920" s="85"/>
      <c r="Y920" s="94"/>
      <c r="Z920" s="93"/>
      <c r="AA920" s="85"/>
      <c r="AC920" s="94"/>
      <c r="AD920" s="93"/>
      <c r="AE920" s="85"/>
    </row>
    <row r="921" spans="6:31" x14ac:dyDescent="0.35">
      <c r="F921" s="93"/>
      <c r="G921" s="85"/>
      <c r="H921" s="87"/>
      <c r="M921" s="94"/>
      <c r="N921" s="93"/>
      <c r="O921" s="85"/>
      <c r="Q921" s="94"/>
      <c r="R921" s="93"/>
      <c r="S921" s="85"/>
      <c r="U921" s="94"/>
      <c r="V921" s="93"/>
      <c r="W921" s="85"/>
      <c r="Y921" s="94"/>
      <c r="Z921" s="93"/>
      <c r="AA921" s="85"/>
      <c r="AC921" s="94"/>
      <c r="AD921" s="93"/>
      <c r="AE921" s="85"/>
    </row>
    <row r="922" spans="6:31" x14ac:dyDescent="0.35">
      <c r="F922" s="93"/>
      <c r="G922" s="85"/>
      <c r="H922" s="87"/>
      <c r="M922" s="94"/>
      <c r="N922" s="93"/>
      <c r="O922" s="85"/>
      <c r="Q922" s="94"/>
      <c r="R922" s="93"/>
      <c r="S922" s="85"/>
      <c r="U922" s="94"/>
      <c r="V922" s="93"/>
      <c r="W922" s="85"/>
      <c r="Y922" s="94"/>
      <c r="Z922" s="93"/>
      <c r="AA922" s="85"/>
      <c r="AC922" s="94"/>
      <c r="AD922" s="93"/>
      <c r="AE922" s="85"/>
    </row>
    <row r="923" spans="6:31" x14ac:dyDescent="0.35">
      <c r="F923" s="93"/>
      <c r="G923" s="85"/>
      <c r="H923" s="87"/>
      <c r="M923" s="94"/>
      <c r="N923" s="93"/>
      <c r="O923" s="85"/>
      <c r="Q923" s="94"/>
      <c r="R923" s="93"/>
      <c r="S923" s="85"/>
      <c r="U923" s="94"/>
      <c r="V923" s="93"/>
      <c r="W923" s="85"/>
      <c r="Y923" s="94"/>
      <c r="Z923" s="93"/>
      <c r="AA923" s="85"/>
      <c r="AC923" s="94"/>
      <c r="AD923" s="93"/>
      <c r="AE923" s="85"/>
    </row>
    <row r="924" spans="6:31" x14ac:dyDescent="0.35">
      <c r="F924" s="93"/>
      <c r="G924" s="85"/>
      <c r="H924" s="87"/>
      <c r="M924" s="94"/>
      <c r="N924" s="93"/>
      <c r="O924" s="85"/>
      <c r="Q924" s="94"/>
      <c r="R924" s="93"/>
      <c r="S924" s="85"/>
      <c r="U924" s="94"/>
      <c r="V924" s="93"/>
      <c r="W924" s="85"/>
      <c r="Y924" s="94"/>
      <c r="Z924" s="93"/>
      <c r="AA924" s="85"/>
      <c r="AC924" s="94"/>
      <c r="AD924" s="93"/>
      <c r="AE924" s="85"/>
    </row>
    <row r="925" spans="6:31" x14ac:dyDescent="0.35">
      <c r="F925" s="93"/>
      <c r="G925" s="85"/>
      <c r="H925" s="87"/>
      <c r="M925" s="94"/>
      <c r="N925" s="93"/>
      <c r="O925" s="85"/>
      <c r="Q925" s="94"/>
      <c r="R925" s="93"/>
      <c r="S925" s="85"/>
      <c r="U925" s="94"/>
      <c r="V925" s="93"/>
      <c r="W925" s="85"/>
      <c r="Y925" s="94"/>
      <c r="Z925" s="93"/>
      <c r="AA925" s="85"/>
      <c r="AC925" s="94"/>
      <c r="AD925" s="93"/>
      <c r="AE925" s="85"/>
    </row>
    <row r="926" spans="6:31" x14ac:dyDescent="0.35">
      <c r="F926" s="93"/>
      <c r="G926" s="85"/>
      <c r="H926" s="87"/>
      <c r="M926" s="94"/>
      <c r="N926" s="93"/>
      <c r="O926" s="85"/>
      <c r="Q926" s="94"/>
      <c r="R926" s="93"/>
      <c r="S926" s="85"/>
      <c r="U926" s="94"/>
      <c r="V926" s="93"/>
      <c r="W926" s="85"/>
      <c r="Y926" s="94"/>
      <c r="Z926" s="93"/>
      <c r="AA926" s="85"/>
      <c r="AC926" s="94"/>
      <c r="AD926" s="93"/>
      <c r="AE926" s="85"/>
    </row>
    <row r="927" spans="6:31" x14ac:dyDescent="0.35">
      <c r="F927" s="93"/>
      <c r="G927" s="85"/>
      <c r="H927" s="87"/>
      <c r="M927" s="94"/>
      <c r="N927" s="93"/>
      <c r="O927" s="85"/>
      <c r="Q927" s="94"/>
      <c r="R927" s="93"/>
      <c r="S927" s="85"/>
      <c r="U927" s="94"/>
      <c r="V927" s="93"/>
      <c r="W927" s="85"/>
      <c r="Y927" s="94"/>
      <c r="Z927" s="93"/>
      <c r="AA927" s="85"/>
      <c r="AC927" s="94"/>
      <c r="AD927" s="93"/>
      <c r="AE927" s="85"/>
    </row>
    <row r="928" spans="6:31" x14ac:dyDescent="0.35">
      <c r="F928" s="93"/>
      <c r="G928" s="85"/>
      <c r="H928" s="87"/>
      <c r="M928" s="94"/>
      <c r="N928" s="93"/>
      <c r="O928" s="85"/>
      <c r="Q928" s="94"/>
      <c r="R928" s="93"/>
      <c r="S928" s="85"/>
      <c r="U928" s="94"/>
      <c r="V928" s="93"/>
      <c r="W928" s="85"/>
      <c r="Y928" s="94"/>
      <c r="Z928" s="93"/>
      <c r="AA928" s="85"/>
      <c r="AC928" s="94"/>
      <c r="AD928" s="93"/>
      <c r="AE928" s="85"/>
    </row>
    <row r="929" spans="6:31" x14ac:dyDescent="0.35">
      <c r="F929" s="93"/>
      <c r="G929" s="85"/>
      <c r="H929" s="87"/>
      <c r="M929" s="94"/>
      <c r="N929" s="93"/>
      <c r="O929" s="85"/>
      <c r="Q929" s="94"/>
      <c r="R929" s="93"/>
      <c r="S929" s="85"/>
      <c r="U929" s="94"/>
      <c r="V929" s="93"/>
      <c r="W929" s="85"/>
      <c r="Y929" s="94"/>
      <c r="Z929" s="93"/>
      <c r="AA929" s="85"/>
      <c r="AC929" s="94"/>
      <c r="AD929" s="93"/>
      <c r="AE929" s="85"/>
    </row>
    <row r="930" spans="6:31" x14ac:dyDescent="0.35">
      <c r="F930" s="93"/>
      <c r="G930" s="85"/>
      <c r="H930" s="87"/>
      <c r="M930" s="94"/>
      <c r="N930" s="93"/>
      <c r="O930" s="85"/>
      <c r="Q930" s="94"/>
      <c r="R930" s="93"/>
      <c r="S930" s="85"/>
      <c r="U930" s="94"/>
      <c r="V930" s="93"/>
      <c r="W930" s="85"/>
      <c r="Y930" s="94"/>
      <c r="Z930" s="93"/>
      <c r="AA930" s="85"/>
      <c r="AC930" s="94"/>
      <c r="AD930" s="93"/>
      <c r="AE930" s="85"/>
    </row>
    <row r="931" spans="6:31" x14ac:dyDescent="0.35">
      <c r="F931" s="93"/>
      <c r="G931" s="85"/>
      <c r="H931" s="87"/>
      <c r="M931" s="94"/>
      <c r="N931" s="93"/>
      <c r="O931" s="85"/>
      <c r="Q931" s="94"/>
      <c r="R931" s="93"/>
      <c r="S931" s="85"/>
      <c r="U931" s="94"/>
      <c r="V931" s="93"/>
      <c r="W931" s="85"/>
      <c r="Y931" s="94"/>
      <c r="Z931" s="93"/>
      <c r="AA931" s="85"/>
      <c r="AC931" s="94"/>
      <c r="AD931" s="93"/>
      <c r="AE931" s="85"/>
    </row>
    <row r="932" spans="6:31" x14ac:dyDescent="0.35">
      <c r="F932" s="93"/>
      <c r="G932" s="85"/>
      <c r="H932" s="87"/>
      <c r="M932" s="94"/>
      <c r="N932" s="93"/>
      <c r="O932" s="85"/>
      <c r="Q932" s="94"/>
      <c r="R932" s="93"/>
      <c r="S932" s="85"/>
      <c r="U932" s="94"/>
      <c r="V932" s="93"/>
      <c r="W932" s="85"/>
      <c r="Y932" s="94"/>
      <c r="Z932" s="93"/>
      <c r="AA932" s="85"/>
      <c r="AC932" s="94"/>
      <c r="AD932" s="93"/>
      <c r="AE932" s="85"/>
    </row>
    <row r="933" spans="6:31" x14ac:dyDescent="0.35">
      <c r="F933" s="93"/>
      <c r="G933" s="85"/>
      <c r="H933" s="87"/>
      <c r="M933" s="94"/>
      <c r="N933" s="93"/>
      <c r="O933" s="85"/>
      <c r="Q933" s="94"/>
      <c r="R933" s="93"/>
      <c r="S933" s="85"/>
      <c r="U933" s="94"/>
      <c r="V933" s="93"/>
      <c r="W933" s="85"/>
      <c r="Y933" s="94"/>
      <c r="Z933" s="93"/>
      <c r="AA933" s="85"/>
      <c r="AC933" s="94"/>
      <c r="AD933" s="93"/>
      <c r="AE933" s="85"/>
    </row>
    <row r="934" spans="6:31" x14ac:dyDescent="0.35">
      <c r="F934" s="93"/>
      <c r="G934" s="85"/>
      <c r="H934" s="87"/>
      <c r="M934" s="94"/>
      <c r="N934" s="93"/>
      <c r="O934" s="85"/>
      <c r="Q934" s="94"/>
      <c r="R934" s="93"/>
      <c r="S934" s="85"/>
      <c r="U934" s="94"/>
      <c r="V934" s="93"/>
      <c r="W934" s="85"/>
      <c r="Y934" s="94"/>
      <c r="Z934" s="93"/>
      <c r="AA934" s="85"/>
      <c r="AC934" s="94"/>
      <c r="AD934" s="93"/>
      <c r="AE934" s="85"/>
    </row>
    <row r="935" spans="6:31" x14ac:dyDescent="0.35">
      <c r="F935" s="93"/>
      <c r="G935" s="85"/>
      <c r="H935" s="87"/>
      <c r="M935" s="94"/>
      <c r="N935" s="93"/>
      <c r="O935" s="85"/>
      <c r="Q935" s="94"/>
      <c r="R935" s="93"/>
      <c r="S935" s="85"/>
      <c r="U935" s="94"/>
      <c r="V935" s="93"/>
      <c r="W935" s="85"/>
      <c r="Y935" s="94"/>
      <c r="Z935" s="93"/>
      <c r="AA935" s="85"/>
      <c r="AC935" s="94"/>
      <c r="AD935" s="93"/>
      <c r="AE935" s="85"/>
    </row>
    <row r="936" spans="6:31" x14ac:dyDescent="0.35">
      <c r="F936" s="93"/>
      <c r="G936" s="85"/>
      <c r="H936" s="87"/>
      <c r="M936" s="94"/>
      <c r="N936" s="93"/>
      <c r="O936" s="85"/>
      <c r="Q936" s="94"/>
      <c r="R936" s="93"/>
      <c r="S936" s="85"/>
      <c r="U936" s="94"/>
      <c r="V936" s="93"/>
      <c r="W936" s="85"/>
      <c r="Y936" s="94"/>
      <c r="Z936" s="93"/>
      <c r="AA936" s="85"/>
      <c r="AC936" s="94"/>
      <c r="AD936" s="93"/>
      <c r="AE936" s="85"/>
    </row>
    <row r="937" spans="6:31" x14ac:dyDescent="0.35">
      <c r="F937" s="93"/>
      <c r="G937" s="85"/>
      <c r="H937" s="87"/>
      <c r="M937" s="94"/>
      <c r="N937" s="93"/>
      <c r="O937" s="85"/>
      <c r="Q937" s="94"/>
      <c r="R937" s="93"/>
      <c r="S937" s="85"/>
      <c r="U937" s="94"/>
      <c r="V937" s="93"/>
      <c r="W937" s="85"/>
      <c r="Y937" s="94"/>
      <c r="Z937" s="93"/>
      <c r="AA937" s="85"/>
      <c r="AC937" s="94"/>
      <c r="AD937" s="93"/>
      <c r="AE937" s="85"/>
    </row>
    <row r="938" spans="6:31" x14ac:dyDescent="0.35">
      <c r="F938" s="93"/>
      <c r="G938" s="85"/>
      <c r="H938" s="87"/>
      <c r="M938" s="94"/>
      <c r="N938" s="93"/>
      <c r="O938" s="85"/>
      <c r="Q938" s="94"/>
      <c r="R938" s="93"/>
      <c r="S938" s="85"/>
      <c r="U938" s="94"/>
      <c r="V938" s="93"/>
      <c r="W938" s="85"/>
      <c r="Y938" s="94"/>
      <c r="Z938" s="93"/>
      <c r="AA938" s="85"/>
      <c r="AC938" s="94"/>
      <c r="AD938" s="93"/>
      <c r="AE938" s="85"/>
    </row>
    <row r="939" spans="6:31" x14ac:dyDescent="0.35">
      <c r="F939" s="93"/>
      <c r="G939" s="85"/>
      <c r="H939" s="87"/>
      <c r="M939" s="94"/>
      <c r="N939" s="93"/>
      <c r="O939" s="85"/>
      <c r="Q939" s="94"/>
      <c r="R939" s="93"/>
      <c r="S939" s="85"/>
      <c r="U939" s="94"/>
      <c r="V939" s="93"/>
      <c r="W939" s="85"/>
      <c r="Y939" s="94"/>
      <c r="Z939" s="93"/>
      <c r="AA939" s="85"/>
      <c r="AC939" s="94"/>
      <c r="AD939" s="93"/>
      <c r="AE939" s="85"/>
    </row>
    <row r="940" spans="6:31" x14ac:dyDescent="0.35">
      <c r="F940" s="93"/>
      <c r="G940" s="85"/>
      <c r="H940" s="87"/>
      <c r="M940" s="94"/>
      <c r="N940" s="93"/>
      <c r="O940" s="85"/>
      <c r="Q940" s="94"/>
      <c r="R940" s="93"/>
      <c r="S940" s="85"/>
      <c r="U940" s="94"/>
      <c r="V940" s="93"/>
      <c r="W940" s="85"/>
      <c r="Y940" s="94"/>
      <c r="Z940" s="93"/>
      <c r="AA940" s="85"/>
      <c r="AC940" s="94"/>
      <c r="AD940" s="93"/>
      <c r="AE940" s="85"/>
    </row>
    <row r="941" spans="6:31" x14ac:dyDescent="0.35">
      <c r="F941" s="93"/>
      <c r="G941" s="85"/>
      <c r="H941" s="87"/>
      <c r="M941" s="94"/>
      <c r="N941" s="93"/>
      <c r="O941" s="85"/>
      <c r="Q941" s="94"/>
      <c r="R941" s="93"/>
      <c r="S941" s="85"/>
      <c r="U941" s="94"/>
      <c r="V941" s="93"/>
      <c r="W941" s="85"/>
      <c r="Y941" s="94"/>
      <c r="Z941" s="93"/>
      <c r="AA941" s="85"/>
      <c r="AC941" s="94"/>
      <c r="AD941" s="93"/>
      <c r="AE941" s="85"/>
    </row>
    <row r="942" spans="6:31" x14ac:dyDescent="0.35">
      <c r="F942" s="93"/>
      <c r="G942" s="85"/>
      <c r="H942" s="87"/>
      <c r="M942" s="94"/>
      <c r="N942" s="93"/>
      <c r="O942" s="85"/>
      <c r="Q942" s="94"/>
      <c r="R942" s="93"/>
      <c r="S942" s="85"/>
      <c r="U942" s="94"/>
      <c r="V942" s="93"/>
      <c r="W942" s="85"/>
      <c r="Y942" s="94"/>
      <c r="Z942" s="93"/>
      <c r="AA942" s="85"/>
      <c r="AC942" s="94"/>
      <c r="AD942" s="93"/>
      <c r="AE942" s="85"/>
    </row>
    <row r="943" spans="6:31" x14ac:dyDescent="0.35">
      <c r="F943" s="93"/>
      <c r="G943" s="85"/>
      <c r="H943" s="87"/>
      <c r="M943" s="94"/>
      <c r="N943" s="93"/>
      <c r="O943" s="85"/>
      <c r="Q943" s="94"/>
      <c r="R943" s="93"/>
      <c r="S943" s="85"/>
      <c r="U943" s="94"/>
      <c r="V943" s="93"/>
      <c r="W943" s="85"/>
      <c r="Y943" s="94"/>
      <c r="Z943" s="93"/>
      <c r="AA943" s="85"/>
      <c r="AC943" s="94"/>
      <c r="AD943" s="93"/>
      <c r="AE943" s="85"/>
    </row>
    <row r="944" spans="6:31" x14ac:dyDescent="0.35">
      <c r="F944" s="93"/>
      <c r="G944" s="85"/>
      <c r="H944" s="87"/>
      <c r="M944" s="94"/>
      <c r="N944" s="93"/>
      <c r="O944" s="85"/>
      <c r="Q944" s="94"/>
      <c r="R944" s="93"/>
      <c r="S944" s="85"/>
      <c r="U944" s="94"/>
      <c r="V944" s="93"/>
      <c r="W944" s="85"/>
      <c r="Y944" s="94"/>
      <c r="Z944" s="93"/>
      <c r="AA944" s="85"/>
      <c r="AC944" s="94"/>
      <c r="AD944" s="93"/>
      <c r="AE944" s="85"/>
    </row>
    <row r="945" spans="6:31" x14ac:dyDescent="0.35">
      <c r="F945" s="93"/>
      <c r="G945" s="85"/>
      <c r="H945" s="87"/>
      <c r="M945" s="94"/>
      <c r="N945" s="93"/>
      <c r="O945" s="85"/>
      <c r="Q945" s="94"/>
      <c r="R945" s="93"/>
      <c r="S945" s="85"/>
      <c r="U945" s="94"/>
      <c r="V945" s="93"/>
      <c r="W945" s="85"/>
      <c r="Y945" s="94"/>
      <c r="Z945" s="93"/>
      <c r="AA945" s="85"/>
      <c r="AC945" s="94"/>
      <c r="AD945" s="93"/>
      <c r="AE945" s="85"/>
    </row>
    <row r="946" spans="6:31" x14ac:dyDescent="0.35">
      <c r="F946" s="93"/>
      <c r="G946" s="85"/>
      <c r="H946" s="87"/>
      <c r="M946" s="94"/>
      <c r="N946" s="93"/>
      <c r="O946" s="85"/>
      <c r="Q946" s="94"/>
      <c r="R946" s="93"/>
      <c r="S946" s="85"/>
      <c r="U946" s="94"/>
      <c r="V946" s="93"/>
      <c r="W946" s="85"/>
      <c r="Y946" s="94"/>
      <c r="Z946" s="93"/>
      <c r="AA946" s="85"/>
      <c r="AC946" s="94"/>
      <c r="AD946" s="93"/>
      <c r="AE946" s="85"/>
    </row>
    <row r="947" spans="6:31" x14ac:dyDescent="0.35">
      <c r="F947" s="93"/>
      <c r="G947" s="85"/>
      <c r="H947" s="87"/>
      <c r="M947" s="94"/>
      <c r="N947" s="93"/>
      <c r="O947" s="85"/>
      <c r="Q947" s="94"/>
      <c r="R947" s="93"/>
      <c r="S947" s="85"/>
      <c r="U947" s="94"/>
      <c r="V947" s="93"/>
      <c r="W947" s="85"/>
      <c r="Y947" s="94"/>
      <c r="Z947" s="93"/>
      <c r="AA947" s="85"/>
      <c r="AC947" s="94"/>
      <c r="AD947" s="93"/>
      <c r="AE947" s="85"/>
    </row>
    <row r="948" spans="6:31" x14ac:dyDescent="0.35">
      <c r="F948" s="93"/>
      <c r="G948" s="85"/>
      <c r="H948" s="87"/>
      <c r="M948" s="94"/>
      <c r="N948" s="93"/>
      <c r="O948" s="85"/>
      <c r="Q948" s="94"/>
      <c r="R948" s="93"/>
      <c r="S948" s="85"/>
      <c r="U948" s="94"/>
      <c r="V948" s="93"/>
      <c r="W948" s="85"/>
      <c r="Y948" s="94"/>
      <c r="Z948" s="93"/>
      <c r="AA948" s="85"/>
      <c r="AC948" s="94"/>
      <c r="AD948" s="93"/>
      <c r="AE948" s="85"/>
    </row>
    <row r="949" spans="6:31" x14ac:dyDescent="0.35">
      <c r="F949" s="93"/>
      <c r="G949" s="85"/>
      <c r="H949" s="87"/>
      <c r="M949" s="94"/>
      <c r="N949" s="93"/>
      <c r="O949" s="85"/>
      <c r="Q949" s="94"/>
      <c r="R949" s="93"/>
      <c r="S949" s="85"/>
      <c r="U949" s="94"/>
      <c r="V949" s="93"/>
      <c r="W949" s="85"/>
      <c r="Y949" s="94"/>
      <c r="Z949" s="93"/>
      <c r="AA949" s="85"/>
      <c r="AC949" s="94"/>
      <c r="AD949" s="93"/>
      <c r="AE949" s="85"/>
    </row>
    <row r="950" spans="6:31" x14ac:dyDescent="0.35">
      <c r="F950" s="93"/>
      <c r="G950" s="85"/>
      <c r="H950" s="87"/>
      <c r="M950" s="94"/>
      <c r="N950" s="93"/>
      <c r="O950" s="85"/>
      <c r="Q950" s="94"/>
      <c r="R950" s="93"/>
      <c r="S950" s="85"/>
      <c r="U950" s="94"/>
      <c r="V950" s="93"/>
      <c r="W950" s="85"/>
      <c r="Y950" s="94"/>
      <c r="Z950" s="93"/>
      <c r="AA950" s="85"/>
      <c r="AC950" s="94"/>
      <c r="AD950" s="93"/>
      <c r="AE950" s="85"/>
    </row>
    <row r="951" spans="6:31" x14ac:dyDescent="0.35">
      <c r="F951" s="93"/>
      <c r="G951" s="85"/>
      <c r="H951" s="87"/>
      <c r="M951" s="94"/>
      <c r="N951" s="93"/>
      <c r="O951" s="85"/>
      <c r="Q951" s="94"/>
      <c r="R951" s="93"/>
      <c r="S951" s="85"/>
      <c r="U951" s="94"/>
      <c r="V951" s="93"/>
      <c r="W951" s="85"/>
      <c r="Y951" s="94"/>
      <c r="Z951" s="93"/>
      <c r="AA951" s="85"/>
      <c r="AC951" s="94"/>
      <c r="AD951" s="93"/>
      <c r="AE951" s="85"/>
    </row>
    <row r="952" spans="6:31" x14ac:dyDescent="0.35">
      <c r="F952" s="93"/>
      <c r="G952" s="85"/>
      <c r="H952" s="87"/>
      <c r="M952" s="94"/>
      <c r="N952" s="93"/>
      <c r="O952" s="85"/>
      <c r="Q952" s="94"/>
      <c r="R952" s="93"/>
      <c r="S952" s="85"/>
      <c r="U952" s="94"/>
      <c r="V952" s="93"/>
      <c r="W952" s="85"/>
      <c r="Y952" s="94"/>
      <c r="Z952" s="93"/>
      <c r="AA952" s="85"/>
      <c r="AC952" s="94"/>
      <c r="AD952" s="93"/>
      <c r="AE952" s="85"/>
    </row>
    <row r="953" spans="6:31" x14ac:dyDescent="0.35">
      <c r="F953" s="93"/>
      <c r="G953" s="85"/>
      <c r="H953" s="87"/>
      <c r="M953" s="94"/>
      <c r="N953" s="93"/>
      <c r="O953" s="85"/>
      <c r="Q953" s="94"/>
      <c r="R953" s="93"/>
      <c r="S953" s="85"/>
      <c r="U953" s="94"/>
      <c r="V953" s="93"/>
      <c r="W953" s="85"/>
      <c r="Y953" s="94"/>
      <c r="Z953" s="93"/>
      <c r="AA953" s="85"/>
      <c r="AC953" s="94"/>
      <c r="AD953" s="93"/>
      <c r="AE953" s="85"/>
    </row>
    <row r="954" spans="6:31" x14ac:dyDescent="0.35">
      <c r="F954" s="93"/>
      <c r="G954" s="85"/>
      <c r="H954" s="87"/>
      <c r="M954" s="94"/>
      <c r="N954" s="93"/>
      <c r="O954" s="85"/>
      <c r="Q954" s="94"/>
      <c r="R954" s="93"/>
      <c r="S954" s="85"/>
      <c r="U954" s="94"/>
      <c r="V954" s="93"/>
      <c r="W954" s="85"/>
      <c r="Y954" s="94"/>
      <c r="Z954" s="93"/>
      <c r="AA954" s="85"/>
      <c r="AC954" s="94"/>
      <c r="AD954" s="93"/>
      <c r="AE954" s="85"/>
    </row>
    <row r="955" spans="6:31" x14ac:dyDescent="0.35">
      <c r="F955" s="93"/>
      <c r="G955" s="85"/>
      <c r="H955" s="87"/>
      <c r="M955" s="94"/>
      <c r="N955" s="93"/>
      <c r="O955" s="85"/>
      <c r="Q955" s="94"/>
      <c r="R955" s="93"/>
      <c r="S955" s="85"/>
      <c r="U955" s="94"/>
      <c r="V955" s="93"/>
      <c r="W955" s="85"/>
      <c r="Y955" s="94"/>
      <c r="Z955" s="93"/>
      <c r="AA955" s="85"/>
      <c r="AC955" s="94"/>
      <c r="AD955" s="93"/>
      <c r="AE955" s="85"/>
    </row>
    <row r="956" spans="6:31" x14ac:dyDescent="0.35">
      <c r="F956" s="93"/>
      <c r="G956" s="85"/>
      <c r="H956" s="87"/>
      <c r="M956" s="94"/>
      <c r="N956" s="93"/>
      <c r="O956" s="85"/>
      <c r="Q956" s="94"/>
      <c r="R956" s="93"/>
      <c r="S956" s="85"/>
      <c r="U956" s="94"/>
      <c r="V956" s="93"/>
      <c r="W956" s="85"/>
      <c r="Y956" s="94"/>
      <c r="Z956" s="93"/>
      <c r="AA956" s="85"/>
      <c r="AC956" s="94"/>
      <c r="AD956" s="93"/>
      <c r="AE956" s="85"/>
    </row>
    <row r="957" spans="6:31" x14ac:dyDescent="0.35">
      <c r="F957" s="93"/>
      <c r="G957" s="85"/>
      <c r="H957" s="87"/>
      <c r="M957" s="94"/>
      <c r="N957" s="93"/>
      <c r="O957" s="85"/>
      <c r="Q957" s="94"/>
      <c r="R957" s="93"/>
      <c r="S957" s="85"/>
      <c r="U957" s="94"/>
      <c r="V957" s="93"/>
      <c r="W957" s="85"/>
      <c r="Y957" s="94"/>
      <c r="Z957" s="93"/>
      <c r="AA957" s="85"/>
      <c r="AC957" s="94"/>
      <c r="AD957" s="93"/>
      <c r="AE957" s="85"/>
    </row>
    <row r="958" spans="6:31" x14ac:dyDescent="0.35">
      <c r="F958" s="93"/>
      <c r="G958" s="85"/>
      <c r="H958" s="87"/>
      <c r="M958" s="94"/>
      <c r="N958" s="93"/>
      <c r="O958" s="85"/>
      <c r="Q958" s="94"/>
      <c r="R958" s="93"/>
      <c r="S958" s="85"/>
      <c r="U958" s="94"/>
      <c r="V958" s="93"/>
      <c r="W958" s="85"/>
      <c r="Y958" s="94"/>
      <c r="Z958" s="93"/>
      <c r="AA958" s="85"/>
      <c r="AC958" s="94"/>
      <c r="AD958" s="93"/>
      <c r="AE958" s="85"/>
    </row>
    <row r="959" spans="6:31" x14ac:dyDescent="0.35">
      <c r="F959" s="93"/>
      <c r="G959" s="85"/>
      <c r="H959" s="87"/>
      <c r="M959" s="94"/>
      <c r="N959" s="93"/>
      <c r="O959" s="85"/>
      <c r="Q959" s="94"/>
      <c r="R959" s="93"/>
      <c r="S959" s="85"/>
      <c r="U959" s="94"/>
      <c r="V959" s="93"/>
      <c r="W959" s="85"/>
      <c r="Y959" s="94"/>
      <c r="Z959" s="93"/>
      <c r="AA959" s="85"/>
      <c r="AC959" s="94"/>
      <c r="AD959" s="93"/>
      <c r="AE959" s="85"/>
    </row>
    <row r="960" spans="6:31" x14ac:dyDescent="0.35">
      <c r="F960" s="93"/>
      <c r="G960" s="85"/>
      <c r="H960" s="87"/>
      <c r="M960" s="94"/>
      <c r="N960" s="93"/>
      <c r="O960" s="85"/>
      <c r="Q960" s="94"/>
      <c r="R960" s="93"/>
      <c r="S960" s="85"/>
      <c r="U960" s="94"/>
      <c r="V960" s="93"/>
      <c r="W960" s="85"/>
      <c r="Y960" s="94"/>
      <c r="Z960" s="93"/>
      <c r="AA960" s="85"/>
      <c r="AC960" s="94"/>
      <c r="AD960" s="93"/>
      <c r="AE960" s="85"/>
    </row>
    <row r="961" spans="6:31" x14ac:dyDescent="0.35">
      <c r="F961" s="93"/>
      <c r="G961" s="85"/>
      <c r="H961" s="87"/>
      <c r="M961" s="94"/>
      <c r="N961" s="93"/>
      <c r="O961" s="85"/>
      <c r="Q961" s="94"/>
      <c r="R961" s="93"/>
      <c r="S961" s="85"/>
      <c r="U961" s="94"/>
      <c r="V961" s="93"/>
      <c r="W961" s="85"/>
      <c r="Y961" s="94"/>
      <c r="Z961" s="93"/>
      <c r="AA961" s="85"/>
      <c r="AC961" s="94"/>
      <c r="AD961" s="93"/>
      <c r="AE961" s="85"/>
    </row>
    <row r="962" spans="6:31" x14ac:dyDescent="0.35">
      <c r="F962" s="93"/>
      <c r="G962" s="85"/>
      <c r="H962" s="87"/>
      <c r="M962" s="94"/>
      <c r="N962" s="93"/>
      <c r="O962" s="85"/>
      <c r="Q962" s="94"/>
      <c r="R962" s="93"/>
      <c r="S962" s="85"/>
      <c r="U962" s="94"/>
      <c r="V962" s="93"/>
      <c r="W962" s="85"/>
      <c r="Y962" s="94"/>
      <c r="Z962" s="93"/>
      <c r="AA962" s="85"/>
      <c r="AC962" s="94"/>
      <c r="AD962" s="93"/>
      <c r="AE962" s="85"/>
    </row>
    <row r="963" spans="6:31" x14ac:dyDescent="0.35">
      <c r="F963" s="93"/>
      <c r="G963" s="85"/>
      <c r="H963" s="87"/>
      <c r="M963" s="94"/>
      <c r="N963" s="93"/>
      <c r="O963" s="85"/>
      <c r="Q963" s="94"/>
      <c r="R963" s="93"/>
      <c r="S963" s="85"/>
      <c r="U963" s="94"/>
      <c r="V963" s="93"/>
      <c r="W963" s="85"/>
      <c r="Y963" s="94"/>
      <c r="Z963" s="93"/>
      <c r="AA963" s="85"/>
      <c r="AC963" s="94"/>
      <c r="AD963" s="93"/>
      <c r="AE963" s="85"/>
    </row>
    <row r="964" spans="6:31" x14ac:dyDescent="0.35">
      <c r="F964" s="93"/>
      <c r="G964" s="85"/>
      <c r="H964" s="87"/>
      <c r="M964" s="94"/>
      <c r="N964" s="93"/>
      <c r="O964" s="85"/>
      <c r="Q964" s="94"/>
      <c r="R964" s="93"/>
      <c r="S964" s="85"/>
      <c r="U964" s="94"/>
      <c r="V964" s="93"/>
      <c r="W964" s="85"/>
      <c r="Y964" s="94"/>
      <c r="Z964" s="93"/>
      <c r="AA964" s="85"/>
      <c r="AC964" s="94"/>
      <c r="AD964" s="93"/>
      <c r="AE964" s="85"/>
    </row>
    <row r="965" spans="6:31" x14ac:dyDescent="0.35">
      <c r="F965" s="93"/>
      <c r="G965" s="85"/>
      <c r="H965" s="87"/>
      <c r="M965" s="94"/>
      <c r="N965" s="93"/>
      <c r="O965" s="85"/>
      <c r="Q965" s="94"/>
      <c r="R965" s="93"/>
      <c r="S965" s="85"/>
      <c r="U965" s="94"/>
      <c r="V965" s="93"/>
      <c r="W965" s="85"/>
      <c r="Y965" s="94"/>
      <c r="Z965" s="93"/>
      <c r="AA965" s="85"/>
      <c r="AC965" s="94"/>
      <c r="AD965" s="93"/>
      <c r="AE965" s="85"/>
    </row>
    <row r="966" spans="6:31" x14ac:dyDescent="0.35">
      <c r="F966" s="93"/>
      <c r="G966" s="85"/>
      <c r="H966" s="87"/>
      <c r="M966" s="94"/>
      <c r="N966" s="93"/>
      <c r="O966" s="85"/>
      <c r="Q966" s="94"/>
      <c r="R966" s="93"/>
      <c r="S966" s="85"/>
      <c r="U966" s="94"/>
      <c r="V966" s="93"/>
      <c r="W966" s="85"/>
      <c r="Y966" s="94"/>
      <c r="Z966" s="93"/>
      <c r="AA966" s="85"/>
      <c r="AC966" s="94"/>
      <c r="AD966" s="93"/>
      <c r="AE966" s="85"/>
    </row>
    <row r="967" spans="6:31" x14ac:dyDescent="0.35">
      <c r="F967" s="93"/>
      <c r="G967" s="85"/>
      <c r="H967" s="87"/>
      <c r="M967" s="94"/>
      <c r="N967" s="93"/>
      <c r="O967" s="85"/>
      <c r="Q967" s="94"/>
      <c r="R967" s="93"/>
      <c r="S967" s="85"/>
      <c r="U967" s="94"/>
      <c r="V967" s="93"/>
      <c r="W967" s="85"/>
      <c r="Y967" s="94"/>
      <c r="Z967" s="93"/>
      <c r="AA967" s="85"/>
      <c r="AC967" s="94"/>
      <c r="AD967" s="93"/>
      <c r="AE967" s="85"/>
    </row>
    <row r="968" spans="6:31" x14ac:dyDescent="0.35">
      <c r="F968" s="93"/>
      <c r="G968" s="85"/>
      <c r="H968" s="87"/>
      <c r="M968" s="94"/>
      <c r="N968" s="93"/>
      <c r="O968" s="85"/>
      <c r="Q968" s="94"/>
      <c r="R968" s="93"/>
      <c r="S968" s="85"/>
      <c r="U968" s="94"/>
      <c r="V968" s="93"/>
      <c r="W968" s="85"/>
      <c r="Y968" s="94"/>
      <c r="Z968" s="93"/>
      <c r="AA968" s="85"/>
      <c r="AC968" s="94"/>
      <c r="AD968" s="93"/>
      <c r="AE968" s="85"/>
    </row>
    <row r="969" spans="6:31" x14ac:dyDescent="0.35">
      <c r="F969" s="93"/>
      <c r="G969" s="85"/>
      <c r="H969" s="87"/>
      <c r="M969" s="94"/>
      <c r="N969" s="93"/>
      <c r="O969" s="85"/>
      <c r="Q969" s="94"/>
      <c r="R969" s="93"/>
      <c r="S969" s="85"/>
      <c r="U969" s="94"/>
      <c r="V969" s="93"/>
      <c r="W969" s="85"/>
      <c r="Y969" s="94"/>
      <c r="Z969" s="93"/>
      <c r="AA969" s="85"/>
      <c r="AC969" s="94"/>
      <c r="AD969" s="93"/>
      <c r="AE969" s="85"/>
    </row>
    <row r="970" spans="6:31" x14ac:dyDescent="0.35">
      <c r="F970" s="93"/>
      <c r="G970" s="85"/>
      <c r="H970" s="87"/>
      <c r="M970" s="94"/>
      <c r="N970" s="93"/>
      <c r="O970" s="85"/>
      <c r="Q970" s="94"/>
      <c r="R970" s="93"/>
      <c r="S970" s="85"/>
      <c r="U970" s="94"/>
      <c r="V970" s="93"/>
      <c r="W970" s="85"/>
      <c r="Y970" s="94"/>
      <c r="Z970" s="93"/>
      <c r="AA970" s="85"/>
      <c r="AC970" s="94"/>
      <c r="AD970" s="93"/>
      <c r="AE970" s="85"/>
    </row>
    <row r="971" spans="6:31" x14ac:dyDescent="0.35">
      <c r="F971" s="93"/>
      <c r="G971" s="85"/>
      <c r="H971" s="87"/>
      <c r="M971" s="94"/>
      <c r="N971" s="93"/>
      <c r="O971" s="85"/>
      <c r="Q971" s="94"/>
      <c r="R971" s="93"/>
      <c r="S971" s="85"/>
      <c r="U971" s="94"/>
      <c r="V971" s="93"/>
      <c r="W971" s="85"/>
      <c r="Y971" s="94"/>
      <c r="Z971" s="93"/>
      <c r="AA971" s="85"/>
      <c r="AC971" s="94"/>
      <c r="AD971" s="93"/>
      <c r="AE971" s="85"/>
    </row>
    <row r="972" spans="6:31" x14ac:dyDescent="0.35">
      <c r="F972" s="93"/>
      <c r="G972" s="85"/>
      <c r="H972" s="87"/>
      <c r="M972" s="94"/>
      <c r="N972" s="93"/>
      <c r="O972" s="85"/>
      <c r="Q972" s="94"/>
      <c r="R972" s="93"/>
      <c r="S972" s="85"/>
      <c r="U972" s="94"/>
      <c r="V972" s="93"/>
      <c r="W972" s="85"/>
      <c r="Y972" s="94"/>
      <c r="Z972" s="93"/>
      <c r="AA972" s="85"/>
      <c r="AC972" s="94"/>
      <c r="AD972" s="93"/>
      <c r="AE972" s="85"/>
    </row>
    <row r="973" spans="6:31" x14ac:dyDescent="0.35">
      <c r="F973" s="93"/>
      <c r="G973" s="85"/>
      <c r="H973" s="87"/>
      <c r="M973" s="94"/>
      <c r="N973" s="93"/>
      <c r="O973" s="85"/>
      <c r="Q973" s="94"/>
      <c r="R973" s="93"/>
      <c r="S973" s="85"/>
      <c r="U973" s="94"/>
      <c r="V973" s="93"/>
      <c r="W973" s="85"/>
      <c r="Y973" s="94"/>
      <c r="Z973" s="93"/>
      <c r="AA973" s="85"/>
      <c r="AC973" s="94"/>
      <c r="AD973" s="93"/>
      <c r="AE973" s="85"/>
    </row>
    <row r="974" spans="6:31" x14ac:dyDescent="0.35">
      <c r="F974" s="93"/>
      <c r="G974" s="85"/>
      <c r="H974" s="87"/>
      <c r="M974" s="94"/>
      <c r="N974" s="93"/>
      <c r="O974" s="85"/>
      <c r="Q974" s="94"/>
      <c r="R974" s="93"/>
      <c r="S974" s="85"/>
      <c r="U974" s="94"/>
      <c r="V974" s="93"/>
      <c r="W974" s="85"/>
      <c r="Y974" s="94"/>
      <c r="Z974" s="93"/>
      <c r="AA974" s="85"/>
      <c r="AC974" s="94"/>
      <c r="AD974" s="93"/>
      <c r="AE974" s="85"/>
    </row>
    <row r="975" spans="6:31" x14ac:dyDescent="0.35">
      <c r="F975" s="93"/>
      <c r="G975" s="85"/>
      <c r="H975" s="87"/>
      <c r="M975" s="94"/>
      <c r="N975" s="93"/>
      <c r="O975" s="85"/>
      <c r="Q975" s="94"/>
      <c r="R975" s="93"/>
      <c r="S975" s="85"/>
      <c r="U975" s="94"/>
      <c r="V975" s="93"/>
      <c r="W975" s="85"/>
      <c r="Y975" s="94"/>
      <c r="Z975" s="93"/>
      <c r="AA975" s="85"/>
      <c r="AC975" s="94"/>
      <c r="AD975" s="93"/>
      <c r="AE975" s="85"/>
    </row>
    <row r="976" spans="6:31" x14ac:dyDescent="0.35">
      <c r="F976" s="93"/>
      <c r="G976" s="85"/>
      <c r="H976" s="87"/>
      <c r="M976" s="94"/>
      <c r="N976" s="93"/>
      <c r="O976" s="85"/>
      <c r="Q976" s="94"/>
      <c r="R976" s="93"/>
      <c r="S976" s="85"/>
      <c r="U976" s="94"/>
      <c r="V976" s="93"/>
      <c r="W976" s="85"/>
      <c r="Y976" s="94"/>
      <c r="Z976" s="93"/>
      <c r="AA976" s="85"/>
      <c r="AC976" s="94"/>
      <c r="AD976" s="93"/>
      <c r="AE976" s="85"/>
    </row>
    <row r="977" spans="6:31" x14ac:dyDescent="0.35">
      <c r="F977" s="93"/>
      <c r="G977" s="85"/>
      <c r="H977" s="87"/>
      <c r="M977" s="94"/>
      <c r="N977" s="93"/>
      <c r="O977" s="85"/>
      <c r="Q977" s="94"/>
      <c r="R977" s="93"/>
      <c r="S977" s="85"/>
      <c r="U977" s="94"/>
      <c r="V977" s="93"/>
      <c r="W977" s="85"/>
      <c r="Y977" s="94"/>
      <c r="Z977" s="93"/>
      <c r="AA977" s="85"/>
      <c r="AC977" s="94"/>
      <c r="AD977" s="93"/>
      <c r="AE977" s="85"/>
    </row>
    <row r="978" spans="6:31" x14ac:dyDescent="0.35">
      <c r="F978" s="93"/>
      <c r="G978" s="85"/>
      <c r="H978" s="87"/>
      <c r="M978" s="94"/>
      <c r="N978" s="93"/>
      <c r="O978" s="85"/>
      <c r="Q978" s="94"/>
      <c r="R978" s="93"/>
      <c r="S978" s="85"/>
      <c r="U978" s="94"/>
      <c r="V978" s="93"/>
      <c r="W978" s="85"/>
      <c r="Y978" s="94"/>
      <c r="Z978" s="93"/>
      <c r="AA978" s="85"/>
      <c r="AC978" s="94"/>
      <c r="AD978" s="93"/>
      <c r="AE978" s="85"/>
    </row>
    <row r="979" spans="6:31" x14ac:dyDescent="0.35">
      <c r="F979" s="93"/>
      <c r="G979" s="85"/>
      <c r="H979" s="87"/>
      <c r="M979" s="94"/>
      <c r="N979" s="93"/>
      <c r="O979" s="85"/>
      <c r="Q979" s="94"/>
      <c r="R979" s="93"/>
      <c r="S979" s="85"/>
      <c r="U979" s="94"/>
      <c r="V979" s="93"/>
      <c r="W979" s="85"/>
      <c r="Y979" s="94"/>
      <c r="Z979" s="93"/>
      <c r="AA979" s="85"/>
      <c r="AC979" s="94"/>
      <c r="AD979" s="93"/>
      <c r="AE979" s="85"/>
    </row>
    <row r="980" spans="6:31" x14ac:dyDescent="0.35">
      <c r="F980" s="93"/>
      <c r="G980" s="85"/>
      <c r="H980" s="87"/>
      <c r="M980" s="94"/>
      <c r="N980" s="93"/>
      <c r="O980" s="85"/>
      <c r="Q980" s="94"/>
      <c r="R980" s="93"/>
      <c r="S980" s="85"/>
      <c r="U980" s="94"/>
      <c r="V980" s="93"/>
      <c r="W980" s="85"/>
      <c r="Y980" s="94"/>
      <c r="Z980" s="93"/>
      <c r="AA980" s="85"/>
      <c r="AC980" s="94"/>
      <c r="AD980" s="93"/>
      <c r="AE980" s="85"/>
    </row>
    <row r="981" spans="6:31" x14ac:dyDescent="0.35">
      <c r="F981" s="93"/>
      <c r="G981" s="85"/>
      <c r="H981" s="87"/>
      <c r="M981" s="94"/>
      <c r="N981" s="93"/>
      <c r="O981" s="85"/>
      <c r="Q981" s="94"/>
      <c r="R981" s="93"/>
      <c r="S981" s="85"/>
      <c r="U981" s="94"/>
      <c r="V981" s="93"/>
      <c r="W981" s="85"/>
      <c r="Y981" s="94"/>
      <c r="Z981" s="93"/>
      <c r="AA981" s="85"/>
      <c r="AC981" s="94"/>
      <c r="AD981" s="93"/>
      <c r="AE981" s="85"/>
    </row>
    <row r="982" spans="6:31" x14ac:dyDescent="0.35">
      <c r="F982" s="93"/>
      <c r="G982" s="85"/>
      <c r="H982" s="87"/>
      <c r="M982" s="94"/>
      <c r="N982" s="93"/>
      <c r="O982" s="85"/>
      <c r="Q982" s="94"/>
      <c r="R982" s="93"/>
      <c r="S982" s="85"/>
      <c r="U982" s="94"/>
      <c r="V982" s="93"/>
      <c r="W982" s="85"/>
      <c r="Y982" s="94"/>
      <c r="Z982" s="93"/>
      <c r="AA982" s="85"/>
      <c r="AC982" s="94"/>
      <c r="AD982" s="93"/>
      <c r="AE982" s="85"/>
    </row>
    <row r="983" spans="6:31" x14ac:dyDescent="0.35">
      <c r="F983" s="93"/>
      <c r="G983" s="85"/>
      <c r="H983" s="87"/>
      <c r="M983" s="94"/>
      <c r="N983" s="93"/>
      <c r="O983" s="85"/>
      <c r="Q983" s="94"/>
      <c r="R983" s="93"/>
      <c r="S983" s="85"/>
      <c r="U983" s="94"/>
      <c r="V983" s="93"/>
      <c r="W983" s="85"/>
      <c r="Y983" s="94"/>
      <c r="Z983" s="93"/>
      <c r="AA983" s="85"/>
      <c r="AC983" s="94"/>
      <c r="AD983" s="93"/>
      <c r="AE983" s="85"/>
    </row>
    <row r="984" spans="6:31" x14ac:dyDescent="0.35">
      <c r="F984" s="93"/>
      <c r="G984" s="85"/>
      <c r="H984" s="87"/>
      <c r="M984" s="94"/>
      <c r="N984" s="93"/>
      <c r="O984" s="85"/>
      <c r="Q984" s="94"/>
      <c r="R984" s="93"/>
      <c r="S984" s="85"/>
      <c r="U984" s="94"/>
      <c r="V984" s="93"/>
      <c r="W984" s="85"/>
      <c r="Y984" s="94"/>
      <c r="Z984" s="93"/>
      <c r="AA984" s="85"/>
      <c r="AC984" s="94"/>
      <c r="AD984" s="93"/>
      <c r="AE984" s="85"/>
    </row>
    <row r="985" spans="6:31" x14ac:dyDescent="0.35">
      <c r="F985" s="93"/>
      <c r="G985" s="85"/>
      <c r="H985" s="87"/>
      <c r="M985" s="94"/>
      <c r="N985" s="93"/>
      <c r="O985" s="85"/>
      <c r="Q985" s="94"/>
      <c r="R985" s="93"/>
      <c r="S985" s="85"/>
      <c r="U985" s="94"/>
      <c r="V985" s="93"/>
      <c r="W985" s="85"/>
      <c r="Y985" s="94"/>
      <c r="Z985" s="93"/>
      <c r="AA985" s="85"/>
      <c r="AC985" s="94"/>
      <c r="AD985" s="93"/>
      <c r="AE985" s="85"/>
    </row>
    <row r="986" spans="6:31" x14ac:dyDescent="0.35">
      <c r="F986" s="93"/>
      <c r="G986" s="85"/>
      <c r="H986" s="87"/>
      <c r="M986" s="94"/>
      <c r="N986" s="93"/>
      <c r="O986" s="85"/>
      <c r="Q986" s="94"/>
      <c r="R986" s="93"/>
      <c r="S986" s="85"/>
      <c r="U986" s="94"/>
      <c r="V986" s="93"/>
      <c r="W986" s="85"/>
      <c r="Y986" s="94"/>
      <c r="Z986" s="93"/>
      <c r="AA986" s="85"/>
      <c r="AC986" s="94"/>
      <c r="AD986" s="93"/>
      <c r="AE986" s="85"/>
    </row>
    <row r="987" spans="6:31" x14ac:dyDescent="0.35">
      <c r="F987" s="93"/>
      <c r="G987" s="85"/>
      <c r="H987" s="87"/>
      <c r="M987" s="94"/>
      <c r="N987" s="93"/>
      <c r="O987" s="85"/>
      <c r="Q987" s="94"/>
      <c r="R987" s="93"/>
      <c r="S987" s="85"/>
      <c r="U987" s="94"/>
      <c r="V987" s="93"/>
      <c r="W987" s="85"/>
      <c r="Y987" s="94"/>
      <c r="Z987" s="93"/>
      <c r="AA987" s="85"/>
      <c r="AC987" s="94"/>
      <c r="AD987" s="93"/>
      <c r="AE987" s="85"/>
    </row>
    <row r="988" spans="6:31" x14ac:dyDescent="0.35">
      <c r="F988" s="93"/>
      <c r="G988" s="85"/>
      <c r="H988" s="87"/>
      <c r="M988" s="94"/>
      <c r="N988" s="93"/>
      <c r="O988" s="85"/>
      <c r="Q988" s="94"/>
      <c r="R988" s="93"/>
      <c r="S988" s="85"/>
      <c r="U988" s="94"/>
      <c r="V988" s="93"/>
      <c r="W988" s="85"/>
      <c r="Y988" s="94"/>
      <c r="Z988" s="93"/>
      <c r="AA988" s="85"/>
      <c r="AC988" s="94"/>
      <c r="AD988" s="93"/>
      <c r="AE988" s="85"/>
    </row>
    <row r="989" spans="6:31" x14ac:dyDescent="0.35">
      <c r="F989" s="93"/>
      <c r="G989" s="85"/>
      <c r="H989" s="87"/>
      <c r="M989" s="94"/>
      <c r="N989" s="93"/>
      <c r="O989" s="85"/>
      <c r="Q989" s="94"/>
      <c r="R989" s="93"/>
      <c r="S989" s="85"/>
      <c r="U989" s="94"/>
      <c r="V989" s="93"/>
      <c r="W989" s="85"/>
      <c r="Y989" s="94"/>
      <c r="Z989" s="93"/>
      <c r="AA989" s="85"/>
      <c r="AC989" s="94"/>
      <c r="AD989" s="93"/>
      <c r="AE989" s="85"/>
    </row>
    <row r="990" spans="6:31" x14ac:dyDescent="0.35">
      <c r="F990" s="93"/>
      <c r="G990" s="85"/>
      <c r="H990" s="87"/>
      <c r="M990" s="94"/>
      <c r="N990" s="93"/>
      <c r="O990" s="85"/>
      <c r="Q990" s="94"/>
      <c r="R990" s="93"/>
      <c r="S990" s="85"/>
      <c r="U990" s="94"/>
      <c r="V990" s="93"/>
      <c r="W990" s="85"/>
      <c r="Y990" s="94"/>
      <c r="Z990" s="93"/>
      <c r="AA990" s="85"/>
      <c r="AC990" s="94"/>
      <c r="AD990" s="93"/>
      <c r="AE990" s="85"/>
    </row>
    <row r="991" spans="6:31" x14ac:dyDescent="0.35">
      <c r="F991" s="93"/>
      <c r="G991" s="85"/>
      <c r="H991" s="87"/>
      <c r="M991" s="94"/>
      <c r="N991" s="93"/>
      <c r="O991" s="85"/>
      <c r="Q991" s="94"/>
      <c r="R991" s="93"/>
      <c r="S991" s="85"/>
      <c r="U991" s="94"/>
      <c r="V991" s="93"/>
      <c r="W991" s="85"/>
      <c r="Y991" s="94"/>
      <c r="Z991" s="93"/>
      <c r="AA991" s="85"/>
      <c r="AC991" s="94"/>
      <c r="AD991" s="93"/>
      <c r="AE991" s="85"/>
    </row>
    <row r="992" spans="6:31" x14ac:dyDescent="0.35">
      <c r="F992" s="93"/>
      <c r="G992" s="85"/>
      <c r="H992" s="87"/>
      <c r="M992" s="94"/>
      <c r="N992" s="93"/>
      <c r="O992" s="85"/>
      <c r="Q992" s="94"/>
      <c r="R992" s="93"/>
      <c r="S992" s="85"/>
      <c r="U992" s="94"/>
      <c r="V992" s="93"/>
      <c r="W992" s="85"/>
      <c r="Y992" s="94"/>
      <c r="Z992" s="93"/>
      <c r="AA992" s="85"/>
      <c r="AC992" s="94"/>
      <c r="AD992" s="93"/>
      <c r="AE992" s="85"/>
    </row>
    <row r="993" spans="6:31" x14ac:dyDescent="0.35">
      <c r="F993" s="93"/>
      <c r="G993" s="85"/>
      <c r="H993" s="87"/>
      <c r="M993" s="94"/>
      <c r="N993" s="93"/>
      <c r="O993" s="85"/>
      <c r="Q993" s="94"/>
      <c r="R993" s="93"/>
      <c r="S993" s="85"/>
      <c r="U993" s="94"/>
      <c r="V993" s="93"/>
      <c r="W993" s="85"/>
      <c r="Y993" s="94"/>
      <c r="Z993" s="93"/>
      <c r="AA993" s="85"/>
      <c r="AC993" s="94"/>
      <c r="AD993" s="93"/>
      <c r="AE993" s="85"/>
    </row>
    <row r="994" spans="6:31" x14ac:dyDescent="0.35">
      <c r="F994" s="93"/>
      <c r="G994" s="85"/>
      <c r="H994" s="87"/>
      <c r="M994" s="94"/>
      <c r="N994" s="93"/>
      <c r="O994" s="85"/>
      <c r="Q994" s="94"/>
      <c r="R994" s="93"/>
      <c r="S994" s="85"/>
      <c r="U994" s="94"/>
      <c r="V994" s="93"/>
      <c r="W994" s="85"/>
      <c r="Y994" s="94"/>
      <c r="Z994" s="93"/>
      <c r="AA994" s="85"/>
      <c r="AC994" s="94"/>
      <c r="AD994" s="93"/>
      <c r="AE994" s="85"/>
    </row>
    <row r="995" spans="6:31" x14ac:dyDescent="0.35">
      <c r="F995" s="93"/>
      <c r="G995" s="85"/>
      <c r="H995" s="87"/>
      <c r="M995" s="94"/>
      <c r="N995" s="93"/>
      <c r="O995" s="85"/>
      <c r="Q995" s="94"/>
      <c r="R995" s="93"/>
      <c r="S995" s="85"/>
      <c r="U995" s="94"/>
      <c r="V995" s="93"/>
      <c r="W995" s="85"/>
      <c r="Y995" s="94"/>
      <c r="Z995" s="93"/>
      <c r="AA995" s="85"/>
      <c r="AC995" s="94"/>
      <c r="AD995" s="93"/>
      <c r="AE995" s="85"/>
    </row>
    <row r="996" spans="6:31" x14ac:dyDescent="0.35">
      <c r="F996" s="93"/>
      <c r="G996" s="85"/>
      <c r="H996" s="87"/>
      <c r="M996" s="94"/>
      <c r="N996" s="93"/>
      <c r="O996" s="85"/>
      <c r="Q996" s="94"/>
      <c r="R996" s="93"/>
      <c r="S996" s="85"/>
      <c r="U996" s="94"/>
      <c r="V996" s="93"/>
      <c r="W996" s="85"/>
      <c r="Y996" s="94"/>
      <c r="Z996" s="93"/>
      <c r="AA996" s="85"/>
      <c r="AC996" s="94"/>
      <c r="AD996" s="93"/>
      <c r="AE996" s="85"/>
    </row>
    <row r="997" spans="6:31" x14ac:dyDescent="0.35">
      <c r="F997" s="93"/>
      <c r="G997" s="85"/>
      <c r="H997" s="87"/>
      <c r="M997" s="94"/>
      <c r="N997" s="93"/>
      <c r="O997" s="85"/>
      <c r="Q997" s="94"/>
      <c r="R997" s="93"/>
      <c r="S997" s="85"/>
      <c r="U997" s="94"/>
      <c r="V997" s="93"/>
      <c r="W997" s="85"/>
      <c r="Y997" s="94"/>
      <c r="Z997" s="93"/>
      <c r="AA997" s="85"/>
      <c r="AC997" s="94"/>
      <c r="AD997" s="93"/>
      <c r="AE997" s="85"/>
    </row>
    <row r="998" spans="6:31" x14ac:dyDescent="0.35">
      <c r="F998" s="93"/>
      <c r="G998" s="85"/>
      <c r="H998" s="87"/>
      <c r="M998" s="94"/>
      <c r="N998" s="93"/>
      <c r="O998" s="85"/>
      <c r="Q998" s="94"/>
      <c r="R998" s="93"/>
      <c r="S998" s="85"/>
      <c r="U998" s="94"/>
      <c r="V998" s="93"/>
      <c r="W998" s="85"/>
      <c r="Y998" s="94"/>
      <c r="Z998" s="93"/>
      <c r="AA998" s="85"/>
      <c r="AC998" s="94"/>
      <c r="AD998" s="93"/>
      <c r="AE998" s="85"/>
    </row>
    <row r="999" spans="6:31" x14ac:dyDescent="0.35">
      <c r="F999" s="93"/>
      <c r="G999" s="85"/>
      <c r="H999" s="87"/>
      <c r="M999" s="94"/>
      <c r="N999" s="93"/>
      <c r="O999" s="85"/>
      <c r="Q999" s="94"/>
      <c r="R999" s="93"/>
      <c r="S999" s="85"/>
      <c r="U999" s="94"/>
      <c r="V999" s="93"/>
      <c r="W999" s="85"/>
      <c r="Y999" s="94"/>
      <c r="Z999" s="93"/>
      <c r="AA999" s="85"/>
      <c r="AC999" s="94"/>
      <c r="AD999" s="93"/>
      <c r="AE999" s="85"/>
    </row>
  </sheetData>
  <autoFilter ref="E19:L38" xr:uid="{00000000-0001-0000-1000-000000000000}"/>
  <conditionalFormatting sqref="A1:AG1048576">
    <cfRule type="expression" dxfId="75" priority="1">
      <formula>$A4="Spend to Date"</formula>
    </cfRule>
    <cfRule type="expression" dxfId="74" priority="2">
      <formula>$A4="Spend to Date"</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82AE-064B-42EE-AE87-066B96BCBD54}">
  <sheetPr codeName="Sheet11"/>
  <dimension ref="A1:AH1001"/>
  <sheetViews>
    <sheetView zoomScale="92" zoomScaleNormal="100" workbookViewId="0">
      <pane xSplit="2" ySplit="1" topLeftCell="H31" activePane="bottomRight" state="frozen"/>
      <selection pane="topRight" activeCell="C1" sqref="C1"/>
      <selection pane="bottomLeft" activeCell="A2" sqref="A2"/>
      <selection pane="bottomRight" activeCell="N52" sqref="N52"/>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20" style="93" bestFit="1" customWidth="1"/>
    <col min="7" max="7" width="27.54296875" style="87" bestFit="1" customWidth="1"/>
    <col min="8" max="8" width="12.7265625" style="88" bestFit="1" customWidth="1"/>
    <col min="9" max="9" width="13.81640625" style="94" bestFit="1" customWidth="1"/>
    <col min="10" max="10" width="19.54296875" style="85" bestFit="1" customWidth="1"/>
    <col min="11" max="11" width="29.1796875" style="85" bestFit="1" customWidth="1"/>
    <col min="12" max="12" width="18.54296875" style="85" customWidth="1"/>
    <col min="13" max="13" width="33.54296875" style="89" customWidth="1"/>
    <col min="14" max="14" width="13.81640625" style="87" customWidth="1"/>
    <col min="15" max="15" width="11.54296875" style="87" bestFit="1" customWidth="1"/>
    <col min="16" max="16" width="23.269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4" ht="14.5" customHeight="1" x14ac:dyDescent="0.35">
      <c r="A1" s="84" t="s">
        <v>119</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4" ht="14.5" customHeight="1" x14ac:dyDescent="0.35">
      <c r="A2" s="86" t="s">
        <v>10</v>
      </c>
      <c r="D2" s="87"/>
      <c r="E2" s="87">
        <f>SUM(E3:E4)</f>
        <v>20213</v>
      </c>
      <c r="F2" s="87">
        <f>SUM(F3:F3)</f>
        <v>0</v>
      </c>
      <c r="I2" s="89">
        <f>SUM(I3:I4)</f>
        <v>0</v>
      </c>
      <c r="J2" s="87">
        <f>SUM(J3:J4)</f>
        <v>119270</v>
      </c>
      <c r="K2" s="87"/>
      <c r="L2" s="87"/>
      <c r="M2" s="89">
        <f>SUM(M3:M4)</f>
        <v>-45271</v>
      </c>
      <c r="N2" s="87">
        <f>SUM(N3:N4)</f>
        <v>54056.540000000008</v>
      </c>
      <c r="Q2" s="89">
        <f>SUM(Q3:Q4)</f>
        <v>0</v>
      </c>
      <c r="R2" s="87">
        <f>SUM(R3:R4)</f>
        <v>0</v>
      </c>
      <c r="U2" s="89">
        <f>SUM(U3:U4)</f>
        <v>0</v>
      </c>
      <c r="V2" s="87">
        <f>SUM(V3:V4)</f>
        <v>0</v>
      </c>
      <c r="Y2" s="89">
        <f>SUM(Y3:Y4)</f>
        <v>0</v>
      </c>
      <c r="Z2" s="87">
        <f>SUM(Z3:Z4)</f>
        <v>0</v>
      </c>
      <c r="AC2" s="89">
        <f>SUM(AC3:AC4)</f>
        <v>0</v>
      </c>
      <c r="AD2" s="87">
        <f>SUM(AD3:AD4)</f>
        <v>0</v>
      </c>
    </row>
    <row r="3" spans="1:34" x14ac:dyDescent="0.35">
      <c r="A3" s="86" t="s">
        <v>119</v>
      </c>
      <c r="B3" s="85">
        <v>1</v>
      </c>
      <c r="D3" s="86">
        <f>52520+23643</f>
        <v>76163</v>
      </c>
      <c r="E3" s="87">
        <v>20213</v>
      </c>
      <c r="F3" s="87">
        <f>SUMIFS(H$18:H$1001,E$18:E$1001,$B3)</f>
        <v>0</v>
      </c>
      <c r="G3" s="87">
        <f>D3+E3-F3+SUMIFS(E$7:E$12,$C$7:$C$12,$A3)-SUMIFS(F$7:F$12,$C$7:$C$12,$A3)</f>
        <v>88237.32</v>
      </c>
      <c r="H3" s="88" t="s">
        <v>1024</v>
      </c>
      <c r="I3" s="89"/>
      <c r="J3" s="87">
        <f>SUMIFS(L$18:L$1001,I$18:I$1001,1)</f>
        <v>30000</v>
      </c>
      <c r="K3" s="87">
        <f>G3+I3-J3+SUMIFS(I$7:I$12,$C$7:$C$12,$A3)-SUMIFS(J$7:J$12,$C$7:$C$12,$A3)</f>
        <v>105821.33000000002</v>
      </c>
      <c r="L3" s="86"/>
      <c r="M3" s="89">
        <f>-(34000+11271)</f>
        <v>-45271</v>
      </c>
      <c r="N3" s="87">
        <f>SUMIFS(P$18:P$1001,M$18:M$1001,1)</f>
        <v>51106.540000000008</v>
      </c>
      <c r="O3" s="87">
        <f>K3+M3-N3+SUMIFS(M$7:M$12,$C$7:$C$12,$A3)-SUMIFS(N$7:N$12,$C$7:$C$12,$A3)</f>
        <v>14714.160000000009</v>
      </c>
      <c r="R3" s="87">
        <f>SUMIFS(T$18:T$1001,Q$18:Q$1001,1)</f>
        <v>0</v>
      </c>
      <c r="S3" s="87">
        <f>O3+Q3-R3+SUMIFS(Q$7:Q$12,$C$7:$C$12,$A3)-SUMIFS(R$7:R$12,$C$7:$C$12,$A3)</f>
        <v>14714.160000000011</v>
      </c>
      <c r="V3" s="87">
        <f>SUMIFS(X$18:X$1001,U$18:U$1001,1)</f>
        <v>0</v>
      </c>
      <c r="W3" s="87">
        <f>S3+U3-V3+SUMIFS(U$7:U$12,$C$7:$C$12,$A3)-SUMIFS(V$7:V$12,$C$7:$C$12,$A3)</f>
        <v>14714.160000000011</v>
      </c>
      <c r="Z3" s="87">
        <f>SUMIFS(AB$18:AB$1001,Y$18:Y$1001,1)</f>
        <v>0</v>
      </c>
      <c r="AA3" s="87">
        <f>W3+Y3-Z3+SUMIFS(Y$7:Y$12,$C$7:$C$12,$A3)-SUMIFS(Z$7:Z$12,$C$7:$C$12,$A3)</f>
        <v>14714.160000000011</v>
      </c>
      <c r="AD3" s="87">
        <f>SUMIFS(AF$18:AF$1001,AC$18:AC$1001,1)</f>
        <v>0</v>
      </c>
      <c r="AE3" s="87">
        <f>AA3+AC3-AD3+SUMIFS(AC$7:AC$12,$C$7:$C$12,$A3)-SUMIFS(AD$7:AD$12,$C$7:$C$12,$A3)</f>
        <v>14714.160000000011</v>
      </c>
      <c r="AG3" s="87">
        <v>100000</v>
      </c>
    </row>
    <row r="4" spans="1:34" x14ac:dyDescent="0.35">
      <c r="A4" s="86" t="s">
        <v>72</v>
      </c>
      <c r="B4" s="85">
        <v>2</v>
      </c>
      <c r="D4" s="86">
        <v>0</v>
      </c>
      <c r="E4" s="87">
        <v>0</v>
      </c>
      <c r="F4" s="87">
        <f>SUMIFS(H$18:H$1001,E$18:E$1001,$B4)</f>
        <v>-27141.11</v>
      </c>
      <c r="G4" s="87">
        <f>D4+E4-F4+SUMIFS(E$7:E$12,$C$7:$C$12,$A4)-SUMIFS(F$7:F$12,$C$7:$C$12,$A4)</f>
        <v>107141.11</v>
      </c>
      <c r="I4" s="89">
        <v>0</v>
      </c>
      <c r="J4" s="87">
        <f>SUMIFS(L$18:L$1001,I$18:I$1001,2)</f>
        <v>89270</v>
      </c>
      <c r="K4" s="87">
        <f>G4+I4-J4+SUMIFS(I$7:I$12,$C$7:$C$12,$A4)-SUMIFS(J$7:J$12,$C$7:$C$12,$A4)</f>
        <v>17871.11</v>
      </c>
      <c r="L4" s="86"/>
      <c r="N4" s="87">
        <f>SUMIFS(P$18:P$1001,M$18:M$1001,2)</f>
        <v>2950</v>
      </c>
      <c r="O4" s="87">
        <f>K4+M4-N4+SUMIFS(M$7:M$12,$C$7:$C$12,$A4)-SUMIFS(N$7:N$12,$C$7:$C$12,$A4)</f>
        <v>84921.11</v>
      </c>
      <c r="R4" s="87">
        <f>SUMIFS(T$18:T$1001,Q$18:Q$1001,2)</f>
        <v>0</v>
      </c>
      <c r="S4" s="87">
        <f>O4+Q4-R4+SUMIFS(Q$7:Q$12,$C$7:$C$12,$A4)-SUMIFS(R$7:R$12,$C$7:$C$12,$A4)</f>
        <v>84921.109999999986</v>
      </c>
      <c r="V4" s="87">
        <f>SUMIFS(X$18:X$1001,U$18:U$1001,2)</f>
        <v>0</v>
      </c>
      <c r="W4" s="87">
        <f>S4+U4-V4+SUMIFS(U$7:U$12,$C$7:$C$12,$A4)-SUMIFS(V$7:V$12,$C$7:$C$12,$A4)</f>
        <v>84921.109999999986</v>
      </c>
      <c r="Z4" s="87">
        <f>SUMIFS(AB$18:AB$1001,Y$18:Y$1001,2)</f>
        <v>0</v>
      </c>
      <c r="AA4" s="87">
        <f>W4+Y4-Z4+SUMIFS(Y$7:Y$12,$C$7:$C$12,$A4)-SUMIFS(Z$7:Z$12,$C$7:$C$12,$A4)</f>
        <v>84921.109999999986</v>
      </c>
      <c r="AD4" s="87">
        <f>SUMIFS(AF$18:AF$1001,AC$18:AC$1001,2)</f>
        <v>0</v>
      </c>
      <c r="AE4" s="87">
        <f>AA4+AC4-AD4+SUMIFS(AC$7:AC$12,$C$7:$C$12,$A4)-SUMIFS(AD$7:AD$12,$C$7:$C$12,$A4)</f>
        <v>84921.109999999986</v>
      </c>
    </row>
    <row r="5" spans="1:34" ht="14.5" customHeight="1" x14ac:dyDescent="0.35">
      <c r="E5" s="87"/>
      <c r="F5" s="87"/>
      <c r="I5" s="89"/>
      <c r="J5" s="87"/>
      <c r="K5" s="87"/>
      <c r="L5" s="87"/>
    </row>
    <row r="6" spans="1:34" ht="14.5" customHeight="1" x14ac:dyDescent="0.35">
      <c r="A6" s="84" t="s">
        <v>120</v>
      </c>
      <c r="D6" s="84"/>
      <c r="E6" s="87">
        <f>SUM(E7:E12)</f>
        <v>102564.76</v>
      </c>
      <c r="F6" s="87">
        <f>SUM(F7:F12)</f>
        <v>30703.440000000002</v>
      </c>
      <c r="I6" s="89">
        <f>SUM(I7:I12)</f>
        <v>91900</v>
      </c>
      <c r="J6" s="87">
        <f>SUM(J7:J12)</f>
        <v>44315.99</v>
      </c>
      <c r="K6" s="87"/>
      <c r="L6" s="87"/>
      <c r="M6" s="89">
        <f>SUM(M7:M12)</f>
        <v>84718</v>
      </c>
      <c r="N6" s="87">
        <f>SUM(N7:N12)</f>
        <v>9447.6299999999992</v>
      </c>
      <c r="Q6" s="89">
        <f>SUM(Q7:Q12)</f>
        <v>87260</v>
      </c>
      <c r="R6" s="87">
        <f>$Q$6</f>
        <v>87260</v>
      </c>
      <c r="U6" s="89">
        <f>SUM(U7:U12)</f>
        <v>80629</v>
      </c>
      <c r="V6" s="87">
        <f>$U$6</f>
        <v>80629</v>
      </c>
      <c r="Y6" s="89">
        <f>SUM(Y7:Y12)</f>
        <v>83048</v>
      </c>
      <c r="Z6" s="87">
        <f>$Y$6</f>
        <v>83048</v>
      </c>
      <c r="AC6" s="89">
        <f>SUM(AC7:AC12)</f>
        <v>85540</v>
      </c>
      <c r="AD6" s="87">
        <f>$AC$6</f>
        <v>85540</v>
      </c>
    </row>
    <row r="7" spans="1:34" ht="14.5" customHeight="1" x14ac:dyDescent="0.35">
      <c r="A7" s="86" t="s">
        <v>120</v>
      </c>
      <c r="B7" s="85">
        <v>3</v>
      </c>
      <c r="C7" s="86" t="s">
        <v>119</v>
      </c>
      <c r="D7" s="84"/>
      <c r="E7" s="87">
        <v>0</v>
      </c>
      <c r="F7" s="87">
        <f>SUMIFS(H$18:H$1001,E$18:E$1001,$B7)</f>
        <v>450.22</v>
      </c>
      <c r="I7" s="89">
        <f>ROUNDUP((E7)*RPICurrent,0)</f>
        <v>0</v>
      </c>
      <c r="J7" s="87">
        <f t="shared" ref="J7:J12" si="0">SUMIFS(L$18:L$1001,I$18:I$1001,$B7)</f>
        <v>0</v>
      </c>
      <c r="K7" s="87"/>
      <c r="L7" s="87"/>
      <c r="M7" s="89">
        <f>ROUNDUP((I7)*RPI,0)</f>
        <v>0</v>
      </c>
      <c r="N7" s="87">
        <f t="shared" ref="N7:N12" si="1">SUMIFS(P$18:P$1001,M$18:M$1001,$B7)</f>
        <v>0</v>
      </c>
      <c r="Q7" s="89">
        <f>ROUNDUP((M7)*RPI,0)</f>
        <v>0</v>
      </c>
      <c r="R7" s="87">
        <f>$Q$7</f>
        <v>0</v>
      </c>
      <c r="U7" s="89">
        <f>ROUNDUP((Q7)*RPI,0)</f>
        <v>0</v>
      </c>
      <c r="V7" s="87">
        <f>$U$7</f>
        <v>0</v>
      </c>
      <c r="Y7" s="89">
        <f>ROUNDUP((U7)*RPI,0)</f>
        <v>0</v>
      </c>
      <c r="Z7" s="87">
        <f>$Y$7</f>
        <v>0</v>
      </c>
      <c r="AC7" s="89">
        <f>ROUNDUP((Y7)*RPI,0)</f>
        <v>0</v>
      </c>
      <c r="AD7" s="87">
        <f>$AC$7</f>
        <v>0</v>
      </c>
    </row>
    <row r="8" spans="1:34" ht="14.5" customHeight="1" x14ac:dyDescent="0.35">
      <c r="A8" s="86" t="s">
        <v>121</v>
      </c>
      <c r="B8" s="85">
        <v>4</v>
      </c>
      <c r="C8" s="86" t="s">
        <v>72</v>
      </c>
      <c r="D8" s="84"/>
      <c r="E8" s="87">
        <v>80000</v>
      </c>
      <c r="F8" s="87">
        <f>SUMIFS(H$18:H$1001,E$18:E$1001,$B8)</f>
        <v>0</v>
      </c>
      <c r="I8" s="89">
        <v>0</v>
      </c>
      <c r="J8" s="87">
        <f t="shared" si="0"/>
        <v>0</v>
      </c>
      <c r="K8" s="87"/>
      <c r="L8" s="87"/>
      <c r="M8" s="89">
        <v>70000</v>
      </c>
      <c r="N8" s="87">
        <f t="shared" si="1"/>
        <v>0</v>
      </c>
      <c r="P8" s="96" t="s">
        <v>1025</v>
      </c>
      <c r="Q8" s="89">
        <f>ROUNDUP((M8)*RPI,0)</f>
        <v>72100</v>
      </c>
      <c r="R8" s="87">
        <f>$Q$8</f>
        <v>72100</v>
      </c>
      <c r="U8" s="89">
        <f>ROUNDUP((Q8)*RPI,0)</f>
        <v>74263</v>
      </c>
      <c r="V8" s="87">
        <f>$U$8</f>
        <v>74263</v>
      </c>
      <c r="Y8" s="89">
        <f>ROUNDUP((U8)*RPI,0)</f>
        <v>76491</v>
      </c>
      <c r="Z8" s="87">
        <f>$Y$8</f>
        <v>76491</v>
      </c>
      <c r="AC8" s="89">
        <f>ROUNDUP((Y8)*RPI,0)</f>
        <v>78786</v>
      </c>
      <c r="AD8" s="87">
        <f>$AC$8</f>
        <v>78786</v>
      </c>
    </row>
    <row r="9" spans="1:34" ht="14.5" customHeight="1" x14ac:dyDescent="0.35">
      <c r="A9" s="86" t="s">
        <v>122</v>
      </c>
      <c r="B9" s="85">
        <v>5</v>
      </c>
      <c r="C9" s="86" t="s">
        <v>119</v>
      </c>
      <c r="D9" s="84"/>
      <c r="E9" s="87">
        <v>20374</v>
      </c>
      <c r="F9" s="87">
        <f>SUMIFS(H$18:H$1001,E$18:E$1001,$B9)</f>
        <v>20374</v>
      </c>
      <c r="I9" s="89">
        <v>0</v>
      </c>
      <c r="J9" s="87">
        <f t="shared" si="0"/>
        <v>0</v>
      </c>
      <c r="K9" s="87"/>
      <c r="L9" s="87"/>
      <c r="M9" s="89">
        <f>ROUNDUP((I9)*RPI,0)</f>
        <v>0</v>
      </c>
      <c r="N9" s="87">
        <f t="shared" si="1"/>
        <v>0</v>
      </c>
      <c r="Q9" s="89">
        <f>ROUNDUP((M9)*RPI,0)</f>
        <v>0</v>
      </c>
      <c r="R9" s="87">
        <f>$Q$9</f>
        <v>0</v>
      </c>
      <c r="U9" s="89">
        <f>ROUNDUP((Q9)*RPI,0)</f>
        <v>0</v>
      </c>
      <c r="V9" s="87">
        <f>$U$9</f>
        <v>0</v>
      </c>
      <c r="Y9" s="89">
        <f>ROUNDUP((U9)*RPI,0)</f>
        <v>0</v>
      </c>
      <c r="Z9" s="87">
        <f>$Y$9</f>
        <v>0</v>
      </c>
      <c r="AC9" s="89">
        <f>ROUNDUP((Y9)*RPI,0)</f>
        <v>0</v>
      </c>
      <c r="AD9" s="87">
        <f>$AC$9</f>
        <v>0</v>
      </c>
    </row>
    <row r="10" spans="1:34" ht="57" customHeight="1" x14ac:dyDescent="0.35">
      <c r="A10" s="86" t="s">
        <v>1026</v>
      </c>
      <c r="B10" s="85">
        <v>6</v>
      </c>
      <c r="C10" s="86" t="s">
        <v>119</v>
      </c>
      <c r="D10" s="84"/>
      <c r="E10" s="87">
        <v>0</v>
      </c>
      <c r="F10" s="87">
        <f>SUMIFS(H$18:H$1001,E$18:E$1001,$B10)</f>
        <v>0</v>
      </c>
      <c r="I10" s="89">
        <v>81900</v>
      </c>
      <c r="J10" s="87">
        <f t="shared" si="0"/>
        <v>40620.720000000001</v>
      </c>
      <c r="K10" s="87"/>
      <c r="L10" s="86"/>
      <c r="M10" s="112">
        <v>0</v>
      </c>
      <c r="N10" s="87">
        <f t="shared" si="1"/>
        <v>7277.5</v>
      </c>
      <c r="P10" s="86" t="s">
        <v>888</v>
      </c>
      <c r="Q10" s="89">
        <f>ROUNDUP((M10)*RPI,0)</f>
        <v>0</v>
      </c>
      <c r="R10" s="87">
        <f>$Q$10</f>
        <v>0</v>
      </c>
      <c r="U10" s="89">
        <f>ROUNDUP((Q10)*RPI,0)</f>
        <v>0</v>
      </c>
      <c r="V10" s="87">
        <f>$U$10</f>
        <v>0</v>
      </c>
      <c r="Y10" s="89">
        <f>ROUNDUP((U10)*RPI,0)</f>
        <v>0</v>
      </c>
      <c r="Z10" s="87">
        <f>$Y$10</f>
        <v>0</v>
      </c>
      <c r="AC10" s="89">
        <f>ROUNDUP((Y10)*RPI,0)</f>
        <v>0</v>
      </c>
      <c r="AD10" s="87">
        <f>$AC$10</f>
        <v>0</v>
      </c>
    </row>
    <row r="11" spans="1:34" ht="33" customHeight="1" x14ac:dyDescent="0.35">
      <c r="A11" s="105" t="s">
        <v>1027</v>
      </c>
      <c r="B11" s="96">
        <v>8</v>
      </c>
      <c r="C11" s="105" t="s">
        <v>119</v>
      </c>
      <c r="D11" s="113"/>
      <c r="E11" s="87">
        <v>0</v>
      </c>
      <c r="F11" s="87">
        <v>0</v>
      </c>
      <c r="G11" s="96"/>
      <c r="H11" s="96"/>
      <c r="I11" s="87">
        <v>0</v>
      </c>
      <c r="J11" s="87">
        <f t="shared" si="0"/>
        <v>0</v>
      </c>
      <c r="K11" s="96"/>
      <c r="L11" s="105"/>
      <c r="M11" s="89">
        <f>ROUNDUP(8717.5,0)</f>
        <v>8718</v>
      </c>
      <c r="N11" s="87">
        <f t="shared" si="1"/>
        <v>1795.82</v>
      </c>
      <c r="O11" s="96"/>
      <c r="P11" s="105"/>
      <c r="Q11" s="114">
        <v>8980</v>
      </c>
      <c r="R11" s="115">
        <v>8980</v>
      </c>
      <c r="S11" s="96"/>
      <c r="T11" s="96"/>
      <c r="U11" s="95"/>
      <c r="V11" s="96"/>
      <c r="W11" s="96"/>
      <c r="X11" s="96"/>
      <c r="Y11" s="95"/>
      <c r="Z11" s="96"/>
      <c r="AA11" s="96"/>
      <c r="AB11" s="96"/>
      <c r="AC11" s="95"/>
      <c r="AD11" s="96"/>
      <c r="AE11" s="96"/>
      <c r="AF11" s="96"/>
      <c r="AG11" s="96"/>
      <c r="AH11" s="96"/>
    </row>
    <row r="12" spans="1:34" ht="14.5" customHeight="1" x14ac:dyDescent="0.35">
      <c r="A12" s="86" t="s">
        <v>124</v>
      </c>
      <c r="B12" s="85">
        <v>7</v>
      </c>
      <c r="C12" s="86" t="s">
        <v>119</v>
      </c>
      <c r="D12" s="84"/>
      <c r="E12" s="87">
        <v>2190.7600000000002</v>
      </c>
      <c r="F12" s="87">
        <f>SUMIFS(H$18:H$1001,E$18:E$1001,$B12)</f>
        <v>9879.2199999999993</v>
      </c>
      <c r="I12" s="89">
        <f>3500+1500+1500+3500</f>
        <v>10000</v>
      </c>
      <c r="J12" s="87">
        <f t="shared" si="0"/>
        <v>3695.2699999999995</v>
      </c>
      <c r="K12" s="87"/>
      <c r="L12" s="87"/>
      <c r="M12" s="89">
        <v>6000</v>
      </c>
      <c r="N12" s="87">
        <f t="shared" si="1"/>
        <v>374.31</v>
      </c>
      <c r="Q12" s="89">
        <f>ROUNDUP((M12)*RPI,0)</f>
        <v>6180</v>
      </c>
      <c r="R12" s="87">
        <f>$Q$12</f>
        <v>6180</v>
      </c>
      <c r="U12" s="89">
        <f>ROUNDUP((Q12)*RPI,0)</f>
        <v>6366</v>
      </c>
      <c r="V12" s="87">
        <f>$U$12</f>
        <v>6366</v>
      </c>
      <c r="Y12" s="89">
        <f>ROUNDUP((U12)*RPI,0)</f>
        <v>6557</v>
      </c>
      <c r="Z12" s="87">
        <f>$Y$12</f>
        <v>6557</v>
      </c>
      <c r="AC12" s="89">
        <f>ROUNDUP((Y12)*RPI,0)</f>
        <v>6754</v>
      </c>
      <c r="AD12" s="87">
        <f>$AC$12</f>
        <v>6754</v>
      </c>
    </row>
    <row r="13" spans="1:34" ht="14.5" customHeight="1" x14ac:dyDescent="0.35">
      <c r="E13" s="87"/>
      <c r="F13" s="87"/>
      <c r="I13" s="89"/>
      <c r="J13" s="87"/>
      <c r="K13" s="87"/>
      <c r="L13" s="87"/>
    </row>
    <row r="14" spans="1:34" ht="14.5" customHeight="1" x14ac:dyDescent="0.35">
      <c r="E14" s="87"/>
      <c r="F14" s="87"/>
      <c r="I14" s="89"/>
      <c r="J14" s="87"/>
      <c r="K14" s="87"/>
      <c r="L14" s="87"/>
    </row>
    <row r="15" spans="1:34" ht="14.5" customHeight="1" x14ac:dyDescent="0.35">
      <c r="E15" s="87"/>
      <c r="F15" s="87"/>
      <c r="I15" s="89"/>
      <c r="J15" s="87"/>
      <c r="K15" s="87"/>
      <c r="L15" s="87"/>
    </row>
    <row r="16" spans="1:34" ht="14.5" customHeight="1" x14ac:dyDescent="0.35">
      <c r="A16" s="84" t="s">
        <v>487</v>
      </c>
      <c r="G16" s="85"/>
      <c r="H16" s="87"/>
      <c r="J16" s="93"/>
      <c r="L16" s="87"/>
      <c r="M16" s="94"/>
      <c r="N16" s="93"/>
      <c r="O16" s="85"/>
      <c r="Q16" s="94"/>
      <c r="R16" s="93"/>
      <c r="S16" s="85"/>
      <c r="U16" s="94"/>
      <c r="V16" s="93"/>
      <c r="W16" s="85"/>
      <c r="Y16" s="94"/>
      <c r="Z16" s="93"/>
      <c r="AA16" s="85"/>
      <c r="AC16" s="94"/>
      <c r="AD16" s="93"/>
      <c r="AE16" s="85"/>
    </row>
    <row r="17" spans="1:31" ht="14.5" customHeight="1" x14ac:dyDescent="0.35">
      <c r="E17" s="85" t="s">
        <v>484</v>
      </c>
      <c r="F17" s="93" t="s">
        <v>488</v>
      </c>
      <c r="G17" s="85" t="s">
        <v>489</v>
      </c>
      <c r="H17" s="87" t="s">
        <v>475</v>
      </c>
      <c r="I17" s="85" t="s">
        <v>484</v>
      </c>
      <c r="J17" s="93" t="s">
        <v>488</v>
      </c>
      <c r="K17" s="85" t="s">
        <v>489</v>
      </c>
      <c r="L17" s="87" t="s">
        <v>475</v>
      </c>
      <c r="M17" s="85" t="s">
        <v>484</v>
      </c>
      <c r="N17" s="93" t="s">
        <v>488</v>
      </c>
      <c r="O17" s="85" t="s">
        <v>489</v>
      </c>
      <c r="P17" s="87" t="s">
        <v>475</v>
      </c>
      <c r="Q17" s="94"/>
      <c r="R17" s="93"/>
      <c r="S17" s="85"/>
      <c r="U17" s="94"/>
      <c r="V17" s="93"/>
      <c r="W17" s="85"/>
      <c r="Y17" s="94"/>
      <c r="Z17" s="93"/>
      <c r="AA17" s="85"/>
      <c r="AC17" s="94"/>
      <c r="AD17" s="93"/>
      <c r="AE17" s="85"/>
    </row>
    <row r="18" spans="1:31" x14ac:dyDescent="0.35">
      <c r="A18" s="85"/>
      <c r="D18" s="85"/>
      <c r="E18" s="85">
        <v>5</v>
      </c>
      <c r="F18" s="93" t="s">
        <v>790</v>
      </c>
      <c r="G18" s="85" t="s">
        <v>968</v>
      </c>
      <c r="H18" s="87">
        <f>2*10187</f>
        <v>20374</v>
      </c>
      <c r="I18" s="94" t="s">
        <v>2162</v>
      </c>
      <c r="J18" s="93" t="s">
        <v>491</v>
      </c>
      <c r="K18" s="85" t="s">
        <v>1028</v>
      </c>
      <c r="L18" s="87">
        <f>92858.89-11271.73</f>
        <v>81587.16</v>
      </c>
      <c r="M18" s="116">
        <v>1</v>
      </c>
      <c r="N18" s="93" t="s">
        <v>491</v>
      </c>
      <c r="O18" s="85" t="s">
        <v>1931</v>
      </c>
      <c r="P18" s="87">
        <v>61928.270000000004</v>
      </c>
      <c r="Q18" s="94"/>
      <c r="R18" s="93"/>
      <c r="S18" s="85"/>
      <c r="U18" s="94"/>
      <c r="V18" s="93"/>
      <c r="W18" s="85"/>
      <c r="Y18" s="94"/>
      <c r="Z18" s="93"/>
      <c r="AA18" s="85"/>
      <c r="AC18" s="94"/>
      <c r="AD18" s="93"/>
      <c r="AE18" s="85"/>
    </row>
    <row r="19" spans="1:31" ht="14.5" customHeight="1" x14ac:dyDescent="0.35">
      <c r="E19" s="85">
        <v>7</v>
      </c>
      <c r="F19" s="93" t="s">
        <v>891</v>
      </c>
      <c r="G19" s="85" t="s">
        <v>1029</v>
      </c>
      <c r="H19" s="87">
        <v>4471.84</v>
      </c>
      <c r="I19" s="94" t="s">
        <v>2162</v>
      </c>
      <c r="J19" s="93" t="s">
        <v>491</v>
      </c>
      <c r="K19" s="85" t="s">
        <v>1028</v>
      </c>
      <c r="L19" s="87">
        <f>200000-L18-11271.73</f>
        <v>107141.11</v>
      </c>
      <c r="M19" s="116">
        <v>1</v>
      </c>
      <c r="N19" s="93" t="s">
        <v>491</v>
      </c>
      <c r="O19" s="85" t="s">
        <v>2393</v>
      </c>
      <c r="P19" s="87">
        <v>-11271.73</v>
      </c>
      <c r="Q19" s="94"/>
      <c r="R19" s="93"/>
      <c r="S19" s="85"/>
      <c r="U19" s="94"/>
      <c r="V19" s="93"/>
      <c r="W19" s="85"/>
      <c r="Y19" s="94"/>
      <c r="Z19" s="93"/>
      <c r="AA19" s="85"/>
      <c r="AC19" s="94"/>
      <c r="AD19" s="93"/>
      <c r="AE19" s="85"/>
    </row>
    <row r="20" spans="1:31" ht="14.5" customHeight="1" x14ac:dyDescent="0.35">
      <c r="E20" s="85">
        <v>7</v>
      </c>
      <c r="F20" s="93" t="s">
        <v>891</v>
      </c>
      <c r="G20" s="85" t="s">
        <v>1030</v>
      </c>
      <c r="H20" s="87">
        <v>1018.79</v>
      </c>
      <c r="I20" s="94">
        <v>6</v>
      </c>
      <c r="J20" s="93">
        <v>45071</v>
      </c>
      <c r="K20" s="85" t="s">
        <v>1031</v>
      </c>
      <c r="L20" s="87">
        <v>564.4</v>
      </c>
      <c r="M20" s="94">
        <v>2</v>
      </c>
      <c r="N20" s="93" t="s">
        <v>491</v>
      </c>
      <c r="O20" s="85" t="s">
        <v>2157</v>
      </c>
      <c r="P20" s="87">
        <v>2950</v>
      </c>
      <c r="Q20" s="94"/>
      <c r="R20" s="93"/>
      <c r="S20" s="85"/>
      <c r="U20" s="94"/>
      <c r="V20" s="93"/>
      <c r="W20" s="85"/>
      <c r="Y20" s="94"/>
      <c r="Z20" s="93"/>
      <c r="AA20" s="85"/>
      <c r="AC20" s="94"/>
      <c r="AD20" s="93"/>
      <c r="AE20" s="85"/>
    </row>
    <row r="21" spans="1:31" ht="14.5" customHeight="1" x14ac:dyDescent="0.35">
      <c r="E21" s="85">
        <v>2</v>
      </c>
      <c r="F21" s="93" t="s">
        <v>1032</v>
      </c>
      <c r="G21" s="85" t="s">
        <v>1032</v>
      </c>
      <c r="H21" s="87">
        <v>-27141.11</v>
      </c>
      <c r="I21" s="94">
        <v>7</v>
      </c>
      <c r="J21" s="93">
        <v>45057</v>
      </c>
      <c r="K21" s="85" t="s">
        <v>1033</v>
      </c>
      <c r="L21" s="87">
        <v>129.29</v>
      </c>
      <c r="M21" s="94">
        <v>8</v>
      </c>
      <c r="N21" s="93">
        <v>45386</v>
      </c>
      <c r="O21" s="85" t="s">
        <v>1055</v>
      </c>
      <c r="P21" s="148">
        <v>113.4</v>
      </c>
      <c r="Q21" s="94"/>
      <c r="R21" s="93"/>
      <c r="S21" s="85"/>
      <c r="U21" s="94"/>
      <c r="V21" s="93"/>
      <c r="W21" s="85"/>
      <c r="Y21" s="94"/>
      <c r="Z21" s="93"/>
      <c r="AA21" s="85"/>
      <c r="AC21" s="94"/>
      <c r="AD21" s="93"/>
      <c r="AE21" s="85"/>
    </row>
    <row r="22" spans="1:31" ht="14.5" customHeight="1" x14ac:dyDescent="0.35">
      <c r="E22" s="85">
        <v>3</v>
      </c>
      <c r="F22" s="93">
        <v>44652</v>
      </c>
      <c r="G22" s="85" t="s">
        <v>1034</v>
      </c>
      <c r="H22" s="87">
        <v>450.22</v>
      </c>
      <c r="I22" s="94">
        <v>7</v>
      </c>
      <c r="J22" s="93">
        <v>45057</v>
      </c>
      <c r="K22" s="85" t="s">
        <v>1035</v>
      </c>
      <c r="L22" s="87">
        <v>110.14</v>
      </c>
      <c r="M22" s="94">
        <v>8</v>
      </c>
      <c r="N22" s="93">
        <v>45392</v>
      </c>
      <c r="O22" s="85" t="s">
        <v>2406</v>
      </c>
      <c r="P22" s="148">
        <v>291</v>
      </c>
      <c r="Q22" s="94"/>
      <c r="R22" s="93"/>
      <c r="S22" s="85"/>
      <c r="U22" s="94"/>
      <c r="V22" s="93"/>
      <c r="W22" s="85"/>
      <c r="Y22" s="94"/>
      <c r="Z22" s="93"/>
      <c r="AA22" s="85"/>
      <c r="AC22" s="94"/>
      <c r="AD22" s="93"/>
      <c r="AE22" s="85"/>
    </row>
    <row r="23" spans="1:31" ht="14.5" customHeight="1" x14ac:dyDescent="0.35">
      <c r="E23" s="85">
        <v>7</v>
      </c>
      <c r="F23" s="93">
        <v>44942</v>
      </c>
      <c r="G23" s="85" t="s">
        <v>1036</v>
      </c>
      <c r="H23" s="87">
        <f>2214.78+834.44-4.91</f>
        <v>3044.3100000000004</v>
      </c>
      <c r="I23" s="94">
        <v>7</v>
      </c>
      <c r="J23" s="93">
        <v>45054</v>
      </c>
      <c r="K23" s="85" t="s">
        <v>1037</v>
      </c>
      <c r="L23" s="87">
        <v>859.68</v>
      </c>
      <c r="M23" s="94">
        <v>8</v>
      </c>
      <c r="N23" s="93">
        <v>45407</v>
      </c>
      <c r="O23" s="85" t="s">
        <v>2406</v>
      </c>
      <c r="P23" s="148">
        <v>107</v>
      </c>
      <c r="Q23" s="94"/>
      <c r="R23" s="93"/>
      <c r="S23" s="85"/>
      <c r="U23" s="94"/>
      <c r="V23" s="93"/>
      <c r="W23" s="85"/>
      <c r="Y23" s="94"/>
      <c r="Z23" s="93"/>
      <c r="AA23" s="85"/>
      <c r="AC23" s="94"/>
      <c r="AD23" s="93"/>
      <c r="AE23" s="85"/>
    </row>
    <row r="24" spans="1:31" ht="14.5" customHeight="1" x14ac:dyDescent="0.35">
      <c r="E24" s="85">
        <v>7</v>
      </c>
      <c r="F24" s="93">
        <v>44959</v>
      </c>
      <c r="G24" s="85" t="s">
        <v>1038</v>
      </c>
      <c r="H24" s="87">
        <v>88.28</v>
      </c>
      <c r="J24" s="93"/>
      <c r="L24" s="87"/>
      <c r="M24" s="94">
        <v>7</v>
      </c>
      <c r="N24" s="93">
        <v>45420</v>
      </c>
      <c r="O24" s="85" t="s">
        <v>1033</v>
      </c>
      <c r="P24" s="148">
        <v>70.92</v>
      </c>
      <c r="Q24" s="94"/>
      <c r="R24" s="93"/>
      <c r="S24" s="85"/>
      <c r="U24" s="94"/>
      <c r="V24" s="93"/>
      <c r="W24" s="85"/>
      <c r="Y24" s="94"/>
      <c r="Z24" s="93"/>
      <c r="AA24" s="85"/>
      <c r="AC24" s="94"/>
      <c r="AD24" s="93"/>
      <c r="AE24" s="85"/>
    </row>
    <row r="25" spans="1:31" ht="14.5" customHeight="1" x14ac:dyDescent="0.35">
      <c r="E25" s="85">
        <v>7</v>
      </c>
      <c r="F25" s="93">
        <v>44959</v>
      </c>
      <c r="G25" s="85" t="s">
        <v>1040</v>
      </c>
      <c r="H25" s="87">
        <v>84.48</v>
      </c>
      <c r="I25" s="94">
        <v>6</v>
      </c>
      <c r="J25" s="93">
        <v>45086</v>
      </c>
      <c r="K25" s="85" t="s">
        <v>1041</v>
      </c>
      <c r="L25" s="87">
        <v>903</v>
      </c>
      <c r="M25" s="94">
        <v>8</v>
      </c>
      <c r="N25" s="93">
        <v>45429</v>
      </c>
      <c r="O25" s="85" t="s">
        <v>2406</v>
      </c>
      <c r="P25" s="148">
        <v>185</v>
      </c>
      <c r="Q25" s="94"/>
      <c r="R25" s="93"/>
      <c r="S25" s="85"/>
      <c r="U25" s="94"/>
      <c r="V25" s="93"/>
      <c r="W25" s="85"/>
      <c r="Y25" s="94"/>
      <c r="Z25" s="93"/>
      <c r="AA25" s="85"/>
      <c r="AC25" s="94"/>
      <c r="AD25" s="93"/>
      <c r="AE25" s="85"/>
    </row>
    <row r="26" spans="1:31" ht="14.5" customHeight="1" x14ac:dyDescent="0.35">
      <c r="E26" s="85">
        <v>7</v>
      </c>
      <c r="F26" s="93">
        <v>44965</v>
      </c>
      <c r="G26" s="85" t="s">
        <v>1042</v>
      </c>
      <c r="H26" s="87">
        <v>872.32</v>
      </c>
      <c r="I26" s="94">
        <v>7</v>
      </c>
      <c r="J26" s="93">
        <v>45084</v>
      </c>
      <c r="K26" s="85" t="s">
        <v>1043</v>
      </c>
      <c r="L26" s="87">
        <v>93.04</v>
      </c>
      <c r="M26" s="94">
        <v>6</v>
      </c>
      <c r="N26" s="93">
        <v>45412</v>
      </c>
      <c r="O26" s="85" t="s">
        <v>2905</v>
      </c>
      <c r="P26" s="148">
        <v>2112.5</v>
      </c>
      <c r="Q26" s="94"/>
      <c r="R26" s="93"/>
      <c r="S26" s="85"/>
      <c r="U26" s="94"/>
      <c r="V26" s="93"/>
      <c r="W26" s="85"/>
      <c r="Y26" s="94"/>
      <c r="Z26" s="93"/>
      <c r="AA26" s="85"/>
      <c r="AC26" s="94"/>
      <c r="AD26" s="93"/>
      <c r="AE26" s="85"/>
    </row>
    <row r="27" spans="1:31" ht="14.5" customHeight="1" x14ac:dyDescent="0.35">
      <c r="E27" s="85">
        <v>7</v>
      </c>
      <c r="F27" s="93">
        <v>44992</v>
      </c>
      <c r="G27" s="85" t="s">
        <v>1044</v>
      </c>
      <c r="H27" s="87">
        <v>75.739999999999995</v>
      </c>
      <c r="I27" s="94">
        <v>7</v>
      </c>
      <c r="J27" s="93">
        <v>45084</v>
      </c>
      <c r="K27" s="85" t="s">
        <v>1045</v>
      </c>
      <c r="L27" s="87">
        <v>103.7</v>
      </c>
      <c r="M27" s="94">
        <v>7</v>
      </c>
      <c r="N27" s="93">
        <v>45422</v>
      </c>
      <c r="O27" s="85" t="s">
        <v>2913</v>
      </c>
      <c r="P27" s="148">
        <v>52.95</v>
      </c>
      <c r="Q27" s="94"/>
      <c r="R27" s="93"/>
      <c r="S27" s="85"/>
      <c r="U27" s="94"/>
      <c r="V27" s="93"/>
      <c r="W27" s="85"/>
      <c r="Y27" s="94"/>
      <c r="Z27" s="93"/>
      <c r="AA27" s="85"/>
      <c r="AC27" s="94"/>
      <c r="AD27" s="93"/>
      <c r="AE27" s="85"/>
    </row>
    <row r="28" spans="1:31" ht="14.5" customHeight="1" x14ac:dyDescent="0.35">
      <c r="E28" s="85">
        <v>7</v>
      </c>
      <c r="F28" s="93">
        <v>44992</v>
      </c>
      <c r="G28" s="85" t="s">
        <v>1046</v>
      </c>
      <c r="H28" s="87">
        <v>68.41</v>
      </c>
      <c r="I28" s="94">
        <v>6</v>
      </c>
      <c r="J28" s="93">
        <v>45100</v>
      </c>
      <c r="K28" s="85" t="s">
        <v>1047</v>
      </c>
      <c r="L28" s="87">
        <v>292.3</v>
      </c>
      <c r="M28" s="94">
        <v>8</v>
      </c>
      <c r="N28" s="93">
        <v>45441</v>
      </c>
      <c r="O28" s="85" t="s">
        <v>589</v>
      </c>
      <c r="P28" s="148">
        <v>78.5</v>
      </c>
      <c r="Q28" s="94"/>
      <c r="R28" s="93"/>
      <c r="S28" s="85"/>
      <c r="U28" s="94"/>
      <c r="V28" s="93"/>
      <c r="W28" s="85"/>
      <c r="Y28" s="94"/>
      <c r="Z28" s="93"/>
      <c r="AA28" s="85"/>
      <c r="AC28" s="94"/>
      <c r="AD28" s="93"/>
      <c r="AE28" s="85"/>
    </row>
    <row r="29" spans="1:31" ht="14.5" customHeight="1" x14ac:dyDescent="0.35">
      <c r="E29" s="85">
        <v>7</v>
      </c>
      <c r="F29" s="93" t="s">
        <v>775</v>
      </c>
      <c r="G29" s="85" t="s">
        <v>1048</v>
      </c>
      <c r="H29" s="87">
        <v>84.42</v>
      </c>
      <c r="I29" s="94">
        <v>6</v>
      </c>
      <c r="J29" s="93" t="s">
        <v>1049</v>
      </c>
      <c r="K29" s="85" t="s">
        <v>1050</v>
      </c>
      <c r="L29" s="87">
        <v>12755</v>
      </c>
      <c r="M29" s="94">
        <v>6</v>
      </c>
      <c r="N29" s="93">
        <v>45443</v>
      </c>
      <c r="O29" s="85" t="s">
        <v>2916</v>
      </c>
      <c r="P29" s="148">
        <v>1787.5</v>
      </c>
      <c r="Q29" s="94"/>
      <c r="R29" s="93"/>
      <c r="S29" s="85"/>
      <c r="U29" s="94"/>
      <c r="V29" s="93"/>
      <c r="W29" s="85"/>
      <c r="Y29" s="94"/>
      <c r="Z29" s="93"/>
      <c r="AA29" s="85"/>
      <c r="AC29" s="94"/>
      <c r="AD29" s="93"/>
      <c r="AE29" s="85"/>
    </row>
    <row r="30" spans="1:31" ht="14.5" customHeight="1" x14ac:dyDescent="0.35">
      <c r="E30" s="85">
        <v>7</v>
      </c>
      <c r="F30" s="93" t="s">
        <v>775</v>
      </c>
      <c r="G30" s="85" t="s">
        <v>1051</v>
      </c>
      <c r="H30" s="87">
        <v>70.63</v>
      </c>
      <c r="I30" s="94">
        <v>6</v>
      </c>
      <c r="J30" s="93">
        <v>45107</v>
      </c>
      <c r="K30" s="85" t="s">
        <v>1052</v>
      </c>
      <c r="L30" s="87">
        <f>12+19+22.5</f>
        <v>53.5</v>
      </c>
      <c r="M30" s="94">
        <v>6</v>
      </c>
      <c r="N30" s="93">
        <v>45443</v>
      </c>
      <c r="O30" s="85" t="s">
        <v>2923</v>
      </c>
      <c r="P30" s="148">
        <v>250</v>
      </c>
      <c r="Q30" s="94"/>
      <c r="R30" s="93"/>
      <c r="S30" s="85"/>
      <c r="U30" s="94"/>
      <c r="V30" s="93"/>
      <c r="W30" s="85"/>
      <c r="Y30" s="94"/>
      <c r="Z30" s="93"/>
      <c r="AA30" s="85"/>
      <c r="AC30" s="94"/>
      <c r="AD30" s="93"/>
      <c r="AE30" s="85"/>
    </row>
    <row r="31" spans="1:31" ht="14.5" customHeight="1" x14ac:dyDescent="0.35">
      <c r="G31" s="85"/>
      <c r="H31" s="87"/>
      <c r="I31" s="94">
        <v>6</v>
      </c>
      <c r="J31" s="93">
        <v>45112</v>
      </c>
      <c r="K31" s="85" t="s">
        <v>1053</v>
      </c>
      <c r="L31" s="87">
        <v>6.58</v>
      </c>
      <c r="M31" s="94">
        <v>8</v>
      </c>
      <c r="N31" s="93">
        <v>45400</v>
      </c>
      <c r="O31" s="85" t="s">
        <v>2406</v>
      </c>
      <c r="P31" s="148">
        <v>103.73</v>
      </c>
      <c r="Q31" s="94"/>
      <c r="R31" s="93"/>
      <c r="S31" s="85"/>
      <c r="U31" s="94"/>
      <c r="V31" s="93"/>
      <c r="W31" s="85"/>
      <c r="Y31" s="94"/>
      <c r="Z31" s="93"/>
      <c r="AA31" s="85"/>
      <c r="AC31" s="94"/>
      <c r="AD31" s="93"/>
      <c r="AE31" s="85"/>
    </row>
    <row r="32" spans="1:31" ht="14.5" customHeight="1" x14ac:dyDescent="0.35">
      <c r="G32" s="85"/>
      <c r="H32" s="87"/>
      <c r="I32" s="94">
        <v>6</v>
      </c>
      <c r="J32" s="93">
        <v>45118</v>
      </c>
      <c r="K32" s="85" t="s">
        <v>1054</v>
      </c>
      <c r="L32" s="87">
        <v>16</v>
      </c>
      <c r="M32" s="94">
        <v>1</v>
      </c>
      <c r="N32" s="93">
        <v>45428</v>
      </c>
      <c r="O32" s="85" t="s">
        <v>2940</v>
      </c>
      <c r="P32" s="148">
        <v>200</v>
      </c>
      <c r="Q32" s="94"/>
      <c r="R32" s="93"/>
      <c r="S32" s="85"/>
      <c r="U32" s="94"/>
      <c r="V32" s="93"/>
      <c r="W32" s="85"/>
      <c r="Y32" s="94"/>
      <c r="Z32" s="93"/>
      <c r="AA32" s="85"/>
      <c r="AC32" s="94"/>
      <c r="AD32" s="93"/>
      <c r="AE32" s="85"/>
    </row>
    <row r="33" spans="7:31" ht="14.5" customHeight="1" x14ac:dyDescent="0.35">
      <c r="G33" s="85"/>
      <c r="H33" s="87"/>
      <c r="I33" s="94">
        <v>6</v>
      </c>
      <c r="J33" s="93">
        <v>45091</v>
      </c>
      <c r="K33" s="85" t="s">
        <v>1055</v>
      </c>
      <c r="L33" s="87">
        <v>290.61</v>
      </c>
      <c r="M33" s="94">
        <v>8</v>
      </c>
      <c r="N33" s="93">
        <v>45446</v>
      </c>
      <c r="O33" s="85" t="s">
        <v>2272</v>
      </c>
      <c r="P33" s="148">
        <v>31.3</v>
      </c>
      <c r="Q33" s="94"/>
      <c r="R33" s="93"/>
      <c r="S33" s="85"/>
      <c r="U33" s="94"/>
      <c r="V33" s="93"/>
      <c r="W33" s="85"/>
      <c r="Y33" s="94"/>
      <c r="Z33" s="93"/>
      <c r="AA33" s="85"/>
      <c r="AC33" s="94"/>
      <c r="AD33" s="93"/>
      <c r="AE33" s="85"/>
    </row>
    <row r="34" spans="7:31" ht="14.5" customHeight="1" x14ac:dyDescent="0.35">
      <c r="G34" s="85"/>
      <c r="H34" s="87"/>
      <c r="I34" s="94">
        <v>6</v>
      </c>
      <c r="J34" s="93">
        <v>45099</v>
      </c>
      <c r="K34" s="85" t="s">
        <v>1056</v>
      </c>
      <c r="L34" s="87">
        <v>384.75</v>
      </c>
      <c r="M34" s="94">
        <v>8</v>
      </c>
      <c r="N34" s="93">
        <v>45449</v>
      </c>
      <c r="O34" s="85" t="s">
        <v>2406</v>
      </c>
      <c r="P34" s="148">
        <v>593.5</v>
      </c>
      <c r="Q34" s="94"/>
      <c r="R34" s="93"/>
      <c r="S34" s="85"/>
      <c r="U34" s="94"/>
      <c r="V34" s="93"/>
      <c r="W34" s="85"/>
      <c r="Y34" s="94"/>
      <c r="Z34" s="93"/>
      <c r="AA34" s="85"/>
      <c r="AC34" s="94"/>
      <c r="AD34" s="93"/>
      <c r="AE34" s="85"/>
    </row>
    <row r="35" spans="7:31" ht="14.5" customHeight="1" x14ac:dyDescent="0.35">
      <c r="G35" s="85"/>
      <c r="H35" s="87"/>
      <c r="I35" s="94">
        <v>6</v>
      </c>
      <c r="J35" s="93">
        <v>45119</v>
      </c>
      <c r="K35" s="85" t="s">
        <v>1057</v>
      </c>
      <c r="L35" s="87">
        <v>379.4</v>
      </c>
      <c r="M35" s="94">
        <v>7</v>
      </c>
      <c r="N35" s="93">
        <v>45450</v>
      </c>
      <c r="O35" s="85" t="s">
        <v>2966</v>
      </c>
      <c r="P35" s="148">
        <v>72.52</v>
      </c>
      <c r="Q35" s="94"/>
      <c r="R35" s="93"/>
      <c r="S35" s="85"/>
      <c r="U35" s="94"/>
      <c r="V35" s="93"/>
      <c r="W35" s="85"/>
      <c r="Y35" s="94"/>
      <c r="Z35" s="93"/>
      <c r="AA35" s="85"/>
      <c r="AC35" s="94"/>
      <c r="AD35" s="93"/>
      <c r="AE35" s="85"/>
    </row>
    <row r="36" spans="7:31" ht="14.5" customHeight="1" x14ac:dyDescent="0.35">
      <c r="G36" s="85"/>
      <c r="H36" s="87"/>
      <c r="I36" s="94">
        <v>7</v>
      </c>
      <c r="J36" s="93">
        <v>45114</v>
      </c>
      <c r="K36" s="85" t="s">
        <v>1058</v>
      </c>
      <c r="L36" s="87">
        <v>92.05</v>
      </c>
      <c r="M36" s="94">
        <v>7</v>
      </c>
      <c r="N36" s="93">
        <v>45450</v>
      </c>
      <c r="O36" s="85" t="s">
        <v>2967</v>
      </c>
      <c r="P36" s="148">
        <v>54.72</v>
      </c>
      <c r="Q36" s="94"/>
      <c r="R36" s="93"/>
      <c r="S36" s="85"/>
      <c r="U36" s="94"/>
      <c r="V36" s="93"/>
      <c r="W36" s="85"/>
      <c r="Y36" s="94"/>
      <c r="Z36" s="93"/>
      <c r="AA36" s="85"/>
      <c r="AC36" s="94"/>
      <c r="AD36" s="93"/>
      <c r="AE36" s="85"/>
    </row>
    <row r="37" spans="7:31" ht="14.5" customHeight="1" x14ac:dyDescent="0.35">
      <c r="G37" s="85"/>
      <c r="H37" s="87"/>
      <c r="I37" s="94">
        <v>7</v>
      </c>
      <c r="J37" s="93">
        <v>45114</v>
      </c>
      <c r="K37" s="85" t="s">
        <v>1059</v>
      </c>
      <c r="L37" s="87">
        <v>83.88</v>
      </c>
      <c r="M37" s="94">
        <v>8</v>
      </c>
      <c r="N37" s="93">
        <v>45469</v>
      </c>
      <c r="O37" s="85" t="s">
        <v>589</v>
      </c>
      <c r="P37" s="148">
        <v>18</v>
      </c>
      <c r="Q37" s="94"/>
      <c r="R37" s="93"/>
      <c r="S37" s="85"/>
      <c r="U37" s="94"/>
      <c r="V37" s="93"/>
      <c r="W37" s="85"/>
      <c r="Y37" s="94"/>
      <c r="Z37" s="93"/>
      <c r="AA37" s="85"/>
      <c r="AC37" s="94"/>
      <c r="AD37" s="93"/>
      <c r="AE37" s="85"/>
    </row>
    <row r="38" spans="7:31" ht="14.5" customHeight="1" x14ac:dyDescent="0.35">
      <c r="G38" s="85"/>
      <c r="H38" s="87"/>
      <c r="I38" s="94">
        <v>6</v>
      </c>
      <c r="J38" s="93">
        <v>45085</v>
      </c>
      <c r="K38" s="85" t="s">
        <v>589</v>
      </c>
      <c r="L38" s="87">
        <v>245.4</v>
      </c>
      <c r="M38" s="94">
        <v>8</v>
      </c>
      <c r="N38" s="93">
        <v>45454</v>
      </c>
      <c r="O38" s="85" t="s">
        <v>2975</v>
      </c>
      <c r="P38" s="148">
        <v>32.44</v>
      </c>
      <c r="Q38" s="94"/>
      <c r="R38" s="93"/>
      <c r="S38" s="85"/>
      <c r="U38" s="94"/>
      <c r="V38" s="93"/>
      <c r="W38" s="85"/>
      <c r="Y38" s="94"/>
      <c r="Z38" s="93"/>
      <c r="AA38" s="85"/>
      <c r="AC38" s="94"/>
      <c r="AD38" s="93"/>
      <c r="AE38" s="85"/>
    </row>
    <row r="39" spans="7:31" ht="14.5" customHeight="1" x14ac:dyDescent="0.35">
      <c r="G39" s="85"/>
      <c r="H39" s="87"/>
      <c r="I39" s="94">
        <v>6</v>
      </c>
      <c r="J39" s="93">
        <v>45085</v>
      </c>
      <c r="K39" s="85" t="s">
        <v>1060</v>
      </c>
      <c r="L39" s="87">
        <v>219.4</v>
      </c>
      <c r="M39" s="94">
        <v>6</v>
      </c>
      <c r="N39" s="93">
        <v>45473</v>
      </c>
      <c r="O39" s="85" t="s">
        <v>2980</v>
      </c>
      <c r="P39" s="148">
        <v>1952.5</v>
      </c>
      <c r="Q39" s="94"/>
      <c r="R39" s="93"/>
      <c r="S39" s="85"/>
      <c r="U39" s="94"/>
      <c r="V39" s="93"/>
      <c r="W39" s="85"/>
      <c r="Y39" s="94"/>
      <c r="Z39" s="93"/>
      <c r="AA39" s="85"/>
      <c r="AC39" s="94"/>
      <c r="AD39" s="93"/>
      <c r="AE39" s="85"/>
    </row>
    <row r="40" spans="7:31" ht="14.5" customHeight="1" x14ac:dyDescent="0.35">
      <c r="G40" s="85"/>
      <c r="H40" s="87"/>
      <c r="I40" s="94">
        <v>6</v>
      </c>
      <c r="J40" s="93">
        <v>45148</v>
      </c>
      <c r="K40" s="85" t="s">
        <v>1055</v>
      </c>
      <c r="L40" s="87">
        <v>549.22</v>
      </c>
      <c r="M40" s="94">
        <v>8</v>
      </c>
      <c r="N40" s="93">
        <v>45436</v>
      </c>
      <c r="O40" s="85" t="s">
        <v>2994</v>
      </c>
      <c r="P40" s="148">
        <v>3.75</v>
      </c>
      <c r="Q40" s="94"/>
      <c r="R40" s="93"/>
      <c r="S40" s="85"/>
      <c r="U40" s="94"/>
      <c r="V40" s="93"/>
      <c r="W40" s="85"/>
      <c r="Y40" s="94"/>
      <c r="Z40" s="93"/>
      <c r="AA40" s="85"/>
      <c r="AC40" s="94"/>
      <c r="AD40" s="93"/>
      <c r="AE40" s="85"/>
    </row>
    <row r="41" spans="7:31" ht="14.5" customHeight="1" x14ac:dyDescent="0.35">
      <c r="G41" s="85"/>
      <c r="H41" s="87"/>
      <c r="I41" s="94">
        <v>6</v>
      </c>
      <c r="J41" s="93">
        <v>45146</v>
      </c>
      <c r="K41" s="85" t="s">
        <v>1055</v>
      </c>
      <c r="L41" s="87">
        <v>26.5</v>
      </c>
      <c r="M41" s="94">
        <v>8</v>
      </c>
      <c r="N41" s="93">
        <v>45457</v>
      </c>
      <c r="O41" s="85" t="s">
        <v>2732</v>
      </c>
      <c r="P41" s="148">
        <v>34</v>
      </c>
      <c r="Q41" s="94"/>
      <c r="R41" s="93"/>
      <c r="S41" s="85"/>
      <c r="U41" s="94"/>
      <c r="V41" s="93"/>
      <c r="W41" s="85"/>
      <c r="Y41" s="94"/>
      <c r="Z41" s="93"/>
      <c r="AA41" s="85"/>
      <c r="AC41" s="94"/>
      <c r="AD41" s="93"/>
      <c r="AE41" s="85"/>
    </row>
    <row r="42" spans="7:31" ht="14.5" customHeight="1" x14ac:dyDescent="0.35">
      <c r="G42" s="85"/>
      <c r="H42" s="87"/>
      <c r="I42" s="94">
        <v>6</v>
      </c>
      <c r="J42" s="93">
        <v>45148</v>
      </c>
      <c r="K42" s="85" t="s">
        <v>1061</v>
      </c>
      <c r="L42" s="87">
        <v>420</v>
      </c>
      <c r="M42" s="94">
        <v>8</v>
      </c>
      <c r="N42" s="93">
        <v>45463</v>
      </c>
      <c r="O42" s="85" t="s">
        <v>2272</v>
      </c>
      <c r="P42" s="148">
        <v>36</v>
      </c>
      <c r="Q42" s="94"/>
      <c r="R42" s="93"/>
      <c r="S42" s="85"/>
      <c r="U42" s="94"/>
      <c r="V42" s="93"/>
      <c r="W42" s="85"/>
      <c r="Y42" s="94"/>
      <c r="Z42" s="93"/>
      <c r="AA42" s="85"/>
      <c r="AC42" s="94"/>
      <c r="AD42" s="93"/>
      <c r="AE42" s="85"/>
    </row>
    <row r="43" spans="7:31" ht="14.5" customHeight="1" x14ac:dyDescent="0.35">
      <c r="G43" s="85"/>
      <c r="H43" s="87"/>
      <c r="I43" s="94">
        <v>7</v>
      </c>
      <c r="J43" s="93">
        <v>45143</v>
      </c>
      <c r="K43" s="85" t="s">
        <v>1062</v>
      </c>
      <c r="L43" s="87">
        <v>108.7</v>
      </c>
      <c r="M43" s="94">
        <v>7</v>
      </c>
      <c r="N43" s="93">
        <v>45478</v>
      </c>
      <c r="O43" s="85" t="s">
        <v>1059</v>
      </c>
      <c r="P43" s="87">
        <v>70.25</v>
      </c>
      <c r="Q43" s="94"/>
      <c r="R43" s="93"/>
      <c r="S43" s="85"/>
      <c r="U43" s="94"/>
      <c r="V43" s="93"/>
      <c r="W43" s="85"/>
      <c r="Y43" s="94"/>
      <c r="Z43" s="93"/>
      <c r="AA43" s="85"/>
      <c r="AC43" s="94"/>
      <c r="AD43" s="93"/>
      <c r="AE43" s="85"/>
    </row>
    <row r="44" spans="7:31" ht="14.5" customHeight="1" x14ac:dyDescent="0.35">
      <c r="G44" s="85"/>
      <c r="H44" s="87"/>
      <c r="I44" s="94">
        <v>7</v>
      </c>
      <c r="J44" s="93">
        <v>45143</v>
      </c>
      <c r="K44" s="85" t="s">
        <v>1063</v>
      </c>
      <c r="L44" s="87">
        <v>98.18</v>
      </c>
      <c r="M44" s="94">
        <v>7</v>
      </c>
      <c r="N44" s="93">
        <v>45482</v>
      </c>
      <c r="O44" s="85" t="s">
        <v>3139</v>
      </c>
      <c r="P44" s="87">
        <v>52.95</v>
      </c>
      <c r="Q44" s="94"/>
      <c r="R44" s="93"/>
      <c r="S44" s="85"/>
      <c r="U44" s="94"/>
      <c r="V44" s="93"/>
      <c r="W44" s="85"/>
      <c r="Y44" s="94"/>
      <c r="Z44" s="93"/>
      <c r="AA44" s="85"/>
      <c r="AC44" s="94"/>
      <c r="AD44" s="93"/>
      <c r="AE44" s="85"/>
    </row>
    <row r="45" spans="7:31" ht="14.5" customHeight="1" x14ac:dyDescent="0.35">
      <c r="G45" s="85"/>
      <c r="H45" s="87"/>
      <c r="I45" s="94">
        <v>6</v>
      </c>
      <c r="J45" s="93">
        <v>45162</v>
      </c>
      <c r="K45" s="85" t="s">
        <v>1064</v>
      </c>
      <c r="L45" s="87">
        <v>27.95</v>
      </c>
      <c r="M45" s="94">
        <v>8</v>
      </c>
      <c r="N45" s="93">
        <v>45490</v>
      </c>
      <c r="O45" s="85" t="s">
        <v>589</v>
      </c>
      <c r="P45" s="87">
        <v>73.5</v>
      </c>
      <c r="Q45" s="94"/>
      <c r="R45" s="93"/>
      <c r="S45" s="85"/>
      <c r="U45" s="94"/>
      <c r="V45" s="93"/>
      <c r="W45" s="85"/>
      <c r="Y45" s="94"/>
      <c r="Z45" s="93"/>
      <c r="AA45" s="85"/>
      <c r="AC45" s="94"/>
      <c r="AD45" s="93"/>
      <c r="AE45" s="85"/>
    </row>
    <row r="46" spans="7:31" ht="14.5" customHeight="1" x14ac:dyDescent="0.35">
      <c r="G46" s="85"/>
      <c r="H46" s="87"/>
      <c r="I46" s="94">
        <v>6</v>
      </c>
      <c r="J46" s="93">
        <v>45181</v>
      </c>
      <c r="K46" s="85" t="s">
        <v>1065</v>
      </c>
      <c r="L46" s="87">
        <v>51</v>
      </c>
      <c r="M46" s="94">
        <v>6</v>
      </c>
      <c r="N46" s="93">
        <v>45504</v>
      </c>
      <c r="O46" s="85" t="s">
        <v>3182</v>
      </c>
      <c r="P46" s="87">
        <v>1175</v>
      </c>
      <c r="Q46" s="94"/>
      <c r="R46" s="93"/>
      <c r="S46" s="85"/>
      <c r="U46" s="94"/>
      <c r="V46" s="93"/>
      <c r="W46" s="85"/>
      <c r="Y46" s="94"/>
      <c r="Z46" s="93"/>
      <c r="AA46" s="85"/>
      <c r="AC46" s="94"/>
      <c r="AD46" s="93"/>
      <c r="AE46" s="85"/>
    </row>
    <row r="47" spans="7:31" ht="14.5" customHeight="1" x14ac:dyDescent="0.35">
      <c r="G47" s="85"/>
      <c r="H47" s="87"/>
      <c r="I47" s="94">
        <v>7</v>
      </c>
      <c r="J47" s="93">
        <v>45176</v>
      </c>
      <c r="K47" s="85" t="s">
        <v>1066</v>
      </c>
      <c r="L47" s="87">
        <v>98.56</v>
      </c>
      <c r="M47" s="94">
        <v>8</v>
      </c>
      <c r="N47" s="93">
        <v>45504</v>
      </c>
      <c r="O47" s="85" t="s">
        <v>2406</v>
      </c>
      <c r="P47" s="87">
        <v>58.7</v>
      </c>
      <c r="Q47" s="94"/>
      <c r="R47" s="93"/>
      <c r="S47" s="85"/>
      <c r="U47" s="94"/>
      <c r="V47" s="93"/>
      <c r="W47" s="85"/>
      <c r="Y47" s="94"/>
      <c r="Z47" s="93"/>
      <c r="AA47" s="85"/>
      <c r="AC47" s="94"/>
      <c r="AD47" s="93"/>
      <c r="AE47" s="85"/>
    </row>
    <row r="48" spans="7:31" ht="14.5" customHeight="1" x14ac:dyDescent="0.35">
      <c r="G48" s="85"/>
      <c r="H48" s="87"/>
      <c r="I48" s="94">
        <v>7</v>
      </c>
      <c r="J48" s="93">
        <v>45176</v>
      </c>
      <c r="K48" s="85" t="s">
        <v>1067</v>
      </c>
      <c r="L48" s="87">
        <v>84.05</v>
      </c>
      <c r="M48" s="94">
        <v>1</v>
      </c>
      <c r="N48" s="93">
        <v>45499</v>
      </c>
      <c r="O48" s="85" t="s">
        <v>2940</v>
      </c>
      <c r="P48" s="87">
        <v>250</v>
      </c>
      <c r="Q48" s="94"/>
      <c r="R48" s="93"/>
      <c r="S48" s="85"/>
      <c r="U48" s="94"/>
      <c r="V48" s="93"/>
      <c r="W48" s="85"/>
      <c r="Y48" s="94"/>
      <c r="Z48" s="93"/>
      <c r="AA48" s="85"/>
      <c r="AC48" s="94"/>
      <c r="AD48" s="93"/>
      <c r="AE48" s="85"/>
    </row>
    <row r="49" spans="7:31" ht="14.5" customHeight="1" x14ac:dyDescent="0.35">
      <c r="G49" s="85"/>
      <c r="H49" s="87"/>
      <c r="I49" s="94">
        <v>6</v>
      </c>
      <c r="J49" s="93">
        <v>45170</v>
      </c>
      <c r="K49" s="85" t="s">
        <v>589</v>
      </c>
      <c r="L49" s="87">
        <v>26.64</v>
      </c>
      <c r="M49" s="94"/>
      <c r="N49" s="93"/>
      <c r="O49" s="85"/>
      <c r="Q49" s="94"/>
      <c r="R49" s="93"/>
      <c r="S49" s="85"/>
      <c r="U49" s="94"/>
      <c r="V49" s="93"/>
      <c r="W49" s="85"/>
      <c r="Y49" s="94"/>
      <c r="Z49" s="93"/>
      <c r="AA49" s="85"/>
      <c r="AC49" s="94"/>
      <c r="AD49" s="93"/>
      <c r="AE49" s="85"/>
    </row>
    <row r="50" spans="7:31" ht="14.5" customHeight="1" x14ac:dyDescent="0.35">
      <c r="G50" s="85"/>
      <c r="H50" s="87"/>
      <c r="I50" s="94">
        <v>6</v>
      </c>
      <c r="J50" s="93">
        <v>45191</v>
      </c>
      <c r="K50" s="85" t="s">
        <v>1068</v>
      </c>
      <c r="L50" s="87">
        <v>35.78</v>
      </c>
      <c r="M50" s="94"/>
      <c r="N50" s="93"/>
      <c r="O50" s="85"/>
      <c r="Q50" s="94"/>
      <c r="R50" s="93"/>
      <c r="S50" s="85"/>
      <c r="U50" s="94"/>
      <c r="V50" s="93"/>
      <c r="W50" s="85"/>
      <c r="Y50" s="94"/>
      <c r="Z50" s="93"/>
      <c r="AA50" s="85"/>
      <c r="AC50" s="94"/>
      <c r="AD50" s="93"/>
      <c r="AE50" s="85"/>
    </row>
    <row r="51" spans="7:31" ht="14.5" customHeight="1" x14ac:dyDescent="0.35">
      <c r="G51" s="85"/>
      <c r="H51" s="87"/>
      <c r="I51" s="94">
        <v>6</v>
      </c>
      <c r="J51" s="93" t="s">
        <v>1069</v>
      </c>
      <c r="K51" s="85" t="s">
        <v>1039</v>
      </c>
      <c r="L51" s="87">
        <f>2272.5+2515+55.9+2730+2565</f>
        <v>10138.4</v>
      </c>
      <c r="M51" s="94"/>
      <c r="N51" s="93"/>
      <c r="O51" s="85"/>
      <c r="Q51" s="94"/>
      <c r="R51" s="93"/>
      <c r="S51" s="85"/>
      <c r="U51" s="94"/>
      <c r="V51" s="93"/>
      <c r="W51" s="85"/>
      <c r="Y51" s="94"/>
      <c r="Z51" s="93"/>
      <c r="AA51" s="85"/>
      <c r="AC51" s="94"/>
      <c r="AD51" s="93"/>
      <c r="AE51" s="85"/>
    </row>
    <row r="52" spans="7:31" ht="14.5" customHeight="1" x14ac:dyDescent="0.35">
      <c r="G52" s="85"/>
      <c r="H52" s="87"/>
      <c r="I52" s="94">
        <v>7</v>
      </c>
      <c r="J52" s="93">
        <v>45115</v>
      </c>
      <c r="K52" s="85" t="s">
        <v>1070</v>
      </c>
      <c r="L52" s="87">
        <v>1000.74</v>
      </c>
      <c r="M52" s="94"/>
      <c r="N52" s="93"/>
      <c r="O52" s="85"/>
      <c r="Q52" s="94"/>
      <c r="R52" s="93"/>
      <c r="S52" s="85"/>
      <c r="U52" s="94"/>
      <c r="V52" s="93"/>
      <c r="W52" s="85"/>
      <c r="Y52" s="94"/>
      <c r="Z52" s="93"/>
      <c r="AA52" s="85"/>
      <c r="AC52" s="94"/>
      <c r="AD52" s="93"/>
      <c r="AE52" s="85"/>
    </row>
    <row r="53" spans="7:31" ht="14.5" customHeight="1" x14ac:dyDescent="0.35">
      <c r="G53" s="85"/>
      <c r="H53" s="87"/>
      <c r="I53" s="94">
        <v>7</v>
      </c>
      <c r="J53" s="93">
        <v>45205</v>
      </c>
      <c r="K53" s="85" t="s">
        <v>1071</v>
      </c>
      <c r="L53" s="87">
        <v>60.03</v>
      </c>
      <c r="M53" s="94"/>
      <c r="N53" s="93"/>
      <c r="O53" s="85"/>
      <c r="Q53" s="94"/>
      <c r="R53" s="93"/>
      <c r="S53" s="85"/>
      <c r="U53" s="94"/>
      <c r="V53" s="93"/>
      <c r="W53" s="85"/>
      <c r="Y53" s="94"/>
      <c r="Z53" s="93"/>
      <c r="AA53" s="85"/>
      <c r="AC53" s="94"/>
      <c r="AD53" s="93"/>
      <c r="AE53" s="85"/>
    </row>
    <row r="54" spans="7:31" ht="14.5" customHeight="1" x14ac:dyDescent="0.35">
      <c r="G54" s="85"/>
      <c r="H54" s="87"/>
      <c r="I54" s="94">
        <v>7</v>
      </c>
      <c r="J54" s="93">
        <v>45205</v>
      </c>
      <c r="K54" s="85" t="s">
        <v>1072</v>
      </c>
      <c r="L54" s="87">
        <v>89.31</v>
      </c>
      <c r="M54" s="94"/>
      <c r="N54" s="93"/>
      <c r="O54" s="85"/>
      <c r="Q54" s="94"/>
      <c r="R54" s="93"/>
      <c r="S54" s="85"/>
      <c r="U54" s="94"/>
      <c r="V54" s="93"/>
      <c r="W54" s="85"/>
      <c r="Y54" s="94"/>
      <c r="Z54" s="93"/>
      <c r="AA54" s="85"/>
      <c r="AC54" s="94"/>
      <c r="AD54" s="93"/>
      <c r="AE54" s="85"/>
    </row>
    <row r="55" spans="7:31" ht="14.5" customHeight="1" x14ac:dyDescent="0.35">
      <c r="G55" s="85"/>
      <c r="H55" s="87"/>
      <c r="I55" s="94">
        <v>6</v>
      </c>
      <c r="J55" s="93">
        <v>45202</v>
      </c>
      <c r="K55" s="85" t="s">
        <v>1061</v>
      </c>
      <c r="L55" s="87">
        <v>570.5</v>
      </c>
      <c r="M55" s="94"/>
      <c r="N55" s="93"/>
      <c r="O55" s="85"/>
      <c r="Q55" s="94"/>
      <c r="R55" s="93"/>
      <c r="S55" s="85"/>
      <c r="U55" s="94"/>
      <c r="V55" s="93"/>
      <c r="W55" s="85"/>
      <c r="Y55" s="94"/>
      <c r="Z55" s="93"/>
      <c r="AA55" s="85"/>
      <c r="AC55" s="94"/>
      <c r="AD55" s="93"/>
      <c r="AE55" s="85"/>
    </row>
    <row r="56" spans="7:31" ht="14.5" customHeight="1" x14ac:dyDescent="0.35">
      <c r="G56" s="85"/>
      <c r="H56" s="87"/>
      <c r="I56" s="94">
        <v>6</v>
      </c>
      <c r="J56" s="93">
        <v>45211</v>
      </c>
      <c r="K56" s="85" t="s">
        <v>1061</v>
      </c>
      <c r="L56" s="87">
        <v>105</v>
      </c>
      <c r="M56" s="94"/>
      <c r="N56" s="93"/>
      <c r="O56" s="85"/>
      <c r="Q56" s="94"/>
      <c r="R56" s="93"/>
      <c r="S56" s="85"/>
      <c r="U56" s="94"/>
      <c r="V56" s="93"/>
      <c r="W56" s="85"/>
      <c r="Y56" s="94"/>
      <c r="Z56" s="93"/>
      <c r="AA56" s="85"/>
      <c r="AC56" s="94"/>
      <c r="AD56" s="93"/>
      <c r="AE56" s="85"/>
    </row>
    <row r="57" spans="7:31" ht="14.5" customHeight="1" x14ac:dyDescent="0.35">
      <c r="G57" s="85"/>
      <c r="H57" s="87"/>
      <c r="I57" s="94">
        <v>6</v>
      </c>
      <c r="J57" s="93">
        <v>45222</v>
      </c>
      <c r="K57" s="85" t="s">
        <v>2155</v>
      </c>
      <c r="L57" s="87">
        <v>25.5</v>
      </c>
      <c r="M57" s="96" t="s">
        <v>1073</v>
      </c>
      <c r="N57" s="93"/>
      <c r="O57" s="85"/>
      <c r="Q57" s="94"/>
      <c r="R57" s="93"/>
      <c r="S57" s="85"/>
      <c r="U57" s="94"/>
      <c r="V57" s="93"/>
      <c r="W57" s="85"/>
      <c r="Y57" s="94"/>
      <c r="Z57" s="93"/>
      <c r="AA57" s="85"/>
      <c r="AC57" s="94"/>
      <c r="AD57" s="93"/>
      <c r="AE57" s="85"/>
    </row>
    <row r="58" spans="7:31" ht="14.5" customHeight="1" x14ac:dyDescent="0.35">
      <c r="G58" s="85"/>
      <c r="H58" s="87"/>
      <c r="I58" s="94" t="s">
        <v>23</v>
      </c>
      <c r="J58" s="93" t="s">
        <v>491</v>
      </c>
      <c r="K58" s="85" t="s">
        <v>1931</v>
      </c>
      <c r="L58" s="87">
        <f>91928.27-L79</f>
        <v>61928.270000000004</v>
      </c>
      <c r="M58" s="96" t="s">
        <v>1074</v>
      </c>
      <c r="N58" s="93"/>
      <c r="O58" s="85"/>
      <c r="Q58" s="94"/>
      <c r="R58" s="93"/>
      <c r="S58" s="85"/>
      <c r="U58" s="94"/>
      <c r="V58" s="93"/>
      <c r="W58" s="85"/>
      <c r="Y58" s="94"/>
      <c r="Z58" s="93"/>
      <c r="AA58" s="85"/>
      <c r="AC58" s="94"/>
      <c r="AD58" s="93"/>
      <c r="AE58" s="85"/>
    </row>
    <row r="59" spans="7:31" ht="14.5" customHeight="1" x14ac:dyDescent="0.35">
      <c r="G59" s="85"/>
      <c r="H59" s="87"/>
      <c r="I59" s="94" t="s">
        <v>23</v>
      </c>
      <c r="J59" s="93" t="s">
        <v>491</v>
      </c>
      <c r="K59" s="85" t="s">
        <v>2393</v>
      </c>
      <c r="L59" s="87">
        <v>-11271.73</v>
      </c>
      <c r="M59" s="96" t="s">
        <v>1075</v>
      </c>
      <c r="N59" s="93"/>
      <c r="O59" s="85"/>
      <c r="Q59" s="94"/>
      <c r="R59" s="93"/>
      <c r="S59" s="85"/>
      <c r="U59" s="94"/>
      <c r="V59" s="93"/>
      <c r="W59" s="85"/>
      <c r="Y59" s="94"/>
      <c r="Z59" s="93"/>
      <c r="AA59" s="85"/>
      <c r="AC59" s="94"/>
      <c r="AD59" s="93"/>
      <c r="AE59" s="85"/>
    </row>
    <row r="60" spans="7:31" ht="14.5" customHeight="1" x14ac:dyDescent="0.35">
      <c r="G60" s="85"/>
      <c r="H60" s="87"/>
      <c r="I60" s="94">
        <v>2</v>
      </c>
      <c r="J60" s="93">
        <v>45280</v>
      </c>
      <c r="K60" s="85" t="s">
        <v>104</v>
      </c>
      <c r="L60" s="87">
        <v>63575</v>
      </c>
      <c r="M60" s="96" t="s">
        <v>1076</v>
      </c>
      <c r="N60" s="93"/>
      <c r="O60" s="85"/>
      <c r="Q60" s="94"/>
      <c r="R60" s="93"/>
      <c r="S60" s="85"/>
      <c r="U60" s="94"/>
      <c r="V60" s="93"/>
      <c r="W60" s="85"/>
      <c r="Y60" s="94"/>
      <c r="Z60" s="93"/>
      <c r="AA60" s="85"/>
      <c r="AC60" s="94"/>
      <c r="AD60" s="93"/>
      <c r="AE60" s="85"/>
    </row>
    <row r="61" spans="7:31" ht="14.5" customHeight="1" x14ac:dyDescent="0.35">
      <c r="G61" s="85"/>
      <c r="H61" s="87"/>
      <c r="I61" s="94">
        <v>2</v>
      </c>
      <c r="J61" s="93">
        <v>45280</v>
      </c>
      <c r="K61" s="85" t="s">
        <v>2156</v>
      </c>
      <c r="L61" s="87">
        <v>14850</v>
      </c>
      <c r="M61" s="96" t="s">
        <v>1077</v>
      </c>
      <c r="N61" s="93"/>
      <c r="O61" s="85"/>
      <c r="Q61" s="94"/>
      <c r="R61" s="93"/>
      <c r="S61" s="85"/>
      <c r="U61" s="94"/>
      <c r="V61" s="93"/>
      <c r="W61" s="85"/>
      <c r="Y61" s="94"/>
      <c r="Z61" s="93"/>
      <c r="AA61" s="85"/>
      <c r="AC61" s="94"/>
      <c r="AD61" s="93"/>
      <c r="AE61" s="85"/>
    </row>
    <row r="62" spans="7:31" ht="14.5" customHeight="1" x14ac:dyDescent="0.35">
      <c r="G62" s="85"/>
      <c r="H62" s="87"/>
      <c r="I62" s="94" t="s">
        <v>23</v>
      </c>
      <c r="J62" s="93" t="s">
        <v>491</v>
      </c>
      <c r="K62" s="85" t="s">
        <v>2157</v>
      </c>
      <c r="L62" s="87">
        <f>4000-L82</f>
        <v>2950</v>
      </c>
      <c r="M62" s="96" t="s">
        <v>1078</v>
      </c>
      <c r="N62" s="93"/>
      <c r="O62" s="85"/>
      <c r="Q62" s="94"/>
      <c r="R62" s="93"/>
      <c r="S62" s="85"/>
      <c r="U62" s="94"/>
      <c r="V62" s="93"/>
      <c r="W62" s="85"/>
      <c r="Y62" s="94"/>
      <c r="Z62" s="93"/>
      <c r="AA62" s="85"/>
      <c r="AC62" s="94"/>
      <c r="AD62" s="93"/>
      <c r="AE62" s="85"/>
    </row>
    <row r="63" spans="7:31" ht="14.5" customHeight="1" x14ac:dyDescent="0.35">
      <c r="G63" s="85"/>
      <c r="H63" s="87"/>
      <c r="I63" s="94">
        <v>2</v>
      </c>
      <c r="J63" s="93">
        <v>45293</v>
      </c>
      <c r="K63" s="85" t="s">
        <v>2158</v>
      </c>
      <c r="L63" s="87">
        <v>2550</v>
      </c>
      <c r="M63" s="96" t="s">
        <v>1079</v>
      </c>
      <c r="N63" s="93"/>
      <c r="O63" s="85"/>
      <c r="Q63" s="94"/>
      <c r="R63" s="93"/>
      <c r="S63" s="85"/>
      <c r="U63" s="94"/>
      <c r="V63" s="93"/>
      <c r="W63" s="85"/>
      <c r="Y63" s="94"/>
      <c r="Z63" s="93"/>
      <c r="AA63" s="85"/>
      <c r="AC63" s="94"/>
      <c r="AD63" s="93"/>
      <c r="AE63" s="85"/>
    </row>
    <row r="64" spans="7:31" ht="14.5" customHeight="1" x14ac:dyDescent="0.35">
      <c r="G64" s="85"/>
      <c r="H64" s="87"/>
      <c r="I64" s="94">
        <v>6</v>
      </c>
      <c r="J64" s="93">
        <v>45224</v>
      </c>
      <c r="K64" s="85" t="s">
        <v>589</v>
      </c>
      <c r="L64" s="87">
        <v>27</v>
      </c>
      <c r="M64" s="96" t="s">
        <v>1080</v>
      </c>
      <c r="N64" s="93"/>
      <c r="O64" s="85"/>
      <c r="Q64" s="94"/>
      <c r="R64" s="93"/>
      <c r="S64" s="85"/>
      <c r="U64" s="94"/>
      <c r="V64" s="93"/>
      <c r="W64" s="85"/>
      <c r="Y64" s="94"/>
      <c r="Z64" s="93"/>
      <c r="AA64" s="85"/>
      <c r="AC64" s="94"/>
      <c r="AD64" s="93"/>
      <c r="AE64" s="85"/>
    </row>
    <row r="65" spans="7:31" ht="14.5" customHeight="1" x14ac:dyDescent="0.35">
      <c r="G65" s="85"/>
      <c r="H65" s="87"/>
      <c r="I65" s="94">
        <v>6</v>
      </c>
      <c r="J65" s="93">
        <v>45225</v>
      </c>
      <c r="K65" s="85" t="s">
        <v>2159</v>
      </c>
      <c r="L65" s="87">
        <v>108.75</v>
      </c>
      <c r="M65" s="96" t="s">
        <v>1081</v>
      </c>
      <c r="N65" s="93"/>
      <c r="O65" s="85"/>
      <c r="Q65" s="94"/>
      <c r="R65" s="93"/>
      <c r="S65" s="85"/>
      <c r="U65" s="94"/>
      <c r="V65" s="93"/>
      <c r="W65" s="85"/>
      <c r="Y65" s="94"/>
      <c r="Z65" s="93"/>
      <c r="AA65" s="85"/>
      <c r="AC65" s="94"/>
      <c r="AD65" s="93"/>
      <c r="AE65" s="85"/>
    </row>
    <row r="66" spans="7:31" ht="14.5" customHeight="1" x14ac:dyDescent="0.35">
      <c r="G66" s="85"/>
      <c r="H66" s="87"/>
      <c r="I66" s="94">
        <v>7</v>
      </c>
      <c r="J66" s="93">
        <v>45237</v>
      </c>
      <c r="K66" s="85" t="s">
        <v>2160</v>
      </c>
      <c r="L66" s="87">
        <v>53.95</v>
      </c>
      <c r="M66" s="96" t="s">
        <v>1082</v>
      </c>
      <c r="N66" s="93"/>
      <c r="O66" s="85"/>
      <c r="Q66" s="94"/>
      <c r="R66" s="93"/>
      <c r="S66" s="85"/>
      <c r="U66" s="94"/>
      <c r="V66" s="93"/>
      <c r="W66" s="85"/>
      <c r="Y66" s="94"/>
      <c r="Z66" s="93"/>
      <c r="AA66" s="85"/>
      <c r="AC66" s="94"/>
      <c r="AD66" s="93"/>
      <c r="AE66" s="85"/>
    </row>
    <row r="67" spans="7:31" ht="14.5" customHeight="1" x14ac:dyDescent="0.35">
      <c r="G67" s="85"/>
      <c r="H67" s="87"/>
      <c r="I67" s="94">
        <v>7</v>
      </c>
      <c r="J67" s="93">
        <v>45237</v>
      </c>
      <c r="K67" s="85" t="s">
        <v>2161</v>
      </c>
      <c r="L67" s="87">
        <v>102.66</v>
      </c>
      <c r="M67" s="96" t="s">
        <v>1083</v>
      </c>
      <c r="N67" s="93"/>
      <c r="O67" s="85"/>
      <c r="Q67" s="94"/>
      <c r="R67" s="93"/>
      <c r="S67" s="85"/>
      <c r="U67" s="94"/>
      <c r="V67" s="93"/>
      <c r="W67" s="85"/>
      <c r="Y67" s="94"/>
      <c r="Z67" s="93"/>
      <c r="AA67" s="85"/>
      <c r="AC67" s="94"/>
      <c r="AD67" s="93"/>
      <c r="AE67" s="85"/>
    </row>
    <row r="68" spans="7:31" ht="14.5" customHeight="1" x14ac:dyDescent="0.35">
      <c r="G68" s="85"/>
      <c r="H68" s="87"/>
      <c r="I68" s="94">
        <v>2</v>
      </c>
      <c r="J68" s="93">
        <v>45266</v>
      </c>
      <c r="K68" s="85" t="s">
        <v>2248</v>
      </c>
      <c r="L68" s="87">
        <v>7245</v>
      </c>
      <c r="M68" s="96" t="s">
        <v>1084</v>
      </c>
      <c r="N68" s="93"/>
      <c r="O68" s="85"/>
      <c r="Q68" s="94"/>
      <c r="R68" s="93"/>
      <c r="S68" s="85"/>
      <c r="U68" s="94"/>
      <c r="V68" s="93"/>
      <c r="W68" s="85"/>
      <c r="Y68" s="94"/>
      <c r="Z68" s="93"/>
      <c r="AA68" s="85"/>
      <c r="AC68" s="94"/>
      <c r="AD68" s="93"/>
      <c r="AE68" s="85"/>
    </row>
    <row r="69" spans="7:31" ht="14.5" customHeight="1" x14ac:dyDescent="0.35">
      <c r="G69" s="85"/>
      <c r="H69" s="87"/>
      <c r="I69" s="94">
        <v>7</v>
      </c>
      <c r="J69" s="93">
        <v>45269</v>
      </c>
      <c r="K69" s="85" t="s">
        <v>2259</v>
      </c>
      <c r="L69" s="87">
        <v>67.11</v>
      </c>
      <c r="M69" s="96" t="s">
        <v>1085</v>
      </c>
      <c r="N69" s="93"/>
      <c r="O69" s="85"/>
      <c r="Q69" s="94"/>
      <c r="R69" s="93"/>
      <c r="S69" s="85"/>
      <c r="U69" s="94"/>
      <c r="V69" s="93"/>
      <c r="W69" s="85"/>
      <c r="Y69" s="94"/>
      <c r="Z69" s="93"/>
      <c r="AA69" s="85"/>
      <c r="AC69" s="94"/>
      <c r="AD69" s="93"/>
      <c r="AE69" s="85"/>
    </row>
    <row r="70" spans="7:31" ht="14.5" customHeight="1" x14ac:dyDescent="0.35">
      <c r="G70" s="85"/>
      <c r="H70" s="87"/>
      <c r="I70" s="94">
        <v>7</v>
      </c>
      <c r="J70" s="93">
        <v>45267</v>
      </c>
      <c r="K70" s="85" t="s">
        <v>2268</v>
      </c>
      <c r="L70" s="87">
        <v>96.19</v>
      </c>
      <c r="M70" s="96" t="s">
        <v>1083</v>
      </c>
      <c r="N70" s="93"/>
      <c r="O70" s="85"/>
      <c r="Q70" s="94"/>
      <c r="R70" s="93"/>
      <c r="S70" s="85"/>
      <c r="U70" s="94"/>
      <c r="V70" s="93"/>
      <c r="W70" s="85"/>
      <c r="Y70" s="94"/>
      <c r="Z70" s="93"/>
      <c r="AA70" s="85"/>
      <c r="AC70" s="94"/>
      <c r="AD70" s="93"/>
      <c r="AE70" s="85"/>
    </row>
    <row r="71" spans="7:31" ht="14.5" customHeight="1" x14ac:dyDescent="0.35">
      <c r="G71" s="85"/>
      <c r="H71" s="87"/>
      <c r="I71" s="94">
        <v>6</v>
      </c>
      <c r="J71" s="93">
        <v>45268</v>
      </c>
      <c r="K71" s="85" t="s">
        <v>2272</v>
      </c>
      <c r="L71" s="87">
        <v>225</v>
      </c>
      <c r="M71" s="94"/>
      <c r="N71" s="93"/>
      <c r="O71" s="85"/>
      <c r="Q71" s="94"/>
      <c r="R71" s="93"/>
      <c r="S71" s="85"/>
      <c r="U71" s="94"/>
      <c r="V71" s="93"/>
      <c r="W71" s="85"/>
      <c r="Y71" s="94"/>
      <c r="Z71" s="93"/>
      <c r="AA71" s="85"/>
      <c r="AC71" s="94"/>
      <c r="AD71" s="93"/>
      <c r="AE71" s="85"/>
    </row>
    <row r="72" spans="7:31" ht="14.5" customHeight="1" x14ac:dyDescent="0.35">
      <c r="G72" s="85"/>
      <c r="H72" s="87"/>
      <c r="I72" s="94">
        <v>6</v>
      </c>
      <c r="J72" s="93">
        <v>45637</v>
      </c>
      <c r="K72" s="85" t="s">
        <v>2272</v>
      </c>
      <c r="L72" s="87">
        <v>57</v>
      </c>
      <c r="M72" s="94" t="s">
        <v>1086</v>
      </c>
      <c r="N72" s="93"/>
      <c r="O72" s="85"/>
      <c r="Q72" s="94"/>
      <c r="R72" s="93"/>
      <c r="S72" s="85"/>
      <c r="U72" s="94"/>
      <c r="V72" s="93"/>
      <c r="W72" s="85"/>
      <c r="Y72" s="94"/>
      <c r="Z72" s="93"/>
      <c r="AA72" s="85"/>
      <c r="AC72" s="94"/>
      <c r="AD72" s="93"/>
      <c r="AE72" s="85"/>
    </row>
    <row r="73" spans="7:31" ht="14.5" customHeight="1" x14ac:dyDescent="0.35">
      <c r="G73" s="85"/>
      <c r="H73" s="87"/>
      <c r="I73" s="94">
        <v>7</v>
      </c>
      <c r="J73" s="93">
        <v>45238</v>
      </c>
      <c r="K73" s="85" t="s">
        <v>2351</v>
      </c>
      <c r="L73" s="87">
        <v>-489.26</v>
      </c>
      <c r="M73" s="94" t="s">
        <v>1087</v>
      </c>
      <c r="N73" s="93"/>
      <c r="O73" s="85"/>
      <c r="Q73" s="94"/>
      <c r="R73" s="93"/>
      <c r="S73" s="85"/>
      <c r="U73" s="94"/>
      <c r="V73" s="93"/>
      <c r="W73" s="85"/>
      <c r="Y73" s="94"/>
      <c r="Z73" s="93"/>
      <c r="AA73" s="85"/>
      <c r="AC73" s="94"/>
      <c r="AD73" s="93"/>
      <c r="AE73" s="85"/>
    </row>
    <row r="74" spans="7:31" ht="14.5" customHeight="1" x14ac:dyDescent="0.35">
      <c r="G74" s="85"/>
      <c r="H74" s="87"/>
      <c r="I74" s="94">
        <v>7</v>
      </c>
      <c r="J74" s="93">
        <v>45297</v>
      </c>
      <c r="K74" s="85" t="s">
        <v>2352</v>
      </c>
      <c r="L74" s="87">
        <v>51.52</v>
      </c>
      <c r="M74" s="94" t="s">
        <v>1088</v>
      </c>
      <c r="N74" s="93"/>
      <c r="O74" s="85"/>
      <c r="Q74" s="94"/>
      <c r="R74" s="93"/>
      <c r="S74" s="85"/>
      <c r="U74" s="94"/>
      <c r="V74" s="93"/>
      <c r="W74" s="85"/>
      <c r="Y74" s="94"/>
      <c r="Z74" s="93"/>
      <c r="AA74" s="85"/>
      <c r="AC74" s="94"/>
      <c r="AD74" s="93"/>
      <c r="AE74" s="85"/>
    </row>
    <row r="75" spans="7:31" ht="14.5" customHeight="1" x14ac:dyDescent="0.35">
      <c r="G75" s="85"/>
      <c r="H75" s="87"/>
      <c r="I75" s="94">
        <v>7</v>
      </c>
      <c r="J75" s="93">
        <v>45297</v>
      </c>
      <c r="K75" s="85" t="s">
        <v>2354</v>
      </c>
      <c r="L75" s="87">
        <v>93.25</v>
      </c>
      <c r="M75" s="94"/>
      <c r="N75" s="93"/>
      <c r="O75" s="85"/>
      <c r="Q75" s="94"/>
      <c r="R75" s="93"/>
      <c r="S75" s="85"/>
      <c r="U75" s="94"/>
      <c r="V75" s="93"/>
      <c r="W75" s="85"/>
      <c r="Y75" s="94"/>
      <c r="Z75" s="93"/>
      <c r="AA75" s="85"/>
      <c r="AC75" s="94"/>
      <c r="AD75" s="93"/>
      <c r="AE75" s="85"/>
    </row>
    <row r="76" spans="7:31" ht="14.5" customHeight="1" x14ac:dyDescent="0.35">
      <c r="G76" s="85"/>
      <c r="H76" s="87"/>
      <c r="I76" s="94">
        <v>6</v>
      </c>
      <c r="J76" s="93">
        <v>45197</v>
      </c>
      <c r="K76" s="85" t="s">
        <v>2368</v>
      </c>
      <c r="L76" s="87">
        <v>4.9800000000000004</v>
      </c>
      <c r="M76" s="94"/>
      <c r="N76" s="93"/>
      <c r="O76" s="85"/>
      <c r="Q76" s="94"/>
      <c r="R76" s="93"/>
      <c r="S76" s="85"/>
      <c r="U76" s="94"/>
      <c r="V76" s="93"/>
      <c r="W76" s="85"/>
      <c r="Y76" s="94"/>
      <c r="Z76" s="93"/>
      <c r="AA76" s="85"/>
      <c r="AC76" s="94"/>
      <c r="AD76" s="93"/>
      <c r="AE76" s="85"/>
    </row>
    <row r="77" spans="7:31" ht="14.5" customHeight="1" x14ac:dyDescent="0.35">
      <c r="G77" s="85"/>
      <c r="H77" s="87"/>
      <c r="L77" s="87"/>
      <c r="M77" s="94">
        <v>8</v>
      </c>
      <c r="N77" s="93">
        <v>45463</v>
      </c>
      <c r="O77" s="85" t="s">
        <v>2272</v>
      </c>
      <c r="P77" s="87">
        <v>36</v>
      </c>
      <c r="Q77" s="94"/>
      <c r="R77" s="93"/>
      <c r="S77" s="85"/>
      <c r="U77" s="94"/>
      <c r="V77" s="93"/>
      <c r="W77" s="85"/>
      <c r="Y77" s="94"/>
      <c r="Z77" s="93"/>
      <c r="AA77" s="85"/>
      <c r="AC77" s="94"/>
      <c r="AD77" s="93"/>
      <c r="AE77" s="85"/>
    </row>
    <row r="78" spans="7:31" ht="14.5" customHeight="1" x14ac:dyDescent="0.35">
      <c r="G78" s="85"/>
      <c r="H78" s="87"/>
      <c r="I78" s="94">
        <v>6</v>
      </c>
      <c r="J78" s="93">
        <v>45302</v>
      </c>
      <c r="K78" s="85" t="s">
        <v>2406</v>
      </c>
      <c r="L78" s="87">
        <v>65.099999999999994</v>
      </c>
      <c r="M78" s="94"/>
      <c r="N78" s="93"/>
      <c r="O78" s="85"/>
      <c r="Q78" s="94"/>
      <c r="R78" s="93"/>
      <c r="S78" s="85"/>
      <c r="U78" s="94"/>
      <c r="V78" s="93"/>
      <c r="W78" s="85"/>
      <c r="Y78" s="94"/>
      <c r="Z78" s="93"/>
      <c r="AA78" s="85"/>
      <c r="AC78" s="94"/>
      <c r="AD78" s="93"/>
      <c r="AE78" s="85"/>
    </row>
    <row r="79" spans="7:31" ht="14.5" customHeight="1" x14ac:dyDescent="0.35">
      <c r="G79" s="85"/>
      <c r="H79" s="87"/>
      <c r="I79" s="94">
        <v>1</v>
      </c>
      <c r="J79" s="93">
        <v>45329</v>
      </c>
      <c r="K79" s="85" t="s">
        <v>2550</v>
      </c>
      <c r="L79" s="87">
        <v>30000</v>
      </c>
      <c r="M79" s="94"/>
      <c r="N79" s="93"/>
      <c r="O79" s="85"/>
      <c r="Q79" s="94"/>
      <c r="R79" s="93"/>
      <c r="S79" s="85"/>
      <c r="U79" s="94"/>
      <c r="V79" s="93"/>
      <c r="W79" s="85"/>
      <c r="Y79" s="94"/>
      <c r="Z79" s="93"/>
      <c r="AA79" s="85"/>
      <c r="AC79" s="94"/>
      <c r="AD79" s="93"/>
      <c r="AE79" s="85"/>
    </row>
    <row r="80" spans="7:31" ht="14.5" customHeight="1" x14ac:dyDescent="0.35">
      <c r="G80" s="85"/>
      <c r="H80" s="87"/>
      <c r="I80" s="94">
        <v>7</v>
      </c>
      <c r="J80" s="93">
        <v>45330</v>
      </c>
      <c r="K80" s="85" t="s">
        <v>2570</v>
      </c>
      <c r="L80" s="87">
        <v>54.72</v>
      </c>
      <c r="M80" s="94"/>
      <c r="N80" s="93"/>
      <c r="O80" s="85"/>
      <c r="Q80" s="94"/>
      <c r="R80" s="93"/>
      <c r="S80" s="85"/>
      <c r="U80" s="94"/>
      <c r="V80" s="93"/>
      <c r="W80" s="85"/>
      <c r="Y80" s="94"/>
      <c r="Z80" s="93"/>
      <c r="AA80" s="85"/>
      <c r="AC80" s="94"/>
      <c r="AD80" s="93"/>
      <c r="AE80" s="85"/>
    </row>
    <row r="81" spans="7:31" ht="14.5" customHeight="1" x14ac:dyDescent="0.35">
      <c r="G81" s="85"/>
      <c r="H81" s="87"/>
      <c r="I81" s="94">
        <v>7</v>
      </c>
      <c r="J81" s="93">
        <v>45330</v>
      </c>
      <c r="K81" s="85" t="s">
        <v>2571</v>
      </c>
      <c r="L81" s="87">
        <v>86.72</v>
      </c>
      <c r="M81" s="94"/>
      <c r="N81" s="93"/>
      <c r="O81" s="85"/>
      <c r="Q81" s="94"/>
      <c r="R81" s="93"/>
      <c r="S81" s="85"/>
      <c r="U81" s="94"/>
      <c r="V81" s="93"/>
      <c r="W81" s="85"/>
      <c r="Y81" s="94"/>
      <c r="Z81" s="93"/>
      <c r="AA81" s="85"/>
      <c r="AC81" s="94"/>
      <c r="AD81" s="93"/>
      <c r="AE81" s="85"/>
    </row>
    <row r="82" spans="7:31" ht="14.5" customHeight="1" x14ac:dyDescent="0.35">
      <c r="G82" s="85"/>
      <c r="H82" s="87"/>
      <c r="I82" s="94">
        <v>2</v>
      </c>
      <c r="J82" s="93">
        <v>45280</v>
      </c>
      <c r="K82" s="85" t="s">
        <v>2575</v>
      </c>
      <c r="L82" s="87">
        <v>1050</v>
      </c>
      <c r="M82" s="94"/>
      <c r="N82" s="93"/>
      <c r="O82" s="85"/>
      <c r="Q82" s="94"/>
      <c r="R82" s="93"/>
      <c r="S82" s="85"/>
      <c r="U82" s="94"/>
      <c r="V82" s="93"/>
      <c r="W82" s="85"/>
      <c r="Y82" s="94"/>
      <c r="Z82" s="93"/>
      <c r="AA82" s="85"/>
      <c r="AC82" s="94"/>
      <c r="AD82" s="93"/>
      <c r="AE82" s="85"/>
    </row>
    <row r="83" spans="7:31" ht="14.5" customHeight="1" x14ac:dyDescent="0.35">
      <c r="G83" s="85"/>
      <c r="H83" s="87"/>
      <c r="I83" s="94">
        <v>6</v>
      </c>
      <c r="J83" s="93">
        <v>45349</v>
      </c>
      <c r="K83" s="85" t="s">
        <v>2581</v>
      </c>
      <c r="L83" s="87">
        <v>72</v>
      </c>
      <c r="M83" s="94"/>
      <c r="N83" s="93"/>
      <c r="O83" s="85"/>
      <c r="Q83" s="94"/>
      <c r="R83" s="93"/>
      <c r="S83" s="85"/>
      <c r="U83" s="94"/>
      <c r="V83" s="93"/>
      <c r="W83" s="85"/>
      <c r="Y83" s="94"/>
      <c r="Z83" s="93"/>
      <c r="AA83" s="85"/>
      <c r="AC83" s="94"/>
      <c r="AD83" s="93"/>
      <c r="AE83" s="85"/>
    </row>
    <row r="84" spans="7:31" ht="14.5" customHeight="1" x14ac:dyDescent="0.35">
      <c r="G84" s="85"/>
      <c r="H84" s="87"/>
      <c r="I84" s="94">
        <v>6</v>
      </c>
      <c r="J84" s="93">
        <v>45324</v>
      </c>
      <c r="K84" s="85" t="s">
        <v>2588</v>
      </c>
      <c r="L84" s="87">
        <v>8.33</v>
      </c>
      <c r="M84" s="94"/>
      <c r="N84" s="93"/>
      <c r="O84" s="85"/>
      <c r="Q84" s="94"/>
      <c r="R84" s="93"/>
      <c r="S84" s="85"/>
      <c r="U84" s="94"/>
      <c r="V84" s="93"/>
      <c r="W84" s="85"/>
      <c r="Y84" s="94"/>
      <c r="Z84" s="93"/>
      <c r="AA84" s="85"/>
      <c r="AC84" s="94"/>
      <c r="AD84" s="93"/>
      <c r="AE84" s="85"/>
    </row>
    <row r="85" spans="7:31" ht="14.5" customHeight="1" x14ac:dyDescent="0.35">
      <c r="G85" s="85"/>
      <c r="H85" s="87"/>
      <c r="I85" s="94">
        <v>6</v>
      </c>
      <c r="J85" s="93">
        <v>45324</v>
      </c>
      <c r="K85" s="85" t="s">
        <v>2588</v>
      </c>
      <c r="L85" s="87">
        <v>22.5</v>
      </c>
      <c r="M85" s="94"/>
      <c r="N85" s="93"/>
      <c r="O85" s="85"/>
      <c r="Q85" s="94"/>
      <c r="R85" s="93"/>
      <c r="S85" s="85"/>
      <c r="U85" s="94"/>
      <c r="V85" s="93"/>
      <c r="W85" s="85"/>
      <c r="Y85" s="94"/>
      <c r="Z85" s="93"/>
      <c r="AA85" s="85"/>
      <c r="AC85" s="94"/>
      <c r="AD85" s="93"/>
      <c r="AE85" s="85"/>
    </row>
    <row r="86" spans="7:31" ht="14.5" customHeight="1" x14ac:dyDescent="0.35">
      <c r="G86" s="85"/>
      <c r="H86" s="87"/>
      <c r="I86" s="94">
        <v>6</v>
      </c>
      <c r="J86" s="85" t="s">
        <v>2689</v>
      </c>
      <c r="K86" s="85" t="s">
        <v>1039</v>
      </c>
      <c r="L86" s="87">
        <f>2707.5+2115+1910+1269.4+292.5+1049.83+2482.5</f>
        <v>11826.73</v>
      </c>
      <c r="M86" s="94"/>
      <c r="N86" s="93"/>
      <c r="O86" s="85"/>
      <c r="Q86" s="94"/>
      <c r="R86" s="93"/>
      <c r="S86" s="85"/>
      <c r="U86" s="94"/>
      <c r="V86" s="93"/>
      <c r="W86" s="85"/>
      <c r="Y86" s="94"/>
      <c r="Z86" s="93"/>
      <c r="AA86" s="85"/>
      <c r="AC86" s="94"/>
      <c r="AD86" s="93"/>
      <c r="AE86" s="85"/>
    </row>
    <row r="87" spans="7:31" ht="14.5" customHeight="1" x14ac:dyDescent="0.35">
      <c r="G87" s="85"/>
      <c r="H87" s="87"/>
      <c r="I87" s="94">
        <v>6</v>
      </c>
      <c r="J87" s="93">
        <v>45315</v>
      </c>
      <c r="K87" s="85" t="s">
        <v>2690</v>
      </c>
      <c r="L87" s="87">
        <v>39</v>
      </c>
      <c r="M87" s="94"/>
      <c r="N87" s="93"/>
      <c r="O87" s="85"/>
      <c r="Q87" s="94"/>
      <c r="R87" s="93"/>
      <c r="S87" s="85"/>
      <c r="U87" s="94"/>
      <c r="V87" s="93"/>
      <c r="W87" s="85"/>
      <c r="Y87" s="94"/>
      <c r="Z87" s="93"/>
      <c r="AA87" s="85"/>
      <c r="AC87" s="94"/>
      <c r="AD87" s="93"/>
      <c r="AE87" s="85"/>
    </row>
    <row r="88" spans="7:31" ht="14.5" customHeight="1" x14ac:dyDescent="0.35">
      <c r="G88" s="85"/>
      <c r="H88" s="87"/>
      <c r="I88" s="94">
        <v>6</v>
      </c>
      <c r="J88" s="93">
        <v>45366</v>
      </c>
      <c r="K88" s="85" t="s">
        <v>2691</v>
      </c>
      <c r="L88" s="87">
        <v>45</v>
      </c>
      <c r="M88" s="94"/>
      <c r="N88" s="93"/>
      <c r="O88" s="85"/>
      <c r="Q88" s="94"/>
      <c r="R88" s="93"/>
      <c r="S88" s="85"/>
      <c r="U88" s="94"/>
      <c r="V88" s="93"/>
      <c r="W88" s="85"/>
      <c r="Y88" s="94"/>
      <c r="Z88" s="93"/>
      <c r="AA88" s="85"/>
      <c r="AC88" s="94"/>
      <c r="AD88" s="93"/>
      <c r="AE88" s="85"/>
    </row>
    <row r="89" spans="7:31" ht="14.5" customHeight="1" x14ac:dyDescent="0.35">
      <c r="G89" s="85"/>
      <c r="H89" s="87"/>
      <c r="I89" s="94">
        <v>7</v>
      </c>
      <c r="J89" s="93">
        <v>45363</v>
      </c>
      <c r="K89" s="85" t="s">
        <v>2693</v>
      </c>
      <c r="L89" s="87">
        <v>51.18</v>
      </c>
      <c r="M89" s="94"/>
      <c r="N89" s="93"/>
      <c r="O89" s="85"/>
      <c r="Q89" s="94"/>
      <c r="R89" s="93"/>
      <c r="S89" s="85"/>
      <c r="U89" s="94"/>
      <c r="V89" s="93"/>
      <c r="W89" s="85"/>
      <c r="Y89" s="94"/>
      <c r="Z89" s="93"/>
      <c r="AA89" s="85"/>
      <c r="AC89" s="94"/>
      <c r="AD89" s="93"/>
      <c r="AE89" s="85"/>
    </row>
    <row r="90" spans="7:31" ht="14.5" customHeight="1" x14ac:dyDescent="0.35">
      <c r="G90" s="85"/>
      <c r="H90" s="87"/>
      <c r="I90" s="94">
        <v>7</v>
      </c>
      <c r="J90" s="93">
        <v>45363</v>
      </c>
      <c r="K90" s="85" t="s">
        <v>2694</v>
      </c>
      <c r="L90" s="87">
        <v>63.34</v>
      </c>
      <c r="M90" s="94"/>
      <c r="N90" s="93"/>
      <c r="O90" s="85"/>
      <c r="Q90" s="94"/>
      <c r="R90" s="93"/>
      <c r="S90" s="85"/>
      <c r="U90" s="94"/>
      <c r="V90" s="93"/>
      <c r="W90" s="85"/>
      <c r="Y90" s="94"/>
      <c r="Z90" s="93"/>
      <c r="AA90" s="85"/>
      <c r="AC90" s="94"/>
      <c r="AD90" s="93"/>
      <c r="AE90" s="85"/>
    </row>
    <row r="91" spans="7:31" ht="14.5" customHeight="1" x14ac:dyDescent="0.35">
      <c r="G91" s="85"/>
      <c r="H91" s="87"/>
      <c r="I91" s="94">
        <v>6</v>
      </c>
      <c r="J91" s="93">
        <v>45373</v>
      </c>
      <c r="K91" s="85" t="s">
        <v>2732</v>
      </c>
      <c r="L91" s="87">
        <v>32.5</v>
      </c>
      <c r="M91" s="94"/>
      <c r="N91" s="93"/>
      <c r="O91" s="85"/>
      <c r="Q91" s="94"/>
      <c r="R91" s="93"/>
      <c r="S91" s="85"/>
      <c r="U91" s="94"/>
      <c r="V91" s="93"/>
      <c r="W91" s="85"/>
      <c r="Y91" s="94"/>
      <c r="Z91" s="93"/>
      <c r="AA91" s="85"/>
      <c r="AC91" s="94"/>
      <c r="AD91" s="93"/>
      <c r="AE91" s="85"/>
    </row>
    <row r="92" spans="7:31" ht="14.5" customHeight="1" x14ac:dyDescent="0.35">
      <c r="G92" s="85"/>
      <c r="H92" s="87"/>
      <c r="I92" s="94">
        <v>7</v>
      </c>
      <c r="J92" s="93">
        <v>45330</v>
      </c>
      <c r="K92" s="85" t="s">
        <v>1042</v>
      </c>
      <c r="L92" s="87">
        <v>328.3</v>
      </c>
      <c r="M92" s="94"/>
      <c r="N92" s="93"/>
      <c r="O92" s="85"/>
      <c r="Q92" s="94"/>
      <c r="R92" s="93"/>
      <c r="S92" s="85"/>
      <c r="U92" s="94"/>
      <c r="V92" s="93"/>
      <c r="W92" s="85"/>
      <c r="Y92" s="94"/>
      <c r="Z92" s="93"/>
      <c r="AA92" s="85"/>
      <c r="AC92" s="94"/>
      <c r="AD92" s="93"/>
      <c r="AE92" s="85"/>
    </row>
    <row r="93" spans="7:31" ht="14.5" customHeight="1" x14ac:dyDescent="0.35">
      <c r="G93" s="85"/>
      <c r="H93" s="87"/>
      <c r="I93" s="94">
        <v>7</v>
      </c>
      <c r="J93" s="85" t="s">
        <v>775</v>
      </c>
      <c r="K93" s="85" t="s">
        <v>1051</v>
      </c>
      <c r="L93" s="148">
        <v>69.52</v>
      </c>
      <c r="M93" s="94"/>
      <c r="N93" s="93"/>
      <c r="O93" s="85"/>
      <c r="Q93" s="94"/>
      <c r="R93" s="93"/>
      <c r="S93" s="85"/>
      <c r="U93" s="94"/>
      <c r="V93" s="93"/>
      <c r="W93" s="85"/>
      <c r="Y93" s="94"/>
      <c r="Z93" s="93"/>
      <c r="AA93" s="85"/>
      <c r="AC93" s="94"/>
      <c r="AD93" s="93"/>
      <c r="AE93" s="85"/>
    </row>
    <row r="94" spans="7:31" ht="14.5" customHeight="1" x14ac:dyDescent="0.35">
      <c r="G94" s="85"/>
      <c r="H94" s="87"/>
      <c r="I94" s="94">
        <v>7</v>
      </c>
      <c r="J94" s="85" t="s">
        <v>775</v>
      </c>
      <c r="K94" s="85" t="s">
        <v>2776</v>
      </c>
      <c r="L94" s="148">
        <v>54.72</v>
      </c>
      <c r="M94" s="94"/>
      <c r="N94" s="93"/>
      <c r="O94" s="85"/>
      <c r="Q94" s="94"/>
      <c r="R94" s="93"/>
      <c r="S94" s="85"/>
      <c r="U94" s="94"/>
      <c r="V94" s="93"/>
      <c r="W94" s="85"/>
      <c r="Y94" s="94"/>
      <c r="Z94" s="93"/>
      <c r="AA94" s="85"/>
      <c r="AC94" s="94"/>
      <c r="AD94" s="93"/>
      <c r="AE94" s="85"/>
    </row>
    <row r="95" spans="7:31" ht="14.5" customHeight="1" x14ac:dyDescent="0.35">
      <c r="G95" s="85"/>
      <c r="H95" s="87"/>
      <c r="M95" s="94"/>
      <c r="N95" s="93"/>
      <c r="O95" s="85"/>
      <c r="Q95" s="94"/>
      <c r="R95" s="93"/>
      <c r="S95" s="85"/>
      <c r="U95" s="94"/>
      <c r="V95" s="93"/>
      <c r="W95" s="85"/>
      <c r="Y95" s="94"/>
      <c r="Z95" s="93"/>
      <c r="AA95" s="85"/>
      <c r="AC95" s="94"/>
      <c r="AD95" s="93"/>
      <c r="AE95" s="85"/>
    </row>
    <row r="96" spans="7:31" ht="14.5" customHeight="1" x14ac:dyDescent="0.35">
      <c r="G96" s="85"/>
      <c r="H96" s="87"/>
      <c r="M96" s="94"/>
      <c r="N96" s="93"/>
      <c r="O96" s="85"/>
      <c r="Q96" s="94"/>
      <c r="R96" s="93"/>
      <c r="S96" s="85"/>
      <c r="U96" s="94"/>
      <c r="V96" s="93"/>
      <c r="W96" s="85"/>
      <c r="Y96" s="94"/>
      <c r="Z96" s="93"/>
      <c r="AA96" s="85"/>
      <c r="AC96" s="94"/>
      <c r="AD96" s="93"/>
      <c r="AE96" s="85"/>
    </row>
    <row r="97" spans="7:31" ht="14.5" customHeight="1" x14ac:dyDescent="0.35">
      <c r="G97" s="85"/>
      <c r="H97" s="87"/>
      <c r="M97" s="94"/>
      <c r="N97" s="93"/>
      <c r="O97" s="85"/>
      <c r="Q97" s="94"/>
      <c r="R97" s="93"/>
      <c r="S97" s="85"/>
      <c r="U97" s="94"/>
      <c r="V97" s="93"/>
      <c r="W97" s="85"/>
      <c r="Y97" s="94"/>
      <c r="Z97" s="93"/>
      <c r="AA97" s="85"/>
      <c r="AC97" s="94"/>
      <c r="AD97" s="93"/>
      <c r="AE97" s="85"/>
    </row>
    <row r="98" spans="7:31" ht="14.5" customHeight="1" x14ac:dyDescent="0.35">
      <c r="G98" s="85"/>
      <c r="H98" s="87"/>
      <c r="M98" s="94"/>
      <c r="N98" s="93"/>
      <c r="O98" s="85"/>
      <c r="Q98" s="94"/>
      <c r="R98" s="93"/>
      <c r="S98" s="85"/>
      <c r="U98" s="94"/>
      <c r="V98" s="93"/>
      <c r="W98" s="85"/>
      <c r="Y98" s="94"/>
      <c r="Z98" s="93"/>
      <c r="AA98" s="85"/>
      <c r="AC98" s="94"/>
      <c r="AD98" s="93"/>
      <c r="AE98" s="85"/>
    </row>
    <row r="99" spans="7:31" ht="14.5" customHeight="1" x14ac:dyDescent="0.35">
      <c r="G99" s="85"/>
      <c r="H99" s="87"/>
      <c r="M99" s="94"/>
      <c r="N99" s="93"/>
      <c r="O99" s="85"/>
      <c r="Q99" s="94"/>
      <c r="R99" s="93"/>
      <c r="S99" s="85"/>
      <c r="U99" s="94"/>
      <c r="V99" s="93"/>
      <c r="W99" s="85"/>
      <c r="Y99" s="94"/>
      <c r="Z99" s="93"/>
      <c r="AA99" s="85"/>
      <c r="AC99" s="94"/>
      <c r="AD99" s="93"/>
      <c r="AE99" s="85"/>
    </row>
    <row r="100" spans="7:31" ht="14.5" customHeight="1" x14ac:dyDescent="0.35">
      <c r="G100" s="85"/>
      <c r="H100" s="87"/>
      <c r="M100" s="94"/>
      <c r="N100" s="93"/>
      <c r="O100" s="85"/>
      <c r="Q100" s="94"/>
      <c r="R100" s="93"/>
      <c r="S100" s="85"/>
      <c r="U100" s="94"/>
      <c r="V100" s="93"/>
      <c r="W100" s="85"/>
      <c r="Y100" s="94"/>
      <c r="Z100" s="93"/>
      <c r="AA100" s="85"/>
      <c r="AC100" s="94"/>
      <c r="AD100" s="93"/>
      <c r="AE100" s="85"/>
    </row>
    <row r="101" spans="7:31" ht="14.5" customHeight="1" x14ac:dyDescent="0.35">
      <c r="G101" s="85"/>
      <c r="H101" s="87"/>
      <c r="M101" s="94"/>
      <c r="N101" s="93"/>
      <c r="O101" s="85"/>
      <c r="Q101" s="94"/>
      <c r="R101" s="93"/>
      <c r="S101" s="85"/>
      <c r="U101" s="94"/>
      <c r="V101" s="93"/>
      <c r="W101" s="85"/>
      <c r="Y101" s="94"/>
      <c r="Z101" s="93"/>
      <c r="AA101" s="85"/>
      <c r="AC101" s="94"/>
      <c r="AD101" s="93"/>
      <c r="AE101" s="85"/>
    </row>
    <row r="102" spans="7:31" ht="14.5" customHeight="1" x14ac:dyDescent="0.35">
      <c r="G102" s="85"/>
      <c r="H102" s="87"/>
      <c r="M102" s="94"/>
      <c r="N102" s="93"/>
      <c r="O102" s="85"/>
      <c r="Q102" s="94"/>
      <c r="R102" s="93"/>
      <c r="S102" s="85"/>
      <c r="U102" s="94"/>
      <c r="V102" s="93"/>
      <c r="W102" s="85"/>
      <c r="Y102" s="94"/>
      <c r="Z102" s="93"/>
      <c r="AA102" s="85"/>
      <c r="AC102" s="94"/>
      <c r="AD102" s="93"/>
      <c r="AE102" s="85"/>
    </row>
    <row r="103" spans="7:31" ht="14.5" customHeight="1" x14ac:dyDescent="0.35">
      <c r="G103" s="85"/>
      <c r="H103" s="87"/>
      <c r="M103" s="94"/>
      <c r="N103" s="93"/>
      <c r="O103" s="85"/>
      <c r="Q103" s="94"/>
      <c r="R103" s="93"/>
      <c r="S103" s="85"/>
      <c r="U103" s="94"/>
      <c r="V103" s="93"/>
      <c r="W103" s="85"/>
      <c r="Y103" s="94"/>
      <c r="Z103" s="93"/>
      <c r="AA103" s="85"/>
      <c r="AC103" s="94"/>
      <c r="AD103" s="93"/>
      <c r="AE103" s="85"/>
    </row>
    <row r="104" spans="7:31" ht="14.5" customHeight="1" x14ac:dyDescent="0.35">
      <c r="G104" s="85"/>
      <c r="H104" s="87"/>
      <c r="M104" s="94"/>
      <c r="N104" s="93"/>
      <c r="O104" s="85"/>
      <c r="Q104" s="94"/>
      <c r="R104" s="93"/>
      <c r="S104" s="85"/>
      <c r="U104" s="94"/>
      <c r="V104" s="93"/>
      <c r="W104" s="85"/>
      <c r="Y104" s="94"/>
      <c r="Z104" s="93"/>
      <c r="AA104" s="85"/>
      <c r="AC104" s="94"/>
      <c r="AD104" s="93"/>
      <c r="AE104" s="85"/>
    </row>
    <row r="105" spans="7:31" ht="14.5" customHeight="1" x14ac:dyDescent="0.35">
      <c r="G105" s="85"/>
      <c r="H105" s="87"/>
      <c r="M105" s="94"/>
      <c r="N105" s="93"/>
      <c r="O105" s="85"/>
      <c r="Q105" s="94"/>
      <c r="R105" s="93"/>
      <c r="S105" s="85"/>
      <c r="U105" s="94"/>
      <c r="V105" s="93"/>
      <c r="W105" s="85"/>
      <c r="Y105" s="94"/>
      <c r="Z105" s="93"/>
      <c r="AA105" s="85"/>
      <c r="AC105" s="94"/>
      <c r="AD105" s="93"/>
      <c r="AE105" s="85"/>
    </row>
    <row r="106" spans="7:31" ht="14.5" customHeight="1" x14ac:dyDescent="0.35">
      <c r="G106" s="85"/>
      <c r="H106" s="87"/>
      <c r="M106" s="94"/>
      <c r="N106" s="93"/>
      <c r="O106" s="85"/>
      <c r="Q106" s="94"/>
      <c r="R106" s="93"/>
      <c r="S106" s="85"/>
      <c r="U106" s="94"/>
      <c r="V106" s="93"/>
      <c r="W106" s="85"/>
      <c r="Y106" s="94"/>
      <c r="Z106" s="93"/>
      <c r="AA106" s="85"/>
      <c r="AC106" s="94"/>
      <c r="AD106" s="93"/>
      <c r="AE106" s="85"/>
    </row>
    <row r="107" spans="7:31" ht="14.5" customHeight="1" x14ac:dyDescent="0.35">
      <c r="G107" s="85"/>
      <c r="H107" s="87"/>
      <c r="M107" s="94"/>
      <c r="N107" s="93"/>
      <c r="O107" s="85"/>
      <c r="Q107" s="94"/>
      <c r="R107" s="93"/>
      <c r="S107" s="85"/>
      <c r="U107" s="94"/>
      <c r="V107" s="93"/>
      <c r="W107" s="85"/>
      <c r="Y107" s="94"/>
      <c r="Z107" s="93"/>
      <c r="AA107" s="85"/>
      <c r="AC107" s="94"/>
      <c r="AD107" s="93"/>
      <c r="AE107" s="85"/>
    </row>
    <row r="108" spans="7:31" ht="14.5" customHeight="1" x14ac:dyDescent="0.35">
      <c r="G108" s="85"/>
      <c r="H108" s="87"/>
      <c r="M108" s="94"/>
      <c r="N108" s="93"/>
      <c r="O108" s="85"/>
      <c r="Q108" s="94"/>
      <c r="R108" s="93"/>
      <c r="S108" s="85"/>
      <c r="U108" s="94"/>
      <c r="V108" s="93"/>
      <c r="W108" s="85"/>
      <c r="Y108" s="94"/>
      <c r="Z108" s="93"/>
      <c r="AA108" s="85"/>
      <c r="AC108" s="94"/>
      <c r="AD108" s="93"/>
      <c r="AE108" s="85"/>
    </row>
    <row r="109" spans="7:31" ht="14.5" customHeight="1" x14ac:dyDescent="0.35">
      <c r="G109" s="85"/>
      <c r="H109" s="87"/>
      <c r="M109" s="94"/>
      <c r="N109" s="93"/>
      <c r="O109" s="85"/>
      <c r="Q109" s="94"/>
      <c r="R109" s="93"/>
      <c r="S109" s="85"/>
      <c r="U109" s="94"/>
      <c r="V109" s="93"/>
      <c r="W109" s="85"/>
      <c r="Y109" s="94"/>
      <c r="Z109" s="93"/>
      <c r="AA109" s="85"/>
      <c r="AC109" s="94"/>
      <c r="AD109" s="93"/>
      <c r="AE109" s="85"/>
    </row>
    <row r="110" spans="7:31" ht="14.5" customHeight="1" x14ac:dyDescent="0.35">
      <c r="G110" s="85"/>
      <c r="H110" s="87"/>
      <c r="M110" s="94"/>
      <c r="N110" s="93"/>
      <c r="O110" s="85"/>
      <c r="Q110" s="94"/>
      <c r="R110" s="93"/>
      <c r="S110" s="85"/>
      <c r="U110" s="94"/>
      <c r="V110" s="93"/>
      <c r="W110" s="85"/>
      <c r="Y110" s="94"/>
      <c r="Z110" s="93"/>
      <c r="AA110" s="85"/>
      <c r="AC110" s="94"/>
      <c r="AD110" s="93"/>
      <c r="AE110" s="85"/>
    </row>
    <row r="111" spans="7:31" ht="14.5" customHeight="1" x14ac:dyDescent="0.35">
      <c r="G111" s="85"/>
      <c r="H111" s="87"/>
      <c r="M111" s="94"/>
      <c r="N111" s="93"/>
      <c r="O111" s="85"/>
      <c r="Q111" s="94"/>
      <c r="R111" s="93"/>
      <c r="S111" s="85"/>
      <c r="U111" s="94"/>
      <c r="V111" s="93"/>
      <c r="W111" s="85"/>
      <c r="Y111" s="94"/>
      <c r="Z111" s="93"/>
      <c r="AA111" s="85"/>
      <c r="AC111" s="94"/>
      <c r="AD111" s="93"/>
      <c r="AE111" s="85"/>
    </row>
    <row r="112" spans="7:31" ht="14.5" customHeight="1" x14ac:dyDescent="0.35">
      <c r="G112" s="85"/>
      <c r="H112" s="87"/>
      <c r="M112" s="94"/>
      <c r="N112" s="93"/>
      <c r="O112" s="85"/>
      <c r="Q112" s="94"/>
      <c r="R112" s="93"/>
      <c r="S112" s="85"/>
      <c r="U112" s="94"/>
      <c r="V112" s="93"/>
      <c r="W112" s="85"/>
      <c r="Y112" s="94"/>
      <c r="Z112" s="93"/>
      <c r="AA112" s="85"/>
      <c r="AC112" s="94"/>
      <c r="AD112" s="93"/>
      <c r="AE112" s="85"/>
    </row>
    <row r="113" spans="7:31" ht="14.5" customHeight="1" x14ac:dyDescent="0.35">
      <c r="G113" s="85"/>
      <c r="H113" s="87"/>
      <c r="M113" s="94"/>
      <c r="N113" s="93"/>
      <c r="O113" s="85"/>
      <c r="Q113" s="94"/>
      <c r="R113" s="93"/>
      <c r="S113" s="85"/>
      <c r="U113" s="94"/>
      <c r="V113" s="93"/>
      <c r="W113" s="85"/>
      <c r="Y113" s="94"/>
      <c r="Z113" s="93"/>
      <c r="AA113" s="85"/>
      <c r="AC113" s="94"/>
      <c r="AD113" s="93"/>
      <c r="AE113" s="85"/>
    </row>
    <row r="114" spans="7:31" ht="14.5" customHeight="1" x14ac:dyDescent="0.35">
      <c r="G114" s="85"/>
      <c r="H114" s="87"/>
      <c r="M114" s="94"/>
      <c r="N114" s="93"/>
      <c r="O114" s="85"/>
      <c r="Q114" s="94"/>
      <c r="R114" s="93"/>
      <c r="S114" s="85"/>
      <c r="U114" s="94"/>
      <c r="V114" s="93"/>
      <c r="W114" s="85"/>
      <c r="Y114" s="94"/>
      <c r="Z114" s="93"/>
      <c r="AA114" s="85"/>
      <c r="AC114" s="94"/>
      <c r="AD114" s="93"/>
      <c r="AE114" s="85"/>
    </row>
    <row r="115" spans="7:31" ht="14.5" customHeight="1" x14ac:dyDescent="0.35">
      <c r="G115" s="85"/>
      <c r="H115" s="87"/>
      <c r="M115" s="94"/>
      <c r="N115" s="93"/>
      <c r="O115" s="85"/>
      <c r="Q115" s="94"/>
      <c r="R115" s="93"/>
      <c r="S115" s="85"/>
      <c r="U115" s="94"/>
      <c r="V115" s="93"/>
      <c r="W115" s="85"/>
      <c r="Y115" s="94"/>
      <c r="Z115" s="93"/>
      <c r="AA115" s="85"/>
      <c r="AC115" s="94"/>
      <c r="AD115" s="93"/>
      <c r="AE115" s="85"/>
    </row>
    <row r="116" spans="7:31" ht="14.5" customHeight="1" x14ac:dyDescent="0.35">
      <c r="G116" s="85"/>
      <c r="H116" s="87"/>
      <c r="M116" s="94"/>
      <c r="N116" s="93"/>
      <c r="O116" s="85"/>
      <c r="Q116" s="94"/>
      <c r="R116" s="93"/>
      <c r="S116" s="85"/>
      <c r="U116" s="94"/>
      <c r="V116" s="93"/>
      <c r="W116" s="85"/>
      <c r="Y116" s="94"/>
      <c r="Z116" s="93"/>
      <c r="AA116" s="85"/>
      <c r="AC116" s="94"/>
      <c r="AD116" s="93"/>
      <c r="AE116" s="85"/>
    </row>
    <row r="117" spans="7:31" ht="14.5" customHeight="1" x14ac:dyDescent="0.35">
      <c r="G117" s="85"/>
      <c r="H117" s="87"/>
      <c r="M117" s="94"/>
      <c r="N117" s="93"/>
      <c r="O117" s="85"/>
      <c r="Q117" s="94"/>
      <c r="R117" s="93"/>
      <c r="S117" s="85"/>
      <c r="U117" s="94"/>
      <c r="V117" s="93"/>
      <c r="W117" s="85"/>
      <c r="Y117" s="94"/>
      <c r="Z117" s="93"/>
      <c r="AA117" s="85"/>
      <c r="AC117" s="94"/>
      <c r="AD117" s="93"/>
      <c r="AE117" s="85"/>
    </row>
    <row r="118" spans="7:31" ht="14.5" customHeight="1" x14ac:dyDescent="0.35">
      <c r="G118" s="85"/>
      <c r="H118" s="87"/>
      <c r="M118" s="94"/>
      <c r="N118" s="93"/>
      <c r="O118" s="85"/>
      <c r="Q118" s="94"/>
      <c r="R118" s="93"/>
      <c r="S118" s="85"/>
      <c r="U118" s="94"/>
      <c r="V118" s="93"/>
      <c r="W118" s="85"/>
      <c r="Y118" s="94"/>
      <c r="Z118" s="93"/>
      <c r="AA118" s="85"/>
      <c r="AC118" s="94"/>
      <c r="AD118" s="93"/>
      <c r="AE118" s="85"/>
    </row>
    <row r="119" spans="7:31" ht="14.5" customHeight="1" x14ac:dyDescent="0.35">
      <c r="G119" s="85"/>
      <c r="H119" s="87"/>
      <c r="M119" s="94"/>
      <c r="N119" s="93"/>
      <c r="O119" s="85"/>
      <c r="Q119" s="94"/>
      <c r="R119" s="93"/>
      <c r="S119" s="85"/>
      <c r="U119" s="94"/>
      <c r="V119" s="93"/>
      <c r="W119" s="85"/>
      <c r="Y119" s="94"/>
      <c r="Z119" s="93"/>
      <c r="AA119" s="85"/>
      <c r="AC119" s="94"/>
      <c r="AD119" s="93"/>
      <c r="AE119" s="85"/>
    </row>
    <row r="120" spans="7:31" ht="14.5" customHeight="1" x14ac:dyDescent="0.35">
      <c r="G120" s="85"/>
      <c r="H120" s="87"/>
      <c r="M120" s="94"/>
      <c r="N120" s="93"/>
      <c r="O120" s="85"/>
      <c r="Q120" s="94"/>
      <c r="R120" s="93"/>
      <c r="S120" s="85"/>
      <c r="U120" s="94"/>
      <c r="V120" s="93"/>
      <c r="W120" s="85"/>
      <c r="Y120" s="94"/>
      <c r="Z120" s="93"/>
      <c r="AA120" s="85"/>
      <c r="AC120" s="94"/>
      <c r="AD120" s="93"/>
      <c r="AE120" s="85"/>
    </row>
    <row r="121" spans="7:31" ht="14.5" customHeight="1" x14ac:dyDescent="0.35">
      <c r="G121" s="85"/>
      <c r="H121" s="87"/>
      <c r="M121" s="94"/>
      <c r="N121" s="93"/>
      <c r="O121" s="85"/>
      <c r="Q121" s="94"/>
      <c r="R121" s="93"/>
      <c r="S121" s="85"/>
      <c r="U121" s="94"/>
      <c r="V121" s="93"/>
      <c r="W121" s="85"/>
      <c r="Y121" s="94"/>
      <c r="Z121" s="93"/>
      <c r="AA121" s="85"/>
      <c r="AC121" s="94"/>
      <c r="AD121" s="93"/>
      <c r="AE121" s="85"/>
    </row>
    <row r="122" spans="7:31" ht="14.5" customHeight="1" x14ac:dyDescent="0.35">
      <c r="G122" s="85"/>
      <c r="H122" s="87"/>
      <c r="M122" s="94"/>
      <c r="N122" s="93"/>
      <c r="O122" s="85"/>
      <c r="Q122" s="94"/>
      <c r="R122" s="93"/>
      <c r="S122" s="85"/>
      <c r="U122" s="94"/>
      <c r="V122" s="93"/>
      <c r="W122" s="85"/>
      <c r="Y122" s="94"/>
      <c r="Z122" s="93"/>
      <c r="AA122" s="85"/>
      <c r="AC122" s="94"/>
      <c r="AD122" s="93"/>
      <c r="AE122" s="85"/>
    </row>
    <row r="123" spans="7:31" ht="14.5" customHeight="1" x14ac:dyDescent="0.35">
      <c r="G123" s="85"/>
      <c r="H123" s="87"/>
      <c r="M123" s="94"/>
      <c r="N123" s="93"/>
      <c r="O123" s="85"/>
      <c r="Q123" s="94"/>
      <c r="R123" s="93"/>
      <c r="S123" s="85"/>
      <c r="U123" s="94"/>
      <c r="V123" s="93"/>
      <c r="W123" s="85"/>
      <c r="Y123" s="94"/>
      <c r="Z123" s="93"/>
      <c r="AA123" s="85"/>
      <c r="AC123" s="94"/>
      <c r="AD123" s="93"/>
      <c r="AE123" s="85"/>
    </row>
    <row r="124" spans="7:31" ht="14.5" customHeight="1" x14ac:dyDescent="0.35">
      <c r="G124" s="85"/>
      <c r="H124" s="87"/>
      <c r="M124" s="94"/>
      <c r="N124" s="93"/>
      <c r="O124" s="85"/>
      <c r="Q124" s="94"/>
      <c r="R124" s="93"/>
      <c r="S124" s="85"/>
      <c r="U124" s="94"/>
      <c r="V124" s="93"/>
      <c r="W124" s="85"/>
      <c r="Y124" s="94"/>
      <c r="Z124" s="93"/>
      <c r="AA124" s="85"/>
      <c r="AC124" s="94"/>
      <c r="AD124" s="93"/>
      <c r="AE124" s="85"/>
    </row>
    <row r="125" spans="7:31" ht="14.5" customHeight="1" x14ac:dyDescent="0.35">
      <c r="G125" s="85"/>
      <c r="H125" s="87"/>
      <c r="M125" s="94"/>
      <c r="N125" s="93"/>
      <c r="O125" s="85"/>
      <c r="Q125" s="94"/>
      <c r="R125" s="93"/>
      <c r="S125" s="85"/>
      <c r="U125" s="94"/>
      <c r="V125" s="93"/>
      <c r="W125" s="85"/>
      <c r="Y125" s="94"/>
      <c r="Z125" s="93"/>
      <c r="AA125" s="85"/>
      <c r="AC125" s="94"/>
      <c r="AD125" s="93"/>
      <c r="AE125" s="85"/>
    </row>
    <row r="126" spans="7:31" ht="14.5" customHeight="1" x14ac:dyDescent="0.35">
      <c r="G126" s="85"/>
      <c r="H126" s="87"/>
      <c r="M126" s="94"/>
      <c r="N126" s="93"/>
      <c r="O126" s="85"/>
      <c r="Q126" s="94"/>
      <c r="R126" s="93"/>
      <c r="S126" s="85"/>
      <c r="U126" s="94"/>
      <c r="V126" s="93"/>
      <c r="W126" s="85"/>
      <c r="Y126" s="94"/>
      <c r="Z126" s="93"/>
      <c r="AA126" s="85"/>
      <c r="AC126" s="94"/>
      <c r="AD126" s="93"/>
      <c r="AE126" s="85"/>
    </row>
    <row r="127" spans="7:31" ht="14.5" customHeight="1" x14ac:dyDescent="0.35">
      <c r="G127" s="85"/>
      <c r="H127" s="87"/>
      <c r="M127" s="94"/>
      <c r="N127" s="93"/>
      <c r="O127" s="85"/>
      <c r="Q127" s="94"/>
      <c r="R127" s="93"/>
      <c r="S127" s="85"/>
      <c r="U127" s="94"/>
      <c r="V127" s="93"/>
      <c r="W127" s="85"/>
      <c r="Y127" s="94"/>
      <c r="Z127" s="93"/>
      <c r="AA127" s="85"/>
      <c r="AC127" s="94"/>
      <c r="AD127" s="93"/>
      <c r="AE127" s="85"/>
    </row>
    <row r="128" spans="7:31" ht="14.5" customHeight="1" x14ac:dyDescent="0.35">
      <c r="G128" s="85"/>
      <c r="H128" s="87"/>
      <c r="M128" s="94"/>
      <c r="N128" s="93"/>
      <c r="O128" s="85"/>
      <c r="Q128" s="94"/>
      <c r="R128" s="93"/>
      <c r="S128" s="85"/>
      <c r="U128" s="94"/>
      <c r="V128" s="93"/>
      <c r="W128" s="85"/>
      <c r="Y128" s="94"/>
      <c r="Z128" s="93"/>
      <c r="AA128" s="85"/>
      <c r="AC128" s="94"/>
      <c r="AD128" s="93"/>
      <c r="AE128" s="85"/>
    </row>
    <row r="129" spans="7:31" ht="14.5" customHeight="1" x14ac:dyDescent="0.35">
      <c r="G129" s="85"/>
      <c r="H129" s="87"/>
      <c r="M129" s="94"/>
      <c r="N129" s="93"/>
      <c r="O129" s="85"/>
      <c r="Q129" s="94"/>
      <c r="R129" s="93"/>
      <c r="S129" s="85"/>
      <c r="U129" s="94"/>
      <c r="V129" s="93"/>
      <c r="W129" s="85"/>
      <c r="Y129" s="94"/>
      <c r="Z129" s="93"/>
      <c r="AA129" s="85"/>
      <c r="AC129" s="94"/>
      <c r="AD129" s="93"/>
      <c r="AE129" s="85"/>
    </row>
    <row r="130" spans="7:31" ht="14.5" customHeight="1" x14ac:dyDescent="0.35">
      <c r="G130" s="85"/>
      <c r="H130" s="87"/>
      <c r="M130" s="94"/>
      <c r="N130" s="93"/>
      <c r="O130" s="85"/>
      <c r="Q130" s="94"/>
      <c r="R130" s="93"/>
      <c r="S130" s="85"/>
      <c r="U130" s="94"/>
      <c r="V130" s="93"/>
      <c r="W130" s="85"/>
      <c r="Y130" s="94"/>
      <c r="Z130" s="93"/>
      <c r="AA130" s="85"/>
      <c r="AC130" s="94"/>
      <c r="AD130" s="93"/>
      <c r="AE130" s="85"/>
    </row>
    <row r="131" spans="7:31" ht="14.5" customHeight="1" x14ac:dyDescent="0.35">
      <c r="G131" s="85"/>
      <c r="H131" s="87"/>
      <c r="M131" s="94"/>
      <c r="N131" s="93"/>
      <c r="O131" s="85"/>
      <c r="Q131" s="94"/>
      <c r="R131" s="93"/>
      <c r="S131" s="85"/>
      <c r="U131" s="94"/>
      <c r="V131" s="93"/>
      <c r="W131" s="85"/>
      <c r="Y131" s="94"/>
      <c r="Z131" s="93"/>
      <c r="AA131" s="85"/>
      <c r="AC131" s="94"/>
      <c r="AD131" s="93"/>
      <c r="AE131" s="85"/>
    </row>
    <row r="132" spans="7:31" ht="14.5" customHeight="1" x14ac:dyDescent="0.35">
      <c r="G132" s="85"/>
      <c r="H132" s="87"/>
      <c r="M132" s="94"/>
      <c r="N132" s="93"/>
      <c r="O132" s="85"/>
      <c r="Q132" s="94"/>
      <c r="R132" s="93"/>
      <c r="S132" s="85"/>
      <c r="U132" s="94"/>
      <c r="V132" s="93"/>
      <c r="W132" s="85"/>
      <c r="Y132" s="94"/>
      <c r="Z132" s="93"/>
      <c r="AA132" s="85"/>
      <c r="AC132" s="94"/>
      <c r="AD132" s="93"/>
      <c r="AE132" s="85"/>
    </row>
    <row r="133" spans="7:31" ht="14.5" customHeight="1" x14ac:dyDescent="0.35">
      <c r="G133" s="85"/>
      <c r="H133" s="87"/>
      <c r="M133" s="94"/>
      <c r="N133" s="93"/>
      <c r="O133" s="85"/>
      <c r="Q133" s="94"/>
      <c r="R133" s="93"/>
      <c r="S133" s="85"/>
      <c r="U133" s="94"/>
      <c r="V133" s="93"/>
      <c r="W133" s="85"/>
      <c r="Y133" s="94"/>
      <c r="Z133" s="93"/>
      <c r="AA133" s="85"/>
      <c r="AC133" s="94"/>
      <c r="AD133" s="93"/>
      <c r="AE133" s="85"/>
    </row>
    <row r="134" spans="7:31" ht="14.5" customHeight="1" x14ac:dyDescent="0.35">
      <c r="G134" s="85"/>
      <c r="H134" s="87"/>
      <c r="M134" s="94"/>
      <c r="N134" s="93"/>
      <c r="O134" s="85"/>
      <c r="Q134" s="94"/>
      <c r="R134" s="93"/>
      <c r="S134" s="85"/>
      <c r="U134" s="94"/>
      <c r="V134" s="93"/>
      <c r="W134" s="85"/>
      <c r="Y134" s="94"/>
      <c r="Z134" s="93"/>
      <c r="AA134" s="85"/>
      <c r="AC134" s="94"/>
      <c r="AD134" s="93"/>
      <c r="AE134" s="85"/>
    </row>
    <row r="135" spans="7:31" ht="14.5" customHeight="1" x14ac:dyDescent="0.35">
      <c r="G135" s="85"/>
      <c r="H135" s="87"/>
      <c r="M135" s="94"/>
      <c r="N135" s="93"/>
      <c r="O135" s="85"/>
      <c r="Q135" s="94"/>
      <c r="R135" s="93"/>
      <c r="S135" s="85"/>
      <c r="U135" s="94"/>
      <c r="V135" s="93"/>
      <c r="W135" s="85"/>
      <c r="Y135" s="94"/>
      <c r="Z135" s="93"/>
      <c r="AA135" s="85"/>
      <c r="AC135" s="94"/>
      <c r="AD135" s="93"/>
      <c r="AE135" s="85"/>
    </row>
    <row r="136" spans="7:31" ht="14.5" customHeight="1" x14ac:dyDescent="0.35">
      <c r="G136" s="85"/>
      <c r="H136" s="87"/>
      <c r="M136" s="94"/>
      <c r="N136" s="93"/>
      <c r="O136" s="85"/>
      <c r="Q136" s="94"/>
      <c r="R136" s="93"/>
      <c r="S136" s="85"/>
      <c r="U136" s="94"/>
      <c r="V136" s="93"/>
      <c r="W136" s="85"/>
      <c r="Y136" s="94"/>
      <c r="Z136" s="93"/>
      <c r="AA136" s="85"/>
      <c r="AC136" s="94"/>
      <c r="AD136" s="93"/>
      <c r="AE136" s="85"/>
    </row>
    <row r="137" spans="7:31" ht="14.5" customHeight="1" x14ac:dyDescent="0.35">
      <c r="G137" s="85"/>
      <c r="H137" s="87"/>
      <c r="M137" s="94"/>
      <c r="N137" s="93"/>
      <c r="O137" s="85"/>
      <c r="Q137" s="94"/>
      <c r="R137" s="93"/>
      <c r="S137" s="85"/>
      <c r="U137" s="94"/>
      <c r="V137" s="93"/>
      <c r="W137" s="85"/>
      <c r="Y137" s="94"/>
      <c r="Z137" s="93"/>
      <c r="AA137" s="85"/>
      <c r="AC137" s="94"/>
      <c r="AD137" s="93"/>
      <c r="AE137" s="85"/>
    </row>
    <row r="138" spans="7:31" ht="14.5" customHeight="1" x14ac:dyDescent="0.35">
      <c r="G138" s="85"/>
      <c r="H138" s="87"/>
      <c r="M138" s="94"/>
      <c r="N138" s="93"/>
      <c r="O138" s="85"/>
      <c r="Q138" s="94"/>
      <c r="R138" s="93"/>
      <c r="S138" s="85"/>
      <c r="U138" s="94"/>
      <c r="V138" s="93"/>
      <c r="W138" s="85"/>
      <c r="Y138" s="94"/>
      <c r="Z138" s="93"/>
      <c r="AA138" s="85"/>
      <c r="AC138" s="94"/>
      <c r="AD138" s="93"/>
      <c r="AE138" s="85"/>
    </row>
    <row r="139" spans="7:31" ht="14.5" customHeight="1" x14ac:dyDescent="0.35">
      <c r="G139" s="85"/>
      <c r="H139" s="87"/>
      <c r="M139" s="94"/>
      <c r="N139" s="93"/>
      <c r="O139" s="85"/>
      <c r="Q139" s="94"/>
      <c r="R139" s="93"/>
      <c r="S139" s="85"/>
      <c r="U139" s="94"/>
      <c r="V139" s="93"/>
      <c r="W139" s="85"/>
      <c r="Y139" s="94"/>
      <c r="Z139" s="93"/>
      <c r="AA139" s="85"/>
      <c r="AC139" s="94"/>
      <c r="AD139" s="93"/>
      <c r="AE139" s="85"/>
    </row>
    <row r="140" spans="7:31" ht="14.5" customHeight="1" x14ac:dyDescent="0.35">
      <c r="G140" s="85"/>
      <c r="H140" s="87"/>
      <c r="M140" s="94"/>
      <c r="N140" s="93"/>
      <c r="O140" s="85"/>
      <c r="Q140" s="94"/>
      <c r="R140" s="93"/>
      <c r="S140" s="85"/>
      <c r="U140" s="94"/>
      <c r="V140" s="93"/>
      <c r="W140" s="85"/>
      <c r="Y140" s="94"/>
      <c r="Z140" s="93"/>
      <c r="AA140" s="85"/>
      <c r="AC140" s="94"/>
      <c r="AD140" s="93"/>
      <c r="AE140" s="85"/>
    </row>
    <row r="141" spans="7:31" ht="14.5" customHeight="1" x14ac:dyDescent="0.35">
      <c r="G141" s="85"/>
      <c r="H141" s="87"/>
      <c r="M141" s="94"/>
      <c r="N141" s="93"/>
      <c r="O141" s="85"/>
      <c r="Q141" s="94"/>
      <c r="R141" s="93"/>
      <c r="S141" s="85"/>
      <c r="U141" s="94"/>
      <c r="V141" s="93"/>
      <c r="W141" s="85"/>
      <c r="Y141" s="94"/>
      <c r="Z141" s="93"/>
      <c r="AA141" s="85"/>
      <c r="AC141" s="94"/>
      <c r="AD141" s="93"/>
      <c r="AE141" s="85"/>
    </row>
    <row r="142" spans="7:31" ht="14.5" customHeight="1" x14ac:dyDescent="0.35">
      <c r="G142" s="85"/>
      <c r="H142" s="87"/>
      <c r="M142" s="94"/>
      <c r="N142" s="93"/>
      <c r="O142" s="85"/>
      <c r="Q142" s="94"/>
      <c r="R142" s="93"/>
      <c r="S142" s="85"/>
      <c r="U142" s="94"/>
      <c r="V142" s="93"/>
      <c r="W142" s="85"/>
      <c r="Y142" s="94"/>
      <c r="Z142" s="93"/>
      <c r="AA142" s="85"/>
      <c r="AC142" s="94"/>
      <c r="AD142" s="93"/>
      <c r="AE142" s="85"/>
    </row>
    <row r="143" spans="7:31" ht="14.5" customHeight="1" x14ac:dyDescent="0.35">
      <c r="G143" s="85"/>
      <c r="H143" s="87"/>
      <c r="M143" s="94"/>
      <c r="N143" s="93"/>
      <c r="O143" s="85"/>
      <c r="Q143" s="94"/>
      <c r="R143" s="93"/>
      <c r="S143" s="85"/>
      <c r="U143" s="94"/>
      <c r="V143" s="93"/>
      <c r="W143" s="85"/>
      <c r="Y143" s="94"/>
      <c r="Z143" s="93"/>
      <c r="AA143" s="85"/>
      <c r="AC143" s="94"/>
      <c r="AD143" s="93"/>
      <c r="AE143" s="85"/>
    </row>
    <row r="144" spans="7:31" ht="14.5" customHeight="1" x14ac:dyDescent="0.35">
      <c r="G144" s="85"/>
      <c r="H144" s="87"/>
      <c r="M144" s="94"/>
      <c r="N144" s="93"/>
      <c r="O144" s="85"/>
      <c r="Q144" s="94"/>
      <c r="R144" s="93"/>
      <c r="S144" s="85"/>
      <c r="U144" s="94"/>
      <c r="V144" s="93"/>
      <c r="W144" s="85"/>
      <c r="Y144" s="94"/>
      <c r="Z144" s="93"/>
      <c r="AA144" s="85"/>
      <c r="AC144" s="94"/>
      <c r="AD144" s="93"/>
      <c r="AE144" s="85"/>
    </row>
    <row r="145" spans="7:31" ht="14.5" customHeight="1" x14ac:dyDescent="0.35">
      <c r="G145" s="85"/>
      <c r="H145" s="87"/>
      <c r="M145" s="94"/>
      <c r="N145" s="93"/>
      <c r="O145" s="85"/>
      <c r="Q145" s="94"/>
      <c r="R145" s="93"/>
      <c r="S145" s="85"/>
      <c r="U145" s="94"/>
      <c r="V145" s="93"/>
      <c r="W145" s="85"/>
      <c r="Y145" s="94"/>
      <c r="Z145" s="93"/>
      <c r="AA145" s="85"/>
      <c r="AC145" s="94"/>
      <c r="AD145" s="93"/>
      <c r="AE145" s="85"/>
    </row>
    <row r="146" spans="7:31" ht="14.5" customHeight="1" x14ac:dyDescent="0.35">
      <c r="G146" s="85"/>
      <c r="H146" s="87"/>
      <c r="M146" s="94"/>
      <c r="N146" s="93"/>
      <c r="O146" s="85"/>
      <c r="Q146" s="94"/>
      <c r="R146" s="93"/>
      <c r="S146" s="85"/>
      <c r="U146" s="94"/>
      <c r="V146" s="93"/>
      <c r="W146" s="85"/>
      <c r="Y146" s="94"/>
      <c r="Z146" s="93"/>
      <c r="AA146" s="85"/>
      <c r="AC146" s="94"/>
      <c r="AD146" s="93"/>
      <c r="AE146" s="85"/>
    </row>
    <row r="147" spans="7:31" ht="14.5" customHeight="1" x14ac:dyDescent="0.35">
      <c r="G147" s="85"/>
      <c r="H147" s="87"/>
      <c r="M147" s="94"/>
      <c r="N147" s="93"/>
      <c r="O147" s="85"/>
      <c r="Q147" s="94"/>
      <c r="R147" s="93"/>
      <c r="S147" s="85"/>
      <c r="U147" s="94"/>
      <c r="V147" s="93"/>
      <c r="W147" s="85"/>
      <c r="Y147" s="94"/>
      <c r="Z147" s="93"/>
      <c r="AA147" s="85"/>
      <c r="AC147" s="94"/>
      <c r="AD147" s="93"/>
      <c r="AE147" s="85"/>
    </row>
    <row r="148" spans="7:31" ht="14.5" customHeight="1" x14ac:dyDescent="0.35">
      <c r="G148" s="85"/>
      <c r="H148" s="87"/>
      <c r="M148" s="94"/>
      <c r="N148" s="93"/>
      <c r="O148" s="85"/>
      <c r="Q148" s="94"/>
      <c r="R148" s="93"/>
      <c r="S148" s="85"/>
      <c r="U148" s="94"/>
      <c r="V148" s="93"/>
      <c r="W148" s="85"/>
      <c r="Y148" s="94"/>
      <c r="Z148" s="93"/>
      <c r="AA148" s="85"/>
      <c r="AC148" s="94"/>
      <c r="AD148" s="93"/>
      <c r="AE148" s="85"/>
    </row>
    <row r="149" spans="7:31" ht="14.5" customHeight="1" x14ac:dyDescent="0.35">
      <c r="G149" s="85"/>
      <c r="H149" s="87"/>
      <c r="M149" s="94"/>
      <c r="N149" s="93"/>
      <c r="O149" s="85"/>
      <c r="Q149" s="94"/>
      <c r="R149" s="93"/>
      <c r="S149" s="85"/>
      <c r="U149" s="94"/>
      <c r="V149" s="93"/>
      <c r="W149" s="85"/>
      <c r="Y149" s="94"/>
      <c r="Z149" s="93"/>
      <c r="AA149" s="85"/>
      <c r="AC149" s="94"/>
      <c r="AD149" s="93"/>
      <c r="AE149" s="85"/>
    </row>
    <row r="150" spans="7:31" ht="14.5" customHeight="1" x14ac:dyDescent="0.35">
      <c r="G150" s="85"/>
      <c r="H150" s="87"/>
      <c r="M150" s="94"/>
      <c r="N150" s="93"/>
      <c r="O150" s="85"/>
      <c r="Q150" s="94"/>
      <c r="R150" s="93"/>
      <c r="S150" s="85"/>
      <c r="U150" s="94"/>
      <c r="V150" s="93"/>
      <c r="W150" s="85"/>
      <c r="Y150" s="94"/>
      <c r="Z150" s="93"/>
      <c r="AA150" s="85"/>
      <c r="AC150" s="94"/>
      <c r="AD150" s="93"/>
      <c r="AE150" s="85"/>
    </row>
    <row r="151" spans="7:31" ht="14.5" customHeight="1" x14ac:dyDescent="0.35">
      <c r="G151" s="85"/>
      <c r="H151" s="87"/>
      <c r="M151" s="94"/>
      <c r="N151" s="93"/>
      <c r="O151" s="85"/>
      <c r="Q151" s="94"/>
      <c r="R151" s="93"/>
      <c r="S151" s="85"/>
      <c r="U151" s="94"/>
      <c r="V151" s="93"/>
      <c r="W151" s="85"/>
      <c r="Y151" s="94"/>
      <c r="Z151" s="93"/>
      <c r="AA151" s="85"/>
      <c r="AC151" s="94"/>
      <c r="AD151" s="93"/>
      <c r="AE151" s="85"/>
    </row>
    <row r="152" spans="7:31" ht="14.5" customHeight="1" x14ac:dyDescent="0.35">
      <c r="G152" s="85"/>
      <c r="H152" s="87"/>
      <c r="M152" s="94"/>
      <c r="N152" s="93"/>
      <c r="O152" s="85"/>
      <c r="Q152" s="94"/>
      <c r="R152" s="93"/>
      <c r="S152" s="85"/>
      <c r="U152" s="94"/>
      <c r="V152" s="93"/>
      <c r="W152" s="85"/>
      <c r="Y152" s="94"/>
      <c r="Z152" s="93"/>
      <c r="AA152" s="85"/>
      <c r="AC152" s="94"/>
      <c r="AD152" s="93"/>
      <c r="AE152" s="85"/>
    </row>
    <row r="153" spans="7:31" ht="14.5" customHeight="1" x14ac:dyDescent="0.35">
      <c r="G153" s="85"/>
      <c r="H153" s="87"/>
      <c r="M153" s="94"/>
      <c r="N153" s="93"/>
      <c r="O153" s="85"/>
      <c r="Q153" s="94"/>
      <c r="R153" s="93"/>
      <c r="S153" s="85"/>
      <c r="U153" s="94"/>
      <c r="V153" s="93"/>
      <c r="W153" s="85"/>
      <c r="Y153" s="94"/>
      <c r="Z153" s="93"/>
      <c r="AA153" s="85"/>
      <c r="AC153" s="94"/>
      <c r="AD153" s="93"/>
      <c r="AE153" s="85"/>
    </row>
    <row r="154" spans="7:31" ht="14.5" customHeight="1" x14ac:dyDescent="0.35">
      <c r="G154" s="85"/>
      <c r="H154" s="87"/>
      <c r="M154" s="94"/>
      <c r="N154" s="93"/>
      <c r="O154" s="85"/>
      <c r="Q154" s="94"/>
      <c r="R154" s="93"/>
      <c r="S154" s="85"/>
      <c r="U154" s="94"/>
      <c r="V154" s="93"/>
      <c r="W154" s="85"/>
      <c r="Y154" s="94"/>
      <c r="Z154" s="93"/>
      <c r="AA154" s="85"/>
      <c r="AC154" s="94"/>
      <c r="AD154" s="93"/>
      <c r="AE154" s="85"/>
    </row>
    <row r="155" spans="7:31" ht="14.5" customHeight="1" x14ac:dyDescent="0.35">
      <c r="G155" s="85"/>
      <c r="H155" s="87"/>
      <c r="M155" s="94"/>
      <c r="N155" s="93"/>
      <c r="O155" s="85"/>
      <c r="Q155" s="94"/>
      <c r="R155" s="93"/>
      <c r="S155" s="85"/>
      <c r="U155" s="94"/>
      <c r="V155" s="93"/>
      <c r="W155" s="85"/>
      <c r="Y155" s="94"/>
      <c r="Z155" s="93"/>
      <c r="AA155" s="85"/>
      <c r="AC155" s="94"/>
      <c r="AD155" s="93"/>
      <c r="AE155" s="85"/>
    </row>
    <row r="156" spans="7:31" ht="14.5" customHeight="1" x14ac:dyDescent="0.35">
      <c r="G156" s="85"/>
      <c r="H156" s="87"/>
      <c r="M156" s="94"/>
      <c r="N156" s="93"/>
      <c r="O156" s="85"/>
      <c r="Q156" s="94"/>
      <c r="R156" s="93"/>
      <c r="S156" s="85"/>
      <c r="U156" s="94"/>
      <c r="V156" s="93"/>
      <c r="W156" s="85"/>
      <c r="Y156" s="94"/>
      <c r="Z156" s="93"/>
      <c r="AA156" s="85"/>
      <c r="AC156" s="94"/>
      <c r="AD156" s="93"/>
      <c r="AE156" s="85"/>
    </row>
    <row r="157" spans="7:31" ht="14.5" customHeight="1" x14ac:dyDescent="0.35">
      <c r="G157" s="85"/>
      <c r="H157" s="87"/>
      <c r="M157" s="94"/>
      <c r="N157" s="93"/>
      <c r="O157" s="85"/>
      <c r="Q157" s="94"/>
      <c r="R157" s="93"/>
      <c r="S157" s="85"/>
      <c r="U157" s="94"/>
      <c r="V157" s="93"/>
      <c r="W157" s="85"/>
      <c r="Y157" s="94"/>
      <c r="Z157" s="93"/>
      <c r="AA157" s="85"/>
      <c r="AC157" s="94"/>
      <c r="AD157" s="93"/>
      <c r="AE157" s="85"/>
    </row>
    <row r="158" spans="7:31" ht="14.5" customHeight="1" x14ac:dyDescent="0.35">
      <c r="G158" s="85"/>
      <c r="H158" s="87"/>
      <c r="M158" s="94"/>
      <c r="N158" s="93"/>
      <c r="O158" s="85"/>
      <c r="Q158" s="94"/>
      <c r="R158" s="93"/>
      <c r="S158" s="85"/>
      <c r="U158" s="94"/>
      <c r="V158" s="93"/>
      <c r="W158" s="85"/>
      <c r="Y158" s="94"/>
      <c r="Z158" s="93"/>
      <c r="AA158" s="85"/>
      <c r="AC158" s="94"/>
      <c r="AD158" s="93"/>
      <c r="AE158" s="85"/>
    </row>
    <row r="159" spans="7:31" ht="14.5" customHeight="1" x14ac:dyDescent="0.35">
      <c r="G159" s="85"/>
      <c r="H159" s="87"/>
      <c r="M159" s="94"/>
      <c r="N159" s="93"/>
      <c r="O159" s="85"/>
      <c r="Q159" s="94"/>
      <c r="R159" s="93"/>
      <c r="S159" s="85"/>
      <c r="U159" s="94"/>
      <c r="V159" s="93"/>
      <c r="W159" s="85"/>
      <c r="Y159" s="94"/>
      <c r="Z159" s="93"/>
      <c r="AA159" s="85"/>
      <c r="AC159" s="94"/>
      <c r="AD159" s="93"/>
      <c r="AE159" s="85"/>
    </row>
    <row r="160" spans="7:31" ht="14.5" customHeight="1" x14ac:dyDescent="0.35">
      <c r="G160" s="85"/>
      <c r="H160" s="87"/>
      <c r="M160" s="94"/>
      <c r="N160" s="93"/>
      <c r="O160" s="85"/>
      <c r="Q160" s="94"/>
      <c r="R160" s="93"/>
      <c r="S160" s="85"/>
      <c r="U160" s="94"/>
      <c r="V160" s="93"/>
      <c r="W160" s="85"/>
      <c r="Y160" s="94"/>
      <c r="Z160" s="93"/>
      <c r="AA160" s="85"/>
      <c r="AC160" s="94"/>
      <c r="AD160" s="93"/>
      <c r="AE160" s="85"/>
    </row>
    <row r="161" spans="7:31" ht="14.5" customHeight="1" x14ac:dyDescent="0.35">
      <c r="G161" s="85"/>
      <c r="H161" s="87"/>
      <c r="M161" s="94"/>
      <c r="N161" s="93"/>
      <c r="O161" s="85"/>
      <c r="Q161" s="94"/>
      <c r="R161" s="93"/>
      <c r="S161" s="85"/>
      <c r="U161" s="94"/>
      <c r="V161" s="93"/>
      <c r="W161" s="85"/>
      <c r="Y161" s="94"/>
      <c r="Z161" s="93"/>
      <c r="AA161" s="85"/>
      <c r="AC161" s="94"/>
      <c r="AD161" s="93"/>
      <c r="AE161" s="85"/>
    </row>
    <row r="162" spans="7:31" ht="14.5" customHeight="1" x14ac:dyDescent="0.35">
      <c r="G162" s="85"/>
      <c r="H162" s="87"/>
      <c r="M162" s="94"/>
      <c r="N162" s="93"/>
      <c r="O162" s="85"/>
      <c r="Q162" s="94"/>
      <c r="R162" s="93"/>
      <c r="S162" s="85"/>
      <c r="U162" s="94"/>
      <c r="V162" s="93"/>
      <c r="W162" s="85"/>
      <c r="Y162" s="94"/>
      <c r="Z162" s="93"/>
      <c r="AA162" s="85"/>
      <c r="AC162" s="94"/>
      <c r="AD162" s="93"/>
      <c r="AE162" s="85"/>
    </row>
    <row r="163" spans="7:31" ht="14.5" customHeight="1" x14ac:dyDescent="0.35">
      <c r="G163" s="85"/>
      <c r="H163" s="87"/>
      <c r="M163" s="94"/>
      <c r="N163" s="93"/>
      <c r="O163" s="85"/>
      <c r="Q163" s="94"/>
      <c r="R163" s="93"/>
      <c r="S163" s="85"/>
      <c r="U163" s="94"/>
      <c r="V163" s="93"/>
      <c r="W163" s="85"/>
      <c r="Y163" s="94"/>
      <c r="Z163" s="93"/>
      <c r="AA163" s="85"/>
      <c r="AC163" s="94"/>
      <c r="AD163" s="93"/>
      <c r="AE163" s="85"/>
    </row>
    <row r="164" spans="7:31" ht="14.5" customHeight="1" x14ac:dyDescent="0.35">
      <c r="G164" s="85"/>
      <c r="H164" s="87"/>
      <c r="M164" s="94"/>
      <c r="N164" s="93"/>
      <c r="O164" s="85"/>
      <c r="Q164" s="94"/>
      <c r="R164" s="93"/>
      <c r="S164" s="85"/>
      <c r="U164" s="94"/>
      <c r="V164" s="93"/>
      <c r="W164" s="85"/>
      <c r="Y164" s="94"/>
      <c r="Z164" s="93"/>
      <c r="AA164" s="85"/>
      <c r="AC164" s="94"/>
      <c r="AD164" s="93"/>
      <c r="AE164" s="85"/>
    </row>
    <row r="165" spans="7:31" ht="14.5" customHeight="1" x14ac:dyDescent="0.35">
      <c r="G165" s="85"/>
      <c r="H165" s="87"/>
      <c r="M165" s="94"/>
      <c r="N165" s="93"/>
      <c r="O165" s="85"/>
      <c r="Q165" s="94"/>
      <c r="R165" s="93"/>
      <c r="S165" s="85"/>
      <c r="U165" s="94"/>
      <c r="V165" s="93"/>
      <c r="W165" s="85"/>
      <c r="Y165" s="94"/>
      <c r="Z165" s="93"/>
      <c r="AA165" s="85"/>
      <c r="AC165" s="94"/>
      <c r="AD165" s="93"/>
      <c r="AE165" s="85"/>
    </row>
    <row r="166" spans="7:31" ht="14.5" customHeight="1" x14ac:dyDescent="0.35">
      <c r="G166" s="85"/>
      <c r="H166" s="87"/>
      <c r="M166" s="94"/>
      <c r="N166" s="93"/>
      <c r="O166" s="85"/>
      <c r="Q166" s="94"/>
      <c r="R166" s="93"/>
      <c r="S166" s="85"/>
      <c r="U166" s="94"/>
      <c r="V166" s="93"/>
      <c r="W166" s="85"/>
      <c r="Y166" s="94"/>
      <c r="Z166" s="93"/>
      <c r="AA166" s="85"/>
      <c r="AC166" s="94"/>
      <c r="AD166" s="93"/>
      <c r="AE166" s="85"/>
    </row>
    <row r="167" spans="7:31" ht="14.5" customHeight="1" x14ac:dyDescent="0.35">
      <c r="G167" s="85"/>
      <c r="H167" s="87"/>
      <c r="M167" s="94"/>
      <c r="N167" s="93"/>
      <c r="O167" s="85"/>
      <c r="Q167" s="94"/>
      <c r="R167" s="93"/>
      <c r="S167" s="85"/>
      <c r="U167" s="94"/>
      <c r="V167" s="93"/>
      <c r="W167" s="85"/>
      <c r="Y167" s="94"/>
      <c r="Z167" s="93"/>
      <c r="AA167" s="85"/>
      <c r="AC167" s="94"/>
      <c r="AD167" s="93"/>
      <c r="AE167" s="85"/>
    </row>
    <row r="168" spans="7:31" ht="14.5" customHeight="1" x14ac:dyDescent="0.35">
      <c r="G168" s="85"/>
      <c r="H168" s="87"/>
      <c r="M168" s="94"/>
      <c r="N168" s="93"/>
      <c r="O168" s="85"/>
      <c r="Q168" s="94"/>
      <c r="R168" s="93"/>
      <c r="S168" s="85"/>
      <c r="U168" s="94"/>
      <c r="V168" s="93"/>
      <c r="W168" s="85"/>
      <c r="Y168" s="94"/>
      <c r="Z168" s="93"/>
      <c r="AA168" s="85"/>
      <c r="AC168" s="94"/>
      <c r="AD168" s="93"/>
      <c r="AE168" s="85"/>
    </row>
    <row r="169" spans="7:31" ht="14.5" customHeight="1" x14ac:dyDescent="0.35">
      <c r="G169" s="85"/>
      <c r="H169" s="87"/>
      <c r="M169" s="94"/>
      <c r="N169" s="93"/>
      <c r="O169" s="85"/>
      <c r="Q169" s="94"/>
      <c r="R169" s="93"/>
      <c r="S169" s="85"/>
      <c r="U169" s="94"/>
      <c r="V169" s="93"/>
      <c r="W169" s="85"/>
      <c r="Y169" s="94"/>
      <c r="Z169" s="93"/>
      <c r="AA169" s="85"/>
      <c r="AC169" s="94"/>
      <c r="AD169" s="93"/>
      <c r="AE169" s="85"/>
    </row>
    <row r="170" spans="7:31" ht="14.5" customHeight="1" x14ac:dyDescent="0.35">
      <c r="G170" s="85"/>
      <c r="H170" s="87"/>
      <c r="M170" s="94"/>
      <c r="N170" s="93"/>
      <c r="O170" s="85"/>
      <c r="Q170" s="94"/>
      <c r="R170" s="93"/>
      <c r="S170" s="85"/>
      <c r="U170" s="94"/>
      <c r="V170" s="93"/>
      <c r="W170" s="85"/>
      <c r="Y170" s="94"/>
      <c r="Z170" s="93"/>
      <c r="AA170" s="85"/>
      <c r="AC170" s="94"/>
      <c r="AD170" s="93"/>
      <c r="AE170" s="85"/>
    </row>
    <row r="171" spans="7:31" ht="14.5" customHeight="1" x14ac:dyDescent="0.35">
      <c r="G171" s="85"/>
      <c r="H171" s="87"/>
      <c r="M171" s="94"/>
      <c r="N171" s="93"/>
      <c r="O171" s="85"/>
      <c r="Q171" s="94"/>
      <c r="R171" s="93"/>
      <c r="S171" s="85"/>
      <c r="U171" s="94"/>
      <c r="V171" s="93"/>
      <c r="W171" s="85"/>
      <c r="Y171" s="94"/>
      <c r="Z171" s="93"/>
      <c r="AA171" s="85"/>
      <c r="AC171" s="94"/>
      <c r="AD171" s="93"/>
      <c r="AE171" s="85"/>
    </row>
    <row r="172" spans="7:31" ht="14.5" customHeight="1" x14ac:dyDescent="0.35">
      <c r="G172" s="85"/>
      <c r="H172" s="87"/>
      <c r="M172" s="94"/>
      <c r="N172" s="93"/>
      <c r="O172" s="85"/>
      <c r="Q172" s="94"/>
      <c r="R172" s="93"/>
      <c r="S172" s="85"/>
      <c r="U172" s="94"/>
      <c r="V172" s="93"/>
      <c r="W172" s="85"/>
      <c r="Y172" s="94"/>
      <c r="Z172" s="93"/>
      <c r="AA172" s="85"/>
      <c r="AC172" s="94"/>
      <c r="AD172" s="93"/>
      <c r="AE172" s="85"/>
    </row>
    <row r="173" spans="7:31" ht="14.5" customHeight="1" x14ac:dyDescent="0.35">
      <c r="G173" s="85"/>
      <c r="H173" s="87"/>
      <c r="M173" s="94"/>
      <c r="N173" s="93"/>
      <c r="O173" s="85"/>
      <c r="Q173" s="94"/>
      <c r="R173" s="93"/>
      <c r="S173" s="85"/>
      <c r="U173" s="94"/>
      <c r="V173" s="93"/>
      <c r="W173" s="85"/>
      <c r="Y173" s="94"/>
      <c r="Z173" s="93"/>
      <c r="AA173" s="85"/>
      <c r="AC173" s="94"/>
      <c r="AD173" s="93"/>
      <c r="AE173" s="85"/>
    </row>
    <row r="174" spans="7:31" ht="14.5" customHeight="1" x14ac:dyDescent="0.35">
      <c r="G174" s="85"/>
      <c r="H174" s="87"/>
      <c r="M174" s="94"/>
      <c r="N174" s="93"/>
      <c r="O174" s="85"/>
      <c r="Q174" s="94"/>
      <c r="R174" s="93"/>
      <c r="S174" s="85"/>
      <c r="U174" s="94"/>
      <c r="V174" s="93"/>
      <c r="W174" s="85"/>
      <c r="Y174" s="94"/>
      <c r="Z174" s="93"/>
      <c r="AA174" s="85"/>
      <c r="AC174" s="94"/>
      <c r="AD174" s="93"/>
      <c r="AE174" s="85"/>
    </row>
    <row r="175" spans="7:31" ht="14.5" customHeight="1" x14ac:dyDescent="0.35">
      <c r="G175" s="85"/>
      <c r="H175" s="87"/>
      <c r="M175" s="94"/>
      <c r="N175" s="93"/>
      <c r="O175" s="85"/>
      <c r="Q175" s="94"/>
      <c r="R175" s="93"/>
      <c r="S175" s="85"/>
      <c r="U175" s="94"/>
      <c r="V175" s="93"/>
      <c r="W175" s="85"/>
      <c r="Y175" s="94"/>
      <c r="Z175" s="93"/>
      <c r="AA175" s="85"/>
      <c r="AC175" s="94"/>
      <c r="AD175" s="93"/>
      <c r="AE175" s="85"/>
    </row>
    <row r="176" spans="7:31" ht="14.5" customHeight="1" x14ac:dyDescent="0.35">
      <c r="G176" s="85"/>
      <c r="H176" s="87"/>
      <c r="M176" s="94"/>
      <c r="N176" s="93"/>
      <c r="O176" s="85"/>
      <c r="Q176" s="94"/>
      <c r="R176" s="93"/>
      <c r="S176" s="85"/>
      <c r="U176" s="94"/>
      <c r="V176" s="93"/>
      <c r="W176" s="85"/>
      <c r="Y176" s="94"/>
      <c r="Z176" s="93"/>
      <c r="AA176" s="85"/>
      <c r="AC176" s="94"/>
      <c r="AD176" s="93"/>
      <c r="AE176" s="85"/>
    </row>
    <row r="177" spans="7:31" ht="14.5" customHeight="1" x14ac:dyDescent="0.35">
      <c r="G177" s="85"/>
      <c r="H177" s="87"/>
      <c r="M177" s="94"/>
      <c r="N177" s="93"/>
      <c r="O177" s="85"/>
      <c r="Q177" s="94"/>
      <c r="R177" s="93"/>
      <c r="S177" s="85"/>
      <c r="U177" s="94"/>
      <c r="V177" s="93"/>
      <c r="W177" s="85"/>
      <c r="Y177" s="94"/>
      <c r="Z177" s="93"/>
      <c r="AA177" s="85"/>
      <c r="AC177" s="94"/>
      <c r="AD177" s="93"/>
      <c r="AE177" s="85"/>
    </row>
    <row r="178" spans="7:31" ht="14.5" customHeight="1" x14ac:dyDescent="0.35">
      <c r="G178" s="85"/>
      <c r="H178" s="87"/>
      <c r="M178" s="94"/>
      <c r="N178" s="93"/>
      <c r="O178" s="85"/>
      <c r="Q178" s="94"/>
      <c r="R178" s="93"/>
      <c r="S178" s="85"/>
      <c r="U178" s="94"/>
      <c r="V178" s="93"/>
      <c r="W178" s="85"/>
      <c r="Y178" s="94"/>
      <c r="Z178" s="93"/>
      <c r="AA178" s="85"/>
      <c r="AC178" s="94"/>
      <c r="AD178" s="93"/>
      <c r="AE178" s="85"/>
    </row>
    <row r="179" spans="7:31" ht="14.5" customHeight="1" x14ac:dyDescent="0.35">
      <c r="G179" s="85"/>
      <c r="H179" s="87"/>
      <c r="M179" s="94"/>
      <c r="N179" s="93"/>
      <c r="O179" s="85"/>
      <c r="Q179" s="94"/>
      <c r="R179" s="93"/>
      <c r="S179" s="85"/>
      <c r="U179" s="94"/>
      <c r="V179" s="93"/>
      <c r="W179" s="85"/>
      <c r="Y179" s="94"/>
      <c r="Z179" s="93"/>
      <c r="AA179" s="85"/>
      <c r="AC179" s="94"/>
      <c r="AD179" s="93"/>
      <c r="AE179" s="85"/>
    </row>
    <row r="180" spans="7:31" ht="14.5" customHeight="1" x14ac:dyDescent="0.35">
      <c r="G180" s="85"/>
      <c r="H180" s="87"/>
      <c r="M180" s="94"/>
      <c r="N180" s="93"/>
      <c r="O180" s="85"/>
      <c r="Q180" s="94"/>
      <c r="R180" s="93"/>
      <c r="S180" s="85"/>
      <c r="U180" s="94"/>
      <c r="V180" s="93"/>
      <c r="W180" s="85"/>
      <c r="Y180" s="94"/>
      <c r="Z180" s="93"/>
      <c r="AA180" s="85"/>
      <c r="AC180" s="94"/>
      <c r="AD180" s="93"/>
      <c r="AE180" s="85"/>
    </row>
    <row r="181" spans="7:31" ht="14.5" customHeight="1" x14ac:dyDescent="0.35">
      <c r="G181" s="85"/>
      <c r="H181" s="87"/>
      <c r="M181" s="94"/>
      <c r="N181" s="93"/>
      <c r="O181" s="85"/>
      <c r="Q181" s="94"/>
      <c r="R181" s="93"/>
      <c r="S181" s="85"/>
      <c r="U181" s="94"/>
      <c r="V181" s="93"/>
      <c r="W181" s="85"/>
      <c r="Y181" s="94"/>
      <c r="Z181" s="93"/>
      <c r="AA181" s="85"/>
      <c r="AC181" s="94"/>
      <c r="AD181" s="93"/>
      <c r="AE181" s="85"/>
    </row>
    <row r="182" spans="7:31" ht="14.5" customHeight="1" x14ac:dyDescent="0.35">
      <c r="G182" s="85"/>
      <c r="H182" s="87"/>
      <c r="M182" s="94"/>
      <c r="N182" s="93"/>
      <c r="O182" s="85"/>
      <c r="Q182" s="94"/>
      <c r="R182" s="93"/>
      <c r="S182" s="85"/>
      <c r="U182" s="94"/>
      <c r="V182" s="93"/>
      <c r="W182" s="85"/>
      <c r="Y182" s="94"/>
      <c r="Z182" s="93"/>
      <c r="AA182" s="85"/>
      <c r="AC182" s="94"/>
      <c r="AD182" s="93"/>
      <c r="AE182" s="85"/>
    </row>
    <row r="183" spans="7:31" ht="14.5" customHeight="1" x14ac:dyDescent="0.35">
      <c r="G183" s="85"/>
      <c r="H183" s="87"/>
      <c r="M183" s="94"/>
      <c r="N183" s="93"/>
      <c r="O183" s="85"/>
      <c r="Q183" s="94"/>
      <c r="R183" s="93"/>
      <c r="S183" s="85"/>
      <c r="U183" s="94"/>
      <c r="V183" s="93"/>
      <c r="W183" s="85"/>
      <c r="Y183" s="94"/>
      <c r="Z183" s="93"/>
      <c r="AA183" s="85"/>
      <c r="AC183" s="94"/>
      <c r="AD183" s="93"/>
      <c r="AE183" s="85"/>
    </row>
    <row r="184" spans="7:31" ht="14.5" customHeight="1" x14ac:dyDescent="0.35">
      <c r="G184" s="85"/>
      <c r="H184" s="87"/>
      <c r="M184" s="94"/>
      <c r="N184" s="93"/>
      <c r="O184" s="85"/>
      <c r="Q184" s="94"/>
      <c r="R184" s="93"/>
      <c r="S184" s="85"/>
      <c r="U184" s="94"/>
      <c r="V184" s="93"/>
      <c r="W184" s="85"/>
      <c r="Y184" s="94"/>
      <c r="Z184" s="93"/>
      <c r="AA184" s="85"/>
      <c r="AC184" s="94"/>
      <c r="AD184" s="93"/>
      <c r="AE184" s="85"/>
    </row>
    <row r="185" spans="7:31" ht="14.5" customHeight="1" x14ac:dyDescent="0.35">
      <c r="G185" s="85"/>
      <c r="H185" s="87"/>
      <c r="M185" s="94"/>
      <c r="N185" s="93"/>
      <c r="O185" s="85"/>
      <c r="Q185" s="94"/>
      <c r="R185" s="93"/>
      <c r="S185" s="85"/>
      <c r="U185" s="94"/>
      <c r="V185" s="93"/>
      <c r="W185" s="85"/>
      <c r="Y185" s="94"/>
      <c r="Z185" s="93"/>
      <c r="AA185" s="85"/>
      <c r="AC185" s="94"/>
      <c r="AD185" s="93"/>
      <c r="AE185" s="85"/>
    </row>
    <row r="186" spans="7:31" ht="14.5" customHeight="1" x14ac:dyDescent="0.35">
      <c r="G186" s="85"/>
      <c r="H186" s="87"/>
      <c r="M186" s="94"/>
      <c r="N186" s="93"/>
      <c r="O186" s="85"/>
      <c r="Q186" s="94"/>
      <c r="R186" s="93"/>
      <c r="S186" s="85"/>
      <c r="U186" s="94"/>
      <c r="V186" s="93"/>
      <c r="W186" s="85"/>
      <c r="Y186" s="94"/>
      <c r="Z186" s="93"/>
      <c r="AA186" s="85"/>
      <c r="AC186" s="94"/>
      <c r="AD186" s="93"/>
      <c r="AE186" s="85"/>
    </row>
    <row r="187" spans="7:31" ht="14.5" customHeight="1" x14ac:dyDescent="0.35">
      <c r="G187" s="85"/>
      <c r="H187" s="87"/>
      <c r="M187" s="94"/>
      <c r="N187" s="93"/>
      <c r="O187" s="85"/>
      <c r="Q187" s="94"/>
      <c r="R187" s="93"/>
      <c r="S187" s="85"/>
      <c r="U187" s="94"/>
      <c r="V187" s="93"/>
      <c r="W187" s="85"/>
      <c r="Y187" s="94"/>
      <c r="Z187" s="93"/>
      <c r="AA187" s="85"/>
      <c r="AC187" s="94"/>
      <c r="AD187" s="93"/>
      <c r="AE187" s="85"/>
    </row>
    <row r="188" spans="7:31" ht="14.5" customHeight="1" x14ac:dyDescent="0.35">
      <c r="G188" s="85"/>
      <c r="H188" s="87"/>
      <c r="M188" s="94"/>
      <c r="N188" s="93"/>
      <c r="O188" s="85"/>
      <c r="Q188" s="94"/>
      <c r="R188" s="93"/>
      <c r="S188" s="85"/>
      <c r="U188" s="94"/>
      <c r="V188" s="93"/>
      <c r="W188" s="85"/>
      <c r="Y188" s="94"/>
      <c r="Z188" s="93"/>
      <c r="AA188" s="85"/>
      <c r="AC188" s="94"/>
      <c r="AD188" s="93"/>
      <c r="AE188" s="85"/>
    </row>
    <row r="189" spans="7:31" ht="14.5" customHeight="1" x14ac:dyDescent="0.35">
      <c r="G189" s="85"/>
      <c r="H189" s="87"/>
      <c r="M189" s="94"/>
      <c r="N189" s="93"/>
      <c r="O189" s="85"/>
      <c r="Q189" s="94"/>
      <c r="R189" s="93"/>
      <c r="S189" s="85"/>
      <c r="U189" s="94"/>
      <c r="V189" s="93"/>
      <c r="W189" s="85"/>
      <c r="Y189" s="94"/>
      <c r="Z189" s="93"/>
      <c r="AA189" s="85"/>
      <c r="AC189" s="94"/>
      <c r="AD189" s="93"/>
      <c r="AE189" s="85"/>
    </row>
    <row r="190" spans="7:31" ht="14.5" customHeight="1" x14ac:dyDescent="0.35">
      <c r="G190" s="85"/>
      <c r="H190" s="87"/>
      <c r="M190" s="94"/>
      <c r="N190" s="93"/>
      <c r="O190" s="85"/>
      <c r="Q190" s="94"/>
      <c r="R190" s="93"/>
      <c r="S190" s="85"/>
      <c r="U190" s="94"/>
      <c r="V190" s="93"/>
      <c r="W190" s="85"/>
      <c r="Y190" s="94"/>
      <c r="Z190" s="93"/>
      <c r="AA190" s="85"/>
      <c r="AC190" s="94"/>
      <c r="AD190" s="93"/>
      <c r="AE190" s="85"/>
    </row>
    <row r="191" spans="7:31" ht="14.5" customHeight="1" x14ac:dyDescent="0.35">
      <c r="G191" s="85"/>
      <c r="H191" s="87"/>
      <c r="M191" s="94"/>
      <c r="N191" s="93"/>
      <c r="O191" s="85"/>
      <c r="Q191" s="94"/>
      <c r="R191" s="93"/>
      <c r="S191" s="85"/>
      <c r="U191" s="94"/>
      <c r="V191" s="93"/>
      <c r="W191" s="85"/>
      <c r="Y191" s="94"/>
      <c r="Z191" s="93"/>
      <c r="AA191" s="85"/>
      <c r="AC191" s="94"/>
      <c r="AD191" s="93"/>
      <c r="AE191" s="85"/>
    </row>
    <row r="192" spans="7:31" ht="14.5" customHeight="1" x14ac:dyDescent="0.35">
      <c r="G192" s="85"/>
      <c r="H192" s="87"/>
      <c r="M192" s="94"/>
      <c r="N192" s="93"/>
      <c r="O192" s="85"/>
      <c r="Q192" s="94"/>
      <c r="R192" s="93"/>
      <c r="S192" s="85"/>
      <c r="U192" s="94"/>
      <c r="V192" s="93"/>
      <c r="W192" s="85"/>
      <c r="Y192" s="94"/>
      <c r="Z192" s="93"/>
      <c r="AA192" s="85"/>
      <c r="AC192" s="94"/>
      <c r="AD192" s="93"/>
      <c r="AE192" s="85"/>
    </row>
    <row r="193" spans="7:31" ht="14.5" customHeight="1" x14ac:dyDescent="0.35">
      <c r="G193" s="85"/>
      <c r="H193" s="87"/>
      <c r="M193" s="94"/>
      <c r="N193" s="93"/>
      <c r="O193" s="85"/>
      <c r="Q193" s="94"/>
      <c r="R193" s="93"/>
      <c r="S193" s="85"/>
      <c r="U193" s="94"/>
      <c r="V193" s="93"/>
      <c r="W193" s="85"/>
      <c r="Y193" s="94"/>
      <c r="Z193" s="93"/>
      <c r="AA193" s="85"/>
      <c r="AC193" s="94"/>
      <c r="AD193" s="93"/>
      <c r="AE193" s="85"/>
    </row>
    <row r="194" spans="7:31" ht="14.5" customHeight="1" x14ac:dyDescent="0.35">
      <c r="G194" s="85"/>
      <c r="H194" s="87"/>
      <c r="M194" s="94"/>
      <c r="N194" s="93"/>
      <c r="O194" s="85"/>
      <c r="Q194" s="94"/>
      <c r="R194" s="93"/>
      <c r="S194" s="85"/>
      <c r="U194" s="94"/>
      <c r="V194" s="93"/>
      <c r="W194" s="85"/>
      <c r="Y194" s="94"/>
      <c r="Z194" s="93"/>
      <c r="AA194" s="85"/>
      <c r="AC194" s="94"/>
      <c r="AD194" s="93"/>
      <c r="AE194" s="85"/>
    </row>
    <row r="195" spans="7:31" ht="14.5" customHeight="1" x14ac:dyDescent="0.35">
      <c r="G195" s="85"/>
      <c r="H195" s="87"/>
      <c r="M195" s="94"/>
      <c r="N195" s="93"/>
      <c r="O195" s="85"/>
      <c r="Q195" s="94"/>
      <c r="R195" s="93"/>
      <c r="S195" s="85"/>
      <c r="U195" s="94"/>
      <c r="V195" s="93"/>
      <c r="W195" s="85"/>
      <c r="Y195" s="94"/>
      <c r="Z195" s="93"/>
      <c r="AA195" s="85"/>
      <c r="AC195" s="94"/>
      <c r="AD195" s="93"/>
      <c r="AE195" s="85"/>
    </row>
    <row r="196" spans="7:31" ht="14.5" customHeight="1" x14ac:dyDescent="0.35">
      <c r="G196" s="85"/>
      <c r="H196" s="87"/>
      <c r="M196" s="94"/>
      <c r="N196" s="93"/>
      <c r="O196" s="85"/>
      <c r="Q196" s="94"/>
      <c r="R196" s="93"/>
      <c r="S196" s="85"/>
      <c r="U196" s="94"/>
      <c r="V196" s="93"/>
      <c r="W196" s="85"/>
      <c r="Y196" s="94"/>
      <c r="Z196" s="93"/>
      <c r="AA196" s="85"/>
      <c r="AC196" s="94"/>
      <c r="AD196" s="93"/>
      <c r="AE196" s="85"/>
    </row>
    <row r="197" spans="7:31" ht="14.5" customHeight="1" x14ac:dyDescent="0.35">
      <c r="G197" s="85"/>
      <c r="H197" s="87"/>
      <c r="M197" s="94"/>
      <c r="N197" s="93"/>
      <c r="O197" s="85"/>
      <c r="Q197" s="94"/>
      <c r="R197" s="93"/>
      <c r="S197" s="85"/>
      <c r="U197" s="94"/>
      <c r="V197" s="93"/>
      <c r="W197" s="85"/>
      <c r="Y197" s="94"/>
      <c r="Z197" s="93"/>
      <c r="AA197" s="85"/>
      <c r="AC197" s="94"/>
      <c r="AD197" s="93"/>
      <c r="AE197" s="85"/>
    </row>
    <row r="198" spans="7:31" ht="14.5" customHeight="1" x14ac:dyDescent="0.35">
      <c r="G198" s="85"/>
      <c r="H198" s="87"/>
      <c r="M198" s="94"/>
      <c r="N198" s="93"/>
      <c r="O198" s="85"/>
      <c r="Q198" s="94"/>
      <c r="R198" s="93"/>
      <c r="S198" s="85"/>
      <c r="U198" s="94"/>
      <c r="V198" s="93"/>
      <c r="W198" s="85"/>
      <c r="Y198" s="94"/>
      <c r="Z198" s="93"/>
      <c r="AA198" s="85"/>
      <c r="AC198" s="94"/>
      <c r="AD198" s="93"/>
      <c r="AE198" s="85"/>
    </row>
    <row r="199" spans="7:31" ht="14.5" customHeight="1" x14ac:dyDescent="0.35">
      <c r="G199" s="85"/>
      <c r="H199" s="87"/>
      <c r="M199" s="94"/>
      <c r="N199" s="93"/>
      <c r="O199" s="85"/>
      <c r="Q199" s="94"/>
      <c r="R199" s="93"/>
      <c r="S199" s="85"/>
      <c r="U199" s="94"/>
      <c r="V199" s="93"/>
      <c r="W199" s="85"/>
      <c r="Y199" s="94"/>
      <c r="Z199" s="93"/>
      <c r="AA199" s="85"/>
      <c r="AC199" s="94"/>
      <c r="AD199" s="93"/>
      <c r="AE199" s="85"/>
    </row>
    <row r="200" spans="7:31" ht="14.5" customHeight="1" x14ac:dyDescent="0.35">
      <c r="G200" s="85"/>
      <c r="H200" s="87"/>
      <c r="M200" s="94"/>
      <c r="N200" s="93"/>
      <c r="O200" s="85"/>
      <c r="Q200" s="94"/>
      <c r="R200" s="93"/>
      <c r="S200" s="85"/>
      <c r="U200" s="94"/>
      <c r="V200" s="93"/>
      <c r="W200" s="85"/>
      <c r="Y200" s="94"/>
      <c r="Z200" s="93"/>
      <c r="AA200" s="85"/>
      <c r="AC200" s="94"/>
      <c r="AD200" s="93"/>
      <c r="AE200" s="85"/>
    </row>
    <row r="201" spans="7:31" ht="14.5" customHeight="1" x14ac:dyDescent="0.35">
      <c r="G201" s="85"/>
      <c r="H201" s="87"/>
      <c r="M201" s="94"/>
      <c r="N201" s="93"/>
      <c r="O201" s="85"/>
      <c r="Q201" s="94"/>
      <c r="R201" s="93"/>
      <c r="S201" s="85"/>
      <c r="U201" s="94"/>
      <c r="V201" s="93"/>
      <c r="W201" s="85"/>
      <c r="Y201" s="94"/>
      <c r="Z201" s="93"/>
      <c r="AA201" s="85"/>
      <c r="AC201" s="94"/>
      <c r="AD201" s="93"/>
      <c r="AE201" s="85"/>
    </row>
    <row r="202" spans="7:31" ht="14.5" customHeight="1" x14ac:dyDescent="0.35">
      <c r="G202" s="85"/>
      <c r="H202" s="87"/>
      <c r="M202" s="94"/>
      <c r="N202" s="93"/>
      <c r="O202" s="85"/>
      <c r="Q202" s="94"/>
      <c r="R202" s="93"/>
      <c r="S202" s="85"/>
      <c r="U202" s="94"/>
      <c r="V202" s="93"/>
      <c r="W202" s="85"/>
      <c r="Y202" s="94"/>
      <c r="Z202" s="93"/>
      <c r="AA202" s="85"/>
      <c r="AC202" s="94"/>
      <c r="AD202" s="93"/>
      <c r="AE202" s="85"/>
    </row>
    <row r="203" spans="7:31" ht="14.5" customHeight="1" x14ac:dyDescent="0.35">
      <c r="G203" s="85"/>
      <c r="H203" s="87"/>
      <c r="M203" s="94"/>
      <c r="N203" s="93"/>
      <c r="O203" s="85"/>
      <c r="Q203" s="94"/>
      <c r="R203" s="93"/>
      <c r="S203" s="85"/>
      <c r="U203" s="94"/>
      <c r="V203" s="93"/>
      <c r="W203" s="85"/>
      <c r="Y203" s="94"/>
      <c r="Z203" s="93"/>
      <c r="AA203" s="85"/>
      <c r="AC203" s="94"/>
      <c r="AD203" s="93"/>
      <c r="AE203" s="85"/>
    </row>
    <row r="204" spans="7:31" ht="14.5" customHeight="1" x14ac:dyDescent="0.35">
      <c r="G204" s="85"/>
      <c r="H204" s="87"/>
      <c r="M204" s="94"/>
      <c r="N204" s="93"/>
      <c r="O204" s="85"/>
      <c r="Q204" s="94"/>
      <c r="R204" s="93"/>
      <c r="S204" s="85"/>
      <c r="U204" s="94"/>
      <c r="V204" s="93"/>
      <c r="W204" s="85"/>
      <c r="Y204" s="94"/>
      <c r="Z204" s="93"/>
      <c r="AA204" s="85"/>
      <c r="AC204" s="94"/>
      <c r="AD204" s="93"/>
      <c r="AE204" s="85"/>
    </row>
    <row r="205" spans="7:31" ht="14.5" customHeight="1" x14ac:dyDescent="0.35">
      <c r="G205" s="85"/>
      <c r="H205" s="87"/>
      <c r="M205" s="94"/>
      <c r="N205" s="93"/>
      <c r="O205" s="85"/>
      <c r="Q205" s="94"/>
      <c r="R205" s="93"/>
      <c r="S205" s="85"/>
      <c r="U205" s="94"/>
      <c r="V205" s="93"/>
      <c r="W205" s="85"/>
      <c r="Y205" s="94"/>
      <c r="Z205" s="93"/>
      <c r="AA205" s="85"/>
      <c r="AC205" s="94"/>
      <c r="AD205" s="93"/>
      <c r="AE205" s="85"/>
    </row>
    <row r="206" spans="7:31" ht="14.5" customHeight="1" x14ac:dyDescent="0.35">
      <c r="G206" s="85"/>
      <c r="H206" s="87"/>
      <c r="M206" s="94"/>
      <c r="N206" s="93"/>
      <c r="O206" s="85"/>
      <c r="Q206" s="94"/>
      <c r="R206" s="93"/>
      <c r="S206" s="85"/>
      <c r="U206" s="94"/>
      <c r="V206" s="93"/>
      <c r="W206" s="85"/>
      <c r="Y206" s="94"/>
      <c r="Z206" s="93"/>
      <c r="AA206" s="85"/>
      <c r="AC206" s="94"/>
      <c r="AD206" s="93"/>
      <c r="AE206" s="85"/>
    </row>
    <row r="207" spans="7:31" ht="14.5" customHeight="1" x14ac:dyDescent="0.35">
      <c r="G207" s="85"/>
      <c r="H207" s="87"/>
      <c r="M207" s="94"/>
      <c r="N207" s="93"/>
      <c r="O207" s="85"/>
      <c r="Q207" s="94"/>
      <c r="R207" s="93"/>
      <c r="S207" s="85"/>
      <c r="U207" s="94"/>
      <c r="V207" s="93"/>
      <c r="W207" s="85"/>
      <c r="Y207" s="94"/>
      <c r="Z207" s="93"/>
      <c r="AA207" s="85"/>
      <c r="AC207" s="94"/>
      <c r="AD207" s="93"/>
      <c r="AE207" s="85"/>
    </row>
    <row r="208" spans="7:31" ht="14.5" customHeight="1" x14ac:dyDescent="0.35">
      <c r="G208" s="85"/>
      <c r="H208" s="87"/>
      <c r="M208" s="94"/>
      <c r="N208" s="93"/>
      <c r="O208" s="85"/>
      <c r="Q208" s="94"/>
      <c r="R208" s="93"/>
      <c r="S208" s="85"/>
      <c r="U208" s="94"/>
      <c r="V208" s="93"/>
      <c r="W208" s="85"/>
      <c r="Y208" s="94"/>
      <c r="Z208" s="93"/>
      <c r="AA208" s="85"/>
      <c r="AC208" s="94"/>
      <c r="AD208" s="93"/>
      <c r="AE208" s="85"/>
    </row>
    <row r="209" spans="7:31" ht="14.5" customHeight="1" x14ac:dyDescent="0.35">
      <c r="G209" s="85"/>
      <c r="H209" s="87"/>
      <c r="M209" s="94"/>
      <c r="N209" s="93"/>
      <c r="O209" s="85"/>
      <c r="Q209" s="94"/>
      <c r="R209" s="93"/>
      <c r="S209" s="85"/>
      <c r="U209" s="94"/>
      <c r="V209" s="93"/>
      <c r="W209" s="85"/>
      <c r="Y209" s="94"/>
      <c r="Z209" s="93"/>
      <c r="AA209" s="85"/>
      <c r="AC209" s="94"/>
      <c r="AD209" s="93"/>
      <c r="AE209" s="85"/>
    </row>
    <row r="210" spans="7:31" ht="14.5" customHeight="1" x14ac:dyDescent="0.35">
      <c r="G210" s="85"/>
      <c r="H210" s="87"/>
      <c r="M210" s="94"/>
      <c r="N210" s="93"/>
      <c r="O210" s="85"/>
      <c r="Q210" s="94"/>
      <c r="R210" s="93"/>
      <c r="S210" s="85"/>
      <c r="U210" s="94"/>
      <c r="V210" s="93"/>
      <c r="W210" s="85"/>
      <c r="Y210" s="94"/>
      <c r="Z210" s="93"/>
      <c r="AA210" s="85"/>
      <c r="AC210" s="94"/>
      <c r="AD210" s="93"/>
      <c r="AE210" s="85"/>
    </row>
    <row r="211" spans="7:31" ht="14.5" customHeight="1" x14ac:dyDescent="0.35">
      <c r="G211" s="85"/>
      <c r="H211" s="87"/>
      <c r="M211" s="94"/>
      <c r="N211" s="93"/>
      <c r="O211" s="85"/>
      <c r="Q211" s="94"/>
      <c r="R211" s="93"/>
      <c r="S211" s="85"/>
      <c r="U211" s="94"/>
      <c r="V211" s="93"/>
      <c r="W211" s="85"/>
      <c r="Y211" s="94"/>
      <c r="Z211" s="93"/>
      <c r="AA211" s="85"/>
      <c r="AC211" s="94"/>
      <c r="AD211" s="93"/>
      <c r="AE211" s="85"/>
    </row>
    <row r="212" spans="7:31" ht="14.5" customHeight="1" x14ac:dyDescent="0.35">
      <c r="G212" s="85"/>
      <c r="H212" s="87"/>
      <c r="M212" s="94"/>
      <c r="N212" s="93"/>
      <c r="O212" s="85"/>
      <c r="Q212" s="94"/>
      <c r="R212" s="93"/>
      <c r="S212" s="85"/>
      <c r="U212" s="94"/>
      <c r="V212" s="93"/>
      <c r="W212" s="85"/>
      <c r="Y212" s="94"/>
      <c r="Z212" s="93"/>
      <c r="AA212" s="85"/>
      <c r="AC212" s="94"/>
      <c r="AD212" s="93"/>
      <c r="AE212" s="85"/>
    </row>
    <row r="213" spans="7:31" ht="14.5" customHeight="1" x14ac:dyDescent="0.35">
      <c r="G213" s="85"/>
      <c r="H213" s="87"/>
      <c r="M213" s="94"/>
      <c r="N213" s="93"/>
      <c r="O213" s="85"/>
      <c r="Q213" s="94"/>
      <c r="R213" s="93"/>
      <c r="S213" s="85"/>
      <c r="U213" s="94"/>
      <c r="V213" s="93"/>
      <c r="W213" s="85"/>
      <c r="Y213" s="94"/>
      <c r="Z213" s="93"/>
      <c r="AA213" s="85"/>
      <c r="AC213" s="94"/>
      <c r="AD213" s="93"/>
      <c r="AE213" s="85"/>
    </row>
    <row r="214" spans="7:31" ht="14.5" customHeight="1" x14ac:dyDescent="0.35">
      <c r="G214" s="85"/>
      <c r="H214" s="87"/>
      <c r="M214" s="94"/>
      <c r="N214" s="93"/>
      <c r="O214" s="85"/>
      <c r="Q214" s="94"/>
      <c r="R214" s="93"/>
      <c r="S214" s="85"/>
      <c r="U214" s="94"/>
      <c r="V214" s="93"/>
      <c r="W214" s="85"/>
      <c r="Y214" s="94"/>
      <c r="Z214" s="93"/>
      <c r="AA214" s="85"/>
      <c r="AC214" s="94"/>
      <c r="AD214" s="93"/>
      <c r="AE214" s="85"/>
    </row>
    <row r="215" spans="7:31" ht="14.5" customHeight="1" x14ac:dyDescent="0.35">
      <c r="G215" s="85"/>
      <c r="H215" s="87"/>
      <c r="M215" s="94"/>
      <c r="N215" s="93"/>
      <c r="O215" s="85"/>
      <c r="Q215" s="94"/>
      <c r="R215" s="93"/>
      <c r="S215" s="85"/>
      <c r="U215" s="94"/>
      <c r="V215" s="93"/>
      <c r="W215" s="85"/>
      <c r="Y215" s="94"/>
      <c r="Z215" s="93"/>
      <c r="AA215" s="85"/>
      <c r="AC215" s="94"/>
      <c r="AD215" s="93"/>
      <c r="AE215" s="85"/>
    </row>
    <row r="216" spans="7:31" ht="14.5" customHeight="1" x14ac:dyDescent="0.35">
      <c r="G216" s="85"/>
      <c r="H216" s="87"/>
      <c r="M216" s="94"/>
      <c r="N216" s="93"/>
      <c r="O216" s="85"/>
      <c r="Q216" s="94"/>
      <c r="R216" s="93"/>
      <c r="S216" s="85"/>
      <c r="U216" s="94"/>
      <c r="V216" s="93"/>
      <c r="W216" s="85"/>
      <c r="Y216" s="94"/>
      <c r="Z216" s="93"/>
      <c r="AA216" s="85"/>
      <c r="AC216" s="94"/>
      <c r="AD216" s="93"/>
      <c r="AE216" s="85"/>
    </row>
    <row r="217" spans="7:31" ht="14.5" customHeight="1" x14ac:dyDescent="0.35">
      <c r="G217" s="85"/>
      <c r="H217" s="87"/>
      <c r="M217" s="94"/>
      <c r="N217" s="93"/>
      <c r="O217" s="85"/>
      <c r="Q217" s="94"/>
      <c r="R217" s="93"/>
      <c r="S217" s="85"/>
      <c r="U217" s="94"/>
      <c r="V217" s="93"/>
      <c r="W217" s="85"/>
      <c r="Y217" s="94"/>
      <c r="Z217" s="93"/>
      <c r="AA217" s="85"/>
      <c r="AC217" s="94"/>
      <c r="AD217" s="93"/>
      <c r="AE217" s="85"/>
    </row>
    <row r="218" spans="7:31" ht="14.5" customHeight="1" x14ac:dyDescent="0.35">
      <c r="G218" s="85"/>
      <c r="H218" s="87"/>
      <c r="M218" s="94"/>
      <c r="N218" s="93"/>
      <c r="O218" s="85"/>
      <c r="Q218" s="94"/>
      <c r="R218" s="93"/>
      <c r="S218" s="85"/>
      <c r="U218" s="94"/>
      <c r="V218" s="93"/>
      <c r="W218" s="85"/>
      <c r="Y218" s="94"/>
      <c r="Z218" s="93"/>
      <c r="AA218" s="85"/>
      <c r="AC218" s="94"/>
      <c r="AD218" s="93"/>
      <c r="AE218" s="85"/>
    </row>
    <row r="219" spans="7:31" ht="14.5" customHeight="1" x14ac:dyDescent="0.35">
      <c r="G219" s="85"/>
      <c r="H219" s="87"/>
      <c r="M219" s="94"/>
      <c r="N219" s="93"/>
      <c r="O219" s="85"/>
      <c r="Q219" s="94"/>
      <c r="R219" s="93"/>
      <c r="S219" s="85"/>
      <c r="U219" s="94"/>
      <c r="V219" s="93"/>
      <c r="W219" s="85"/>
      <c r="Y219" s="94"/>
      <c r="Z219" s="93"/>
      <c r="AA219" s="85"/>
      <c r="AC219" s="94"/>
      <c r="AD219" s="93"/>
      <c r="AE219" s="85"/>
    </row>
    <row r="220" spans="7:31" ht="14.5" customHeight="1" x14ac:dyDescent="0.35">
      <c r="G220" s="85"/>
      <c r="H220" s="87"/>
      <c r="M220" s="94"/>
      <c r="N220" s="93"/>
      <c r="O220" s="85"/>
      <c r="Q220" s="94"/>
      <c r="R220" s="93"/>
      <c r="S220" s="85"/>
      <c r="U220" s="94"/>
      <c r="V220" s="93"/>
      <c r="W220" s="85"/>
      <c r="Y220" s="94"/>
      <c r="Z220" s="93"/>
      <c r="AA220" s="85"/>
      <c r="AC220" s="94"/>
      <c r="AD220" s="93"/>
      <c r="AE220" s="85"/>
    </row>
    <row r="221" spans="7:31" ht="14.5" customHeight="1" x14ac:dyDescent="0.35">
      <c r="G221" s="85"/>
      <c r="H221" s="87"/>
      <c r="M221" s="94"/>
      <c r="N221" s="93"/>
      <c r="O221" s="85"/>
      <c r="Q221" s="94"/>
      <c r="R221" s="93"/>
      <c r="S221" s="85"/>
      <c r="U221" s="94"/>
      <c r="V221" s="93"/>
      <c r="W221" s="85"/>
      <c r="Y221" s="94"/>
      <c r="Z221" s="93"/>
      <c r="AA221" s="85"/>
      <c r="AC221" s="94"/>
      <c r="AD221" s="93"/>
      <c r="AE221" s="85"/>
    </row>
    <row r="222" spans="7:31" ht="14.5" customHeight="1" x14ac:dyDescent="0.35">
      <c r="G222" s="85"/>
      <c r="H222" s="87"/>
      <c r="M222" s="94"/>
      <c r="N222" s="93"/>
      <c r="O222" s="85"/>
      <c r="Q222" s="94"/>
      <c r="R222" s="93"/>
      <c r="S222" s="85"/>
      <c r="U222" s="94"/>
      <c r="V222" s="93"/>
      <c r="W222" s="85"/>
      <c r="Y222" s="94"/>
      <c r="Z222" s="93"/>
      <c r="AA222" s="85"/>
      <c r="AC222" s="94"/>
      <c r="AD222" s="93"/>
      <c r="AE222" s="85"/>
    </row>
    <row r="223" spans="7:31" ht="14.5" customHeight="1" x14ac:dyDescent="0.35">
      <c r="G223" s="85"/>
      <c r="H223" s="87"/>
      <c r="M223" s="94"/>
      <c r="N223" s="93"/>
      <c r="O223" s="85"/>
      <c r="Q223" s="94"/>
      <c r="R223" s="93"/>
      <c r="S223" s="85"/>
      <c r="U223" s="94"/>
      <c r="V223" s="93"/>
      <c r="W223" s="85"/>
      <c r="Y223" s="94"/>
      <c r="Z223" s="93"/>
      <c r="AA223" s="85"/>
      <c r="AC223" s="94"/>
      <c r="AD223" s="93"/>
      <c r="AE223" s="85"/>
    </row>
    <row r="224" spans="7:31" ht="14.5" customHeight="1" x14ac:dyDescent="0.35">
      <c r="G224" s="85"/>
      <c r="H224" s="87"/>
      <c r="M224" s="94"/>
      <c r="N224" s="93"/>
      <c r="O224" s="85"/>
      <c r="Q224" s="94"/>
      <c r="R224" s="93"/>
      <c r="S224" s="85"/>
      <c r="U224" s="94"/>
      <c r="V224" s="93"/>
      <c r="W224" s="85"/>
      <c r="Y224" s="94"/>
      <c r="Z224" s="93"/>
      <c r="AA224" s="85"/>
      <c r="AC224" s="94"/>
      <c r="AD224" s="93"/>
      <c r="AE224" s="85"/>
    </row>
    <row r="225" spans="7:31" ht="14.5" customHeight="1" x14ac:dyDescent="0.35">
      <c r="G225" s="85"/>
      <c r="H225" s="87"/>
      <c r="M225" s="94"/>
      <c r="N225" s="93"/>
      <c r="O225" s="85"/>
      <c r="Q225" s="94"/>
      <c r="R225" s="93"/>
      <c r="S225" s="85"/>
      <c r="U225" s="94"/>
      <c r="V225" s="93"/>
      <c r="W225" s="85"/>
      <c r="Y225" s="94"/>
      <c r="Z225" s="93"/>
      <c r="AA225" s="85"/>
      <c r="AC225" s="94"/>
      <c r="AD225" s="93"/>
      <c r="AE225" s="85"/>
    </row>
    <row r="226" spans="7:31" ht="14.5" customHeight="1" x14ac:dyDescent="0.35">
      <c r="G226" s="85"/>
      <c r="H226" s="87"/>
      <c r="M226" s="94"/>
      <c r="N226" s="93"/>
      <c r="O226" s="85"/>
      <c r="Q226" s="94"/>
      <c r="R226" s="93"/>
      <c r="S226" s="85"/>
      <c r="U226" s="94"/>
      <c r="V226" s="93"/>
      <c r="W226" s="85"/>
      <c r="Y226" s="94"/>
      <c r="Z226" s="93"/>
      <c r="AA226" s="85"/>
      <c r="AC226" s="94"/>
      <c r="AD226" s="93"/>
      <c r="AE226" s="85"/>
    </row>
    <row r="227" spans="7:31" ht="14.5" customHeight="1" x14ac:dyDescent="0.35">
      <c r="G227" s="85"/>
      <c r="H227" s="87"/>
      <c r="M227" s="94"/>
      <c r="N227" s="93"/>
      <c r="O227" s="85"/>
      <c r="Q227" s="94"/>
      <c r="R227" s="93"/>
      <c r="S227" s="85"/>
      <c r="U227" s="94"/>
      <c r="V227" s="93"/>
      <c r="W227" s="85"/>
      <c r="Y227" s="94"/>
      <c r="Z227" s="93"/>
      <c r="AA227" s="85"/>
      <c r="AC227" s="94"/>
      <c r="AD227" s="93"/>
      <c r="AE227" s="85"/>
    </row>
    <row r="228" spans="7:31" ht="14.5" customHeight="1" x14ac:dyDescent="0.35">
      <c r="G228" s="85"/>
      <c r="H228" s="87"/>
      <c r="M228" s="94"/>
      <c r="N228" s="93"/>
      <c r="O228" s="85"/>
      <c r="Q228" s="94"/>
      <c r="R228" s="93"/>
      <c r="S228" s="85"/>
      <c r="U228" s="94"/>
      <c r="V228" s="93"/>
      <c r="W228" s="85"/>
      <c r="Y228" s="94"/>
      <c r="Z228" s="93"/>
      <c r="AA228" s="85"/>
      <c r="AC228" s="94"/>
      <c r="AD228" s="93"/>
      <c r="AE228" s="85"/>
    </row>
    <row r="229" spans="7:31" ht="14.5" customHeight="1" x14ac:dyDescent="0.35">
      <c r="G229" s="85"/>
      <c r="H229" s="87"/>
      <c r="M229" s="94"/>
      <c r="N229" s="93"/>
      <c r="O229" s="85"/>
      <c r="Q229" s="94"/>
      <c r="R229" s="93"/>
      <c r="S229" s="85"/>
      <c r="U229" s="94"/>
      <c r="V229" s="93"/>
      <c r="W229" s="85"/>
      <c r="Y229" s="94"/>
      <c r="Z229" s="93"/>
      <c r="AA229" s="85"/>
      <c r="AC229" s="94"/>
      <c r="AD229" s="93"/>
      <c r="AE229" s="85"/>
    </row>
    <row r="230" spans="7:31" ht="14.5" customHeight="1" x14ac:dyDescent="0.35">
      <c r="G230" s="85"/>
      <c r="H230" s="87"/>
      <c r="M230" s="94"/>
      <c r="N230" s="93"/>
      <c r="O230" s="85"/>
      <c r="Q230" s="94"/>
      <c r="R230" s="93"/>
      <c r="S230" s="85"/>
      <c r="U230" s="94"/>
      <c r="V230" s="93"/>
      <c r="W230" s="85"/>
      <c r="Y230" s="94"/>
      <c r="Z230" s="93"/>
      <c r="AA230" s="85"/>
      <c r="AC230" s="94"/>
      <c r="AD230" s="93"/>
      <c r="AE230" s="85"/>
    </row>
    <row r="231" spans="7:31" ht="14.5" customHeight="1" x14ac:dyDescent="0.35">
      <c r="G231" s="85"/>
      <c r="H231" s="87"/>
      <c r="M231" s="94"/>
      <c r="N231" s="93"/>
      <c r="O231" s="85"/>
      <c r="Q231" s="94"/>
      <c r="R231" s="93"/>
      <c r="S231" s="85"/>
      <c r="U231" s="94"/>
      <c r="V231" s="93"/>
      <c r="W231" s="85"/>
      <c r="Y231" s="94"/>
      <c r="Z231" s="93"/>
      <c r="AA231" s="85"/>
      <c r="AC231" s="94"/>
      <c r="AD231" s="93"/>
      <c r="AE231" s="85"/>
    </row>
    <row r="232" spans="7:31" ht="14.5" customHeight="1" x14ac:dyDescent="0.35">
      <c r="G232" s="85"/>
      <c r="H232" s="87"/>
      <c r="M232" s="94"/>
      <c r="N232" s="93"/>
      <c r="O232" s="85"/>
      <c r="Q232" s="94"/>
      <c r="R232" s="93"/>
      <c r="S232" s="85"/>
      <c r="U232" s="94"/>
      <c r="V232" s="93"/>
      <c r="W232" s="85"/>
      <c r="Y232" s="94"/>
      <c r="Z232" s="93"/>
      <c r="AA232" s="85"/>
      <c r="AC232" s="94"/>
      <c r="AD232" s="93"/>
      <c r="AE232" s="85"/>
    </row>
    <row r="233" spans="7:31" ht="14.5" customHeight="1" x14ac:dyDescent="0.35">
      <c r="G233" s="85"/>
      <c r="H233" s="87"/>
      <c r="M233" s="94"/>
      <c r="N233" s="93"/>
      <c r="O233" s="85"/>
      <c r="Q233" s="94"/>
      <c r="R233" s="93"/>
      <c r="S233" s="85"/>
      <c r="U233" s="94"/>
      <c r="V233" s="93"/>
      <c r="W233" s="85"/>
      <c r="Y233" s="94"/>
      <c r="Z233" s="93"/>
      <c r="AA233" s="85"/>
      <c r="AC233" s="94"/>
      <c r="AD233" s="93"/>
      <c r="AE233" s="85"/>
    </row>
    <row r="234" spans="7:31" ht="14.5" customHeight="1" x14ac:dyDescent="0.35">
      <c r="G234" s="85"/>
      <c r="H234" s="87"/>
      <c r="M234" s="94"/>
      <c r="N234" s="93"/>
      <c r="O234" s="85"/>
      <c r="Q234" s="94"/>
      <c r="R234" s="93"/>
      <c r="S234" s="85"/>
      <c r="U234" s="94"/>
      <c r="V234" s="93"/>
      <c r="W234" s="85"/>
      <c r="Y234" s="94"/>
      <c r="Z234" s="93"/>
      <c r="AA234" s="85"/>
      <c r="AC234" s="94"/>
      <c r="AD234" s="93"/>
      <c r="AE234" s="85"/>
    </row>
    <row r="235" spans="7:31" ht="14.5" customHeight="1" x14ac:dyDescent="0.35">
      <c r="G235" s="85"/>
      <c r="H235" s="87"/>
      <c r="M235" s="94"/>
      <c r="N235" s="93"/>
      <c r="O235" s="85"/>
      <c r="Q235" s="94"/>
      <c r="R235" s="93"/>
      <c r="S235" s="85"/>
      <c r="U235" s="94"/>
      <c r="V235" s="93"/>
      <c r="W235" s="85"/>
      <c r="Y235" s="94"/>
      <c r="Z235" s="93"/>
      <c r="AA235" s="85"/>
      <c r="AC235" s="94"/>
      <c r="AD235" s="93"/>
      <c r="AE235" s="85"/>
    </row>
    <row r="236" spans="7:31" ht="14.5" customHeight="1" x14ac:dyDescent="0.35">
      <c r="G236" s="85"/>
      <c r="H236" s="87"/>
      <c r="M236" s="94"/>
      <c r="N236" s="93"/>
      <c r="O236" s="85"/>
      <c r="Q236" s="94"/>
      <c r="R236" s="93"/>
      <c r="S236" s="85"/>
      <c r="U236" s="94"/>
      <c r="V236" s="93"/>
      <c r="W236" s="85"/>
      <c r="Y236" s="94"/>
      <c r="Z236" s="93"/>
      <c r="AA236" s="85"/>
      <c r="AC236" s="94"/>
      <c r="AD236" s="93"/>
      <c r="AE236" s="85"/>
    </row>
    <row r="237" spans="7:31" ht="14.5" customHeight="1" x14ac:dyDescent="0.35">
      <c r="G237" s="85"/>
      <c r="H237" s="87"/>
      <c r="M237" s="94"/>
      <c r="N237" s="93"/>
      <c r="O237" s="85"/>
      <c r="Q237" s="94"/>
      <c r="R237" s="93"/>
      <c r="S237" s="85"/>
      <c r="U237" s="94"/>
      <c r="V237" s="93"/>
      <c r="W237" s="85"/>
      <c r="Y237" s="94"/>
      <c r="Z237" s="93"/>
      <c r="AA237" s="85"/>
      <c r="AC237" s="94"/>
      <c r="AD237" s="93"/>
      <c r="AE237" s="85"/>
    </row>
    <row r="238" spans="7:31" ht="14.5" customHeight="1" x14ac:dyDescent="0.35">
      <c r="G238" s="85"/>
      <c r="H238" s="87"/>
      <c r="M238" s="94"/>
      <c r="N238" s="93"/>
      <c r="O238" s="85"/>
      <c r="Q238" s="94"/>
      <c r="R238" s="93"/>
      <c r="S238" s="85"/>
      <c r="U238" s="94"/>
      <c r="V238" s="93"/>
      <c r="W238" s="85"/>
      <c r="Y238" s="94"/>
      <c r="Z238" s="93"/>
      <c r="AA238" s="85"/>
      <c r="AC238" s="94"/>
      <c r="AD238" s="93"/>
      <c r="AE238" s="85"/>
    </row>
    <row r="239" spans="7:31" ht="14.5" customHeight="1" x14ac:dyDescent="0.35">
      <c r="G239" s="85"/>
      <c r="H239" s="87"/>
      <c r="M239" s="94"/>
      <c r="N239" s="93"/>
      <c r="O239" s="85"/>
      <c r="Q239" s="94"/>
      <c r="R239" s="93"/>
      <c r="S239" s="85"/>
      <c r="U239" s="94"/>
      <c r="V239" s="93"/>
      <c r="W239" s="85"/>
      <c r="Y239" s="94"/>
      <c r="Z239" s="93"/>
      <c r="AA239" s="85"/>
      <c r="AC239" s="94"/>
      <c r="AD239" s="93"/>
      <c r="AE239" s="85"/>
    </row>
    <row r="240" spans="7:31" ht="14.5" customHeight="1" x14ac:dyDescent="0.35">
      <c r="G240" s="85"/>
      <c r="H240" s="87"/>
      <c r="M240" s="94"/>
      <c r="N240" s="93"/>
      <c r="O240" s="85"/>
      <c r="Q240" s="94"/>
      <c r="R240" s="93"/>
      <c r="S240" s="85"/>
      <c r="U240" s="94"/>
      <c r="V240" s="93"/>
      <c r="W240" s="85"/>
      <c r="Y240" s="94"/>
      <c r="Z240" s="93"/>
      <c r="AA240" s="85"/>
      <c r="AC240" s="94"/>
      <c r="AD240" s="93"/>
      <c r="AE240" s="85"/>
    </row>
    <row r="241" spans="7:31" ht="14.5" customHeight="1" x14ac:dyDescent="0.35">
      <c r="G241" s="85"/>
      <c r="H241" s="87"/>
      <c r="M241" s="94"/>
      <c r="N241" s="93"/>
      <c r="O241" s="85"/>
      <c r="Q241" s="94"/>
      <c r="R241" s="93"/>
      <c r="S241" s="85"/>
      <c r="U241" s="94"/>
      <c r="V241" s="93"/>
      <c r="W241" s="85"/>
      <c r="Y241" s="94"/>
      <c r="Z241" s="93"/>
      <c r="AA241" s="85"/>
      <c r="AC241" s="94"/>
      <c r="AD241" s="93"/>
      <c r="AE241" s="85"/>
    </row>
    <row r="242" spans="7:31" ht="14.5" customHeight="1" x14ac:dyDescent="0.35">
      <c r="G242" s="85"/>
      <c r="H242" s="87"/>
      <c r="M242" s="94"/>
      <c r="N242" s="93"/>
      <c r="O242" s="85"/>
      <c r="Q242" s="94"/>
      <c r="R242" s="93"/>
      <c r="S242" s="85"/>
      <c r="U242" s="94"/>
      <c r="V242" s="93"/>
      <c r="W242" s="85"/>
      <c r="Y242" s="94"/>
      <c r="Z242" s="93"/>
      <c r="AA242" s="85"/>
      <c r="AC242" s="94"/>
      <c r="AD242" s="93"/>
      <c r="AE242" s="85"/>
    </row>
    <row r="243" spans="7:31" ht="14.5" customHeight="1" x14ac:dyDescent="0.35">
      <c r="G243" s="85"/>
      <c r="H243" s="87"/>
      <c r="M243" s="94"/>
      <c r="N243" s="93"/>
      <c r="O243" s="85"/>
      <c r="Q243" s="94"/>
      <c r="R243" s="93"/>
      <c r="S243" s="85"/>
      <c r="U243" s="94"/>
      <c r="V243" s="93"/>
      <c r="W243" s="85"/>
      <c r="Y243" s="94"/>
      <c r="Z243" s="93"/>
      <c r="AA243" s="85"/>
      <c r="AC243" s="94"/>
      <c r="AD243" s="93"/>
      <c r="AE243" s="85"/>
    </row>
    <row r="244" spans="7:31" ht="14.5" customHeight="1" x14ac:dyDescent="0.35">
      <c r="G244" s="85"/>
      <c r="H244" s="87"/>
      <c r="M244" s="94"/>
      <c r="N244" s="93"/>
      <c r="O244" s="85"/>
      <c r="Q244" s="94"/>
      <c r="R244" s="93"/>
      <c r="S244" s="85"/>
      <c r="U244" s="94"/>
      <c r="V244" s="93"/>
      <c r="W244" s="85"/>
      <c r="Y244" s="94"/>
      <c r="Z244" s="93"/>
      <c r="AA244" s="85"/>
      <c r="AC244" s="94"/>
      <c r="AD244" s="93"/>
      <c r="AE244" s="85"/>
    </row>
    <row r="245" spans="7:31" ht="14.5" customHeight="1" x14ac:dyDescent="0.35">
      <c r="G245" s="85"/>
      <c r="H245" s="87"/>
      <c r="M245" s="94"/>
      <c r="N245" s="93"/>
      <c r="O245" s="85"/>
      <c r="Q245" s="94"/>
      <c r="R245" s="93"/>
      <c r="S245" s="85"/>
      <c r="U245" s="94"/>
      <c r="V245" s="93"/>
      <c r="W245" s="85"/>
      <c r="Y245" s="94"/>
      <c r="Z245" s="93"/>
      <c r="AA245" s="85"/>
      <c r="AC245" s="94"/>
      <c r="AD245" s="93"/>
      <c r="AE245" s="85"/>
    </row>
    <row r="246" spans="7:31" ht="14.5" customHeight="1" x14ac:dyDescent="0.35">
      <c r="G246" s="85"/>
      <c r="H246" s="87"/>
      <c r="M246" s="94"/>
      <c r="N246" s="93"/>
      <c r="O246" s="85"/>
      <c r="Q246" s="94"/>
      <c r="R246" s="93"/>
      <c r="S246" s="85"/>
      <c r="U246" s="94"/>
      <c r="V246" s="93"/>
      <c r="W246" s="85"/>
      <c r="Y246" s="94"/>
      <c r="Z246" s="93"/>
      <c r="AA246" s="85"/>
      <c r="AC246" s="94"/>
      <c r="AD246" s="93"/>
      <c r="AE246" s="85"/>
    </row>
    <row r="247" spans="7:31" ht="14.5" customHeight="1" x14ac:dyDescent="0.35">
      <c r="G247" s="85"/>
      <c r="H247" s="87"/>
      <c r="M247" s="94"/>
      <c r="N247" s="93"/>
      <c r="O247" s="85"/>
      <c r="Q247" s="94"/>
      <c r="R247" s="93"/>
      <c r="S247" s="85"/>
      <c r="U247" s="94"/>
      <c r="V247" s="93"/>
      <c r="W247" s="85"/>
      <c r="Y247" s="94"/>
      <c r="Z247" s="93"/>
      <c r="AA247" s="85"/>
      <c r="AC247" s="94"/>
      <c r="AD247" s="93"/>
      <c r="AE247" s="85"/>
    </row>
    <row r="248" spans="7:31" ht="14.5" customHeight="1" x14ac:dyDescent="0.35">
      <c r="G248" s="85"/>
      <c r="H248" s="87"/>
      <c r="M248" s="94"/>
      <c r="N248" s="93"/>
      <c r="O248" s="85"/>
      <c r="Q248" s="94"/>
      <c r="R248" s="93"/>
      <c r="S248" s="85"/>
      <c r="U248" s="94"/>
      <c r="V248" s="93"/>
      <c r="W248" s="85"/>
      <c r="Y248" s="94"/>
      <c r="Z248" s="93"/>
      <c r="AA248" s="85"/>
      <c r="AC248" s="94"/>
      <c r="AD248" s="93"/>
      <c r="AE248" s="85"/>
    </row>
    <row r="249" spans="7:31" ht="14.5" customHeight="1" x14ac:dyDescent="0.35">
      <c r="G249" s="85"/>
      <c r="H249" s="87"/>
      <c r="M249" s="94"/>
      <c r="N249" s="93"/>
      <c r="O249" s="85"/>
      <c r="Q249" s="94"/>
      <c r="R249" s="93"/>
      <c r="S249" s="85"/>
      <c r="U249" s="94"/>
      <c r="V249" s="93"/>
      <c r="W249" s="85"/>
      <c r="Y249" s="94"/>
      <c r="Z249" s="93"/>
      <c r="AA249" s="85"/>
      <c r="AC249" s="94"/>
      <c r="AD249" s="93"/>
      <c r="AE249" s="85"/>
    </row>
    <row r="250" spans="7:31" ht="14.5" customHeight="1" x14ac:dyDescent="0.35">
      <c r="G250" s="85"/>
      <c r="H250" s="87"/>
      <c r="M250" s="94"/>
      <c r="N250" s="93"/>
      <c r="O250" s="85"/>
      <c r="Q250" s="94"/>
      <c r="R250" s="93"/>
      <c r="S250" s="85"/>
      <c r="U250" s="94"/>
      <c r="V250" s="93"/>
      <c r="W250" s="85"/>
      <c r="Y250" s="94"/>
      <c r="Z250" s="93"/>
      <c r="AA250" s="85"/>
      <c r="AC250" s="94"/>
      <c r="AD250" s="93"/>
      <c r="AE250" s="85"/>
    </row>
    <row r="251" spans="7:31" ht="14.5" customHeight="1" x14ac:dyDescent="0.35">
      <c r="G251" s="85"/>
      <c r="H251" s="87"/>
      <c r="M251" s="94"/>
      <c r="N251" s="93"/>
      <c r="O251" s="85"/>
      <c r="Q251" s="94"/>
      <c r="R251" s="93"/>
      <c r="S251" s="85"/>
      <c r="U251" s="94"/>
      <c r="V251" s="93"/>
      <c r="W251" s="85"/>
      <c r="Y251" s="94"/>
      <c r="Z251" s="93"/>
      <c r="AA251" s="85"/>
      <c r="AC251" s="94"/>
      <c r="AD251" s="93"/>
      <c r="AE251" s="85"/>
    </row>
    <row r="252" spans="7:31" ht="14.5" customHeight="1" x14ac:dyDescent="0.35">
      <c r="G252" s="85"/>
      <c r="H252" s="87"/>
      <c r="M252" s="94"/>
      <c r="N252" s="93"/>
      <c r="O252" s="85"/>
      <c r="Q252" s="94"/>
      <c r="R252" s="93"/>
      <c r="S252" s="85"/>
      <c r="U252" s="94"/>
      <c r="V252" s="93"/>
      <c r="W252" s="85"/>
      <c r="Y252" s="94"/>
      <c r="Z252" s="93"/>
      <c r="AA252" s="85"/>
      <c r="AC252" s="94"/>
      <c r="AD252" s="93"/>
      <c r="AE252" s="85"/>
    </row>
    <row r="253" spans="7:31" ht="14.5" customHeight="1" x14ac:dyDescent="0.35">
      <c r="G253" s="85"/>
      <c r="H253" s="87"/>
      <c r="M253" s="94"/>
      <c r="N253" s="93"/>
      <c r="O253" s="85"/>
      <c r="Q253" s="94"/>
      <c r="R253" s="93"/>
      <c r="S253" s="85"/>
      <c r="U253" s="94"/>
      <c r="V253" s="93"/>
      <c r="W253" s="85"/>
      <c r="Y253" s="94"/>
      <c r="Z253" s="93"/>
      <c r="AA253" s="85"/>
      <c r="AC253" s="94"/>
      <c r="AD253" s="93"/>
      <c r="AE253" s="85"/>
    </row>
    <row r="254" spans="7:31" ht="14.5" customHeight="1" x14ac:dyDescent="0.35">
      <c r="G254" s="85"/>
      <c r="H254" s="87"/>
      <c r="M254" s="94"/>
      <c r="N254" s="93"/>
      <c r="O254" s="85"/>
      <c r="Q254" s="94"/>
      <c r="R254" s="93"/>
      <c r="S254" s="85"/>
      <c r="U254" s="94"/>
      <c r="V254" s="93"/>
      <c r="W254" s="85"/>
      <c r="Y254" s="94"/>
      <c r="Z254" s="93"/>
      <c r="AA254" s="85"/>
      <c r="AC254" s="94"/>
      <c r="AD254" s="93"/>
      <c r="AE254" s="85"/>
    </row>
    <row r="255" spans="7:31" ht="14.5" customHeight="1" x14ac:dyDescent="0.35">
      <c r="G255" s="85"/>
      <c r="H255" s="87"/>
      <c r="M255" s="94"/>
      <c r="N255" s="93"/>
      <c r="O255" s="85"/>
      <c r="Q255" s="94"/>
      <c r="R255" s="93"/>
      <c r="S255" s="85"/>
      <c r="U255" s="94"/>
      <c r="V255" s="93"/>
      <c r="W255" s="85"/>
      <c r="Y255" s="94"/>
      <c r="Z255" s="93"/>
      <c r="AA255" s="85"/>
      <c r="AC255" s="94"/>
      <c r="AD255" s="93"/>
      <c r="AE255" s="85"/>
    </row>
    <row r="256" spans="7:31" ht="14.5" customHeight="1" x14ac:dyDescent="0.35">
      <c r="G256" s="85"/>
      <c r="H256" s="87"/>
      <c r="M256" s="94"/>
      <c r="N256" s="93"/>
      <c r="O256" s="85"/>
      <c r="Q256" s="94"/>
      <c r="R256" s="93"/>
      <c r="S256" s="85"/>
      <c r="U256" s="94"/>
      <c r="V256" s="93"/>
      <c r="W256" s="85"/>
      <c r="Y256" s="94"/>
      <c r="Z256" s="93"/>
      <c r="AA256" s="85"/>
      <c r="AC256" s="94"/>
      <c r="AD256" s="93"/>
      <c r="AE256" s="85"/>
    </row>
    <row r="257" spans="7:31" ht="14.5" customHeight="1" x14ac:dyDescent="0.35">
      <c r="G257" s="85"/>
      <c r="H257" s="87"/>
      <c r="M257" s="94"/>
      <c r="N257" s="93"/>
      <c r="O257" s="85"/>
      <c r="Q257" s="94"/>
      <c r="R257" s="93"/>
      <c r="S257" s="85"/>
      <c r="U257" s="94"/>
      <c r="V257" s="93"/>
      <c r="W257" s="85"/>
      <c r="Y257" s="94"/>
      <c r="Z257" s="93"/>
      <c r="AA257" s="85"/>
      <c r="AC257" s="94"/>
      <c r="AD257" s="93"/>
      <c r="AE257" s="85"/>
    </row>
    <row r="258" spans="7:31" ht="14.5" customHeight="1" x14ac:dyDescent="0.35">
      <c r="G258" s="85"/>
      <c r="H258" s="87"/>
      <c r="M258" s="94"/>
      <c r="N258" s="93"/>
      <c r="O258" s="85"/>
      <c r="Q258" s="94"/>
      <c r="R258" s="93"/>
      <c r="S258" s="85"/>
      <c r="U258" s="94"/>
      <c r="V258" s="93"/>
      <c r="W258" s="85"/>
      <c r="Y258" s="94"/>
      <c r="Z258" s="93"/>
      <c r="AA258" s="85"/>
      <c r="AC258" s="94"/>
      <c r="AD258" s="93"/>
      <c r="AE258" s="85"/>
    </row>
    <row r="259" spans="7:31" ht="14.5" customHeight="1" x14ac:dyDescent="0.35">
      <c r="G259" s="85"/>
      <c r="H259" s="87"/>
      <c r="M259" s="94"/>
      <c r="N259" s="93"/>
      <c r="O259" s="85"/>
      <c r="Q259" s="94"/>
      <c r="R259" s="93"/>
      <c r="S259" s="85"/>
      <c r="U259" s="94"/>
      <c r="V259" s="93"/>
      <c r="W259" s="85"/>
      <c r="Y259" s="94"/>
      <c r="Z259" s="93"/>
      <c r="AA259" s="85"/>
      <c r="AC259" s="94"/>
      <c r="AD259" s="93"/>
      <c r="AE259" s="85"/>
    </row>
    <row r="260" spans="7:31" ht="14.5" customHeight="1" x14ac:dyDescent="0.35">
      <c r="G260" s="85"/>
      <c r="H260" s="87"/>
      <c r="M260" s="94"/>
      <c r="N260" s="93"/>
      <c r="O260" s="85"/>
      <c r="Q260" s="94"/>
      <c r="R260" s="93"/>
      <c r="S260" s="85"/>
      <c r="U260" s="94"/>
      <c r="V260" s="93"/>
      <c r="W260" s="85"/>
      <c r="Y260" s="94"/>
      <c r="Z260" s="93"/>
      <c r="AA260" s="85"/>
      <c r="AC260" s="94"/>
      <c r="AD260" s="93"/>
      <c r="AE260" s="85"/>
    </row>
    <row r="261" spans="7:31" ht="14.5" customHeight="1" x14ac:dyDescent="0.35">
      <c r="G261" s="85"/>
      <c r="H261" s="87"/>
      <c r="M261" s="94"/>
      <c r="N261" s="93"/>
      <c r="O261" s="85"/>
      <c r="Q261" s="94"/>
      <c r="R261" s="93"/>
      <c r="S261" s="85"/>
      <c r="U261" s="94"/>
      <c r="V261" s="93"/>
      <c r="W261" s="85"/>
      <c r="Y261" s="94"/>
      <c r="Z261" s="93"/>
      <c r="AA261" s="85"/>
      <c r="AC261" s="94"/>
      <c r="AD261" s="93"/>
      <c r="AE261" s="85"/>
    </row>
    <row r="262" spans="7:31" ht="14.5" customHeight="1" x14ac:dyDescent="0.35">
      <c r="G262" s="85"/>
      <c r="H262" s="87"/>
      <c r="M262" s="94"/>
      <c r="N262" s="93"/>
      <c r="O262" s="85"/>
      <c r="Q262" s="94"/>
      <c r="R262" s="93"/>
      <c r="S262" s="85"/>
      <c r="U262" s="94"/>
      <c r="V262" s="93"/>
      <c r="W262" s="85"/>
      <c r="Y262" s="94"/>
      <c r="Z262" s="93"/>
      <c r="AA262" s="85"/>
      <c r="AC262" s="94"/>
      <c r="AD262" s="93"/>
      <c r="AE262" s="85"/>
    </row>
    <row r="263" spans="7:31" ht="14.5" customHeight="1" x14ac:dyDescent="0.35">
      <c r="G263" s="85"/>
      <c r="H263" s="87"/>
      <c r="M263" s="94"/>
      <c r="N263" s="93"/>
      <c r="O263" s="85"/>
      <c r="Q263" s="94"/>
      <c r="R263" s="93"/>
      <c r="S263" s="85"/>
      <c r="U263" s="94"/>
      <c r="V263" s="93"/>
      <c r="W263" s="85"/>
      <c r="Y263" s="94"/>
      <c r="Z263" s="93"/>
      <c r="AA263" s="85"/>
      <c r="AC263" s="94"/>
      <c r="AD263" s="93"/>
      <c r="AE263" s="85"/>
    </row>
    <row r="264" spans="7:31" ht="14.5" customHeight="1" x14ac:dyDescent="0.35">
      <c r="G264" s="85"/>
      <c r="H264" s="87"/>
      <c r="M264" s="94"/>
      <c r="N264" s="93"/>
      <c r="O264" s="85"/>
      <c r="Q264" s="94"/>
      <c r="R264" s="93"/>
      <c r="S264" s="85"/>
      <c r="U264" s="94"/>
      <c r="V264" s="93"/>
      <c r="W264" s="85"/>
      <c r="Y264" s="94"/>
      <c r="Z264" s="93"/>
      <c r="AA264" s="85"/>
      <c r="AC264" s="94"/>
      <c r="AD264" s="93"/>
      <c r="AE264" s="85"/>
    </row>
    <row r="265" spans="7:31" ht="14.5" customHeight="1" x14ac:dyDescent="0.35">
      <c r="G265" s="85"/>
      <c r="H265" s="87"/>
      <c r="M265" s="94"/>
      <c r="N265" s="93"/>
      <c r="O265" s="85"/>
      <c r="Q265" s="94"/>
      <c r="R265" s="93"/>
      <c r="S265" s="85"/>
      <c r="U265" s="94"/>
      <c r="V265" s="93"/>
      <c r="W265" s="85"/>
      <c r="Y265" s="94"/>
      <c r="Z265" s="93"/>
      <c r="AA265" s="85"/>
      <c r="AC265" s="94"/>
      <c r="AD265" s="93"/>
      <c r="AE265" s="85"/>
    </row>
    <row r="266" spans="7:31" ht="14.5" customHeight="1" x14ac:dyDescent="0.35">
      <c r="G266" s="85"/>
      <c r="H266" s="87"/>
      <c r="M266" s="94"/>
      <c r="N266" s="93"/>
      <c r="O266" s="85"/>
      <c r="Q266" s="94"/>
      <c r="R266" s="93"/>
      <c r="S266" s="85"/>
      <c r="U266" s="94"/>
      <c r="V266" s="93"/>
      <c r="W266" s="85"/>
      <c r="Y266" s="94"/>
      <c r="Z266" s="93"/>
      <c r="AA266" s="85"/>
      <c r="AC266" s="94"/>
      <c r="AD266" s="93"/>
      <c r="AE266" s="85"/>
    </row>
    <row r="267" spans="7:31" ht="14.5" customHeight="1" x14ac:dyDescent="0.35">
      <c r="G267" s="85"/>
      <c r="H267" s="87"/>
      <c r="M267" s="94"/>
      <c r="N267" s="93"/>
      <c r="O267" s="85"/>
      <c r="Q267" s="94"/>
      <c r="R267" s="93"/>
      <c r="S267" s="85"/>
      <c r="U267" s="94"/>
      <c r="V267" s="93"/>
      <c r="W267" s="85"/>
      <c r="Y267" s="94"/>
      <c r="Z267" s="93"/>
      <c r="AA267" s="85"/>
      <c r="AC267" s="94"/>
      <c r="AD267" s="93"/>
      <c r="AE267" s="85"/>
    </row>
    <row r="268" spans="7:31" ht="14.5" customHeight="1" x14ac:dyDescent="0.35">
      <c r="G268" s="85"/>
      <c r="H268" s="87"/>
      <c r="M268" s="94"/>
      <c r="N268" s="93"/>
      <c r="O268" s="85"/>
      <c r="Q268" s="94"/>
      <c r="R268" s="93"/>
      <c r="S268" s="85"/>
      <c r="U268" s="94"/>
      <c r="V268" s="93"/>
      <c r="W268" s="85"/>
      <c r="Y268" s="94"/>
      <c r="Z268" s="93"/>
      <c r="AA268" s="85"/>
      <c r="AC268" s="94"/>
      <c r="AD268" s="93"/>
      <c r="AE268" s="85"/>
    </row>
    <row r="269" spans="7:31" ht="14.5" customHeight="1" x14ac:dyDescent="0.35">
      <c r="G269" s="85"/>
      <c r="H269" s="87"/>
      <c r="M269" s="94"/>
      <c r="N269" s="93"/>
      <c r="O269" s="85"/>
      <c r="Q269" s="94"/>
      <c r="R269" s="93"/>
      <c r="S269" s="85"/>
      <c r="U269" s="94"/>
      <c r="V269" s="93"/>
      <c r="W269" s="85"/>
      <c r="Y269" s="94"/>
      <c r="Z269" s="93"/>
      <c r="AA269" s="85"/>
      <c r="AC269" s="94"/>
      <c r="AD269" s="93"/>
      <c r="AE269" s="85"/>
    </row>
    <row r="270" spans="7:31" ht="14.5" customHeight="1" x14ac:dyDescent="0.35">
      <c r="G270" s="85"/>
      <c r="H270" s="87"/>
      <c r="M270" s="94"/>
      <c r="N270" s="93"/>
      <c r="O270" s="85"/>
      <c r="Q270" s="94"/>
      <c r="R270" s="93"/>
      <c r="S270" s="85"/>
      <c r="U270" s="94"/>
      <c r="V270" s="93"/>
      <c r="W270" s="85"/>
      <c r="Y270" s="94"/>
      <c r="Z270" s="93"/>
      <c r="AA270" s="85"/>
      <c r="AC270" s="94"/>
      <c r="AD270" s="93"/>
      <c r="AE270" s="85"/>
    </row>
    <row r="271" spans="7:31" ht="14.5" customHeight="1" x14ac:dyDescent="0.35">
      <c r="G271" s="85"/>
      <c r="H271" s="87"/>
      <c r="M271" s="94"/>
      <c r="N271" s="93"/>
      <c r="O271" s="85"/>
      <c r="Q271" s="94"/>
      <c r="R271" s="93"/>
      <c r="S271" s="85"/>
      <c r="U271" s="94"/>
      <c r="V271" s="93"/>
      <c r="W271" s="85"/>
      <c r="Y271" s="94"/>
      <c r="Z271" s="93"/>
      <c r="AA271" s="85"/>
      <c r="AC271" s="94"/>
      <c r="AD271" s="93"/>
      <c r="AE271" s="85"/>
    </row>
    <row r="272" spans="7:31" ht="14.5" customHeight="1" x14ac:dyDescent="0.35">
      <c r="G272" s="85"/>
      <c r="H272" s="87"/>
      <c r="M272" s="94"/>
      <c r="N272" s="93"/>
      <c r="O272" s="85"/>
      <c r="Q272" s="94"/>
      <c r="R272" s="93"/>
      <c r="S272" s="85"/>
      <c r="U272" s="94"/>
      <c r="V272" s="93"/>
      <c r="W272" s="85"/>
      <c r="Y272" s="94"/>
      <c r="Z272" s="93"/>
      <c r="AA272" s="85"/>
      <c r="AC272" s="94"/>
      <c r="AD272" s="93"/>
      <c r="AE272" s="85"/>
    </row>
    <row r="273" spans="7:31" ht="14.5" customHeight="1" x14ac:dyDescent="0.35">
      <c r="G273" s="85"/>
      <c r="H273" s="87"/>
      <c r="M273" s="94"/>
      <c r="N273" s="93"/>
      <c r="O273" s="85"/>
      <c r="Q273" s="94"/>
      <c r="R273" s="93"/>
      <c r="S273" s="85"/>
      <c r="U273" s="94"/>
      <c r="V273" s="93"/>
      <c r="W273" s="85"/>
      <c r="Y273" s="94"/>
      <c r="Z273" s="93"/>
      <c r="AA273" s="85"/>
      <c r="AC273" s="94"/>
      <c r="AD273" s="93"/>
      <c r="AE273" s="85"/>
    </row>
    <row r="274" spans="7:31" ht="14.5" customHeight="1" x14ac:dyDescent="0.35">
      <c r="G274" s="85"/>
      <c r="H274" s="87"/>
      <c r="M274" s="94"/>
      <c r="N274" s="93"/>
      <c r="O274" s="85"/>
      <c r="Q274" s="94"/>
      <c r="R274" s="93"/>
      <c r="S274" s="85"/>
      <c r="U274" s="94"/>
      <c r="V274" s="93"/>
      <c r="W274" s="85"/>
      <c r="Y274" s="94"/>
      <c r="Z274" s="93"/>
      <c r="AA274" s="85"/>
      <c r="AC274" s="94"/>
      <c r="AD274" s="93"/>
      <c r="AE274" s="85"/>
    </row>
    <row r="275" spans="7:31" ht="14.5" customHeight="1" x14ac:dyDescent="0.35">
      <c r="G275" s="85"/>
      <c r="H275" s="87"/>
      <c r="M275" s="94"/>
      <c r="N275" s="93"/>
      <c r="O275" s="85"/>
      <c r="Q275" s="94"/>
      <c r="R275" s="93"/>
      <c r="S275" s="85"/>
      <c r="U275" s="94"/>
      <c r="V275" s="93"/>
      <c r="W275" s="85"/>
      <c r="Y275" s="94"/>
      <c r="Z275" s="93"/>
      <c r="AA275" s="85"/>
      <c r="AC275" s="94"/>
      <c r="AD275" s="93"/>
      <c r="AE275" s="85"/>
    </row>
    <row r="276" spans="7:31" ht="14.5" customHeight="1" x14ac:dyDescent="0.35">
      <c r="G276" s="85"/>
      <c r="H276" s="87"/>
      <c r="M276" s="94"/>
      <c r="N276" s="93"/>
      <c r="O276" s="85"/>
      <c r="Q276" s="94"/>
      <c r="R276" s="93"/>
      <c r="S276" s="85"/>
      <c r="U276" s="94"/>
      <c r="V276" s="93"/>
      <c r="W276" s="85"/>
      <c r="Y276" s="94"/>
      <c r="Z276" s="93"/>
      <c r="AA276" s="85"/>
      <c r="AC276" s="94"/>
      <c r="AD276" s="93"/>
      <c r="AE276" s="85"/>
    </row>
    <row r="277" spans="7:31" ht="14.5" customHeight="1" x14ac:dyDescent="0.35">
      <c r="G277" s="85"/>
      <c r="H277" s="87"/>
      <c r="M277" s="94"/>
      <c r="N277" s="93"/>
      <c r="O277" s="85"/>
      <c r="Q277" s="94"/>
      <c r="R277" s="93"/>
      <c r="S277" s="85"/>
      <c r="U277" s="94"/>
      <c r="V277" s="93"/>
      <c r="W277" s="85"/>
      <c r="Y277" s="94"/>
      <c r="Z277" s="93"/>
      <c r="AA277" s="85"/>
      <c r="AC277" s="94"/>
      <c r="AD277" s="93"/>
      <c r="AE277" s="85"/>
    </row>
    <row r="278" spans="7:31" ht="14.5" customHeight="1" x14ac:dyDescent="0.35">
      <c r="G278" s="85"/>
      <c r="H278" s="87"/>
      <c r="M278" s="94"/>
      <c r="N278" s="93"/>
      <c r="O278" s="85"/>
      <c r="Q278" s="94"/>
      <c r="R278" s="93"/>
      <c r="S278" s="85"/>
      <c r="U278" s="94"/>
      <c r="V278" s="93"/>
      <c r="W278" s="85"/>
      <c r="Y278" s="94"/>
      <c r="Z278" s="93"/>
      <c r="AA278" s="85"/>
      <c r="AC278" s="94"/>
      <c r="AD278" s="93"/>
      <c r="AE278" s="85"/>
    </row>
    <row r="279" spans="7:31" ht="14.5" customHeight="1" x14ac:dyDescent="0.35">
      <c r="G279" s="85"/>
      <c r="H279" s="87"/>
      <c r="M279" s="94"/>
      <c r="N279" s="93"/>
      <c r="O279" s="85"/>
      <c r="Q279" s="94"/>
      <c r="R279" s="93"/>
      <c r="S279" s="85"/>
      <c r="U279" s="94"/>
      <c r="V279" s="93"/>
      <c r="W279" s="85"/>
      <c r="Y279" s="94"/>
      <c r="Z279" s="93"/>
      <c r="AA279" s="85"/>
      <c r="AC279" s="94"/>
      <c r="AD279" s="93"/>
      <c r="AE279" s="85"/>
    </row>
    <row r="280" spans="7:31" ht="14.5" customHeight="1" x14ac:dyDescent="0.35">
      <c r="G280" s="85"/>
      <c r="H280" s="87"/>
      <c r="M280" s="94"/>
      <c r="N280" s="93"/>
      <c r="O280" s="85"/>
      <c r="Q280" s="94"/>
      <c r="R280" s="93"/>
      <c r="S280" s="85"/>
      <c r="U280" s="94"/>
      <c r="V280" s="93"/>
      <c r="W280" s="85"/>
      <c r="Y280" s="94"/>
      <c r="Z280" s="93"/>
      <c r="AA280" s="85"/>
      <c r="AC280" s="94"/>
      <c r="AD280" s="93"/>
      <c r="AE280" s="85"/>
    </row>
    <row r="281" spans="7:31" ht="14.5" customHeight="1" x14ac:dyDescent="0.35">
      <c r="G281" s="85"/>
      <c r="H281" s="87"/>
      <c r="M281" s="94"/>
      <c r="N281" s="93"/>
      <c r="O281" s="85"/>
      <c r="Q281" s="94"/>
      <c r="R281" s="93"/>
      <c r="S281" s="85"/>
      <c r="U281" s="94"/>
      <c r="V281" s="93"/>
      <c r="W281" s="85"/>
      <c r="Y281" s="94"/>
      <c r="Z281" s="93"/>
      <c r="AA281" s="85"/>
      <c r="AC281" s="94"/>
      <c r="AD281" s="93"/>
      <c r="AE281" s="85"/>
    </row>
    <row r="282" spans="7:31" ht="14.5" customHeight="1" x14ac:dyDescent="0.35">
      <c r="G282" s="85"/>
      <c r="H282" s="87"/>
      <c r="M282" s="94"/>
      <c r="N282" s="93"/>
      <c r="O282" s="85"/>
      <c r="Q282" s="94"/>
      <c r="R282" s="93"/>
      <c r="S282" s="85"/>
      <c r="U282" s="94"/>
      <c r="V282" s="93"/>
      <c r="W282" s="85"/>
      <c r="Y282" s="94"/>
      <c r="Z282" s="93"/>
      <c r="AA282" s="85"/>
      <c r="AC282" s="94"/>
      <c r="AD282" s="93"/>
      <c r="AE282" s="85"/>
    </row>
    <row r="283" spans="7:31" ht="14.5" customHeight="1" x14ac:dyDescent="0.35">
      <c r="G283" s="85"/>
      <c r="H283" s="87"/>
      <c r="M283" s="94"/>
      <c r="N283" s="93"/>
      <c r="O283" s="85"/>
      <c r="Q283" s="94"/>
      <c r="R283" s="93"/>
      <c r="S283" s="85"/>
      <c r="U283" s="94"/>
      <c r="V283" s="93"/>
      <c r="W283" s="85"/>
      <c r="Y283" s="94"/>
      <c r="Z283" s="93"/>
      <c r="AA283" s="85"/>
      <c r="AC283" s="94"/>
      <c r="AD283" s="93"/>
      <c r="AE283" s="85"/>
    </row>
    <row r="284" spans="7:31" ht="14.5" customHeight="1" x14ac:dyDescent="0.35">
      <c r="G284" s="85"/>
      <c r="H284" s="87"/>
      <c r="M284" s="94"/>
      <c r="N284" s="93"/>
      <c r="O284" s="85"/>
      <c r="Q284" s="94"/>
      <c r="R284" s="93"/>
      <c r="S284" s="85"/>
      <c r="U284" s="94"/>
      <c r="V284" s="93"/>
      <c r="W284" s="85"/>
      <c r="Y284" s="94"/>
      <c r="Z284" s="93"/>
      <c r="AA284" s="85"/>
      <c r="AC284" s="94"/>
      <c r="AD284" s="93"/>
      <c r="AE284" s="85"/>
    </row>
    <row r="285" spans="7:31" ht="14.5" customHeight="1" x14ac:dyDescent="0.35">
      <c r="G285" s="85"/>
      <c r="H285" s="87"/>
      <c r="M285" s="94"/>
      <c r="N285" s="93"/>
      <c r="O285" s="85"/>
      <c r="Q285" s="94"/>
      <c r="R285" s="93"/>
      <c r="S285" s="85"/>
      <c r="U285" s="94"/>
      <c r="V285" s="93"/>
      <c r="W285" s="85"/>
      <c r="Y285" s="94"/>
      <c r="Z285" s="93"/>
      <c r="AA285" s="85"/>
      <c r="AC285" s="94"/>
      <c r="AD285" s="93"/>
      <c r="AE285" s="85"/>
    </row>
    <row r="286" spans="7:31" ht="14.5" customHeight="1" x14ac:dyDescent="0.35">
      <c r="G286" s="85"/>
      <c r="H286" s="87"/>
      <c r="M286" s="94"/>
      <c r="N286" s="93"/>
      <c r="O286" s="85"/>
      <c r="Q286" s="94"/>
      <c r="R286" s="93"/>
      <c r="S286" s="85"/>
      <c r="U286" s="94"/>
      <c r="V286" s="93"/>
      <c r="W286" s="85"/>
      <c r="Y286" s="94"/>
      <c r="Z286" s="93"/>
      <c r="AA286" s="85"/>
      <c r="AC286" s="94"/>
      <c r="AD286" s="93"/>
      <c r="AE286" s="85"/>
    </row>
    <row r="287" spans="7:31" ht="14.5" customHeight="1" x14ac:dyDescent="0.35">
      <c r="G287" s="85"/>
      <c r="H287" s="87"/>
      <c r="M287" s="94"/>
      <c r="N287" s="93"/>
      <c r="O287" s="85"/>
      <c r="Q287" s="94"/>
      <c r="R287" s="93"/>
      <c r="S287" s="85"/>
      <c r="U287" s="94"/>
      <c r="V287" s="93"/>
      <c r="W287" s="85"/>
      <c r="Y287" s="94"/>
      <c r="Z287" s="93"/>
      <c r="AA287" s="85"/>
      <c r="AC287" s="94"/>
      <c r="AD287" s="93"/>
      <c r="AE287" s="85"/>
    </row>
    <row r="288" spans="7:31" ht="14.5" customHeight="1" x14ac:dyDescent="0.35">
      <c r="G288" s="85"/>
      <c r="H288" s="87"/>
      <c r="M288" s="94"/>
      <c r="N288" s="93"/>
      <c r="O288" s="85"/>
      <c r="Q288" s="94"/>
      <c r="R288" s="93"/>
      <c r="S288" s="85"/>
      <c r="U288" s="94"/>
      <c r="V288" s="93"/>
      <c r="W288" s="85"/>
      <c r="Y288" s="94"/>
      <c r="Z288" s="93"/>
      <c r="AA288" s="85"/>
      <c r="AC288" s="94"/>
      <c r="AD288" s="93"/>
      <c r="AE288" s="85"/>
    </row>
    <row r="289" spans="7:31" ht="14.5" customHeight="1" x14ac:dyDescent="0.35">
      <c r="G289" s="85"/>
      <c r="H289" s="87"/>
      <c r="M289" s="94"/>
      <c r="N289" s="93"/>
      <c r="O289" s="85"/>
      <c r="Q289" s="94"/>
      <c r="R289" s="93"/>
      <c r="S289" s="85"/>
      <c r="U289" s="94"/>
      <c r="V289" s="93"/>
      <c r="W289" s="85"/>
      <c r="Y289" s="94"/>
      <c r="Z289" s="93"/>
      <c r="AA289" s="85"/>
      <c r="AC289" s="94"/>
      <c r="AD289" s="93"/>
      <c r="AE289" s="85"/>
    </row>
    <row r="290" spans="7:31" ht="14.5" customHeight="1" x14ac:dyDescent="0.35">
      <c r="G290" s="85"/>
      <c r="H290" s="87"/>
      <c r="M290" s="94"/>
      <c r="N290" s="93"/>
      <c r="O290" s="85"/>
      <c r="Q290" s="94"/>
      <c r="R290" s="93"/>
      <c r="S290" s="85"/>
      <c r="U290" s="94"/>
      <c r="V290" s="93"/>
      <c r="W290" s="85"/>
      <c r="Y290" s="94"/>
      <c r="Z290" s="93"/>
      <c r="AA290" s="85"/>
      <c r="AC290" s="94"/>
      <c r="AD290" s="93"/>
      <c r="AE290" s="85"/>
    </row>
    <row r="291" spans="7:31" ht="14.5" customHeight="1" x14ac:dyDescent="0.35">
      <c r="G291" s="85"/>
      <c r="H291" s="87"/>
      <c r="M291" s="94"/>
      <c r="N291" s="93"/>
      <c r="O291" s="85"/>
      <c r="Q291" s="94"/>
      <c r="R291" s="93"/>
      <c r="S291" s="85"/>
      <c r="U291" s="94"/>
      <c r="V291" s="93"/>
      <c r="W291" s="85"/>
      <c r="Y291" s="94"/>
      <c r="Z291" s="93"/>
      <c r="AA291" s="85"/>
      <c r="AC291" s="94"/>
      <c r="AD291" s="93"/>
      <c r="AE291" s="85"/>
    </row>
    <row r="292" spans="7:31" ht="14.5" customHeight="1" x14ac:dyDescent="0.35">
      <c r="G292" s="85"/>
      <c r="H292" s="87"/>
      <c r="M292" s="94"/>
      <c r="N292" s="93"/>
      <c r="O292" s="85"/>
      <c r="Q292" s="94"/>
      <c r="R292" s="93"/>
      <c r="S292" s="85"/>
      <c r="U292" s="94"/>
      <c r="V292" s="93"/>
      <c r="W292" s="85"/>
      <c r="Y292" s="94"/>
      <c r="Z292" s="93"/>
      <c r="AA292" s="85"/>
      <c r="AC292" s="94"/>
      <c r="AD292" s="93"/>
      <c r="AE292" s="85"/>
    </row>
    <row r="293" spans="7:31" ht="14.5" customHeight="1" x14ac:dyDescent="0.35">
      <c r="G293" s="85"/>
      <c r="H293" s="87"/>
      <c r="M293" s="94"/>
      <c r="N293" s="93"/>
      <c r="O293" s="85"/>
      <c r="Q293" s="94"/>
      <c r="R293" s="93"/>
      <c r="S293" s="85"/>
      <c r="U293" s="94"/>
      <c r="V293" s="93"/>
      <c r="W293" s="85"/>
      <c r="Y293" s="94"/>
      <c r="Z293" s="93"/>
      <c r="AA293" s="85"/>
      <c r="AC293" s="94"/>
      <c r="AD293" s="93"/>
      <c r="AE293" s="85"/>
    </row>
    <row r="294" spans="7:31" ht="14.5" customHeight="1" x14ac:dyDescent="0.35">
      <c r="G294" s="85"/>
      <c r="H294" s="87"/>
      <c r="M294" s="94"/>
      <c r="N294" s="93"/>
      <c r="O294" s="85"/>
      <c r="Q294" s="94"/>
      <c r="R294" s="93"/>
      <c r="S294" s="85"/>
      <c r="U294" s="94"/>
      <c r="V294" s="93"/>
      <c r="W294" s="85"/>
      <c r="Y294" s="94"/>
      <c r="Z294" s="93"/>
      <c r="AA294" s="85"/>
      <c r="AC294" s="94"/>
      <c r="AD294" s="93"/>
      <c r="AE294" s="85"/>
    </row>
    <row r="295" spans="7:31" ht="14.5" customHeight="1" x14ac:dyDescent="0.35">
      <c r="G295" s="85"/>
      <c r="H295" s="87"/>
      <c r="M295" s="94"/>
      <c r="N295" s="93"/>
      <c r="O295" s="85"/>
      <c r="Q295" s="94"/>
      <c r="R295" s="93"/>
      <c r="S295" s="85"/>
      <c r="U295" s="94"/>
      <c r="V295" s="93"/>
      <c r="W295" s="85"/>
      <c r="Y295" s="94"/>
      <c r="Z295" s="93"/>
      <c r="AA295" s="85"/>
      <c r="AC295" s="94"/>
      <c r="AD295" s="93"/>
      <c r="AE295" s="85"/>
    </row>
    <row r="296" spans="7:31" ht="14.5" customHeight="1" x14ac:dyDescent="0.35">
      <c r="G296" s="85"/>
      <c r="H296" s="87"/>
      <c r="M296" s="94"/>
      <c r="N296" s="93"/>
      <c r="O296" s="85"/>
      <c r="Q296" s="94"/>
      <c r="R296" s="93"/>
      <c r="S296" s="85"/>
      <c r="U296" s="94"/>
      <c r="V296" s="93"/>
      <c r="W296" s="85"/>
      <c r="Y296" s="94"/>
      <c r="Z296" s="93"/>
      <c r="AA296" s="85"/>
      <c r="AC296" s="94"/>
      <c r="AD296" s="93"/>
      <c r="AE296" s="85"/>
    </row>
    <row r="297" spans="7:31" ht="14.5" customHeight="1" x14ac:dyDescent="0.35">
      <c r="G297" s="85"/>
      <c r="H297" s="87"/>
      <c r="M297" s="94"/>
      <c r="N297" s="93"/>
      <c r="O297" s="85"/>
      <c r="Q297" s="94"/>
      <c r="R297" s="93"/>
      <c r="S297" s="85"/>
      <c r="U297" s="94"/>
      <c r="V297" s="93"/>
      <c r="W297" s="85"/>
      <c r="Y297" s="94"/>
      <c r="Z297" s="93"/>
      <c r="AA297" s="85"/>
      <c r="AC297" s="94"/>
      <c r="AD297" s="93"/>
      <c r="AE297" s="85"/>
    </row>
    <row r="298" spans="7:31" ht="14.5" customHeight="1" x14ac:dyDescent="0.35">
      <c r="G298" s="85"/>
      <c r="H298" s="87"/>
      <c r="M298" s="94"/>
      <c r="N298" s="93"/>
      <c r="O298" s="85"/>
      <c r="Q298" s="94"/>
      <c r="R298" s="93"/>
      <c r="S298" s="85"/>
      <c r="U298" s="94"/>
      <c r="V298" s="93"/>
      <c r="W298" s="85"/>
      <c r="Y298" s="94"/>
      <c r="Z298" s="93"/>
      <c r="AA298" s="85"/>
      <c r="AC298" s="94"/>
      <c r="AD298" s="93"/>
      <c r="AE298" s="85"/>
    </row>
    <row r="299" spans="7:31" ht="14.5" customHeight="1" x14ac:dyDescent="0.35">
      <c r="G299" s="85"/>
      <c r="H299" s="87"/>
      <c r="M299" s="94"/>
      <c r="N299" s="93"/>
      <c r="O299" s="85"/>
      <c r="Q299" s="94"/>
      <c r="R299" s="93"/>
      <c r="S299" s="85"/>
      <c r="U299" s="94"/>
      <c r="V299" s="93"/>
      <c r="W299" s="85"/>
      <c r="Y299" s="94"/>
      <c r="Z299" s="93"/>
      <c r="AA299" s="85"/>
      <c r="AC299" s="94"/>
      <c r="AD299" s="93"/>
      <c r="AE299" s="85"/>
    </row>
    <row r="300" spans="7:31" ht="14.5" customHeight="1" x14ac:dyDescent="0.35">
      <c r="G300" s="85"/>
      <c r="H300" s="87"/>
      <c r="M300" s="94"/>
      <c r="N300" s="93"/>
      <c r="O300" s="85"/>
      <c r="Q300" s="94"/>
      <c r="R300" s="93"/>
      <c r="S300" s="85"/>
      <c r="U300" s="94"/>
      <c r="V300" s="93"/>
      <c r="W300" s="85"/>
      <c r="Y300" s="94"/>
      <c r="Z300" s="93"/>
      <c r="AA300" s="85"/>
      <c r="AC300" s="94"/>
      <c r="AD300" s="93"/>
      <c r="AE300" s="85"/>
    </row>
    <row r="301" spans="7:31" ht="14.5" customHeight="1" x14ac:dyDescent="0.35">
      <c r="G301" s="85"/>
      <c r="H301" s="87"/>
      <c r="M301" s="94"/>
      <c r="N301" s="93"/>
      <c r="O301" s="85"/>
      <c r="Q301" s="94"/>
      <c r="R301" s="93"/>
      <c r="S301" s="85"/>
      <c r="U301" s="94"/>
      <c r="V301" s="93"/>
      <c r="W301" s="85"/>
      <c r="Y301" s="94"/>
      <c r="Z301" s="93"/>
      <c r="AA301" s="85"/>
      <c r="AC301" s="94"/>
      <c r="AD301" s="93"/>
      <c r="AE301" s="85"/>
    </row>
    <row r="302" spans="7:31" ht="14.5" customHeight="1" x14ac:dyDescent="0.35">
      <c r="G302" s="85"/>
      <c r="H302" s="87"/>
      <c r="M302" s="94"/>
      <c r="N302" s="93"/>
      <c r="O302" s="85"/>
      <c r="Q302" s="94"/>
      <c r="R302" s="93"/>
      <c r="S302" s="85"/>
      <c r="U302" s="94"/>
      <c r="V302" s="93"/>
      <c r="W302" s="85"/>
      <c r="Y302" s="94"/>
      <c r="Z302" s="93"/>
      <c r="AA302" s="85"/>
      <c r="AC302" s="94"/>
      <c r="AD302" s="93"/>
      <c r="AE302" s="85"/>
    </row>
    <row r="303" spans="7:31" ht="14.5" customHeight="1" x14ac:dyDescent="0.35">
      <c r="G303" s="85"/>
      <c r="H303" s="87"/>
      <c r="M303" s="94"/>
      <c r="N303" s="93"/>
      <c r="O303" s="85"/>
      <c r="Q303" s="94"/>
      <c r="R303" s="93"/>
      <c r="S303" s="85"/>
      <c r="U303" s="94"/>
      <c r="V303" s="93"/>
      <c r="W303" s="85"/>
      <c r="Y303" s="94"/>
      <c r="Z303" s="93"/>
      <c r="AA303" s="85"/>
      <c r="AC303" s="94"/>
      <c r="AD303" s="93"/>
      <c r="AE303" s="85"/>
    </row>
    <row r="304" spans="7:31" ht="14.5" customHeight="1" x14ac:dyDescent="0.35">
      <c r="G304" s="85"/>
      <c r="H304" s="87"/>
      <c r="M304" s="94"/>
      <c r="N304" s="93"/>
      <c r="O304" s="85"/>
      <c r="Q304" s="94"/>
      <c r="R304" s="93"/>
      <c r="S304" s="85"/>
      <c r="U304" s="94"/>
      <c r="V304" s="93"/>
      <c r="W304" s="85"/>
      <c r="Y304" s="94"/>
      <c r="Z304" s="93"/>
      <c r="AA304" s="85"/>
      <c r="AC304" s="94"/>
      <c r="AD304" s="93"/>
      <c r="AE304" s="85"/>
    </row>
    <row r="305" spans="7:31" ht="14.5" customHeight="1" x14ac:dyDescent="0.35">
      <c r="G305" s="85"/>
      <c r="H305" s="87"/>
      <c r="M305" s="94"/>
      <c r="N305" s="93"/>
      <c r="O305" s="85"/>
      <c r="Q305" s="94"/>
      <c r="R305" s="93"/>
      <c r="S305" s="85"/>
      <c r="U305" s="94"/>
      <c r="V305" s="93"/>
      <c r="W305" s="85"/>
      <c r="Y305" s="94"/>
      <c r="Z305" s="93"/>
      <c r="AA305" s="85"/>
      <c r="AC305" s="94"/>
      <c r="AD305" s="93"/>
      <c r="AE305" s="85"/>
    </row>
    <row r="306" spans="7:31" ht="14.5" customHeight="1" x14ac:dyDescent="0.35">
      <c r="G306" s="85"/>
      <c r="H306" s="87"/>
      <c r="M306" s="94"/>
      <c r="N306" s="93"/>
      <c r="O306" s="85"/>
      <c r="Q306" s="94"/>
      <c r="R306" s="93"/>
      <c r="S306" s="85"/>
      <c r="U306" s="94"/>
      <c r="V306" s="93"/>
      <c r="W306" s="85"/>
      <c r="Y306" s="94"/>
      <c r="Z306" s="93"/>
      <c r="AA306" s="85"/>
      <c r="AC306" s="94"/>
      <c r="AD306" s="93"/>
      <c r="AE306" s="85"/>
    </row>
    <row r="307" spans="7:31" ht="14.5" customHeight="1" x14ac:dyDescent="0.35">
      <c r="G307" s="85"/>
      <c r="H307" s="87"/>
      <c r="M307" s="94"/>
      <c r="N307" s="93"/>
      <c r="O307" s="85"/>
      <c r="Q307" s="94"/>
      <c r="R307" s="93"/>
      <c r="S307" s="85"/>
      <c r="U307" s="94"/>
      <c r="V307" s="93"/>
      <c r="W307" s="85"/>
      <c r="Y307" s="94"/>
      <c r="Z307" s="93"/>
      <c r="AA307" s="85"/>
      <c r="AC307" s="94"/>
      <c r="AD307" s="93"/>
      <c r="AE307" s="85"/>
    </row>
    <row r="308" spans="7:31" ht="14.5" customHeight="1" x14ac:dyDescent="0.35">
      <c r="G308" s="85"/>
      <c r="H308" s="87"/>
      <c r="M308" s="94"/>
      <c r="N308" s="93"/>
      <c r="O308" s="85"/>
      <c r="Q308" s="94"/>
      <c r="R308" s="93"/>
      <c r="S308" s="85"/>
      <c r="U308" s="94"/>
      <c r="V308" s="93"/>
      <c r="W308" s="85"/>
      <c r="Y308" s="94"/>
      <c r="Z308" s="93"/>
      <c r="AA308" s="85"/>
      <c r="AC308" s="94"/>
      <c r="AD308" s="93"/>
      <c r="AE308" s="85"/>
    </row>
    <row r="309" spans="7:31" ht="14.5" customHeight="1" x14ac:dyDescent="0.35">
      <c r="G309" s="85"/>
      <c r="H309" s="87"/>
      <c r="M309" s="94"/>
      <c r="N309" s="93"/>
      <c r="O309" s="85"/>
      <c r="Q309" s="94"/>
      <c r="R309" s="93"/>
      <c r="S309" s="85"/>
      <c r="U309" s="94"/>
      <c r="V309" s="93"/>
      <c r="W309" s="85"/>
      <c r="Y309" s="94"/>
      <c r="Z309" s="93"/>
      <c r="AA309" s="85"/>
      <c r="AC309" s="94"/>
      <c r="AD309" s="93"/>
      <c r="AE309" s="85"/>
    </row>
    <row r="310" spans="7:31" ht="14.5" customHeight="1" x14ac:dyDescent="0.35">
      <c r="G310" s="85"/>
      <c r="H310" s="87"/>
      <c r="M310" s="94"/>
      <c r="N310" s="93"/>
      <c r="O310" s="85"/>
      <c r="Q310" s="94"/>
      <c r="R310" s="93"/>
      <c r="S310" s="85"/>
      <c r="U310" s="94"/>
      <c r="V310" s="93"/>
      <c r="W310" s="85"/>
      <c r="Y310" s="94"/>
      <c r="Z310" s="93"/>
      <c r="AA310" s="85"/>
      <c r="AC310" s="94"/>
      <c r="AD310" s="93"/>
      <c r="AE310" s="85"/>
    </row>
    <row r="311" spans="7:31" ht="14.5" customHeight="1" x14ac:dyDescent="0.35">
      <c r="G311" s="85"/>
      <c r="H311" s="87"/>
      <c r="M311" s="94"/>
      <c r="N311" s="93"/>
      <c r="O311" s="85"/>
      <c r="Q311" s="94"/>
      <c r="R311" s="93"/>
      <c r="S311" s="85"/>
      <c r="U311" s="94"/>
      <c r="V311" s="93"/>
      <c r="W311" s="85"/>
      <c r="Y311" s="94"/>
      <c r="Z311" s="93"/>
      <c r="AA311" s="85"/>
      <c r="AC311" s="94"/>
      <c r="AD311" s="93"/>
      <c r="AE311" s="85"/>
    </row>
    <row r="312" spans="7:31" ht="14.5" customHeight="1" x14ac:dyDescent="0.35">
      <c r="G312" s="85"/>
      <c r="H312" s="87"/>
      <c r="M312" s="94"/>
      <c r="N312" s="93"/>
      <c r="O312" s="85"/>
      <c r="Q312" s="94"/>
      <c r="R312" s="93"/>
      <c r="S312" s="85"/>
      <c r="U312" s="94"/>
      <c r="V312" s="93"/>
      <c r="W312" s="85"/>
      <c r="Y312" s="94"/>
      <c r="Z312" s="93"/>
      <c r="AA312" s="85"/>
      <c r="AC312" s="94"/>
      <c r="AD312" s="93"/>
      <c r="AE312" s="85"/>
    </row>
    <row r="313" spans="7:31" ht="14.5" customHeight="1" x14ac:dyDescent="0.35">
      <c r="G313" s="85"/>
      <c r="H313" s="87"/>
      <c r="M313" s="94"/>
      <c r="N313" s="93"/>
      <c r="O313" s="85"/>
      <c r="Q313" s="94"/>
      <c r="R313" s="93"/>
      <c r="S313" s="85"/>
      <c r="U313" s="94"/>
      <c r="V313" s="93"/>
      <c r="W313" s="85"/>
      <c r="Y313" s="94"/>
      <c r="Z313" s="93"/>
      <c r="AA313" s="85"/>
      <c r="AC313" s="94"/>
      <c r="AD313" s="93"/>
      <c r="AE313" s="85"/>
    </row>
    <row r="314" spans="7:31" ht="14.5" customHeight="1" x14ac:dyDescent="0.35">
      <c r="G314" s="85"/>
      <c r="H314" s="87"/>
      <c r="M314" s="94"/>
      <c r="N314" s="93"/>
      <c r="O314" s="85"/>
      <c r="Q314" s="94"/>
      <c r="R314" s="93"/>
      <c r="S314" s="85"/>
      <c r="U314" s="94"/>
      <c r="V314" s="93"/>
      <c r="W314" s="85"/>
      <c r="Y314" s="94"/>
      <c r="Z314" s="93"/>
      <c r="AA314" s="85"/>
      <c r="AC314" s="94"/>
      <c r="AD314" s="93"/>
      <c r="AE314" s="85"/>
    </row>
    <row r="315" spans="7:31" ht="14.5" customHeight="1" x14ac:dyDescent="0.35">
      <c r="G315" s="85"/>
      <c r="H315" s="87"/>
      <c r="M315" s="94"/>
      <c r="N315" s="93"/>
      <c r="O315" s="85"/>
      <c r="Q315" s="94"/>
      <c r="R315" s="93"/>
      <c r="S315" s="85"/>
      <c r="U315" s="94"/>
      <c r="V315" s="93"/>
      <c r="W315" s="85"/>
      <c r="Y315" s="94"/>
      <c r="Z315" s="93"/>
      <c r="AA315" s="85"/>
      <c r="AC315" s="94"/>
      <c r="AD315" s="93"/>
      <c r="AE315" s="85"/>
    </row>
    <row r="316" spans="7:31" ht="14.5" customHeight="1" x14ac:dyDescent="0.35">
      <c r="G316" s="85"/>
      <c r="H316" s="87"/>
      <c r="M316" s="94"/>
      <c r="N316" s="93"/>
      <c r="O316" s="85"/>
      <c r="Q316" s="94"/>
      <c r="R316" s="93"/>
      <c r="S316" s="85"/>
      <c r="U316" s="94"/>
      <c r="V316" s="93"/>
      <c r="W316" s="85"/>
      <c r="Y316" s="94"/>
      <c r="Z316" s="93"/>
      <c r="AA316" s="85"/>
      <c r="AC316" s="94"/>
      <c r="AD316" s="93"/>
      <c r="AE316" s="85"/>
    </row>
    <row r="317" spans="7:31" ht="14.5" customHeight="1" x14ac:dyDescent="0.35">
      <c r="G317" s="85"/>
      <c r="H317" s="87"/>
      <c r="M317" s="94"/>
      <c r="N317" s="93"/>
      <c r="O317" s="85"/>
      <c r="Q317" s="94"/>
      <c r="R317" s="93"/>
      <c r="S317" s="85"/>
      <c r="U317" s="94"/>
      <c r="V317" s="93"/>
      <c r="W317" s="85"/>
      <c r="Y317" s="94"/>
      <c r="Z317" s="93"/>
      <c r="AA317" s="85"/>
      <c r="AC317" s="94"/>
      <c r="AD317" s="93"/>
      <c r="AE317" s="85"/>
    </row>
    <row r="318" spans="7:31" ht="14.5" customHeight="1" x14ac:dyDescent="0.35">
      <c r="G318" s="85"/>
      <c r="H318" s="87"/>
      <c r="M318" s="94"/>
      <c r="N318" s="93"/>
      <c r="O318" s="85"/>
      <c r="Q318" s="94"/>
      <c r="R318" s="93"/>
      <c r="S318" s="85"/>
      <c r="U318" s="94"/>
      <c r="V318" s="93"/>
      <c r="W318" s="85"/>
      <c r="Y318" s="94"/>
      <c r="Z318" s="93"/>
      <c r="AA318" s="85"/>
      <c r="AC318" s="94"/>
      <c r="AD318" s="93"/>
      <c r="AE318" s="85"/>
    </row>
    <row r="319" spans="7:31" ht="14.5" customHeight="1" x14ac:dyDescent="0.35">
      <c r="G319" s="85"/>
      <c r="H319" s="87"/>
      <c r="M319" s="94"/>
      <c r="N319" s="93"/>
      <c r="O319" s="85"/>
      <c r="Q319" s="94"/>
      <c r="R319" s="93"/>
      <c r="S319" s="85"/>
      <c r="U319" s="94"/>
      <c r="V319" s="93"/>
      <c r="W319" s="85"/>
      <c r="Y319" s="94"/>
      <c r="Z319" s="93"/>
      <c r="AA319" s="85"/>
      <c r="AC319" s="94"/>
      <c r="AD319" s="93"/>
      <c r="AE319" s="85"/>
    </row>
    <row r="320" spans="7:31" ht="14.5" customHeight="1" x14ac:dyDescent="0.35">
      <c r="G320" s="85"/>
      <c r="H320" s="87"/>
      <c r="M320" s="94"/>
      <c r="N320" s="93"/>
      <c r="O320" s="85"/>
      <c r="Q320" s="94"/>
      <c r="R320" s="93"/>
      <c r="S320" s="85"/>
      <c r="U320" s="94"/>
      <c r="V320" s="93"/>
      <c r="W320" s="85"/>
      <c r="Y320" s="94"/>
      <c r="Z320" s="93"/>
      <c r="AA320" s="85"/>
      <c r="AC320" s="94"/>
      <c r="AD320" s="93"/>
      <c r="AE320" s="85"/>
    </row>
    <row r="321" spans="7:31" ht="14.5" customHeight="1" x14ac:dyDescent="0.35">
      <c r="G321" s="85"/>
      <c r="H321" s="87"/>
      <c r="M321" s="94"/>
      <c r="N321" s="93"/>
      <c r="O321" s="85"/>
      <c r="Q321" s="94"/>
      <c r="R321" s="93"/>
      <c r="S321" s="85"/>
      <c r="U321" s="94"/>
      <c r="V321" s="93"/>
      <c r="W321" s="85"/>
      <c r="Y321" s="94"/>
      <c r="Z321" s="93"/>
      <c r="AA321" s="85"/>
      <c r="AC321" s="94"/>
      <c r="AD321" s="93"/>
      <c r="AE321" s="85"/>
    </row>
    <row r="322" spans="7:31" ht="14.5" customHeight="1" x14ac:dyDescent="0.35">
      <c r="G322" s="85"/>
      <c r="H322" s="87"/>
      <c r="M322" s="94"/>
      <c r="N322" s="93"/>
      <c r="O322" s="85"/>
      <c r="Q322" s="94"/>
      <c r="R322" s="93"/>
      <c r="S322" s="85"/>
      <c r="U322" s="94"/>
      <c r="V322" s="93"/>
      <c r="W322" s="85"/>
      <c r="Y322" s="94"/>
      <c r="Z322" s="93"/>
      <c r="AA322" s="85"/>
      <c r="AC322" s="94"/>
      <c r="AD322" s="93"/>
      <c r="AE322" s="85"/>
    </row>
    <row r="323" spans="7:31" ht="14.5" customHeight="1" x14ac:dyDescent="0.35">
      <c r="G323" s="85"/>
      <c r="H323" s="87"/>
      <c r="M323" s="94"/>
      <c r="N323" s="93"/>
      <c r="O323" s="85"/>
      <c r="Q323" s="94"/>
      <c r="R323" s="93"/>
      <c r="S323" s="85"/>
      <c r="U323" s="94"/>
      <c r="V323" s="93"/>
      <c r="W323" s="85"/>
      <c r="Y323" s="94"/>
      <c r="Z323" s="93"/>
      <c r="AA323" s="85"/>
      <c r="AC323" s="94"/>
      <c r="AD323" s="93"/>
      <c r="AE323" s="85"/>
    </row>
    <row r="324" spans="7:31" ht="14.5" customHeight="1" x14ac:dyDescent="0.35">
      <c r="G324" s="85"/>
      <c r="H324" s="87"/>
      <c r="M324" s="94"/>
      <c r="N324" s="93"/>
      <c r="O324" s="85"/>
      <c r="Q324" s="94"/>
      <c r="R324" s="93"/>
      <c r="S324" s="85"/>
      <c r="U324" s="94"/>
      <c r="V324" s="93"/>
      <c r="W324" s="85"/>
      <c r="Y324" s="94"/>
      <c r="Z324" s="93"/>
      <c r="AA324" s="85"/>
      <c r="AC324" s="94"/>
      <c r="AD324" s="93"/>
      <c r="AE324" s="85"/>
    </row>
    <row r="325" spans="7:31" ht="14.5" customHeight="1" x14ac:dyDescent="0.35">
      <c r="G325" s="85"/>
      <c r="H325" s="87"/>
      <c r="M325" s="94"/>
      <c r="N325" s="93"/>
      <c r="O325" s="85"/>
      <c r="Q325" s="94"/>
      <c r="R325" s="93"/>
      <c r="S325" s="85"/>
      <c r="U325" s="94"/>
      <c r="V325" s="93"/>
      <c r="W325" s="85"/>
      <c r="Y325" s="94"/>
      <c r="Z325" s="93"/>
      <c r="AA325" s="85"/>
      <c r="AC325" s="94"/>
      <c r="AD325" s="93"/>
      <c r="AE325" s="85"/>
    </row>
    <row r="326" spans="7:31" ht="14.5" customHeight="1" x14ac:dyDescent="0.35">
      <c r="G326" s="85"/>
      <c r="H326" s="87"/>
      <c r="M326" s="94"/>
      <c r="N326" s="93"/>
      <c r="O326" s="85"/>
      <c r="Q326" s="94"/>
      <c r="R326" s="93"/>
      <c r="S326" s="85"/>
      <c r="U326" s="94"/>
      <c r="V326" s="93"/>
      <c r="W326" s="85"/>
      <c r="Y326" s="94"/>
      <c r="Z326" s="93"/>
      <c r="AA326" s="85"/>
      <c r="AC326" s="94"/>
      <c r="AD326" s="93"/>
      <c r="AE326" s="85"/>
    </row>
    <row r="327" spans="7:31" ht="14.5" customHeight="1" x14ac:dyDescent="0.35">
      <c r="G327" s="85"/>
      <c r="H327" s="87"/>
      <c r="M327" s="94"/>
      <c r="N327" s="93"/>
      <c r="O327" s="85"/>
      <c r="Q327" s="94"/>
      <c r="R327" s="93"/>
      <c r="S327" s="85"/>
      <c r="U327" s="94"/>
      <c r="V327" s="93"/>
      <c r="W327" s="85"/>
      <c r="Y327" s="94"/>
      <c r="Z327" s="93"/>
      <c r="AA327" s="85"/>
      <c r="AC327" s="94"/>
      <c r="AD327" s="93"/>
      <c r="AE327" s="85"/>
    </row>
    <row r="328" spans="7:31" ht="14.5" customHeight="1" x14ac:dyDescent="0.35">
      <c r="G328" s="85"/>
      <c r="H328" s="87"/>
      <c r="M328" s="94"/>
      <c r="N328" s="93"/>
      <c r="O328" s="85"/>
      <c r="Q328" s="94"/>
      <c r="R328" s="93"/>
      <c r="S328" s="85"/>
      <c r="U328" s="94"/>
      <c r="V328" s="93"/>
      <c r="W328" s="85"/>
      <c r="Y328" s="94"/>
      <c r="Z328" s="93"/>
      <c r="AA328" s="85"/>
      <c r="AC328" s="94"/>
      <c r="AD328" s="93"/>
      <c r="AE328" s="85"/>
    </row>
    <row r="329" spans="7:31" ht="14.5" customHeight="1" x14ac:dyDescent="0.35">
      <c r="G329" s="85"/>
      <c r="H329" s="87"/>
      <c r="M329" s="94"/>
      <c r="N329" s="93"/>
      <c r="O329" s="85"/>
      <c r="Q329" s="94"/>
      <c r="R329" s="93"/>
      <c r="S329" s="85"/>
      <c r="U329" s="94"/>
      <c r="V329" s="93"/>
      <c r="W329" s="85"/>
      <c r="Y329" s="94"/>
      <c r="Z329" s="93"/>
      <c r="AA329" s="85"/>
      <c r="AC329" s="94"/>
      <c r="AD329" s="93"/>
      <c r="AE329" s="85"/>
    </row>
    <row r="330" spans="7:31" ht="14.5" customHeight="1" x14ac:dyDescent="0.35">
      <c r="G330" s="85"/>
      <c r="H330" s="87"/>
      <c r="M330" s="94"/>
      <c r="N330" s="93"/>
      <c r="O330" s="85"/>
      <c r="Q330" s="94"/>
      <c r="R330" s="93"/>
      <c r="S330" s="85"/>
      <c r="U330" s="94"/>
      <c r="V330" s="93"/>
      <c r="W330" s="85"/>
      <c r="Y330" s="94"/>
      <c r="Z330" s="93"/>
      <c r="AA330" s="85"/>
      <c r="AC330" s="94"/>
      <c r="AD330" s="93"/>
      <c r="AE330" s="85"/>
    </row>
    <row r="331" spans="7:31" ht="14.5" customHeight="1" x14ac:dyDescent="0.35">
      <c r="G331" s="85"/>
      <c r="H331" s="87"/>
      <c r="M331" s="94"/>
      <c r="N331" s="93"/>
      <c r="O331" s="85"/>
      <c r="Q331" s="94"/>
      <c r="R331" s="93"/>
      <c r="S331" s="85"/>
      <c r="U331" s="94"/>
      <c r="V331" s="93"/>
      <c r="W331" s="85"/>
      <c r="Y331" s="94"/>
      <c r="Z331" s="93"/>
      <c r="AA331" s="85"/>
      <c r="AC331" s="94"/>
      <c r="AD331" s="93"/>
      <c r="AE331" s="85"/>
    </row>
    <row r="332" spans="7:31" ht="14.5" customHeight="1" x14ac:dyDescent="0.35">
      <c r="G332" s="85"/>
      <c r="H332" s="87"/>
      <c r="M332" s="94"/>
      <c r="N332" s="93"/>
      <c r="O332" s="85"/>
      <c r="Q332" s="94"/>
      <c r="R332" s="93"/>
      <c r="S332" s="85"/>
      <c r="U332" s="94"/>
      <c r="V332" s="93"/>
      <c r="W332" s="85"/>
      <c r="Y332" s="94"/>
      <c r="Z332" s="93"/>
      <c r="AA332" s="85"/>
      <c r="AC332" s="94"/>
      <c r="AD332" s="93"/>
      <c r="AE332" s="85"/>
    </row>
    <row r="333" spans="7:31" ht="14.5" customHeight="1" x14ac:dyDescent="0.35">
      <c r="G333" s="85"/>
      <c r="H333" s="87"/>
      <c r="M333" s="94"/>
      <c r="N333" s="93"/>
      <c r="O333" s="85"/>
      <c r="Q333" s="94"/>
      <c r="R333" s="93"/>
      <c r="S333" s="85"/>
      <c r="U333" s="94"/>
      <c r="V333" s="93"/>
      <c r="W333" s="85"/>
      <c r="Y333" s="94"/>
      <c r="Z333" s="93"/>
      <c r="AA333" s="85"/>
      <c r="AC333" s="94"/>
      <c r="AD333" s="93"/>
      <c r="AE333" s="85"/>
    </row>
    <row r="334" spans="7:31" ht="14.5" customHeight="1" x14ac:dyDescent="0.35">
      <c r="G334" s="85"/>
      <c r="H334" s="87"/>
      <c r="M334" s="94"/>
      <c r="N334" s="93"/>
      <c r="O334" s="85"/>
      <c r="Q334" s="94"/>
      <c r="R334" s="93"/>
      <c r="S334" s="85"/>
      <c r="U334" s="94"/>
      <c r="V334" s="93"/>
      <c r="W334" s="85"/>
      <c r="Y334" s="94"/>
      <c r="Z334" s="93"/>
      <c r="AA334" s="85"/>
      <c r="AC334" s="94"/>
      <c r="AD334" s="93"/>
      <c r="AE334" s="85"/>
    </row>
    <row r="335" spans="7:31" ht="14.5" customHeight="1" x14ac:dyDescent="0.35">
      <c r="G335" s="85"/>
      <c r="H335" s="87"/>
      <c r="M335" s="94"/>
      <c r="N335" s="93"/>
      <c r="O335" s="85"/>
      <c r="Q335" s="94"/>
      <c r="R335" s="93"/>
      <c r="S335" s="85"/>
      <c r="U335" s="94"/>
      <c r="V335" s="93"/>
      <c r="W335" s="85"/>
      <c r="Y335" s="94"/>
      <c r="Z335" s="93"/>
      <c r="AA335" s="85"/>
      <c r="AC335" s="94"/>
      <c r="AD335" s="93"/>
      <c r="AE335" s="85"/>
    </row>
    <row r="336" spans="7:31" ht="14.5" customHeight="1" x14ac:dyDescent="0.35">
      <c r="G336" s="85"/>
      <c r="H336" s="87"/>
      <c r="M336" s="94"/>
      <c r="N336" s="93"/>
      <c r="O336" s="85"/>
      <c r="Q336" s="94"/>
      <c r="R336" s="93"/>
      <c r="S336" s="85"/>
      <c r="U336" s="94"/>
      <c r="V336" s="93"/>
      <c r="W336" s="85"/>
      <c r="Y336" s="94"/>
      <c r="Z336" s="93"/>
      <c r="AA336" s="85"/>
      <c r="AC336" s="94"/>
      <c r="AD336" s="93"/>
      <c r="AE336" s="85"/>
    </row>
    <row r="337" spans="7:31" ht="14.5" customHeight="1" x14ac:dyDescent="0.35">
      <c r="G337" s="85"/>
      <c r="H337" s="87"/>
      <c r="M337" s="94"/>
      <c r="N337" s="93"/>
      <c r="O337" s="85"/>
      <c r="Q337" s="94"/>
      <c r="R337" s="93"/>
      <c r="S337" s="85"/>
      <c r="U337" s="94"/>
      <c r="V337" s="93"/>
      <c r="W337" s="85"/>
      <c r="Y337" s="94"/>
      <c r="Z337" s="93"/>
      <c r="AA337" s="85"/>
      <c r="AC337" s="94"/>
      <c r="AD337" s="93"/>
      <c r="AE337" s="85"/>
    </row>
    <row r="338" spans="7:31" ht="14.5" customHeight="1" x14ac:dyDescent="0.35">
      <c r="G338" s="85"/>
      <c r="H338" s="87"/>
      <c r="M338" s="94"/>
      <c r="N338" s="93"/>
      <c r="O338" s="85"/>
      <c r="Q338" s="94"/>
      <c r="R338" s="93"/>
      <c r="S338" s="85"/>
      <c r="U338" s="94"/>
      <c r="V338" s="93"/>
      <c r="W338" s="85"/>
      <c r="Y338" s="94"/>
      <c r="Z338" s="93"/>
      <c r="AA338" s="85"/>
      <c r="AC338" s="94"/>
      <c r="AD338" s="93"/>
      <c r="AE338" s="85"/>
    </row>
    <row r="339" spans="7:31" ht="14.5" customHeight="1" x14ac:dyDescent="0.35">
      <c r="G339" s="85"/>
      <c r="H339" s="87"/>
      <c r="M339" s="94"/>
      <c r="N339" s="93"/>
      <c r="O339" s="85"/>
      <c r="Q339" s="94"/>
      <c r="R339" s="93"/>
      <c r="S339" s="85"/>
      <c r="U339" s="94"/>
      <c r="V339" s="93"/>
      <c r="W339" s="85"/>
      <c r="Y339" s="94"/>
      <c r="Z339" s="93"/>
      <c r="AA339" s="85"/>
      <c r="AC339" s="94"/>
      <c r="AD339" s="93"/>
      <c r="AE339" s="85"/>
    </row>
    <row r="340" spans="7:31" ht="14.5" customHeight="1" x14ac:dyDescent="0.35">
      <c r="G340" s="85"/>
      <c r="H340" s="87"/>
      <c r="M340" s="94"/>
      <c r="N340" s="93"/>
      <c r="O340" s="85"/>
      <c r="Q340" s="94"/>
      <c r="R340" s="93"/>
      <c r="S340" s="85"/>
      <c r="U340" s="94"/>
      <c r="V340" s="93"/>
      <c r="W340" s="85"/>
      <c r="Y340" s="94"/>
      <c r="Z340" s="93"/>
      <c r="AA340" s="85"/>
      <c r="AC340" s="94"/>
      <c r="AD340" s="93"/>
      <c r="AE340" s="85"/>
    </row>
    <row r="341" spans="7:31" ht="14.5" customHeight="1" x14ac:dyDescent="0.35">
      <c r="G341" s="85"/>
      <c r="H341" s="87"/>
      <c r="M341" s="94"/>
      <c r="N341" s="93"/>
      <c r="O341" s="85"/>
      <c r="Q341" s="94"/>
      <c r="R341" s="93"/>
      <c r="S341" s="85"/>
      <c r="U341" s="94"/>
      <c r="V341" s="93"/>
      <c r="W341" s="85"/>
      <c r="Y341" s="94"/>
      <c r="Z341" s="93"/>
      <c r="AA341" s="85"/>
      <c r="AC341" s="94"/>
      <c r="AD341" s="93"/>
      <c r="AE341" s="85"/>
    </row>
    <row r="342" spans="7:31" ht="14.5" customHeight="1" x14ac:dyDescent="0.35">
      <c r="G342" s="85"/>
      <c r="H342" s="87"/>
      <c r="M342" s="94"/>
      <c r="N342" s="93"/>
      <c r="O342" s="85"/>
      <c r="Q342" s="94"/>
      <c r="R342" s="93"/>
      <c r="S342" s="85"/>
      <c r="U342" s="94"/>
      <c r="V342" s="93"/>
      <c r="W342" s="85"/>
      <c r="Y342" s="94"/>
      <c r="Z342" s="93"/>
      <c r="AA342" s="85"/>
      <c r="AC342" s="94"/>
      <c r="AD342" s="93"/>
      <c r="AE342" s="85"/>
    </row>
    <row r="343" spans="7:31" ht="14.5" customHeight="1" x14ac:dyDescent="0.35">
      <c r="G343" s="85"/>
      <c r="H343" s="87"/>
      <c r="M343" s="94"/>
      <c r="N343" s="93"/>
      <c r="O343" s="85"/>
      <c r="Q343" s="94"/>
      <c r="R343" s="93"/>
      <c r="S343" s="85"/>
      <c r="U343" s="94"/>
      <c r="V343" s="93"/>
      <c r="W343" s="85"/>
      <c r="Y343" s="94"/>
      <c r="Z343" s="93"/>
      <c r="AA343" s="85"/>
      <c r="AC343" s="94"/>
      <c r="AD343" s="93"/>
      <c r="AE343" s="85"/>
    </row>
    <row r="344" spans="7:31" ht="14.5" customHeight="1" x14ac:dyDescent="0.35">
      <c r="G344" s="85"/>
      <c r="H344" s="87"/>
      <c r="M344" s="94"/>
      <c r="N344" s="93"/>
      <c r="O344" s="85"/>
      <c r="Q344" s="94"/>
      <c r="R344" s="93"/>
      <c r="S344" s="85"/>
      <c r="U344" s="94"/>
      <c r="V344" s="93"/>
      <c r="W344" s="85"/>
      <c r="Y344" s="94"/>
      <c r="Z344" s="93"/>
      <c r="AA344" s="85"/>
      <c r="AC344" s="94"/>
      <c r="AD344" s="93"/>
      <c r="AE344" s="85"/>
    </row>
    <row r="345" spans="7:31" ht="14.5" customHeight="1" x14ac:dyDescent="0.35">
      <c r="G345" s="85"/>
      <c r="H345" s="87"/>
      <c r="M345" s="94"/>
      <c r="N345" s="93"/>
      <c r="O345" s="85"/>
      <c r="Q345" s="94"/>
      <c r="R345" s="93"/>
      <c r="S345" s="85"/>
      <c r="U345" s="94"/>
      <c r="V345" s="93"/>
      <c r="W345" s="85"/>
      <c r="Y345" s="94"/>
      <c r="Z345" s="93"/>
      <c r="AA345" s="85"/>
      <c r="AC345" s="94"/>
      <c r="AD345" s="93"/>
      <c r="AE345" s="85"/>
    </row>
    <row r="346" spans="7:31" ht="14.5" customHeight="1" x14ac:dyDescent="0.35">
      <c r="G346" s="85"/>
      <c r="H346" s="87"/>
      <c r="M346" s="94"/>
      <c r="N346" s="93"/>
      <c r="O346" s="85"/>
      <c r="Q346" s="94"/>
      <c r="R346" s="93"/>
      <c r="S346" s="85"/>
      <c r="U346" s="94"/>
      <c r="V346" s="93"/>
      <c r="W346" s="85"/>
      <c r="Y346" s="94"/>
      <c r="Z346" s="93"/>
      <c r="AA346" s="85"/>
      <c r="AC346" s="94"/>
      <c r="AD346" s="93"/>
      <c r="AE346" s="85"/>
    </row>
    <row r="347" spans="7:31" ht="14.5" customHeight="1" x14ac:dyDescent="0.35">
      <c r="G347" s="85"/>
      <c r="H347" s="87"/>
      <c r="M347" s="94"/>
      <c r="N347" s="93"/>
      <c r="O347" s="85"/>
      <c r="Q347" s="94"/>
      <c r="R347" s="93"/>
      <c r="S347" s="85"/>
      <c r="U347" s="94"/>
      <c r="V347" s="93"/>
      <c r="W347" s="85"/>
      <c r="Y347" s="94"/>
      <c r="Z347" s="93"/>
      <c r="AA347" s="85"/>
      <c r="AC347" s="94"/>
      <c r="AD347" s="93"/>
      <c r="AE347" s="85"/>
    </row>
    <row r="348" spans="7:31" ht="14.5" customHeight="1" x14ac:dyDescent="0.35">
      <c r="G348" s="85"/>
      <c r="H348" s="87"/>
      <c r="M348" s="94"/>
      <c r="N348" s="93"/>
      <c r="O348" s="85"/>
      <c r="Q348" s="94"/>
      <c r="R348" s="93"/>
      <c r="S348" s="85"/>
      <c r="U348" s="94"/>
      <c r="V348" s="93"/>
      <c r="W348" s="85"/>
      <c r="Y348" s="94"/>
      <c r="Z348" s="93"/>
      <c r="AA348" s="85"/>
      <c r="AC348" s="94"/>
      <c r="AD348" s="93"/>
      <c r="AE348" s="85"/>
    </row>
    <row r="349" spans="7:31" ht="14.5" customHeight="1" x14ac:dyDescent="0.35">
      <c r="G349" s="85"/>
      <c r="H349" s="87"/>
      <c r="M349" s="94"/>
      <c r="N349" s="93"/>
      <c r="O349" s="85"/>
      <c r="Q349" s="94"/>
      <c r="R349" s="93"/>
      <c r="S349" s="85"/>
      <c r="U349" s="94"/>
      <c r="V349" s="93"/>
      <c r="W349" s="85"/>
      <c r="Y349" s="94"/>
      <c r="Z349" s="93"/>
      <c r="AA349" s="85"/>
      <c r="AC349" s="94"/>
      <c r="AD349" s="93"/>
      <c r="AE349" s="85"/>
    </row>
    <row r="350" spans="7:31" ht="14.5" customHeight="1" x14ac:dyDescent="0.35">
      <c r="G350" s="85"/>
      <c r="H350" s="87"/>
      <c r="M350" s="94"/>
      <c r="N350" s="93"/>
      <c r="O350" s="85"/>
      <c r="Q350" s="94"/>
      <c r="R350" s="93"/>
      <c r="S350" s="85"/>
      <c r="U350" s="94"/>
      <c r="V350" s="93"/>
      <c r="W350" s="85"/>
      <c r="Y350" s="94"/>
      <c r="Z350" s="93"/>
      <c r="AA350" s="85"/>
      <c r="AC350" s="94"/>
      <c r="AD350" s="93"/>
      <c r="AE350" s="85"/>
    </row>
    <row r="351" spans="7:31" ht="14.5" customHeight="1" x14ac:dyDescent="0.35">
      <c r="G351" s="85"/>
      <c r="H351" s="87"/>
      <c r="M351" s="94"/>
      <c r="N351" s="93"/>
      <c r="O351" s="85"/>
      <c r="Q351" s="94"/>
      <c r="R351" s="93"/>
      <c r="S351" s="85"/>
      <c r="U351" s="94"/>
      <c r="V351" s="93"/>
      <c r="W351" s="85"/>
      <c r="Y351" s="94"/>
      <c r="Z351" s="93"/>
      <c r="AA351" s="85"/>
      <c r="AC351" s="94"/>
      <c r="AD351" s="93"/>
      <c r="AE351" s="85"/>
    </row>
    <row r="352" spans="7:31" ht="14.5" customHeight="1" x14ac:dyDescent="0.35">
      <c r="G352" s="85"/>
      <c r="H352" s="87"/>
      <c r="M352" s="94"/>
      <c r="N352" s="93"/>
      <c r="O352" s="85"/>
      <c r="Q352" s="94"/>
      <c r="R352" s="93"/>
      <c r="S352" s="85"/>
      <c r="U352" s="94"/>
      <c r="V352" s="93"/>
      <c r="W352" s="85"/>
      <c r="Y352" s="94"/>
      <c r="Z352" s="93"/>
      <c r="AA352" s="85"/>
      <c r="AC352" s="94"/>
      <c r="AD352" s="93"/>
      <c r="AE352" s="85"/>
    </row>
    <row r="353" spans="7:31" ht="14.5" customHeight="1" x14ac:dyDescent="0.35">
      <c r="G353" s="85"/>
      <c r="H353" s="87"/>
      <c r="M353" s="94"/>
      <c r="N353" s="93"/>
      <c r="O353" s="85"/>
      <c r="Q353" s="94"/>
      <c r="R353" s="93"/>
      <c r="S353" s="85"/>
      <c r="U353" s="94"/>
      <c r="V353" s="93"/>
      <c r="W353" s="85"/>
      <c r="Y353" s="94"/>
      <c r="Z353" s="93"/>
      <c r="AA353" s="85"/>
      <c r="AC353" s="94"/>
      <c r="AD353" s="93"/>
      <c r="AE353" s="85"/>
    </row>
    <row r="354" spans="7:31" ht="14.5" customHeight="1" x14ac:dyDescent="0.35">
      <c r="G354" s="85"/>
      <c r="H354" s="87"/>
      <c r="M354" s="94"/>
      <c r="N354" s="93"/>
      <c r="O354" s="85"/>
      <c r="Q354" s="94"/>
      <c r="R354" s="93"/>
      <c r="S354" s="85"/>
      <c r="U354" s="94"/>
      <c r="V354" s="93"/>
      <c r="W354" s="85"/>
      <c r="Y354" s="94"/>
      <c r="Z354" s="93"/>
      <c r="AA354" s="85"/>
      <c r="AC354" s="94"/>
      <c r="AD354" s="93"/>
      <c r="AE354" s="85"/>
    </row>
    <row r="355" spans="7:31" ht="14.5" customHeight="1" x14ac:dyDescent="0.35">
      <c r="G355" s="85"/>
      <c r="H355" s="87"/>
      <c r="M355" s="94"/>
      <c r="N355" s="93"/>
      <c r="O355" s="85"/>
      <c r="Q355" s="94"/>
      <c r="R355" s="93"/>
      <c r="S355" s="85"/>
      <c r="U355" s="94"/>
      <c r="V355" s="93"/>
      <c r="W355" s="85"/>
      <c r="Y355" s="94"/>
      <c r="Z355" s="93"/>
      <c r="AA355" s="85"/>
      <c r="AC355" s="94"/>
      <c r="AD355" s="93"/>
      <c r="AE355" s="85"/>
    </row>
    <row r="356" spans="7:31" ht="14.5" customHeight="1" x14ac:dyDescent="0.35">
      <c r="G356" s="85"/>
      <c r="H356" s="87"/>
      <c r="M356" s="94"/>
      <c r="N356" s="93"/>
      <c r="O356" s="85"/>
      <c r="Q356" s="94"/>
      <c r="R356" s="93"/>
      <c r="S356" s="85"/>
      <c r="U356" s="94"/>
      <c r="V356" s="93"/>
      <c r="W356" s="85"/>
      <c r="Y356" s="94"/>
      <c r="Z356" s="93"/>
      <c r="AA356" s="85"/>
      <c r="AC356" s="94"/>
      <c r="AD356" s="93"/>
      <c r="AE356" s="85"/>
    </row>
    <row r="357" spans="7:31" ht="14.5" customHeight="1" x14ac:dyDescent="0.35">
      <c r="G357" s="85"/>
      <c r="H357" s="87"/>
      <c r="M357" s="94"/>
      <c r="N357" s="93"/>
      <c r="O357" s="85"/>
      <c r="Q357" s="94"/>
      <c r="R357" s="93"/>
      <c r="S357" s="85"/>
      <c r="U357" s="94"/>
      <c r="V357" s="93"/>
      <c r="W357" s="85"/>
      <c r="Y357" s="94"/>
      <c r="Z357" s="93"/>
      <c r="AA357" s="85"/>
      <c r="AC357" s="94"/>
      <c r="AD357" s="93"/>
      <c r="AE357" s="85"/>
    </row>
    <row r="358" spans="7:31" ht="14.5" customHeight="1" x14ac:dyDescent="0.35">
      <c r="G358" s="85"/>
      <c r="H358" s="87"/>
      <c r="M358" s="94"/>
      <c r="N358" s="93"/>
      <c r="O358" s="85"/>
      <c r="Q358" s="94"/>
      <c r="R358" s="93"/>
      <c r="S358" s="85"/>
      <c r="U358" s="94"/>
      <c r="V358" s="93"/>
      <c r="W358" s="85"/>
      <c r="Y358" s="94"/>
      <c r="Z358" s="93"/>
      <c r="AA358" s="85"/>
      <c r="AC358" s="94"/>
      <c r="AD358" s="93"/>
      <c r="AE358" s="85"/>
    </row>
    <row r="359" spans="7:31" ht="14.5" customHeight="1" x14ac:dyDescent="0.35">
      <c r="G359" s="85"/>
      <c r="H359" s="87"/>
      <c r="M359" s="94"/>
      <c r="N359" s="93"/>
      <c r="O359" s="85"/>
      <c r="Q359" s="94"/>
      <c r="R359" s="93"/>
      <c r="S359" s="85"/>
      <c r="U359" s="94"/>
      <c r="V359" s="93"/>
      <c r="W359" s="85"/>
      <c r="Y359" s="94"/>
      <c r="Z359" s="93"/>
      <c r="AA359" s="85"/>
      <c r="AC359" s="94"/>
      <c r="AD359" s="93"/>
      <c r="AE359" s="85"/>
    </row>
    <row r="360" spans="7:31" ht="14.5" customHeight="1" x14ac:dyDescent="0.35">
      <c r="G360" s="85"/>
      <c r="H360" s="87"/>
      <c r="M360" s="94"/>
      <c r="N360" s="93"/>
      <c r="O360" s="85"/>
      <c r="Q360" s="94"/>
      <c r="R360" s="93"/>
      <c r="S360" s="85"/>
      <c r="U360" s="94"/>
      <c r="V360" s="93"/>
      <c r="W360" s="85"/>
      <c r="Y360" s="94"/>
      <c r="Z360" s="93"/>
      <c r="AA360" s="85"/>
      <c r="AC360" s="94"/>
      <c r="AD360" s="93"/>
      <c r="AE360" s="85"/>
    </row>
    <row r="361" spans="7:31" ht="14.5" customHeight="1" x14ac:dyDescent="0.35">
      <c r="G361" s="85"/>
      <c r="H361" s="87"/>
      <c r="M361" s="94"/>
      <c r="N361" s="93"/>
      <c r="O361" s="85"/>
      <c r="Q361" s="94"/>
      <c r="R361" s="93"/>
      <c r="S361" s="85"/>
      <c r="U361" s="94"/>
      <c r="V361" s="93"/>
      <c r="W361" s="85"/>
      <c r="Y361" s="94"/>
      <c r="Z361" s="93"/>
      <c r="AA361" s="85"/>
      <c r="AC361" s="94"/>
      <c r="AD361" s="93"/>
      <c r="AE361" s="85"/>
    </row>
    <row r="362" spans="7:31" ht="14.5" customHeight="1" x14ac:dyDescent="0.35">
      <c r="G362" s="85"/>
      <c r="H362" s="87"/>
      <c r="M362" s="94"/>
      <c r="N362" s="93"/>
      <c r="O362" s="85"/>
      <c r="Q362" s="94"/>
      <c r="R362" s="93"/>
      <c r="S362" s="85"/>
      <c r="U362" s="94"/>
      <c r="V362" s="93"/>
      <c r="W362" s="85"/>
      <c r="Y362" s="94"/>
      <c r="Z362" s="93"/>
      <c r="AA362" s="85"/>
      <c r="AC362" s="94"/>
      <c r="AD362" s="93"/>
      <c r="AE362" s="85"/>
    </row>
    <row r="363" spans="7:31" ht="14.5" customHeight="1" x14ac:dyDescent="0.35">
      <c r="G363" s="85"/>
      <c r="H363" s="87"/>
      <c r="M363" s="94"/>
      <c r="N363" s="93"/>
      <c r="O363" s="85"/>
      <c r="Q363" s="94"/>
      <c r="R363" s="93"/>
      <c r="S363" s="85"/>
      <c r="U363" s="94"/>
      <c r="V363" s="93"/>
      <c r="W363" s="85"/>
      <c r="Y363" s="94"/>
      <c r="Z363" s="93"/>
      <c r="AA363" s="85"/>
      <c r="AC363" s="94"/>
      <c r="AD363" s="93"/>
      <c r="AE363" s="85"/>
    </row>
    <row r="364" spans="7:31" ht="14.5" customHeight="1" x14ac:dyDescent="0.35">
      <c r="G364" s="85"/>
      <c r="H364" s="87"/>
      <c r="M364" s="94"/>
      <c r="N364" s="93"/>
      <c r="O364" s="85"/>
      <c r="Q364" s="94"/>
      <c r="R364" s="93"/>
      <c r="S364" s="85"/>
      <c r="U364" s="94"/>
      <c r="V364" s="93"/>
      <c r="W364" s="85"/>
      <c r="Y364" s="94"/>
      <c r="Z364" s="93"/>
      <c r="AA364" s="85"/>
      <c r="AC364" s="94"/>
      <c r="AD364" s="93"/>
      <c r="AE364" s="85"/>
    </row>
    <row r="365" spans="7:31" ht="14.5" customHeight="1" x14ac:dyDescent="0.35">
      <c r="G365" s="85"/>
      <c r="H365" s="87"/>
      <c r="M365" s="94"/>
      <c r="N365" s="93"/>
      <c r="O365" s="85"/>
      <c r="Q365" s="94"/>
      <c r="R365" s="93"/>
      <c r="S365" s="85"/>
      <c r="U365" s="94"/>
      <c r="V365" s="93"/>
      <c r="W365" s="85"/>
      <c r="Y365" s="94"/>
      <c r="Z365" s="93"/>
      <c r="AA365" s="85"/>
      <c r="AC365" s="94"/>
      <c r="AD365" s="93"/>
      <c r="AE365" s="85"/>
    </row>
    <row r="366" spans="7:31" ht="14.5" customHeight="1" x14ac:dyDescent="0.35">
      <c r="G366" s="85"/>
      <c r="H366" s="87"/>
      <c r="M366" s="94"/>
      <c r="N366" s="93"/>
      <c r="O366" s="85"/>
      <c r="Q366" s="94"/>
      <c r="R366" s="93"/>
      <c r="S366" s="85"/>
      <c r="U366" s="94"/>
      <c r="V366" s="93"/>
      <c r="W366" s="85"/>
      <c r="Y366" s="94"/>
      <c r="Z366" s="93"/>
      <c r="AA366" s="85"/>
      <c r="AC366" s="94"/>
      <c r="AD366" s="93"/>
      <c r="AE366" s="85"/>
    </row>
    <row r="367" spans="7:31" ht="14.5" customHeight="1" x14ac:dyDescent="0.35">
      <c r="G367" s="85"/>
      <c r="H367" s="87"/>
      <c r="M367" s="94"/>
      <c r="N367" s="93"/>
      <c r="O367" s="85"/>
      <c r="Q367" s="94"/>
      <c r="R367" s="93"/>
      <c r="S367" s="85"/>
      <c r="U367" s="94"/>
      <c r="V367" s="93"/>
      <c r="W367" s="85"/>
      <c r="Y367" s="94"/>
      <c r="Z367" s="93"/>
      <c r="AA367" s="85"/>
      <c r="AC367" s="94"/>
      <c r="AD367" s="93"/>
      <c r="AE367" s="85"/>
    </row>
    <row r="368" spans="7:31" ht="14.5" customHeight="1" x14ac:dyDescent="0.35">
      <c r="G368" s="85"/>
      <c r="H368" s="87"/>
      <c r="M368" s="94"/>
      <c r="N368" s="93"/>
      <c r="O368" s="85"/>
      <c r="Q368" s="94"/>
      <c r="R368" s="93"/>
      <c r="S368" s="85"/>
      <c r="U368" s="94"/>
      <c r="V368" s="93"/>
      <c r="W368" s="85"/>
      <c r="Y368" s="94"/>
      <c r="Z368" s="93"/>
      <c r="AA368" s="85"/>
      <c r="AC368" s="94"/>
      <c r="AD368" s="93"/>
      <c r="AE368" s="85"/>
    </row>
    <row r="369" spans="7:31" ht="14.5" customHeight="1" x14ac:dyDescent="0.35">
      <c r="G369" s="85"/>
      <c r="H369" s="87"/>
      <c r="M369" s="94"/>
      <c r="N369" s="93"/>
      <c r="O369" s="85"/>
      <c r="Q369" s="94"/>
      <c r="R369" s="93"/>
      <c r="S369" s="85"/>
      <c r="U369" s="94"/>
      <c r="V369" s="93"/>
      <c r="W369" s="85"/>
      <c r="Y369" s="94"/>
      <c r="Z369" s="93"/>
      <c r="AA369" s="85"/>
      <c r="AC369" s="94"/>
      <c r="AD369" s="93"/>
      <c r="AE369" s="85"/>
    </row>
    <row r="370" spans="7:31" ht="14.5" customHeight="1" x14ac:dyDescent="0.35">
      <c r="G370" s="85"/>
      <c r="H370" s="87"/>
      <c r="M370" s="94"/>
      <c r="N370" s="93"/>
      <c r="O370" s="85"/>
      <c r="Q370" s="94"/>
      <c r="R370" s="93"/>
      <c r="S370" s="85"/>
      <c r="U370" s="94"/>
      <c r="V370" s="93"/>
      <c r="W370" s="85"/>
      <c r="Y370" s="94"/>
      <c r="Z370" s="93"/>
      <c r="AA370" s="85"/>
      <c r="AC370" s="94"/>
      <c r="AD370" s="93"/>
      <c r="AE370" s="85"/>
    </row>
    <row r="371" spans="7:31" ht="14.5" customHeight="1" x14ac:dyDescent="0.35">
      <c r="G371" s="85"/>
      <c r="H371" s="87"/>
      <c r="M371" s="94"/>
      <c r="N371" s="93"/>
      <c r="O371" s="85"/>
      <c r="Q371" s="94"/>
      <c r="R371" s="93"/>
      <c r="S371" s="85"/>
      <c r="U371" s="94"/>
      <c r="V371" s="93"/>
      <c r="W371" s="85"/>
      <c r="Y371" s="94"/>
      <c r="Z371" s="93"/>
      <c r="AA371" s="85"/>
      <c r="AC371" s="94"/>
      <c r="AD371" s="93"/>
      <c r="AE371" s="85"/>
    </row>
    <row r="372" spans="7:31" ht="14.5" customHeight="1" x14ac:dyDescent="0.35">
      <c r="G372" s="85"/>
      <c r="H372" s="87"/>
      <c r="M372" s="94"/>
      <c r="N372" s="93"/>
      <c r="O372" s="85"/>
      <c r="Q372" s="94"/>
      <c r="R372" s="93"/>
      <c r="S372" s="85"/>
      <c r="U372" s="94"/>
      <c r="V372" s="93"/>
      <c r="W372" s="85"/>
      <c r="Y372" s="94"/>
      <c r="Z372" s="93"/>
      <c r="AA372" s="85"/>
      <c r="AC372" s="94"/>
      <c r="AD372" s="93"/>
      <c r="AE372" s="85"/>
    </row>
    <row r="373" spans="7:31" ht="14.5" customHeight="1" x14ac:dyDescent="0.35">
      <c r="G373" s="85"/>
      <c r="H373" s="87"/>
      <c r="M373" s="94"/>
      <c r="N373" s="93"/>
      <c r="O373" s="85"/>
      <c r="Q373" s="94"/>
      <c r="R373" s="93"/>
      <c r="S373" s="85"/>
      <c r="U373" s="94"/>
      <c r="V373" s="93"/>
      <c r="W373" s="85"/>
      <c r="Y373" s="94"/>
      <c r="Z373" s="93"/>
      <c r="AA373" s="85"/>
      <c r="AC373" s="94"/>
      <c r="AD373" s="93"/>
      <c r="AE373" s="85"/>
    </row>
    <row r="374" spans="7:31" ht="14.5" customHeight="1" x14ac:dyDescent="0.35">
      <c r="G374" s="85"/>
      <c r="H374" s="87"/>
      <c r="M374" s="94"/>
      <c r="N374" s="93"/>
      <c r="O374" s="85"/>
      <c r="Q374" s="94"/>
      <c r="R374" s="93"/>
      <c r="S374" s="85"/>
      <c r="U374" s="94"/>
      <c r="V374" s="93"/>
      <c r="W374" s="85"/>
      <c r="Y374" s="94"/>
      <c r="Z374" s="93"/>
      <c r="AA374" s="85"/>
      <c r="AC374" s="94"/>
      <c r="AD374" s="93"/>
      <c r="AE374" s="85"/>
    </row>
    <row r="375" spans="7:31" ht="14.5" customHeight="1" x14ac:dyDescent="0.35">
      <c r="G375" s="85"/>
      <c r="H375" s="87"/>
      <c r="M375" s="94"/>
      <c r="N375" s="93"/>
      <c r="O375" s="85"/>
      <c r="Q375" s="94"/>
      <c r="R375" s="93"/>
      <c r="S375" s="85"/>
      <c r="U375" s="94"/>
      <c r="V375" s="93"/>
      <c r="W375" s="85"/>
      <c r="Y375" s="94"/>
      <c r="Z375" s="93"/>
      <c r="AA375" s="85"/>
      <c r="AC375" s="94"/>
      <c r="AD375" s="93"/>
      <c r="AE375" s="85"/>
    </row>
    <row r="376" spans="7:31" ht="14.5" customHeight="1" x14ac:dyDescent="0.35">
      <c r="G376" s="85"/>
      <c r="H376" s="87"/>
      <c r="M376" s="94"/>
      <c r="N376" s="93"/>
      <c r="O376" s="85"/>
      <c r="Q376" s="94"/>
      <c r="R376" s="93"/>
      <c r="S376" s="85"/>
      <c r="U376" s="94"/>
      <c r="V376" s="93"/>
      <c r="W376" s="85"/>
      <c r="Y376" s="94"/>
      <c r="Z376" s="93"/>
      <c r="AA376" s="85"/>
      <c r="AC376" s="94"/>
      <c r="AD376" s="93"/>
      <c r="AE376" s="85"/>
    </row>
    <row r="377" spans="7:31" ht="14.5" customHeight="1" x14ac:dyDescent="0.35">
      <c r="G377" s="85"/>
      <c r="H377" s="87"/>
      <c r="M377" s="94"/>
      <c r="N377" s="93"/>
      <c r="O377" s="85"/>
      <c r="Q377" s="94"/>
      <c r="R377" s="93"/>
      <c r="S377" s="85"/>
      <c r="U377" s="94"/>
      <c r="V377" s="93"/>
      <c r="W377" s="85"/>
      <c r="Y377" s="94"/>
      <c r="Z377" s="93"/>
      <c r="AA377" s="85"/>
      <c r="AC377" s="94"/>
      <c r="AD377" s="93"/>
      <c r="AE377" s="85"/>
    </row>
    <row r="378" spans="7:31" ht="14.5" customHeight="1" x14ac:dyDescent="0.35">
      <c r="G378" s="85"/>
      <c r="H378" s="87"/>
      <c r="M378" s="94"/>
      <c r="N378" s="93"/>
      <c r="O378" s="85"/>
      <c r="Q378" s="94"/>
      <c r="R378" s="93"/>
      <c r="S378" s="85"/>
      <c r="U378" s="94"/>
      <c r="V378" s="93"/>
      <c r="W378" s="85"/>
      <c r="Y378" s="94"/>
      <c r="Z378" s="93"/>
      <c r="AA378" s="85"/>
      <c r="AC378" s="94"/>
      <c r="AD378" s="93"/>
      <c r="AE378" s="85"/>
    </row>
    <row r="379" spans="7:31" ht="14.5" customHeight="1" x14ac:dyDescent="0.35">
      <c r="G379" s="85"/>
      <c r="H379" s="87"/>
      <c r="M379" s="94"/>
      <c r="N379" s="93"/>
      <c r="O379" s="85"/>
      <c r="Q379" s="94"/>
      <c r="R379" s="93"/>
      <c r="S379" s="85"/>
      <c r="U379" s="94"/>
      <c r="V379" s="93"/>
      <c r="W379" s="85"/>
      <c r="Y379" s="94"/>
      <c r="Z379" s="93"/>
      <c r="AA379" s="85"/>
      <c r="AC379" s="94"/>
      <c r="AD379" s="93"/>
      <c r="AE379" s="85"/>
    </row>
    <row r="380" spans="7:31" ht="14.5" customHeight="1" x14ac:dyDescent="0.35">
      <c r="G380" s="85"/>
      <c r="H380" s="87"/>
      <c r="M380" s="94"/>
      <c r="N380" s="93"/>
      <c r="O380" s="85"/>
      <c r="Q380" s="94"/>
      <c r="R380" s="93"/>
      <c r="S380" s="85"/>
      <c r="U380" s="94"/>
      <c r="V380" s="93"/>
      <c r="W380" s="85"/>
      <c r="Y380" s="94"/>
      <c r="Z380" s="93"/>
      <c r="AA380" s="85"/>
      <c r="AC380" s="94"/>
      <c r="AD380" s="93"/>
      <c r="AE380" s="85"/>
    </row>
    <row r="381" spans="7:31" ht="14.5" customHeight="1" x14ac:dyDescent="0.35">
      <c r="G381" s="85"/>
      <c r="H381" s="87"/>
      <c r="M381" s="94"/>
      <c r="N381" s="93"/>
      <c r="O381" s="85"/>
      <c r="Q381" s="94"/>
      <c r="R381" s="93"/>
      <c r="S381" s="85"/>
      <c r="U381" s="94"/>
      <c r="V381" s="93"/>
      <c r="W381" s="85"/>
      <c r="Y381" s="94"/>
      <c r="Z381" s="93"/>
      <c r="AA381" s="85"/>
      <c r="AC381" s="94"/>
      <c r="AD381" s="93"/>
      <c r="AE381" s="85"/>
    </row>
    <row r="382" spans="7:31" ht="14.5" customHeight="1" x14ac:dyDescent="0.35">
      <c r="G382" s="85"/>
      <c r="H382" s="87"/>
      <c r="M382" s="94"/>
      <c r="N382" s="93"/>
      <c r="O382" s="85"/>
      <c r="Q382" s="94"/>
      <c r="R382" s="93"/>
      <c r="S382" s="85"/>
      <c r="U382" s="94"/>
      <c r="V382" s="93"/>
      <c r="W382" s="85"/>
      <c r="Y382" s="94"/>
      <c r="Z382" s="93"/>
      <c r="AA382" s="85"/>
      <c r="AC382" s="94"/>
      <c r="AD382" s="93"/>
      <c r="AE382" s="85"/>
    </row>
    <row r="383" spans="7:31" ht="14.5" customHeight="1" x14ac:dyDescent="0.35">
      <c r="G383" s="85"/>
      <c r="H383" s="87"/>
      <c r="M383" s="94"/>
      <c r="N383" s="93"/>
      <c r="O383" s="85"/>
      <c r="Q383" s="94"/>
      <c r="R383" s="93"/>
      <c r="S383" s="85"/>
      <c r="U383" s="94"/>
      <c r="V383" s="93"/>
      <c r="W383" s="85"/>
      <c r="Y383" s="94"/>
      <c r="Z383" s="93"/>
      <c r="AA383" s="85"/>
      <c r="AC383" s="94"/>
      <c r="AD383" s="93"/>
      <c r="AE383" s="85"/>
    </row>
    <row r="384" spans="7:31" ht="14.5" customHeight="1" x14ac:dyDescent="0.35">
      <c r="G384" s="85"/>
      <c r="H384" s="87"/>
      <c r="M384" s="94"/>
      <c r="N384" s="93"/>
      <c r="O384" s="85"/>
      <c r="Q384" s="94"/>
      <c r="R384" s="93"/>
      <c r="S384" s="85"/>
      <c r="U384" s="94"/>
      <c r="V384" s="93"/>
      <c r="W384" s="85"/>
      <c r="Y384" s="94"/>
      <c r="Z384" s="93"/>
      <c r="AA384" s="85"/>
      <c r="AC384" s="94"/>
      <c r="AD384" s="93"/>
      <c r="AE384" s="85"/>
    </row>
    <row r="385" spans="7:31" ht="14.5" customHeight="1" x14ac:dyDescent="0.35">
      <c r="G385" s="85"/>
      <c r="H385" s="87"/>
      <c r="M385" s="94"/>
      <c r="N385" s="93"/>
      <c r="O385" s="85"/>
      <c r="Q385" s="94"/>
      <c r="R385" s="93"/>
      <c r="S385" s="85"/>
      <c r="U385" s="94"/>
      <c r="V385" s="93"/>
      <c r="W385" s="85"/>
      <c r="Y385" s="94"/>
      <c r="Z385" s="93"/>
      <c r="AA385" s="85"/>
      <c r="AC385" s="94"/>
      <c r="AD385" s="93"/>
      <c r="AE385" s="85"/>
    </row>
    <row r="386" spans="7:31" ht="14.5" customHeight="1" x14ac:dyDescent="0.35">
      <c r="G386" s="85"/>
      <c r="H386" s="87"/>
      <c r="M386" s="94"/>
      <c r="N386" s="93"/>
      <c r="O386" s="85"/>
      <c r="Q386" s="94"/>
      <c r="R386" s="93"/>
      <c r="S386" s="85"/>
      <c r="U386" s="94"/>
      <c r="V386" s="93"/>
      <c r="W386" s="85"/>
      <c r="Y386" s="94"/>
      <c r="Z386" s="93"/>
      <c r="AA386" s="85"/>
      <c r="AC386" s="94"/>
      <c r="AD386" s="93"/>
      <c r="AE386" s="85"/>
    </row>
    <row r="387" spans="7:31" ht="14.5" customHeight="1" x14ac:dyDescent="0.35">
      <c r="G387" s="85"/>
      <c r="H387" s="87"/>
      <c r="M387" s="94"/>
      <c r="N387" s="93"/>
      <c r="O387" s="85"/>
      <c r="Q387" s="94"/>
      <c r="R387" s="93"/>
      <c r="S387" s="85"/>
      <c r="U387" s="94"/>
      <c r="V387" s="93"/>
      <c r="W387" s="85"/>
      <c r="Y387" s="94"/>
      <c r="Z387" s="93"/>
      <c r="AA387" s="85"/>
      <c r="AC387" s="94"/>
      <c r="AD387" s="93"/>
      <c r="AE387" s="85"/>
    </row>
    <row r="388" spans="7:31" ht="14.5" customHeight="1" x14ac:dyDescent="0.35">
      <c r="G388" s="85"/>
      <c r="H388" s="87"/>
      <c r="M388" s="94"/>
      <c r="N388" s="93"/>
      <c r="O388" s="85"/>
      <c r="Q388" s="94"/>
      <c r="R388" s="93"/>
      <c r="S388" s="85"/>
      <c r="U388" s="94"/>
      <c r="V388" s="93"/>
      <c r="W388" s="85"/>
      <c r="Y388" s="94"/>
      <c r="Z388" s="93"/>
      <c r="AA388" s="85"/>
      <c r="AC388" s="94"/>
      <c r="AD388" s="93"/>
      <c r="AE388" s="85"/>
    </row>
    <row r="389" spans="7:31" ht="14.5" customHeight="1" x14ac:dyDescent="0.35">
      <c r="G389" s="85"/>
      <c r="H389" s="87"/>
      <c r="M389" s="94"/>
      <c r="N389" s="93"/>
      <c r="O389" s="85"/>
      <c r="Q389" s="94"/>
      <c r="R389" s="93"/>
      <c r="S389" s="85"/>
      <c r="U389" s="94"/>
      <c r="V389" s="93"/>
      <c r="W389" s="85"/>
      <c r="Y389" s="94"/>
      <c r="Z389" s="93"/>
      <c r="AA389" s="85"/>
      <c r="AC389" s="94"/>
      <c r="AD389" s="93"/>
      <c r="AE389" s="85"/>
    </row>
    <row r="390" spans="7:31" ht="14.5" customHeight="1" x14ac:dyDescent="0.35">
      <c r="G390" s="85"/>
      <c r="H390" s="87"/>
      <c r="M390" s="94"/>
      <c r="N390" s="93"/>
      <c r="O390" s="85"/>
      <c r="Q390" s="94"/>
      <c r="R390" s="93"/>
      <c r="S390" s="85"/>
      <c r="U390" s="94"/>
      <c r="V390" s="93"/>
      <c r="W390" s="85"/>
      <c r="Y390" s="94"/>
      <c r="Z390" s="93"/>
      <c r="AA390" s="85"/>
      <c r="AC390" s="94"/>
      <c r="AD390" s="93"/>
      <c r="AE390" s="85"/>
    </row>
    <row r="391" spans="7:31" ht="14.5" customHeight="1" x14ac:dyDescent="0.35">
      <c r="G391" s="85"/>
      <c r="H391" s="87"/>
      <c r="M391" s="94"/>
      <c r="N391" s="93"/>
      <c r="O391" s="85"/>
      <c r="Q391" s="94"/>
      <c r="R391" s="93"/>
      <c r="S391" s="85"/>
      <c r="U391" s="94"/>
      <c r="V391" s="93"/>
      <c r="W391" s="85"/>
      <c r="Y391" s="94"/>
      <c r="Z391" s="93"/>
      <c r="AA391" s="85"/>
      <c r="AC391" s="94"/>
      <c r="AD391" s="93"/>
      <c r="AE391" s="85"/>
    </row>
    <row r="392" spans="7:31" ht="14.5" customHeight="1" x14ac:dyDescent="0.35">
      <c r="G392" s="85"/>
      <c r="H392" s="87"/>
      <c r="M392" s="94"/>
      <c r="N392" s="93"/>
      <c r="O392" s="85"/>
      <c r="Q392" s="94"/>
      <c r="R392" s="93"/>
      <c r="S392" s="85"/>
      <c r="U392" s="94"/>
      <c r="V392" s="93"/>
      <c r="W392" s="85"/>
      <c r="Y392" s="94"/>
      <c r="Z392" s="93"/>
      <c r="AA392" s="85"/>
      <c r="AC392" s="94"/>
      <c r="AD392" s="93"/>
      <c r="AE392" s="85"/>
    </row>
    <row r="393" spans="7:31" ht="14.5" customHeight="1" x14ac:dyDescent="0.35">
      <c r="G393" s="85"/>
      <c r="H393" s="87"/>
      <c r="M393" s="94"/>
      <c r="N393" s="93"/>
      <c r="O393" s="85"/>
      <c r="Q393" s="94"/>
      <c r="R393" s="93"/>
      <c r="S393" s="85"/>
      <c r="U393" s="94"/>
      <c r="V393" s="93"/>
      <c r="W393" s="85"/>
      <c r="Y393" s="94"/>
      <c r="Z393" s="93"/>
      <c r="AA393" s="85"/>
      <c r="AC393" s="94"/>
      <c r="AD393" s="93"/>
      <c r="AE393" s="85"/>
    </row>
    <row r="394" spans="7:31" ht="14.5" customHeight="1" x14ac:dyDescent="0.35">
      <c r="G394" s="85"/>
      <c r="H394" s="87"/>
      <c r="M394" s="94"/>
      <c r="N394" s="93"/>
      <c r="O394" s="85"/>
      <c r="Q394" s="94"/>
      <c r="R394" s="93"/>
      <c r="S394" s="85"/>
      <c r="U394" s="94"/>
      <c r="V394" s="93"/>
      <c r="W394" s="85"/>
      <c r="Y394" s="94"/>
      <c r="Z394" s="93"/>
      <c r="AA394" s="85"/>
      <c r="AC394" s="94"/>
      <c r="AD394" s="93"/>
      <c r="AE394" s="85"/>
    </row>
    <row r="395" spans="7:31" ht="14.5" customHeight="1" x14ac:dyDescent="0.35">
      <c r="G395" s="85"/>
      <c r="H395" s="87"/>
      <c r="M395" s="94"/>
      <c r="N395" s="93"/>
      <c r="O395" s="85"/>
      <c r="Q395" s="94"/>
      <c r="R395" s="93"/>
      <c r="S395" s="85"/>
      <c r="U395" s="94"/>
      <c r="V395" s="93"/>
      <c r="W395" s="85"/>
      <c r="Y395" s="94"/>
      <c r="Z395" s="93"/>
      <c r="AA395" s="85"/>
      <c r="AC395" s="94"/>
      <c r="AD395" s="93"/>
      <c r="AE395" s="85"/>
    </row>
    <row r="396" spans="7:31" ht="14.5" customHeight="1" x14ac:dyDescent="0.35">
      <c r="G396" s="85"/>
      <c r="H396" s="87"/>
      <c r="M396" s="94"/>
      <c r="N396" s="93"/>
      <c r="O396" s="85"/>
      <c r="Q396" s="94"/>
      <c r="R396" s="93"/>
      <c r="S396" s="85"/>
      <c r="U396" s="94"/>
      <c r="V396" s="93"/>
      <c r="W396" s="85"/>
      <c r="Y396" s="94"/>
      <c r="Z396" s="93"/>
      <c r="AA396" s="85"/>
      <c r="AC396" s="94"/>
      <c r="AD396" s="93"/>
      <c r="AE396" s="85"/>
    </row>
    <row r="397" spans="7:31" ht="14.5" customHeight="1" x14ac:dyDescent="0.35">
      <c r="G397" s="85"/>
      <c r="H397" s="87"/>
      <c r="M397" s="94"/>
      <c r="N397" s="93"/>
      <c r="O397" s="85"/>
      <c r="Q397" s="94"/>
      <c r="R397" s="93"/>
      <c r="S397" s="85"/>
      <c r="U397" s="94"/>
      <c r="V397" s="93"/>
      <c r="W397" s="85"/>
      <c r="Y397" s="94"/>
      <c r="Z397" s="93"/>
      <c r="AA397" s="85"/>
      <c r="AC397" s="94"/>
      <c r="AD397" s="93"/>
      <c r="AE397" s="85"/>
    </row>
    <row r="398" spans="7:31" ht="14.5" customHeight="1" x14ac:dyDescent="0.35">
      <c r="G398" s="85"/>
      <c r="H398" s="87"/>
      <c r="M398" s="94"/>
      <c r="N398" s="93"/>
      <c r="O398" s="85"/>
      <c r="Q398" s="94"/>
      <c r="R398" s="93"/>
      <c r="S398" s="85"/>
      <c r="U398" s="94"/>
      <c r="V398" s="93"/>
      <c r="W398" s="85"/>
      <c r="Y398" s="94"/>
      <c r="Z398" s="93"/>
      <c r="AA398" s="85"/>
      <c r="AC398" s="94"/>
      <c r="AD398" s="93"/>
      <c r="AE398" s="85"/>
    </row>
    <row r="399" spans="7:31" ht="14.5" customHeight="1" x14ac:dyDescent="0.35">
      <c r="G399" s="85"/>
      <c r="H399" s="87"/>
      <c r="M399" s="94"/>
      <c r="N399" s="93"/>
      <c r="O399" s="85"/>
      <c r="Q399" s="94"/>
      <c r="R399" s="93"/>
      <c r="S399" s="85"/>
      <c r="U399" s="94"/>
      <c r="V399" s="93"/>
      <c r="W399" s="85"/>
      <c r="Y399" s="94"/>
      <c r="Z399" s="93"/>
      <c r="AA399" s="85"/>
      <c r="AC399" s="94"/>
      <c r="AD399" s="93"/>
      <c r="AE399" s="85"/>
    </row>
    <row r="400" spans="7:31" ht="14.5" customHeight="1" x14ac:dyDescent="0.35">
      <c r="G400" s="85"/>
      <c r="H400" s="87"/>
      <c r="M400" s="94"/>
      <c r="N400" s="93"/>
      <c r="O400" s="85"/>
      <c r="Q400" s="94"/>
      <c r="R400" s="93"/>
      <c r="S400" s="85"/>
      <c r="U400" s="94"/>
      <c r="V400" s="93"/>
      <c r="W400" s="85"/>
      <c r="Y400" s="94"/>
      <c r="Z400" s="93"/>
      <c r="AA400" s="85"/>
      <c r="AC400" s="94"/>
      <c r="AD400" s="93"/>
      <c r="AE400" s="85"/>
    </row>
    <row r="401" spans="7:31" ht="14.5" customHeight="1" x14ac:dyDescent="0.35">
      <c r="G401" s="85"/>
      <c r="H401" s="87"/>
      <c r="M401" s="94"/>
      <c r="N401" s="93"/>
      <c r="O401" s="85"/>
      <c r="Q401" s="94"/>
      <c r="R401" s="93"/>
      <c r="S401" s="85"/>
      <c r="U401" s="94"/>
      <c r="V401" s="93"/>
      <c r="W401" s="85"/>
      <c r="Y401" s="94"/>
      <c r="Z401" s="93"/>
      <c r="AA401" s="85"/>
      <c r="AC401" s="94"/>
      <c r="AD401" s="93"/>
      <c r="AE401" s="85"/>
    </row>
    <row r="402" spans="7:31" ht="14.5" customHeight="1" x14ac:dyDescent="0.35">
      <c r="G402" s="85"/>
      <c r="H402" s="87"/>
      <c r="M402" s="94"/>
      <c r="N402" s="93"/>
      <c r="O402" s="85"/>
      <c r="Q402" s="94"/>
      <c r="R402" s="93"/>
      <c r="S402" s="85"/>
      <c r="U402" s="94"/>
      <c r="V402" s="93"/>
      <c r="W402" s="85"/>
      <c r="Y402" s="94"/>
      <c r="Z402" s="93"/>
      <c r="AA402" s="85"/>
      <c r="AC402" s="94"/>
      <c r="AD402" s="93"/>
      <c r="AE402" s="85"/>
    </row>
    <row r="403" spans="7:31" ht="14.5" customHeight="1" x14ac:dyDescent="0.35">
      <c r="G403" s="85"/>
      <c r="H403" s="87"/>
      <c r="M403" s="94"/>
      <c r="N403" s="93"/>
      <c r="O403" s="85"/>
      <c r="Q403" s="94"/>
      <c r="R403" s="93"/>
      <c r="S403" s="85"/>
      <c r="U403" s="94"/>
      <c r="V403" s="93"/>
      <c r="W403" s="85"/>
      <c r="Y403" s="94"/>
      <c r="Z403" s="93"/>
      <c r="AA403" s="85"/>
      <c r="AC403" s="94"/>
      <c r="AD403" s="93"/>
      <c r="AE403" s="85"/>
    </row>
    <row r="404" spans="7:31" ht="14.5" customHeight="1" x14ac:dyDescent="0.35">
      <c r="G404" s="85"/>
      <c r="H404" s="87"/>
      <c r="M404" s="94"/>
      <c r="N404" s="93"/>
      <c r="O404" s="85"/>
      <c r="Q404" s="94"/>
      <c r="R404" s="93"/>
      <c r="S404" s="85"/>
      <c r="U404" s="94"/>
      <c r="V404" s="93"/>
      <c r="W404" s="85"/>
      <c r="Y404" s="94"/>
      <c r="Z404" s="93"/>
      <c r="AA404" s="85"/>
      <c r="AC404" s="94"/>
      <c r="AD404" s="93"/>
      <c r="AE404" s="85"/>
    </row>
    <row r="405" spans="7:31" ht="14.5" customHeight="1" x14ac:dyDescent="0.35">
      <c r="G405" s="85"/>
      <c r="H405" s="87"/>
      <c r="M405" s="94"/>
      <c r="N405" s="93"/>
      <c r="O405" s="85"/>
      <c r="Q405" s="94"/>
      <c r="R405" s="93"/>
      <c r="S405" s="85"/>
      <c r="U405" s="94"/>
      <c r="V405" s="93"/>
      <c r="W405" s="85"/>
      <c r="Y405" s="94"/>
      <c r="Z405" s="93"/>
      <c r="AA405" s="85"/>
      <c r="AC405" s="94"/>
      <c r="AD405" s="93"/>
      <c r="AE405" s="85"/>
    </row>
    <row r="406" spans="7:31" ht="14.5" customHeight="1" x14ac:dyDescent="0.35">
      <c r="G406" s="85"/>
      <c r="H406" s="87"/>
      <c r="M406" s="94"/>
      <c r="N406" s="93"/>
      <c r="O406" s="85"/>
      <c r="Q406" s="94"/>
      <c r="R406" s="93"/>
      <c r="S406" s="85"/>
      <c r="U406" s="94"/>
      <c r="V406" s="93"/>
      <c r="W406" s="85"/>
      <c r="Y406" s="94"/>
      <c r="Z406" s="93"/>
      <c r="AA406" s="85"/>
      <c r="AC406" s="94"/>
      <c r="AD406" s="93"/>
      <c r="AE406" s="85"/>
    </row>
    <row r="407" spans="7:31" ht="14.5" customHeight="1" x14ac:dyDescent="0.35">
      <c r="G407" s="85"/>
      <c r="H407" s="87"/>
      <c r="M407" s="94"/>
      <c r="N407" s="93"/>
      <c r="O407" s="85"/>
      <c r="Q407" s="94"/>
      <c r="R407" s="93"/>
      <c r="S407" s="85"/>
      <c r="U407" s="94"/>
      <c r="V407" s="93"/>
      <c r="W407" s="85"/>
      <c r="Y407" s="94"/>
      <c r="Z407" s="93"/>
      <c r="AA407" s="85"/>
      <c r="AC407" s="94"/>
      <c r="AD407" s="93"/>
      <c r="AE407" s="85"/>
    </row>
    <row r="408" spans="7:31" ht="14.5" customHeight="1" x14ac:dyDescent="0.35">
      <c r="G408" s="85"/>
      <c r="H408" s="87"/>
      <c r="M408" s="94"/>
      <c r="N408" s="93"/>
      <c r="O408" s="85"/>
      <c r="Q408" s="94"/>
      <c r="R408" s="93"/>
      <c r="S408" s="85"/>
      <c r="U408" s="94"/>
      <c r="V408" s="93"/>
      <c r="W408" s="85"/>
      <c r="Y408" s="94"/>
      <c r="Z408" s="93"/>
      <c r="AA408" s="85"/>
      <c r="AC408" s="94"/>
      <c r="AD408" s="93"/>
      <c r="AE408" s="85"/>
    </row>
    <row r="409" spans="7:31" ht="14.5" customHeight="1" x14ac:dyDescent="0.35">
      <c r="G409" s="85"/>
      <c r="H409" s="87"/>
      <c r="M409" s="94"/>
      <c r="N409" s="93"/>
      <c r="O409" s="85"/>
      <c r="Q409" s="94"/>
      <c r="R409" s="93"/>
      <c r="S409" s="85"/>
      <c r="U409" s="94"/>
      <c r="V409" s="93"/>
      <c r="W409" s="85"/>
      <c r="Y409" s="94"/>
      <c r="Z409" s="93"/>
      <c r="AA409" s="85"/>
      <c r="AC409" s="94"/>
      <c r="AD409" s="93"/>
      <c r="AE409" s="85"/>
    </row>
    <row r="410" spans="7:31" ht="14.5" customHeight="1" x14ac:dyDescent="0.35">
      <c r="G410" s="85"/>
      <c r="H410" s="87"/>
      <c r="M410" s="94"/>
      <c r="N410" s="93"/>
      <c r="O410" s="85"/>
      <c r="Q410" s="94"/>
      <c r="R410" s="93"/>
      <c r="S410" s="85"/>
      <c r="U410" s="94"/>
      <c r="V410" s="93"/>
      <c r="W410" s="85"/>
      <c r="Y410" s="94"/>
      <c r="Z410" s="93"/>
      <c r="AA410" s="85"/>
      <c r="AC410" s="94"/>
      <c r="AD410" s="93"/>
      <c r="AE410" s="85"/>
    </row>
    <row r="411" spans="7:31" ht="14.5" customHeight="1" x14ac:dyDescent="0.35">
      <c r="G411" s="85"/>
      <c r="H411" s="87"/>
      <c r="M411" s="94"/>
      <c r="N411" s="93"/>
      <c r="O411" s="85"/>
      <c r="Q411" s="94"/>
      <c r="R411" s="93"/>
      <c r="S411" s="85"/>
      <c r="U411" s="94"/>
      <c r="V411" s="93"/>
      <c r="W411" s="85"/>
      <c r="Y411" s="94"/>
      <c r="Z411" s="93"/>
      <c r="AA411" s="85"/>
      <c r="AC411" s="94"/>
      <c r="AD411" s="93"/>
      <c r="AE411" s="85"/>
    </row>
    <row r="412" spans="7:31" ht="14.5" customHeight="1" x14ac:dyDescent="0.35">
      <c r="G412" s="85"/>
      <c r="H412" s="87"/>
      <c r="M412" s="94"/>
      <c r="N412" s="93"/>
      <c r="O412" s="85"/>
      <c r="Q412" s="94"/>
      <c r="R412" s="93"/>
      <c r="S412" s="85"/>
      <c r="U412" s="94"/>
      <c r="V412" s="93"/>
      <c r="W412" s="85"/>
      <c r="Y412" s="94"/>
      <c r="Z412" s="93"/>
      <c r="AA412" s="85"/>
      <c r="AC412" s="94"/>
      <c r="AD412" s="93"/>
      <c r="AE412" s="85"/>
    </row>
    <row r="413" spans="7:31" ht="14.5" customHeight="1" x14ac:dyDescent="0.35">
      <c r="G413" s="85"/>
      <c r="H413" s="87"/>
      <c r="M413" s="94"/>
      <c r="N413" s="93"/>
      <c r="O413" s="85"/>
      <c r="Q413" s="94"/>
      <c r="R413" s="93"/>
      <c r="S413" s="85"/>
      <c r="U413" s="94"/>
      <c r="V413" s="93"/>
      <c r="W413" s="85"/>
      <c r="Y413" s="94"/>
      <c r="Z413" s="93"/>
      <c r="AA413" s="85"/>
      <c r="AC413" s="94"/>
      <c r="AD413" s="93"/>
      <c r="AE413" s="85"/>
    </row>
    <row r="414" spans="7:31" ht="14.5" customHeight="1" x14ac:dyDescent="0.35">
      <c r="G414" s="85"/>
      <c r="H414" s="87"/>
      <c r="M414" s="94"/>
      <c r="N414" s="93"/>
      <c r="O414" s="85"/>
      <c r="Q414" s="94"/>
      <c r="R414" s="93"/>
      <c r="S414" s="85"/>
      <c r="U414" s="94"/>
      <c r="V414" s="93"/>
      <c r="W414" s="85"/>
      <c r="Y414" s="94"/>
      <c r="Z414" s="93"/>
      <c r="AA414" s="85"/>
      <c r="AC414" s="94"/>
      <c r="AD414" s="93"/>
      <c r="AE414" s="85"/>
    </row>
    <row r="415" spans="7:31" ht="14.5" customHeight="1" x14ac:dyDescent="0.35">
      <c r="G415" s="85"/>
      <c r="H415" s="87"/>
      <c r="M415" s="94"/>
      <c r="N415" s="93"/>
      <c r="O415" s="85"/>
      <c r="Q415" s="94"/>
      <c r="R415" s="93"/>
      <c r="S415" s="85"/>
      <c r="U415" s="94"/>
      <c r="V415" s="93"/>
      <c r="W415" s="85"/>
      <c r="Y415" s="94"/>
      <c r="Z415" s="93"/>
      <c r="AA415" s="85"/>
      <c r="AC415" s="94"/>
      <c r="AD415" s="93"/>
      <c r="AE415" s="85"/>
    </row>
    <row r="416" spans="7:31" ht="14.5" customHeight="1" x14ac:dyDescent="0.35">
      <c r="G416" s="85"/>
      <c r="H416" s="87"/>
      <c r="M416" s="94"/>
      <c r="N416" s="93"/>
      <c r="O416" s="85"/>
      <c r="Q416" s="94"/>
      <c r="R416" s="93"/>
      <c r="S416" s="85"/>
      <c r="U416" s="94"/>
      <c r="V416" s="93"/>
      <c r="W416" s="85"/>
      <c r="Y416" s="94"/>
      <c r="Z416" s="93"/>
      <c r="AA416" s="85"/>
      <c r="AC416" s="94"/>
      <c r="AD416" s="93"/>
      <c r="AE416" s="85"/>
    </row>
    <row r="417" spans="7:31" ht="14.5" customHeight="1" x14ac:dyDescent="0.35">
      <c r="G417" s="85"/>
      <c r="H417" s="87"/>
      <c r="M417" s="94"/>
      <c r="N417" s="93"/>
      <c r="O417" s="85"/>
      <c r="Q417" s="94"/>
      <c r="R417" s="93"/>
      <c r="S417" s="85"/>
      <c r="U417" s="94"/>
      <c r="V417" s="93"/>
      <c r="W417" s="85"/>
      <c r="Y417" s="94"/>
      <c r="Z417" s="93"/>
      <c r="AA417" s="85"/>
      <c r="AC417" s="94"/>
      <c r="AD417" s="93"/>
      <c r="AE417" s="85"/>
    </row>
    <row r="418" spans="7:31" ht="14.5" customHeight="1" x14ac:dyDescent="0.35">
      <c r="G418" s="85"/>
      <c r="H418" s="87"/>
      <c r="M418" s="94"/>
      <c r="N418" s="93"/>
      <c r="O418" s="85"/>
      <c r="Q418" s="94"/>
      <c r="R418" s="93"/>
      <c r="S418" s="85"/>
      <c r="U418" s="94"/>
      <c r="V418" s="93"/>
      <c r="W418" s="85"/>
      <c r="Y418" s="94"/>
      <c r="Z418" s="93"/>
      <c r="AA418" s="85"/>
      <c r="AC418" s="94"/>
      <c r="AD418" s="93"/>
      <c r="AE418" s="85"/>
    </row>
    <row r="419" spans="7:31" ht="14.5" customHeight="1" x14ac:dyDescent="0.35">
      <c r="G419" s="85"/>
      <c r="H419" s="87"/>
      <c r="M419" s="94"/>
      <c r="N419" s="93"/>
      <c r="O419" s="85"/>
      <c r="Q419" s="94"/>
      <c r="R419" s="93"/>
      <c r="S419" s="85"/>
      <c r="U419" s="94"/>
      <c r="V419" s="93"/>
      <c r="W419" s="85"/>
      <c r="Y419" s="94"/>
      <c r="Z419" s="93"/>
      <c r="AA419" s="85"/>
      <c r="AC419" s="94"/>
      <c r="AD419" s="93"/>
      <c r="AE419" s="85"/>
    </row>
    <row r="420" spans="7:31" ht="14.5" customHeight="1" x14ac:dyDescent="0.35">
      <c r="G420" s="85"/>
      <c r="H420" s="87"/>
      <c r="M420" s="94"/>
      <c r="N420" s="93"/>
      <c r="O420" s="85"/>
      <c r="Q420" s="94"/>
      <c r="R420" s="93"/>
      <c r="S420" s="85"/>
      <c r="U420" s="94"/>
      <c r="V420" s="93"/>
      <c r="W420" s="85"/>
      <c r="Y420" s="94"/>
      <c r="Z420" s="93"/>
      <c r="AA420" s="85"/>
      <c r="AC420" s="94"/>
      <c r="AD420" s="93"/>
      <c r="AE420" s="85"/>
    </row>
    <row r="421" spans="7:31" ht="14.5" customHeight="1" x14ac:dyDescent="0.35">
      <c r="G421" s="85"/>
      <c r="H421" s="87"/>
      <c r="M421" s="94"/>
      <c r="N421" s="93"/>
      <c r="O421" s="85"/>
      <c r="Q421" s="94"/>
      <c r="R421" s="93"/>
      <c r="S421" s="85"/>
      <c r="U421" s="94"/>
      <c r="V421" s="93"/>
      <c r="W421" s="85"/>
      <c r="Y421" s="94"/>
      <c r="Z421" s="93"/>
      <c r="AA421" s="85"/>
      <c r="AC421" s="94"/>
      <c r="AD421" s="93"/>
      <c r="AE421" s="85"/>
    </row>
    <row r="422" spans="7:31" ht="14.5" customHeight="1" x14ac:dyDescent="0.35">
      <c r="G422" s="85"/>
      <c r="H422" s="87"/>
      <c r="M422" s="94"/>
      <c r="N422" s="93"/>
      <c r="O422" s="85"/>
      <c r="Q422" s="94"/>
      <c r="R422" s="93"/>
      <c r="S422" s="85"/>
      <c r="U422" s="94"/>
      <c r="V422" s="93"/>
      <c r="W422" s="85"/>
      <c r="Y422" s="94"/>
      <c r="Z422" s="93"/>
      <c r="AA422" s="85"/>
      <c r="AC422" s="94"/>
      <c r="AD422" s="93"/>
      <c r="AE422" s="85"/>
    </row>
    <row r="423" spans="7:31" ht="14.5" customHeight="1" x14ac:dyDescent="0.35">
      <c r="G423" s="85"/>
      <c r="H423" s="87"/>
      <c r="M423" s="94"/>
      <c r="N423" s="93"/>
      <c r="O423" s="85"/>
      <c r="Q423" s="94"/>
      <c r="R423" s="93"/>
      <c r="S423" s="85"/>
      <c r="U423" s="94"/>
      <c r="V423" s="93"/>
      <c r="W423" s="85"/>
      <c r="Y423" s="94"/>
      <c r="Z423" s="93"/>
      <c r="AA423" s="85"/>
      <c r="AC423" s="94"/>
      <c r="AD423" s="93"/>
      <c r="AE423" s="85"/>
    </row>
    <row r="424" spans="7:31" ht="14.5" customHeight="1" x14ac:dyDescent="0.35">
      <c r="G424" s="85"/>
      <c r="H424" s="87"/>
      <c r="M424" s="94"/>
      <c r="N424" s="93"/>
      <c r="O424" s="85"/>
      <c r="Q424" s="94"/>
      <c r="R424" s="93"/>
      <c r="S424" s="85"/>
      <c r="U424" s="94"/>
      <c r="V424" s="93"/>
      <c r="W424" s="85"/>
      <c r="Y424" s="94"/>
      <c r="Z424" s="93"/>
      <c r="AA424" s="85"/>
      <c r="AC424" s="94"/>
      <c r="AD424" s="93"/>
      <c r="AE424" s="85"/>
    </row>
    <row r="425" spans="7:31" ht="14.5" customHeight="1" x14ac:dyDescent="0.35">
      <c r="G425" s="85"/>
      <c r="H425" s="87"/>
      <c r="M425" s="94"/>
      <c r="N425" s="93"/>
      <c r="O425" s="85"/>
      <c r="Q425" s="94"/>
      <c r="R425" s="93"/>
      <c r="S425" s="85"/>
      <c r="U425" s="94"/>
      <c r="V425" s="93"/>
      <c r="W425" s="85"/>
      <c r="Y425" s="94"/>
      <c r="Z425" s="93"/>
      <c r="AA425" s="85"/>
      <c r="AC425" s="94"/>
      <c r="AD425" s="93"/>
      <c r="AE425" s="85"/>
    </row>
    <row r="426" spans="7:31" ht="14.5" customHeight="1" x14ac:dyDescent="0.35">
      <c r="G426" s="85"/>
      <c r="H426" s="87"/>
      <c r="M426" s="94"/>
      <c r="N426" s="93"/>
      <c r="O426" s="85"/>
      <c r="Q426" s="94"/>
      <c r="R426" s="93"/>
      <c r="S426" s="85"/>
      <c r="U426" s="94"/>
      <c r="V426" s="93"/>
      <c r="W426" s="85"/>
      <c r="Y426" s="94"/>
      <c r="Z426" s="93"/>
      <c r="AA426" s="85"/>
      <c r="AC426" s="94"/>
      <c r="AD426" s="93"/>
      <c r="AE426" s="85"/>
    </row>
    <row r="427" spans="7:31" ht="14.5" customHeight="1" x14ac:dyDescent="0.35">
      <c r="G427" s="85"/>
      <c r="H427" s="87"/>
      <c r="M427" s="94"/>
      <c r="N427" s="93"/>
      <c r="O427" s="85"/>
      <c r="Q427" s="94"/>
      <c r="R427" s="93"/>
      <c r="S427" s="85"/>
      <c r="U427" s="94"/>
      <c r="V427" s="93"/>
      <c r="W427" s="85"/>
      <c r="Y427" s="94"/>
      <c r="Z427" s="93"/>
      <c r="AA427" s="85"/>
      <c r="AC427" s="94"/>
      <c r="AD427" s="93"/>
      <c r="AE427" s="85"/>
    </row>
    <row r="428" spans="7:31" ht="14.5" customHeight="1" x14ac:dyDescent="0.35">
      <c r="G428" s="85"/>
      <c r="H428" s="87"/>
      <c r="M428" s="94"/>
      <c r="N428" s="93"/>
      <c r="O428" s="85"/>
      <c r="Q428" s="94"/>
      <c r="R428" s="93"/>
      <c r="S428" s="85"/>
      <c r="U428" s="94"/>
      <c r="V428" s="93"/>
      <c r="W428" s="85"/>
      <c r="Y428" s="94"/>
      <c r="Z428" s="93"/>
      <c r="AA428" s="85"/>
      <c r="AC428" s="94"/>
      <c r="AD428" s="93"/>
      <c r="AE428" s="85"/>
    </row>
    <row r="429" spans="7:31" ht="14.5" customHeight="1" x14ac:dyDescent="0.35">
      <c r="G429" s="85"/>
      <c r="H429" s="87"/>
      <c r="M429" s="94"/>
      <c r="N429" s="93"/>
      <c r="O429" s="85"/>
      <c r="Q429" s="94"/>
      <c r="R429" s="93"/>
      <c r="S429" s="85"/>
      <c r="U429" s="94"/>
      <c r="V429" s="93"/>
      <c r="W429" s="85"/>
      <c r="Y429" s="94"/>
      <c r="Z429" s="93"/>
      <c r="AA429" s="85"/>
      <c r="AC429" s="94"/>
      <c r="AD429" s="93"/>
      <c r="AE429" s="85"/>
    </row>
    <row r="430" spans="7:31" ht="14.5" customHeight="1" x14ac:dyDescent="0.35">
      <c r="G430" s="85"/>
      <c r="H430" s="87"/>
      <c r="M430" s="94"/>
      <c r="N430" s="93"/>
      <c r="O430" s="85"/>
      <c r="Q430" s="94"/>
      <c r="R430" s="93"/>
      <c r="S430" s="85"/>
      <c r="U430" s="94"/>
      <c r="V430" s="93"/>
      <c r="W430" s="85"/>
      <c r="Y430" s="94"/>
      <c r="Z430" s="93"/>
      <c r="AA430" s="85"/>
      <c r="AC430" s="94"/>
      <c r="AD430" s="93"/>
      <c r="AE430" s="85"/>
    </row>
    <row r="431" spans="7:31" ht="14.5" customHeight="1" x14ac:dyDescent="0.35">
      <c r="G431" s="85"/>
      <c r="H431" s="87"/>
      <c r="M431" s="94"/>
      <c r="N431" s="93"/>
      <c r="O431" s="85"/>
      <c r="Q431" s="94"/>
      <c r="R431" s="93"/>
      <c r="S431" s="85"/>
      <c r="U431" s="94"/>
      <c r="V431" s="93"/>
      <c r="W431" s="85"/>
      <c r="Y431" s="94"/>
      <c r="Z431" s="93"/>
      <c r="AA431" s="85"/>
      <c r="AC431" s="94"/>
      <c r="AD431" s="93"/>
      <c r="AE431" s="85"/>
    </row>
    <row r="432" spans="7:31" ht="14.5" customHeight="1" x14ac:dyDescent="0.35">
      <c r="G432" s="85"/>
      <c r="H432" s="87"/>
      <c r="M432" s="94"/>
      <c r="N432" s="93"/>
      <c r="O432" s="85"/>
      <c r="Q432" s="94"/>
      <c r="R432" s="93"/>
      <c r="S432" s="85"/>
      <c r="U432" s="94"/>
      <c r="V432" s="93"/>
      <c r="W432" s="85"/>
      <c r="Y432" s="94"/>
      <c r="Z432" s="93"/>
      <c r="AA432" s="85"/>
      <c r="AC432" s="94"/>
      <c r="AD432" s="93"/>
      <c r="AE432" s="85"/>
    </row>
    <row r="433" spans="7:31" ht="14.5" customHeight="1" x14ac:dyDescent="0.35">
      <c r="G433" s="85"/>
      <c r="H433" s="87"/>
      <c r="M433" s="94"/>
      <c r="N433" s="93"/>
      <c r="O433" s="85"/>
      <c r="Q433" s="94"/>
      <c r="R433" s="93"/>
      <c r="S433" s="85"/>
      <c r="U433" s="94"/>
      <c r="V433" s="93"/>
      <c r="W433" s="85"/>
      <c r="Y433" s="94"/>
      <c r="Z433" s="93"/>
      <c r="AA433" s="85"/>
      <c r="AC433" s="94"/>
      <c r="AD433" s="93"/>
      <c r="AE433" s="85"/>
    </row>
    <row r="434" spans="7:31" ht="14.5" customHeight="1" x14ac:dyDescent="0.35">
      <c r="G434" s="85"/>
      <c r="H434" s="87"/>
      <c r="M434" s="94"/>
      <c r="N434" s="93"/>
      <c r="O434" s="85"/>
      <c r="Q434" s="94"/>
      <c r="R434" s="93"/>
      <c r="S434" s="85"/>
      <c r="U434" s="94"/>
      <c r="V434" s="93"/>
      <c r="W434" s="85"/>
      <c r="Y434" s="94"/>
      <c r="Z434" s="93"/>
      <c r="AA434" s="85"/>
      <c r="AC434" s="94"/>
      <c r="AD434" s="93"/>
      <c r="AE434" s="85"/>
    </row>
    <row r="435" spans="7:31" ht="14.5" customHeight="1" x14ac:dyDescent="0.35">
      <c r="G435" s="85"/>
      <c r="H435" s="87"/>
      <c r="M435" s="94"/>
      <c r="N435" s="93"/>
      <c r="O435" s="85"/>
      <c r="Q435" s="94"/>
      <c r="R435" s="93"/>
      <c r="S435" s="85"/>
      <c r="U435" s="94"/>
      <c r="V435" s="93"/>
      <c r="W435" s="85"/>
      <c r="Y435" s="94"/>
      <c r="Z435" s="93"/>
      <c r="AA435" s="85"/>
      <c r="AC435" s="94"/>
      <c r="AD435" s="93"/>
      <c r="AE435" s="85"/>
    </row>
    <row r="436" spans="7:31" ht="14.5" customHeight="1" x14ac:dyDescent="0.35">
      <c r="G436" s="85"/>
      <c r="H436" s="87"/>
      <c r="M436" s="94"/>
      <c r="N436" s="93"/>
      <c r="O436" s="85"/>
      <c r="Q436" s="94"/>
      <c r="R436" s="93"/>
      <c r="S436" s="85"/>
      <c r="U436" s="94"/>
      <c r="V436" s="93"/>
      <c r="W436" s="85"/>
      <c r="Y436" s="94"/>
      <c r="Z436" s="93"/>
      <c r="AA436" s="85"/>
      <c r="AC436" s="94"/>
      <c r="AD436" s="93"/>
      <c r="AE436" s="85"/>
    </row>
    <row r="437" spans="7:31" ht="14.5" customHeight="1" x14ac:dyDescent="0.35">
      <c r="G437" s="85"/>
      <c r="H437" s="87"/>
      <c r="M437" s="94"/>
      <c r="N437" s="93"/>
      <c r="O437" s="85"/>
      <c r="Q437" s="94"/>
      <c r="R437" s="93"/>
      <c r="S437" s="85"/>
      <c r="U437" s="94"/>
      <c r="V437" s="93"/>
      <c r="W437" s="85"/>
      <c r="Y437" s="94"/>
      <c r="Z437" s="93"/>
      <c r="AA437" s="85"/>
      <c r="AC437" s="94"/>
      <c r="AD437" s="93"/>
      <c r="AE437" s="85"/>
    </row>
    <row r="438" spans="7:31" ht="14.5" customHeight="1" x14ac:dyDescent="0.35">
      <c r="G438" s="85"/>
      <c r="H438" s="87"/>
      <c r="M438" s="94"/>
      <c r="N438" s="93"/>
      <c r="O438" s="85"/>
      <c r="Q438" s="94"/>
      <c r="R438" s="93"/>
      <c r="S438" s="85"/>
      <c r="U438" s="94"/>
      <c r="V438" s="93"/>
      <c r="W438" s="85"/>
      <c r="Y438" s="94"/>
      <c r="Z438" s="93"/>
      <c r="AA438" s="85"/>
      <c r="AC438" s="94"/>
      <c r="AD438" s="93"/>
      <c r="AE438" s="85"/>
    </row>
    <row r="439" spans="7:31" ht="14.5" customHeight="1" x14ac:dyDescent="0.35">
      <c r="G439" s="85"/>
      <c r="H439" s="87"/>
      <c r="M439" s="94"/>
      <c r="N439" s="93"/>
      <c r="O439" s="85"/>
      <c r="Q439" s="94"/>
      <c r="R439" s="93"/>
      <c r="S439" s="85"/>
      <c r="U439" s="94"/>
      <c r="V439" s="93"/>
      <c r="W439" s="85"/>
      <c r="Y439" s="94"/>
      <c r="Z439" s="93"/>
      <c r="AA439" s="85"/>
      <c r="AC439" s="94"/>
      <c r="AD439" s="93"/>
      <c r="AE439" s="85"/>
    </row>
    <row r="440" spans="7:31" ht="14.5" customHeight="1" x14ac:dyDescent="0.35">
      <c r="G440" s="85"/>
      <c r="H440" s="87"/>
      <c r="M440" s="94"/>
      <c r="N440" s="93"/>
      <c r="O440" s="85"/>
      <c r="Q440" s="94"/>
      <c r="R440" s="93"/>
      <c r="S440" s="85"/>
      <c r="U440" s="94"/>
      <c r="V440" s="93"/>
      <c r="W440" s="85"/>
      <c r="Y440" s="94"/>
      <c r="Z440" s="93"/>
      <c r="AA440" s="85"/>
      <c r="AC440" s="94"/>
      <c r="AD440" s="93"/>
      <c r="AE440" s="85"/>
    </row>
    <row r="441" spans="7:31" ht="14.5" customHeight="1" x14ac:dyDescent="0.35">
      <c r="G441" s="85"/>
      <c r="H441" s="87"/>
      <c r="M441" s="94"/>
      <c r="N441" s="93"/>
      <c r="O441" s="85"/>
      <c r="Q441" s="94"/>
      <c r="R441" s="93"/>
      <c r="S441" s="85"/>
      <c r="U441" s="94"/>
      <c r="V441" s="93"/>
      <c r="W441" s="85"/>
      <c r="Y441" s="94"/>
      <c r="Z441" s="93"/>
      <c r="AA441" s="85"/>
      <c r="AC441" s="94"/>
      <c r="AD441" s="93"/>
      <c r="AE441" s="85"/>
    </row>
    <row r="442" spans="7:31" ht="14.5" customHeight="1" x14ac:dyDescent="0.35">
      <c r="G442" s="85"/>
      <c r="H442" s="87"/>
      <c r="M442" s="94"/>
      <c r="N442" s="93"/>
      <c r="O442" s="85"/>
      <c r="Q442" s="94"/>
      <c r="R442" s="93"/>
      <c r="S442" s="85"/>
      <c r="U442" s="94"/>
      <c r="V442" s="93"/>
      <c r="W442" s="85"/>
      <c r="Y442" s="94"/>
      <c r="Z442" s="93"/>
      <c r="AA442" s="85"/>
      <c r="AC442" s="94"/>
      <c r="AD442" s="93"/>
      <c r="AE442" s="85"/>
    </row>
    <row r="443" spans="7:31" ht="14.5" customHeight="1" x14ac:dyDescent="0.35">
      <c r="G443" s="85"/>
      <c r="H443" s="87"/>
      <c r="M443" s="94"/>
      <c r="N443" s="93"/>
      <c r="O443" s="85"/>
      <c r="Q443" s="94"/>
      <c r="R443" s="93"/>
      <c r="S443" s="85"/>
      <c r="U443" s="94"/>
      <c r="V443" s="93"/>
      <c r="W443" s="85"/>
      <c r="Y443" s="94"/>
      <c r="Z443" s="93"/>
      <c r="AA443" s="85"/>
      <c r="AC443" s="94"/>
      <c r="AD443" s="93"/>
      <c r="AE443" s="85"/>
    </row>
    <row r="444" spans="7:31" ht="14.5" customHeight="1" x14ac:dyDescent="0.35">
      <c r="G444" s="85"/>
      <c r="H444" s="87"/>
      <c r="M444" s="94"/>
      <c r="N444" s="93"/>
      <c r="O444" s="85"/>
      <c r="Q444" s="94"/>
      <c r="R444" s="93"/>
      <c r="S444" s="85"/>
      <c r="U444" s="94"/>
      <c r="V444" s="93"/>
      <c r="W444" s="85"/>
      <c r="Y444" s="94"/>
      <c r="Z444" s="93"/>
      <c r="AA444" s="85"/>
      <c r="AC444" s="94"/>
      <c r="AD444" s="93"/>
      <c r="AE444" s="85"/>
    </row>
    <row r="445" spans="7:31" ht="14.5" customHeight="1" x14ac:dyDescent="0.35">
      <c r="G445" s="85"/>
      <c r="H445" s="87"/>
      <c r="M445" s="94"/>
      <c r="N445" s="93"/>
      <c r="O445" s="85"/>
      <c r="Q445" s="94"/>
      <c r="R445" s="93"/>
      <c r="S445" s="85"/>
      <c r="U445" s="94"/>
      <c r="V445" s="93"/>
      <c r="W445" s="85"/>
      <c r="Y445" s="94"/>
      <c r="Z445" s="93"/>
      <c r="AA445" s="85"/>
      <c r="AC445" s="94"/>
      <c r="AD445" s="93"/>
      <c r="AE445" s="85"/>
    </row>
    <row r="446" spans="7:31" ht="14.5" customHeight="1" x14ac:dyDescent="0.35">
      <c r="G446" s="85"/>
      <c r="H446" s="87"/>
      <c r="M446" s="94"/>
      <c r="N446" s="93"/>
      <c r="O446" s="85"/>
      <c r="Q446" s="94"/>
      <c r="R446" s="93"/>
      <c r="S446" s="85"/>
      <c r="U446" s="94"/>
      <c r="V446" s="93"/>
      <c r="W446" s="85"/>
      <c r="Y446" s="94"/>
      <c r="Z446" s="93"/>
      <c r="AA446" s="85"/>
      <c r="AC446" s="94"/>
      <c r="AD446" s="93"/>
      <c r="AE446" s="85"/>
    </row>
    <row r="447" spans="7:31" ht="14.5" customHeight="1" x14ac:dyDescent="0.35">
      <c r="G447" s="85"/>
      <c r="H447" s="87"/>
      <c r="M447" s="94"/>
      <c r="N447" s="93"/>
      <c r="O447" s="85"/>
      <c r="Q447" s="94"/>
      <c r="R447" s="93"/>
      <c r="S447" s="85"/>
      <c r="U447" s="94"/>
      <c r="V447" s="93"/>
      <c r="W447" s="85"/>
      <c r="Y447" s="94"/>
      <c r="Z447" s="93"/>
      <c r="AA447" s="85"/>
      <c r="AC447" s="94"/>
      <c r="AD447" s="93"/>
      <c r="AE447" s="85"/>
    </row>
    <row r="448" spans="7:31" ht="14.5" customHeight="1" x14ac:dyDescent="0.35">
      <c r="G448" s="85"/>
      <c r="H448" s="87"/>
      <c r="M448" s="94"/>
      <c r="N448" s="93"/>
      <c r="O448" s="85"/>
      <c r="Q448" s="94"/>
      <c r="R448" s="93"/>
      <c r="S448" s="85"/>
      <c r="U448" s="94"/>
      <c r="V448" s="93"/>
      <c r="W448" s="85"/>
      <c r="Y448" s="94"/>
      <c r="Z448" s="93"/>
      <c r="AA448" s="85"/>
      <c r="AC448" s="94"/>
      <c r="AD448" s="93"/>
      <c r="AE448" s="85"/>
    </row>
    <row r="449" spans="7:31" ht="14.5" customHeight="1" x14ac:dyDescent="0.35">
      <c r="G449" s="85"/>
      <c r="H449" s="87"/>
      <c r="M449" s="94"/>
      <c r="N449" s="93"/>
      <c r="O449" s="85"/>
      <c r="Q449" s="94"/>
      <c r="R449" s="93"/>
      <c r="S449" s="85"/>
      <c r="U449" s="94"/>
      <c r="V449" s="93"/>
      <c r="W449" s="85"/>
      <c r="Y449" s="94"/>
      <c r="Z449" s="93"/>
      <c r="AA449" s="85"/>
      <c r="AC449" s="94"/>
      <c r="AD449" s="93"/>
      <c r="AE449" s="85"/>
    </row>
    <row r="450" spans="7:31" ht="14.5" customHeight="1" x14ac:dyDescent="0.35">
      <c r="G450" s="85"/>
      <c r="H450" s="87"/>
      <c r="M450" s="94"/>
      <c r="N450" s="93"/>
      <c r="O450" s="85"/>
      <c r="Q450" s="94"/>
      <c r="R450" s="93"/>
      <c r="S450" s="85"/>
      <c r="U450" s="94"/>
      <c r="V450" s="93"/>
      <c r="W450" s="85"/>
      <c r="Y450" s="94"/>
      <c r="Z450" s="93"/>
      <c r="AA450" s="85"/>
      <c r="AC450" s="94"/>
      <c r="AD450" s="93"/>
      <c r="AE450" s="85"/>
    </row>
    <row r="451" spans="7:31" ht="14.5" customHeight="1" x14ac:dyDescent="0.35">
      <c r="G451" s="85"/>
      <c r="H451" s="87"/>
      <c r="M451" s="94"/>
      <c r="N451" s="93"/>
      <c r="O451" s="85"/>
      <c r="Q451" s="94"/>
      <c r="R451" s="93"/>
      <c r="S451" s="85"/>
      <c r="U451" s="94"/>
      <c r="V451" s="93"/>
      <c r="W451" s="85"/>
      <c r="Y451" s="94"/>
      <c r="Z451" s="93"/>
      <c r="AA451" s="85"/>
      <c r="AC451" s="94"/>
      <c r="AD451" s="93"/>
      <c r="AE451" s="85"/>
    </row>
    <row r="452" spans="7:31" ht="14.5" customHeight="1" x14ac:dyDescent="0.35">
      <c r="G452" s="85"/>
      <c r="H452" s="87"/>
      <c r="M452" s="94"/>
      <c r="N452" s="93"/>
      <c r="O452" s="85"/>
      <c r="Q452" s="94"/>
      <c r="R452" s="93"/>
      <c r="S452" s="85"/>
      <c r="U452" s="94"/>
      <c r="V452" s="93"/>
      <c r="W452" s="85"/>
      <c r="Y452" s="94"/>
      <c r="Z452" s="93"/>
      <c r="AA452" s="85"/>
      <c r="AC452" s="94"/>
      <c r="AD452" s="93"/>
      <c r="AE452" s="85"/>
    </row>
    <row r="453" spans="7:31" ht="14.5" customHeight="1" x14ac:dyDescent="0.35">
      <c r="G453" s="85"/>
      <c r="H453" s="87"/>
      <c r="M453" s="94"/>
      <c r="N453" s="93"/>
      <c r="O453" s="85"/>
      <c r="Q453" s="94"/>
      <c r="R453" s="93"/>
      <c r="S453" s="85"/>
      <c r="U453" s="94"/>
      <c r="V453" s="93"/>
      <c r="W453" s="85"/>
      <c r="Y453" s="94"/>
      <c r="Z453" s="93"/>
      <c r="AA453" s="85"/>
      <c r="AC453" s="94"/>
      <c r="AD453" s="93"/>
      <c r="AE453" s="85"/>
    </row>
    <row r="454" spans="7:31" ht="14.5" customHeight="1" x14ac:dyDescent="0.35">
      <c r="G454" s="85"/>
      <c r="H454" s="87"/>
      <c r="M454" s="94"/>
      <c r="N454" s="93"/>
      <c r="O454" s="85"/>
      <c r="Q454" s="94"/>
      <c r="R454" s="93"/>
      <c r="S454" s="85"/>
      <c r="U454" s="94"/>
      <c r="V454" s="93"/>
      <c r="W454" s="85"/>
      <c r="Y454" s="94"/>
      <c r="Z454" s="93"/>
      <c r="AA454" s="85"/>
      <c r="AC454" s="94"/>
      <c r="AD454" s="93"/>
      <c r="AE454" s="85"/>
    </row>
    <row r="455" spans="7:31" ht="14.5" customHeight="1" x14ac:dyDescent="0.35">
      <c r="G455" s="85"/>
      <c r="H455" s="87"/>
      <c r="M455" s="94"/>
      <c r="N455" s="93"/>
      <c r="O455" s="85"/>
      <c r="Q455" s="94"/>
      <c r="R455" s="93"/>
      <c r="S455" s="85"/>
      <c r="U455" s="94"/>
      <c r="V455" s="93"/>
      <c r="W455" s="85"/>
      <c r="Y455" s="94"/>
      <c r="Z455" s="93"/>
      <c r="AA455" s="85"/>
      <c r="AC455" s="94"/>
      <c r="AD455" s="93"/>
      <c r="AE455" s="85"/>
    </row>
    <row r="456" spans="7:31" ht="14.5" customHeight="1" x14ac:dyDescent="0.35">
      <c r="G456" s="85"/>
      <c r="H456" s="87"/>
      <c r="M456" s="94"/>
      <c r="N456" s="93"/>
      <c r="O456" s="85"/>
      <c r="Q456" s="94"/>
      <c r="R456" s="93"/>
      <c r="S456" s="85"/>
      <c r="U456" s="94"/>
      <c r="V456" s="93"/>
      <c r="W456" s="85"/>
      <c r="Y456" s="94"/>
      <c r="Z456" s="93"/>
      <c r="AA456" s="85"/>
      <c r="AC456" s="94"/>
      <c r="AD456" s="93"/>
      <c r="AE456" s="85"/>
    </row>
    <row r="457" spans="7:31" ht="14.5" customHeight="1" x14ac:dyDescent="0.35">
      <c r="G457" s="85"/>
      <c r="H457" s="87"/>
      <c r="M457" s="94"/>
      <c r="N457" s="93"/>
      <c r="O457" s="85"/>
      <c r="Q457" s="94"/>
      <c r="R457" s="93"/>
      <c r="S457" s="85"/>
      <c r="U457" s="94"/>
      <c r="V457" s="93"/>
      <c r="W457" s="85"/>
      <c r="Y457" s="94"/>
      <c r="Z457" s="93"/>
      <c r="AA457" s="85"/>
      <c r="AC457" s="94"/>
      <c r="AD457" s="93"/>
      <c r="AE457" s="85"/>
    </row>
    <row r="458" spans="7:31" ht="14.5" customHeight="1" x14ac:dyDescent="0.35">
      <c r="G458" s="85"/>
      <c r="H458" s="87"/>
      <c r="M458" s="94"/>
      <c r="N458" s="93"/>
      <c r="O458" s="85"/>
      <c r="Q458" s="94"/>
      <c r="R458" s="93"/>
      <c r="S458" s="85"/>
      <c r="U458" s="94"/>
      <c r="V458" s="93"/>
      <c r="W458" s="85"/>
      <c r="Y458" s="94"/>
      <c r="Z458" s="93"/>
      <c r="AA458" s="85"/>
      <c r="AC458" s="94"/>
      <c r="AD458" s="93"/>
      <c r="AE458" s="85"/>
    </row>
    <row r="459" spans="7:31" ht="14.5" customHeight="1" x14ac:dyDescent="0.35">
      <c r="G459" s="85"/>
      <c r="H459" s="87"/>
      <c r="M459" s="94"/>
      <c r="N459" s="93"/>
      <c r="O459" s="85"/>
      <c r="Q459" s="94"/>
      <c r="R459" s="93"/>
      <c r="S459" s="85"/>
      <c r="U459" s="94"/>
      <c r="V459" s="93"/>
      <c r="W459" s="85"/>
      <c r="Y459" s="94"/>
      <c r="Z459" s="93"/>
      <c r="AA459" s="85"/>
      <c r="AC459" s="94"/>
      <c r="AD459" s="93"/>
      <c r="AE459" s="85"/>
    </row>
    <row r="460" spans="7:31" ht="14.5" customHeight="1" x14ac:dyDescent="0.35">
      <c r="G460" s="85"/>
      <c r="H460" s="87"/>
      <c r="M460" s="94"/>
      <c r="N460" s="93"/>
      <c r="O460" s="85"/>
      <c r="Q460" s="94"/>
      <c r="R460" s="93"/>
      <c r="S460" s="85"/>
      <c r="U460" s="94"/>
      <c r="V460" s="93"/>
      <c r="W460" s="85"/>
      <c r="Y460" s="94"/>
      <c r="Z460" s="93"/>
      <c r="AA460" s="85"/>
      <c r="AC460" s="94"/>
      <c r="AD460" s="93"/>
      <c r="AE460" s="85"/>
    </row>
    <row r="461" spans="7:31" ht="14.5" customHeight="1" x14ac:dyDescent="0.35">
      <c r="G461" s="85"/>
      <c r="H461" s="87"/>
      <c r="M461" s="94"/>
      <c r="N461" s="93"/>
      <c r="O461" s="85"/>
      <c r="Q461" s="94"/>
      <c r="R461" s="93"/>
      <c r="S461" s="85"/>
      <c r="U461" s="94"/>
      <c r="V461" s="93"/>
      <c r="W461" s="85"/>
      <c r="Y461" s="94"/>
      <c r="Z461" s="93"/>
      <c r="AA461" s="85"/>
      <c r="AC461" s="94"/>
      <c r="AD461" s="93"/>
      <c r="AE461" s="85"/>
    </row>
    <row r="462" spans="7:31" ht="14.5" customHeight="1" x14ac:dyDescent="0.35">
      <c r="G462" s="85"/>
      <c r="H462" s="87"/>
      <c r="M462" s="94"/>
      <c r="N462" s="93"/>
      <c r="O462" s="85"/>
      <c r="Q462" s="94"/>
      <c r="R462" s="93"/>
      <c r="S462" s="85"/>
      <c r="U462" s="94"/>
      <c r="V462" s="93"/>
      <c r="W462" s="85"/>
      <c r="Y462" s="94"/>
      <c r="Z462" s="93"/>
      <c r="AA462" s="85"/>
      <c r="AC462" s="94"/>
      <c r="AD462" s="93"/>
      <c r="AE462" s="85"/>
    </row>
    <row r="463" spans="7:31" ht="14.5" customHeight="1" x14ac:dyDescent="0.35">
      <c r="G463" s="85"/>
      <c r="H463" s="87"/>
      <c r="M463" s="94"/>
      <c r="N463" s="93"/>
      <c r="O463" s="85"/>
      <c r="Q463" s="94"/>
      <c r="R463" s="93"/>
      <c r="S463" s="85"/>
      <c r="U463" s="94"/>
      <c r="V463" s="93"/>
      <c r="W463" s="85"/>
      <c r="Y463" s="94"/>
      <c r="Z463" s="93"/>
      <c r="AA463" s="85"/>
      <c r="AC463" s="94"/>
      <c r="AD463" s="93"/>
      <c r="AE463" s="85"/>
    </row>
    <row r="464" spans="7:31" ht="14.5" customHeight="1" x14ac:dyDescent="0.35">
      <c r="G464" s="85"/>
      <c r="H464" s="87"/>
      <c r="M464" s="94"/>
      <c r="N464" s="93"/>
      <c r="O464" s="85"/>
      <c r="Q464" s="94"/>
      <c r="R464" s="93"/>
      <c r="S464" s="85"/>
      <c r="U464" s="94"/>
      <c r="V464" s="93"/>
      <c r="W464" s="85"/>
      <c r="Y464" s="94"/>
      <c r="Z464" s="93"/>
      <c r="AA464" s="85"/>
      <c r="AC464" s="94"/>
      <c r="AD464" s="93"/>
      <c r="AE464" s="85"/>
    </row>
    <row r="465" spans="7:31" ht="14.5" customHeight="1" x14ac:dyDescent="0.35">
      <c r="G465" s="85"/>
      <c r="H465" s="87"/>
      <c r="M465" s="94"/>
      <c r="N465" s="93"/>
      <c r="O465" s="85"/>
      <c r="Q465" s="94"/>
      <c r="R465" s="93"/>
      <c r="S465" s="85"/>
      <c r="U465" s="94"/>
      <c r="V465" s="93"/>
      <c r="W465" s="85"/>
      <c r="Y465" s="94"/>
      <c r="Z465" s="93"/>
      <c r="AA465" s="85"/>
      <c r="AC465" s="94"/>
      <c r="AD465" s="93"/>
      <c r="AE465" s="85"/>
    </row>
    <row r="466" spans="7:31" ht="14.5" customHeight="1" x14ac:dyDescent="0.35">
      <c r="G466" s="85"/>
      <c r="H466" s="87"/>
      <c r="M466" s="94"/>
      <c r="N466" s="93"/>
      <c r="O466" s="85"/>
      <c r="Q466" s="94"/>
      <c r="R466" s="93"/>
      <c r="S466" s="85"/>
      <c r="U466" s="94"/>
      <c r="V466" s="93"/>
      <c r="W466" s="85"/>
      <c r="Y466" s="94"/>
      <c r="Z466" s="93"/>
      <c r="AA466" s="85"/>
      <c r="AC466" s="94"/>
      <c r="AD466" s="93"/>
      <c r="AE466" s="85"/>
    </row>
    <row r="467" spans="7:31" ht="14.5" customHeight="1" x14ac:dyDescent="0.35">
      <c r="G467" s="85"/>
      <c r="H467" s="87"/>
      <c r="M467" s="94"/>
      <c r="N467" s="93"/>
      <c r="O467" s="85"/>
      <c r="Q467" s="94"/>
      <c r="R467" s="93"/>
      <c r="S467" s="85"/>
      <c r="U467" s="94"/>
      <c r="V467" s="93"/>
      <c r="W467" s="85"/>
      <c r="Y467" s="94"/>
      <c r="Z467" s="93"/>
      <c r="AA467" s="85"/>
      <c r="AC467" s="94"/>
      <c r="AD467" s="93"/>
      <c r="AE467" s="85"/>
    </row>
    <row r="468" spans="7:31" ht="14.5" customHeight="1" x14ac:dyDescent="0.35">
      <c r="G468" s="85"/>
      <c r="H468" s="87"/>
      <c r="M468" s="94"/>
      <c r="N468" s="93"/>
      <c r="O468" s="85"/>
      <c r="Q468" s="94"/>
      <c r="R468" s="93"/>
      <c r="S468" s="85"/>
      <c r="U468" s="94"/>
      <c r="V468" s="93"/>
      <c r="W468" s="85"/>
      <c r="Y468" s="94"/>
      <c r="Z468" s="93"/>
      <c r="AA468" s="85"/>
      <c r="AC468" s="94"/>
      <c r="AD468" s="93"/>
      <c r="AE468" s="85"/>
    </row>
    <row r="469" spans="7:31" ht="14.5" customHeight="1" x14ac:dyDescent="0.35">
      <c r="G469" s="85"/>
      <c r="H469" s="87"/>
      <c r="M469" s="94"/>
      <c r="N469" s="93"/>
      <c r="O469" s="85"/>
      <c r="Q469" s="94"/>
      <c r="R469" s="93"/>
      <c r="S469" s="85"/>
      <c r="U469" s="94"/>
      <c r="V469" s="93"/>
      <c r="W469" s="85"/>
      <c r="Y469" s="94"/>
      <c r="Z469" s="93"/>
      <c r="AA469" s="85"/>
      <c r="AC469" s="94"/>
      <c r="AD469" s="93"/>
      <c r="AE469" s="85"/>
    </row>
    <row r="470" spans="7:31" ht="14.5" customHeight="1" x14ac:dyDescent="0.35">
      <c r="G470" s="85"/>
      <c r="H470" s="87"/>
      <c r="M470" s="94"/>
      <c r="N470" s="93"/>
      <c r="O470" s="85"/>
      <c r="Q470" s="94"/>
      <c r="R470" s="93"/>
      <c r="S470" s="85"/>
      <c r="U470" s="94"/>
      <c r="V470" s="93"/>
      <c r="W470" s="85"/>
      <c r="Y470" s="94"/>
      <c r="Z470" s="93"/>
      <c r="AA470" s="85"/>
      <c r="AC470" s="94"/>
      <c r="AD470" s="93"/>
      <c r="AE470" s="85"/>
    </row>
    <row r="471" spans="7:31" ht="14.5" customHeight="1" x14ac:dyDescent="0.35">
      <c r="G471" s="85"/>
      <c r="H471" s="87"/>
      <c r="M471" s="94"/>
      <c r="N471" s="93"/>
      <c r="O471" s="85"/>
      <c r="Q471" s="94"/>
      <c r="R471" s="93"/>
      <c r="S471" s="85"/>
      <c r="U471" s="94"/>
      <c r="V471" s="93"/>
      <c r="W471" s="85"/>
      <c r="Y471" s="94"/>
      <c r="Z471" s="93"/>
      <c r="AA471" s="85"/>
      <c r="AC471" s="94"/>
      <c r="AD471" s="93"/>
      <c r="AE471" s="85"/>
    </row>
    <row r="472" spans="7:31" ht="14.5" customHeight="1" x14ac:dyDescent="0.35">
      <c r="G472" s="85"/>
      <c r="H472" s="87"/>
      <c r="M472" s="94"/>
      <c r="N472" s="93"/>
      <c r="O472" s="85"/>
      <c r="Q472" s="94"/>
      <c r="R472" s="93"/>
      <c r="S472" s="85"/>
      <c r="U472" s="94"/>
      <c r="V472" s="93"/>
      <c r="W472" s="85"/>
      <c r="Y472" s="94"/>
      <c r="Z472" s="93"/>
      <c r="AA472" s="85"/>
      <c r="AC472" s="94"/>
      <c r="AD472" s="93"/>
      <c r="AE472" s="85"/>
    </row>
    <row r="473" spans="7:31" ht="14.5" customHeight="1" x14ac:dyDescent="0.35">
      <c r="G473" s="85"/>
      <c r="H473" s="87"/>
      <c r="M473" s="94"/>
      <c r="N473" s="93"/>
      <c r="O473" s="85"/>
      <c r="Q473" s="94"/>
      <c r="R473" s="93"/>
      <c r="S473" s="85"/>
      <c r="U473" s="94"/>
      <c r="V473" s="93"/>
      <c r="W473" s="85"/>
      <c r="Y473" s="94"/>
      <c r="Z473" s="93"/>
      <c r="AA473" s="85"/>
      <c r="AC473" s="94"/>
      <c r="AD473" s="93"/>
      <c r="AE473" s="85"/>
    </row>
    <row r="474" spans="7:31" ht="14.5" customHeight="1" x14ac:dyDescent="0.35">
      <c r="G474" s="85"/>
      <c r="H474" s="87"/>
      <c r="M474" s="94"/>
      <c r="N474" s="93"/>
      <c r="O474" s="85"/>
      <c r="Q474" s="94"/>
      <c r="R474" s="93"/>
      <c r="S474" s="85"/>
      <c r="U474" s="94"/>
      <c r="V474" s="93"/>
      <c r="W474" s="85"/>
      <c r="Y474" s="94"/>
      <c r="Z474" s="93"/>
      <c r="AA474" s="85"/>
      <c r="AC474" s="94"/>
      <c r="AD474" s="93"/>
      <c r="AE474" s="85"/>
    </row>
    <row r="475" spans="7:31" ht="14.5" customHeight="1" x14ac:dyDescent="0.35">
      <c r="G475" s="85"/>
      <c r="H475" s="87"/>
      <c r="M475" s="94"/>
      <c r="N475" s="93"/>
      <c r="O475" s="85"/>
      <c r="Q475" s="94"/>
      <c r="R475" s="93"/>
      <c r="S475" s="85"/>
      <c r="U475" s="94"/>
      <c r="V475" s="93"/>
      <c r="W475" s="85"/>
      <c r="Y475" s="94"/>
      <c r="Z475" s="93"/>
      <c r="AA475" s="85"/>
      <c r="AC475" s="94"/>
      <c r="AD475" s="93"/>
      <c r="AE475" s="85"/>
    </row>
    <row r="476" spans="7:31" ht="14.5" customHeight="1" x14ac:dyDescent="0.35">
      <c r="G476" s="85"/>
      <c r="H476" s="87"/>
      <c r="M476" s="94"/>
      <c r="N476" s="93"/>
      <c r="O476" s="85"/>
      <c r="Q476" s="94"/>
      <c r="R476" s="93"/>
      <c r="S476" s="85"/>
      <c r="U476" s="94"/>
      <c r="V476" s="93"/>
      <c r="W476" s="85"/>
      <c r="Y476" s="94"/>
      <c r="Z476" s="93"/>
      <c r="AA476" s="85"/>
      <c r="AC476" s="94"/>
      <c r="AD476" s="93"/>
      <c r="AE476" s="85"/>
    </row>
    <row r="477" spans="7:31" ht="14.5" customHeight="1" x14ac:dyDescent="0.35">
      <c r="G477" s="85"/>
      <c r="H477" s="87"/>
      <c r="M477" s="94"/>
      <c r="N477" s="93"/>
      <c r="O477" s="85"/>
      <c r="Q477" s="94"/>
      <c r="R477" s="93"/>
      <c r="S477" s="85"/>
      <c r="U477" s="94"/>
      <c r="V477" s="93"/>
      <c r="W477" s="85"/>
      <c r="Y477" s="94"/>
      <c r="Z477" s="93"/>
      <c r="AA477" s="85"/>
      <c r="AC477" s="94"/>
      <c r="AD477" s="93"/>
      <c r="AE477" s="85"/>
    </row>
    <row r="478" spans="7:31" ht="14.5" customHeight="1" x14ac:dyDescent="0.35">
      <c r="G478" s="85"/>
      <c r="H478" s="87"/>
      <c r="M478" s="94"/>
      <c r="N478" s="93"/>
      <c r="O478" s="85"/>
      <c r="Q478" s="94"/>
      <c r="R478" s="93"/>
      <c r="S478" s="85"/>
      <c r="U478" s="94"/>
      <c r="V478" s="93"/>
      <c r="W478" s="85"/>
      <c r="Y478" s="94"/>
      <c r="Z478" s="93"/>
      <c r="AA478" s="85"/>
      <c r="AC478" s="94"/>
      <c r="AD478" s="93"/>
      <c r="AE478" s="85"/>
    </row>
    <row r="479" spans="7:31" ht="14.5" customHeight="1" x14ac:dyDescent="0.35">
      <c r="G479" s="85"/>
      <c r="H479" s="87"/>
      <c r="M479" s="94"/>
      <c r="N479" s="93"/>
      <c r="O479" s="85"/>
      <c r="Q479" s="94"/>
      <c r="R479" s="93"/>
      <c r="S479" s="85"/>
      <c r="U479" s="94"/>
      <c r="V479" s="93"/>
      <c r="W479" s="85"/>
      <c r="Y479" s="94"/>
      <c r="Z479" s="93"/>
      <c r="AA479" s="85"/>
      <c r="AC479" s="94"/>
      <c r="AD479" s="93"/>
      <c r="AE479" s="85"/>
    </row>
    <row r="480" spans="7:31" ht="14.5" customHeight="1" x14ac:dyDescent="0.35">
      <c r="G480" s="85"/>
      <c r="H480" s="87"/>
      <c r="M480" s="94"/>
      <c r="N480" s="93"/>
      <c r="O480" s="85"/>
      <c r="Q480" s="94"/>
      <c r="R480" s="93"/>
      <c r="S480" s="85"/>
      <c r="U480" s="94"/>
      <c r="V480" s="93"/>
      <c r="W480" s="85"/>
      <c r="Y480" s="94"/>
      <c r="Z480" s="93"/>
      <c r="AA480" s="85"/>
      <c r="AC480" s="94"/>
      <c r="AD480" s="93"/>
      <c r="AE480" s="85"/>
    </row>
    <row r="481" spans="7:31" ht="14.5" customHeight="1" x14ac:dyDescent="0.35">
      <c r="G481" s="85"/>
      <c r="H481" s="87"/>
      <c r="M481" s="94"/>
      <c r="N481" s="93"/>
      <c r="O481" s="85"/>
      <c r="Q481" s="94"/>
      <c r="R481" s="93"/>
      <c r="S481" s="85"/>
      <c r="U481" s="94"/>
      <c r="V481" s="93"/>
      <c r="W481" s="85"/>
      <c r="Y481" s="94"/>
      <c r="Z481" s="93"/>
      <c r="AA481" s="85"/>
      <c r="AC481" s="94"/>
      <c r="AD481" s="93"/>
      <c r="AE481" s="85"/>
    </row>
    <row r="482" spans="7:31" ht="14.5" customHeight="1" x14ac:dyDescent="0.35">
      <c r="G482" s="85"/>
      <c r="H482" s="87"/>
      <c r="M482" s="94"/>
      <c r="N482" s="93"/>
      <c r="O482" s="85"/>
      <c r="Q482" s="94"/>
      <c r="R482" s="93"/>
      <c r="S482" s="85"/>
      <c r="U482" s="94"/>
      <c r="V482" s="93"/>
      <c r="W482" s="85"/>
      <c r="Y482" s="94"/>
      <c r="Z482" s="93"/>
      <c r="AA482" s="85"/>
      <c r="AC482" s="94"/>
      <c r="AD482" s="93"/>
      <c r="AE482" s="85"/>
    </row>
    <row r="483" spans="7:31" ht="14.5" customHeight="1" x14ac:dyDescent="0.35">
      <c r="G483" s="85"/>
      <c r="H483" s="87"/>
      <c r="M483" s="94"/>
      <c r="N483" s="93"/>
      <c r="O483" s="85"/>
      <c r="Q483" s="94"/>
      <c r="R483" s="93"/>
      <c r="S483" s="85"/>
      <c r="U483" s="94"/>
      <c r="V483" s="93"/>
      <c r="W483" s="85"/>
      <c r="Y483" s="94"/>
      <c r="Z483" s="93"/>
      <c r="AA483" s="85"/>
      <c r="AC483" s="94"/>
      <c r="AD483" s="93"/>
      <c r="AE483" s="85"/>
    </row>
    <row r="484" spans="7:31" ht="14.5" customHeight="1" x14ac:dyDescent="0.35">
      <c r="G484" s="85"/>
      <c r="H484" s="87"/>
      <c r="M484" s="94"/>
      <c r="N484" s="93"/>
      <c r="O484" s="85"/>
      <c r="Q484" s="94"/>
      <c r="R484" s="93"/>
      <c r="S484" s="85"/>
      <c r="U484" s="94"/>
      <c r="V484" s="93"/>
      <c r="W484" s="85"/>
      <c r="Y484" s="94"/>
      <c r="Z484" s="93"/>
      <c r="AA484" s="85"/>
      <c r="AC484" s="94"/>
      <c r="AD484" s="93"/>
      <c r="AE484" s="85"/>
    </row>
    <row r="485" spans="7:31" ht="14.5" customHeight="1" x14ac:dyDescent="0.35">
      <c r="G485" s="85"/>
      <c r="H485" s="87"/>
      <c r="M485" s="94"/>
      <c r="N485" s="93"/>
      <c r="O485" s="85"/>
      <c r="Q485" s="94"/>
      <c r="R485" s="93"/>
      <c r="S485" s="85"/>
      <c r="U485" s="94"/>
      <c r="V485" s="93"/>
      <c r="W485" s="85"/>
      <c r="Y485" s="94"/>
      <c r="Z485" s="93"/>
      <c r="AA485" s="85"/>
      <c r="AC485" s="94"/>
      <c r="AD485" s="93"/>
      <c r="AE485" s="85"/>
    </row>
    <row r="486" spans="7:31" ht="14.5" customHeight="1" x14ac:dyDescent="0.35">
      <c r="G486" s="85"/>
      <c r="H486" s="87"/>
      <c r="M486" s="94"/>
      <c r="N486" s="93"/>
      <c r="O486" s="85"/>
      <c r="Q486" s="94"/>
      <c r="R486" s="93"/>
      <c r="S486" s="85"/>
      <c r="U486" s="94"/>
      <c r="V486" s="93"/>
      <c r="W486" s="85"/>
      <c r="Y486" s="94"/>
      <c r="Z486" s="93"/>
      <c r="AA486" s="85"/>
      <c r="AC486" s="94"/>
      <c r="AD486" s="93"/>
      <c r="AE486" s="85"/>
    </row>
    <row r="487" spans="7:31" ht="14.5" customHeight="1" x14ac:dyDescent="0.35">
      <c r="G487" s="85"/>
      <c r="H487" s="87"/>
      <c r="M487" s="94"/>
      <c r="N487" s="93"/>
      <c r="O487" s="85"/>
      <c r="Q487" s="94"/>
      <c r="R487" s="93"/>
      <c r="S487" s="85"/>
      <c r="U487" s="94"/>
      <c r="V487" s="93"/>
      <c r="W487" s="85"/>
      <c r="Y487" s="94"/>
      <c r="Z487" s="93"/>
      <c r="AA487" s="85"/>
      <c r="AC487" s="94"/>
      <c r="AD487" s="93"/>
      <c r="AE487" s="85"/>
    </row>
    <row r="488" spans="7:31" ht="14.5" customHeight="1" x14ac:dyDescent="0.35">
      <c r="G488" s="85"/>
      <c r="H488" s="87"/>
      <c r="M488" s="94"/>
      <c r="N488" s="93"/>
      <c r="O488" s="85"/>
      <c r="Q488" s="94"/>
      <c r="R488" s="93"/>
      <c r="S488" s="85"/>
      <c r="U488" s="94"/>
      <c r="V488" s="93"/>
      <c r="W488" s="85"/>
      <c r="Y488" s="94"/>
      <c r="Z488" s="93"/>
      <c r="AA488" s="85"/>
      <c r="AC488" s="94"/>
      <c r="AD488" s="93"/>
      <c r="AE488" s="85"/>
    </row>
    <row r="489" spans="7:31" ht="14.5" customHeight="1" x14ac:dyDescent="0.35">
      <c r="G489" s="85"/>
      <c r="H489" s="87"/>
      <c r="M489" s="94"/>
      <c r="N489" s="93"/>
      <c r="O489" s="85"/>
      <c r="Q489" s="94"/>
      <c r="R489" s="93"/>
      <c r="S489" s="85"/>
      <c r="U489" s="94"/>
      <c r="V489" s="93"/>
      <c r="W489" s="85"/>
      <c r="Y489" s="94"/>
      <c r="Z489" s="93"/>
      <c r="AA489" s="85"/>
      <c r="AC489" s="94"/>
      <c r="AD489" s="93"/>
      <c r="AE489" s="85"/>
    </row>
    <row r="490" spans="7:31" ht="14.5" customHeight="1" x14ac:dyDescent="0.35">
      <c r="G490" s="85"/>
      <c r="H490" s="87"/>
      <c r="M490" s="94"/>
      <c r="N490" s="93"/>
      <c r="O490" s="85"/>
      <c r="Q490" s="94"/>
      <c r="R490" s="93"/>
      <c r="S490" s="85"/>
      <c r="U490" s="94"/>
      <c r="V490" s="93"/>
      <c r="W490" s="85"/>
      <c r="Y490" s="94"/>
      <c r="Z490" s="93"/>
      <c r="AA490" s="85"/>
      <c r="AC490" s="94"/>
      <c r="AD490" s="93"/>
      <c r="AE490" s="85"/>
    </row>
    <row r="491" spans="7:31" ht="14.5" customHeight="1" x14ac:dyDescent="0.35">
      <c r="G491" s="85"/>
      <c r="H491" s="87"/>
      <c r="M491" s="94"/>
      <c r="N491" s="93"/>
      <c r="O491" s="85"/>
      <c r="Q491" s="94"/>
      <c r="R491" s="93"/>
      <c r="S491" s="85"/>
      <c r="U491" s="94"/>
      <c r="V491" s="93"/>
      <c r="W491" s="85"/>
      <c r="Y491" s="94"/>
      <c r="Z491" s="93"/>
      <c r="AA491" s="85"/>
      <c r="AC491" s="94"/>
      <c r="AD491" s="93"/>
      <c r="AE491" s="85"/>
    </row>
    <row r="492" spans="7:31" ht="14.5" customHeight="1" x14ac:dyDescent="0.35">
      <c r="G492" s="85"/>
      <c r="H492" s="87"/>
      <c r="M492" s="94"/>
      <c r="N492" s="93"/>
      <c r="O492" s="85"/>
      <c r="Q492" s="94"/>
      <c r="R492" s="93"/>
      <c r="S492" s="85"/>
      <c r="U492" s="94"/>
      <c r="V492" s="93"/>
      <c r="W492" s="85"/>
      <c r="Y492" s="94"/>
      <c r="Z492" s="93"/>
      <c r="AA492" s="85"/>
      <c r="AC492" s="94"/>
      <c r="AD492" s="93"/>
      <c r="AE492" s="85"/>
    </row>
    <row r="493" spans="7:31" ht="14.5" customHeight="1" x14ac:dyDescent="0.35">
      <c r="G493" s="85"/>
      <c r="H493" s="87"/>
      <c r="M493" s="94"/>
      <c r="N493" s="93"/>
      <c r="O493" s="85"/>
      <c r="Q493" s="94"/>
      <c r="R493" s="93"/>
      <c r="S493" s="85"/>
      <c r="U493" s="94"/>
      <c r="V493" s="93"/>
      <c r="W493" s="85"/>
      <c r="Y493" s="94"/>
      <c r="Z493" s="93"/>
      <c r="AA493" s="85"/>
      <c r="AC493" s="94"/>
      <c r="AD493" s="93"/>
      <c r="AE493" s="85"/>
    </row>
    <row r="494" spans="7:31" ht="14.5" customHeight="1" x14ac:dyDescent="0.35">
      <c r="G494" s="85"/>
      <c r="H494" s="87"/>
      <c r="M494" s="94"/>
      <c r="N494" s="93"/>
      <c r="O494" s="85"/>
      <c r="Q494" s="94"/>
      <c r="R494" s="93"/>
      <c r="S494" s="85"/>
      <c r="U494" s="94"/>
      <c r="V494" s="93"/>
      <c r="W494" s="85"/>
      <c r="Y494" s="94"/>
      <c r="Z494" s="93"/>
      <c r="AA494" s="85"/>
      <c r="AC494" s="94"/>
      <c r="AD494" s="93"/>
      <c r="AE494" s="85"/>
    </row>
    <row r="495" spans="7:31" ht="14.5" customHeight="1" x14ac:dyDescent="0.35">
      <c r="G495" s="85"/>
      <c r="H495" s="87"/>
      <c r="M495" s="94"/>
      <c r="N495" s="93"/>
      <c r="O495" s="85"/>
      <c r="Q495" s="94"/>
      <c r="R495" s="93"/>
      <c r="S495" s="85"/>
      <c r="U495" s="94"/>
      <c r="V495" s="93"/>
      <c r="W495" s="85"/>
      <c r="Y495" s="94"/>
      <c r="Z495" s="93"/>
      <c r="AA495" s="85"/>
      <c r="AC495" s="94"/>
      <c r="AD495" s="93"/>
      <c r="AE495" s="85"/>
    </row>
    <row r="496" spans="7:31" ht="14.5" customHeight="1" x14ac:dyDescent="0.35">
      <c r="G496" s="85"/>
      <c r="H496" s="87"/>
      <c r="M496" s="94"/>
      <c r="N496" s="93"/>
      <c r="O496" s="85"/>
      <c r="Q496" s="94"/>
      <c r="R496" s="93"/>
      <c r="S496" s="85"/>
      <c r="U496" s="94"/>
      <c r="V496" s="93"/>
      <c r="W496" s="85"/>
      <c r="Y496" s="94"/>
      <c r="Z496" s="93"/>
      <c r="AA496" s="85"/>
      <c r="AC496" s="94"/>
      <c r="AD496" s="93"/>
      <c r="AE496" s="85"/>
    </row>
    <row r="497" spans="7:31" ht="14.5" customHeight="1" x14ac:dyDescent="0.35">
      <c r="G497" s="85"/>
      <c r="H497" s="87"/>
      <c r="M497" s="94"/>
      <c r="N497" s="93"/>
      <c r="O497" s="85"/>
      <c r="Q497" s="94"/>
      <c r="R497" s="93"/>
      <c r="S497" s="85"/>
      <c r="U497" s="94"/>
      <c r="V497" s="93"/>
      <c r="W497" s="85"/>
      <c r="Y497" s="94"/>
      <c r="Z497" s="93"/>
      <c r="AA497" s="85"/>
      <c r="AC497" s="94"/>
      <c r="AD497" s="93"/>
      <c r="AE497" s="85"/>
    </row>
    <row r="498" spans="7:31" ht="14.5" customHeight="1" x14ac:dyDescent="0.35">
      <c r="G498" s="85"/>
      <c r="H498" s="87"/>
      <c r="M498" s="94"/>
      <c r="N498" s="93"/>
      <c r="O498" s="85"/>
      <c r="Q498" s="94"/>
      <c r="R498" s="93"/>
      <c r="S498" s="85"/>
      <c r="U498" s="94"/>
      <c r="V498" s="93"/>
      <c r="W498" s="85"/>
      <c r="Y498" s="94"/>
      <c r="Z498" s="93"/>
      <c r="AA498" s="85"/>
      <c r="AC498" s="94"/>
      <c r="AD498" s="93"/>
      <c r="AE498" s="85"/>
    </row>
    <row r="499" spans="7:31" ht="14.5" customHeight="1" x14ac:dyDescent="0.35">
      <c r="G499" s="85"/>
      <c r="H499" s="87"/>
      <c r="M499" s="94"/>
      <c r="N499" s="93"/>
      <c r="O499" s="85"/>
      <c r="Q499" s="94"/>
      <c r="R499" s="93"/>
      <c r="S499" s="85"/>
      <c r="U499" s="94"/>
      <c r="V499" s="93"/>
      <c r="W499" s="85"/>
      <c r="Y499" s="94"/>
      <c r="Z499" s="93"/>
      <c r="AA499" s="85"/>
      <c r="AC499" s="94"/>
      <c r="AD499" s="93"/>
      <c r="AE499" s="85"/>
    </row>
    <row r="500" spans="7:31" ht="14.5" customHeight="1" x14ac:dyDescent="0.35">
      <c r="G500" s="85"/>
      <c r="H500" s="87"/>
      <c r="M500" s="94"/>
      <c r="N500" s="93"/>
      <c r="O500" s="85"/>
      <c r="Q500" s="94"/>
      <c r="R500" s="93"/>
      <c r="S500" s="85"/>
      <c r="U500" s="94"/>
      <c r="V500" s="93"/>
      <c r="W500" s="85"/>
      <c r="Y500" s="94"/>
      <c r="Z500" s="93"/>
      <c r="AA500" s="85"/>
      <c r="AC500" s="94"/>
      <c r="AD500" s="93"/>
      <c r="AE500" s="85"/>
    </row>
    <row r="501" spans="7:31" ht="14.5" customHeight="1" x14ac:dyDescent="0.35">
      <c r="G501" s="85"/>
      <c r="H501" s="87"/>
      <c r="M501" s="94"/>
      <c r="N501" s="93"/>
      <c r="O501" s="85"/>
      <c r="Q501" s="94"/>
      <c r="R501" s="93"/>
      <c r="S501" s="85"/>
      <c r="U501" s="94"/>
      <c r="V501" s="93"/>
      <c r="W501" s="85"/>
      <c r="Y501" s="94"/>
      <c r="Z501" s="93"/>
      <c r="AA501" s="85"/>
      <c r="AC501" s="94"/>
      <c r="AD501" s="93"/>
      <c r="AE501" s="85"/>
    </row>
    <row r="502" spans="7:31" ht="14.5" customHeight="1" x14ac:dyDescent="0.35">
      <c r="G502" s="85"/>
      <c r="H502" s="87"/>
      <c r="M502" s="94"/>
      <c r="N502" s="93"/>
      <c r="O502" s="85"/>
      <c r="Q502" s="94"/>
      <c r="R502" s="93"/>
      <c r="S502" s="85"/>
      <c r="U502" s="94"/>
      <c r="V502" s="93"/>
      <c r="W502" s="85"/>
      <c r="Y502" s="94"/>
      <c r="Z502" s="93"/>
      <c r="AA502" s="85"/>
      <c r="AC502" s="94"/>
      <c r="AD502" s="93"/>
      <c r="AE502" s="85"/>
    </row>
    <row r="503" spans="7:31" ht="14.5" customHeight="1" x14ac:dyDescent="0.35">
      <c r="G503" s="85"/>
      <c r="H503" s="87"/>
      <c r="M503" s="94"/>
      <c r="N503" s="93"/>
      <c r="O503" s="85"/>
      <c r="Q503" s="94"/>
      <c r="R503" s="93"/>
      <c r="S503" s="85"/>
      <c r="U503" s="94"/>
      <c r="V503" s="93"/>
      <c r="W503" s="85"/>
      <c r="Y503" s="94"/>
      <c r="Z503" s="93"/>
      <c r="AA503" s="85"/>
      <c r="AC503" s="94"/>
      <c r="AD503" s="93"/>
      <c r="AE503" s="85"/>
    </row>
    <row r="504" spans="7:31" ht="14.5" customHeight="1" x14ac:dyDescent="0.35">
      <c r="G504" s="85"/>
      <c r="H504" s="87"/>
      <c r="M504" s="94"/>
      <c r="N504" s="93"/>
      <c r="O504" s="85"/>
      <c r="Q504" s="94"/>
      <c r="R504" s="93"/>
      <c r="S504" s="85"/>
      <c r="U504" s="94"/>
      <c r="V504" s="93"/>
      <c r="W504" s="85"/>
      <c r="Y504" s="94"/>
      <c r="Z504" s="93"/>
      <c r="AA504" s="85"/>
      <c r="AC504" s="94"/>
      <c r="AD504" s="93"/>
      <c r="AE504" s="85"/>
    </row>
    <row r="505" spans="7:31" ht="14.5" customHeight="1" x14ac:dyDescent="0.35">
      <c r="G505" s="85"/>
      <c r="H505" s="87"/>
      <c r="M505" s="94"/>
      <c r="N505" s="93"/>
      <c r="O505" s="85"/>
      <c r="Q505" s="94"/>
      <c r="R505" s="93"/>
      <c r="S505" s="85"/>
      <c r="U505" s="94"/>
      <c r="V505" s="93"/>
      <c r="W505" s="85"/>
      <c r="Y505" s="94"/>
      <c r="Z505" s="93"/>
      <c r="AA505" s="85"/>
      <c r="AC505" s="94"/>
      <c r="AD505" s="93"/>
      <c r="AE505" s="85"/>
    </row>
    <row r="506" spans="7:31" ht="14.5" customHeight="1" x14ac:dyDescent="0.35">
      <c r="G506" s="85"/>
      <c r="H506" s="87"/>
      <c r="M506" s="94"/>
      <c r="N506" s="93"/>
      <c r="O506" s="85"/>
      <c r="Q506" s="94"/>
      <c r="R506" s="93"/>
      <c r="S506" s="85"/>
      <c r="U506" s="94"/>
      <c r="V506" s="93"/>
      <c r="W506" s="85"/>
      <c r="Y506" s="94"/>
      <c r="Z506" s="93"/>
      <c r="AA506" s="85"/>
      <c r="AC506" s="94"/>
      <c r="AD506" s="93"/>
      <c r="AE506" s="85"/>
    </row>
    <row r="507" spans="7:31" ht="14.5" customHeight="1" x14ac:dyDescent="0.35">
      <c r="G507" s="85"/>
      <c r="H507" s="87"/>
      <c r="M507" s="94"/>
      <c r="N507" s="93"/>
      <c r="O507" s="85"/>
      <c r="Q507" s="94"/>
      <c r="R507" s="93"/>
      <c r="S507" s="85"/>
      <c r="U507" s="94"/>
      <c r="V507" s="93"/>
      <c r="W507" s="85"/>
      <c r="Y507" s="94"/>
      <c r="Z507" s="93"/>
      <c r="AA507" s="85"/>
      <c r="AC507" s="94"/>
      <c r="AD507" s="93"/>
      <c r="AE507" s="85"/>
    </row>
    <row r="508" spans="7:31" ht="14.5" customHeight="1" x14ac:dyDescent="0.35">
      <c r="G508" s="85"/>
      <c r="H508" s="87"/>
      <c r="M508" s="94"/>
      <c r="N508" s="93"/>
      <c r="O508" s="85"/>
      <c r="Q508" s="94"/>
      <c r="R508" s="93"/>
      <c r="S508" s="85"/>
      <c r="U508" s="94"/>
      <c r="V508" s="93"/>
      <c r="W508" s="85"/>
      <c r="Y508" s="94"/>
      <c r="Z508" s="93"/>
      <c r="AA508" s="85"/>
      <c r="AC508" s="94"/>
      <c r="AD508" s="93"/>
      <c r="AE508" s="85"/>
    </row>
    <row r="509" spans="7:31" ht="14.5" customHeight="1" x14ac:dyDescent="0.35">
      <c r="G509" s="85"/>
      <c r="H509" s="87"/>
      <c r="M509" s="94"/>
      <c r="N509" s="93"/>
      <c r="O509" s="85"/>
      <c r="Q509" s="94"/>
      <c r="R509" s="93"/>
      <c r="S509" s="85"/>
      <c r="U509" s="94"/>
      <c r="V509" s="93"/>
      <c r="W509" s="85"/>
      <c r="Y509" s="94"/>
      <c r="Z509" s="93"/>
      <c r="AA509" s="85"/>
      <c r="AC509" s="94"/>
      <c r="AD509" s="93"/>
      <c r="AE509" s="85"/>
    </row>
    <row r="510" spans="7:31" ht="14.5" customHeight="1" x14ac:dyDescent="0.35">
      <c r="G510" s="85"/>
      <c r="H510" s="87"/>
      <c r="M510" s="94"/>
      <c r="N510" s="93"/>
      <c r="O510" s="85"/>
      <c r="Q510" s="94"/>
      <c r="R510" s="93"/>
      <c r="S510" s="85"/>
      <c r="U510" s="94"/>
      <c r="V510" s="93"/>
      <c r="W510" s="85"/>
      <c r="Y510" s="94"/>
      <c r="Z510" s="93"/>
      <c r="AA510" s="85"/>
      <c r="AC510" s="94"/>
      <c r="AD510" s="93"/>
      <c r="AE510" s="85"/>
    </row>
    <row r="511" spans="7:31" ht="14.5" customHeight="1" x14ac:dyDescent="0.35">
      <c r="G511" s="85"/>
      <c r="H511" s="87"/>
      <c r="M511" s="94"/>
      <c r="N511" s="93"/>
      <c r="O511" s="85"/>
      <c r="Q511" s="94"/>
      <c r="R511" s="93"/>
      <c r="S511" s="85"/>
      <c r="U511" s="94"/>
      <c r="V511" s="93"/>
      <c r="W511" s="85"/>
      <c r="Y511" s="94"/>
      <c r="Z511" s="93"/>
      <c r="AA511" s="85"/>
      <c r="AC511" s="94"/>
      <c r="AD511" s="93"/>
      <c r="AE511" s="85"/>
    </row>
    <row r="512" spans="7:31" ht="14.5" customHeight="1" x14ac:dyDescent="0.35">
      <c r="G512" s="85"/>
      <c r="H512" s="87"/>
      <c r="M512" s="94"/>
      <c r="N512" s="93"/>
      <c r="O512" s="85"/>
      <c r="Q512" s="94"/>
      <c r="R512" s="93"/>
      <c r="S512" s="85"/>
      <c r="U512" s="94"/>
      <c r="V512" s="93"/>
      <c r="W512" s="85"/>
      <c r="Y512" s="94"/>
      <c r="Z512" s="93"/>
      <c r="AA512" s="85"/>
      <c r="AC512" s="94"/>
      <c r="AD512" s="93"/>
      <c r="AE512" s="85"/>
    </row>
    <row r="513" spans="7:31" ht="14.5" customHeight="1" x14ac:dyDescent="0.35">
      <c r="G513" s="85"/>
      <c r="H513" s="87"/>
      <c r="M513" s="94"/>
      <c r="N513" s="93"/>
      <c r="O513" s="85"/>
      <c r="Q513" s="94"/>
      <c r="R513" s="93"/>
      <c r="S513" s="85"/>
      <c r="U513" s="94"/>
      <c r="V513" s="93"/>
      <c r="W513" s="85"/>
      <c r="Y513" s="94"/>
      <c r="Z513" s="93"/>
      <c r="AA513" s="85"/>
      <c r="AC513" s="94"/>
      <c r="AD513" s="93"/>
      <c r="AE513" s="85"/>
    </row>
    <row r="514" spans="7:31" ht="14.5" customHeight="1" x14ac:dyDescent="0.35">
      <c r="G514" s="85"/>
      <c r="H514" s="87"/>
      <c r="M514" s="94"/>
      <c r="N514" s="93"/>
      <c r="O514" s="85"/>
      <c r="Q514" s="94"/>
      <c r="R514" s="93"/>
      <c r="S514" s="85"/>
      <c r="U514" s="94"/>
      <c r="V514" s="93"/>
      <c r="W514" s="85"/>
      <c r="Y514" s="94"/>
      <c r="Z514" s="93"/>
      <c r="AA514" s="85"/>
      <c r="AC514" s="94"/>
      <c r="AD514" s="93"/>
      <c r="AE514" s="85"/>
    </row>
    <row r="515" spans="7:31" ht="14.5" customHeight="1" x14ac:dyDescent="0.35">
      <c r="G515" s="85"/>
      <c r="H515" s="87"/>
      <c r="M515" s="94"/>
      <c r="N515" s="93"/>
      <c r="O515" s="85"/>
      <c r="Q515" s="94"/>
      <c r="R515" s="93"/>
      <c r="S515" s="85"/>
      <c r="U515" s="94"/>
      <c r="V515" s="93"/>
      <c r="W515" s="85"/>
      <c r="Y515" s="94"/>
      <c r="Z515" s="93"/>
      <c r="AA515" s="85"/>
      <c r="AC515" s="94"/>
      <c r="AD515" s="93"/>
      <c r="AE515" s="85"/>
    </row>
    <row r="516" spans="7:31" ht="14.5" customHeight="1" x14ac:dyDescent="0.35">
      <c r="G516" s="85"/>
      <c r="H516" s="87"/>
      <c r="M516" s="94"/>
      <c r="N516" s="93"/>
      <c r="O516" s="85"/>
      <c r="Q516" s="94"/>
      <c r="R516" s="93"/>
      <c r="S516" s="85"/>
      <c r="U516" s="94"/>
      <c r="V516" s="93"/>
      <c r="W516" s="85"/>
      <c r="Y516" s="94"/>
      <c r="Z516" s="93"/>
      <c r="AA516" s="85"/>
      <c r="AC516" s="94"/>
      <c r="AD516" s="93"/>
      <c r="AE516" s="85"/>
    </row>
    <row r="517" spans="7:31" ht="14.5" customHeight="1" x14ac:dyDescent="0.35">
      <c r="G517" s="85"/>
      <c r="H517" s="87"/>
      <c r="M517" s="94"/>
      <c r="N517" s="93"/>
      <c r="O517" s="85"/>
      <c r="Q517" s="94"/>
      <c r="R517" s="93"/>
      <c r="S517" s="85"/>
      <c r="U517" s="94"/>
      <c r="V517" s="93"/>
      <c r="W517" s="85"/>
      <c r="Y517" s="94"/>
      <c r="Z517" s="93"/>
      <c r="AA517" s="85"/>
      <c r="AC517" s="94"/>
      <c r="AD517" s="93"/>
      <c r="AE517" s="85"/>
    </row>
    <row r="518" spans="7:31" ht="14.5" customHeight="1" x14ac:dyDescent="0.35">
      <c r="G518" s="85"/>
      <c r="H518" s="87"/>
      <c r="M518" s="94"/>
      <c r="N518" s="93"/>
      <c r="O518" s="85"/>
      <c r="Q518" s="94"/>
      <c r="R518" s="93"/>
      <c r="S518" s="85"/>
      <c r="U518" s="94"/>
      <c r="V518" s="93"/>
      <c r="W518" s="85"/>
      <c r="Y518" s="94"/>
      <c r="Z518" s="93"/>
      <c r="AA518" s="85"/>
      <c r="AC518" s="94"/>
      <c r="AD518" s="93"/>
      <c r="AE518" s="85"/>
    </row>
    <row r="519" spans="7:31" ht="14.5" customHeight="1" x14ac:dyDescent="0.35">
      <c r="G519" s="85"/>
      <c r="H519" s="87"/>
      <c r="M519" s="94"/>
      <c r="N519" s="93"/>
      <c r="O519" s="85"/>
      <c r="Q519" s="94"/>
      <c r="R519" s="93"/>
      <c r="S519" s="85"/>
      <c r="U519" s="94"/>
      <c r="V519" s="93"/>
      <c r="W519" s="85"/>
      <c r="Y519" s="94"/>
      <c r="Z519" s="93"/>
      <c r="AA519" s="85"/>
      <c r="AC519" s="94"/>
      <c r="AD519" s="93"/>
      <c r="AE519" s="85"/>
    </row>
    <row r="520" spans="7:31" ht="14.5" customHeight="1" x14ac:dyDescent="0.35">
      <c r="G520" s="85"/>
      <c r="H520" s="87"/>
      <c r="M520" s="94"/>
      <c r="N520" s="93"/>
      <c r="O520" s="85"/>
      <c r="Q520" s="94"/>
      <c r="R520" s="93"/>
      <c r="S520" s="85"/>
      <c r="U520" s="94"/>
      <c r="V520" s="93"/>
      <c r="W520" s="85"/>
      <c r="Y520" s="94"/>
      <c r="Z520" s="93"/>
      <c r="AA520" s="85"/>
      <c r="AC520" s="94"/>
      <c r="AD520" s="93"/>
      <c r="AE520" s="85"/>
    </row>
    <row r="521" spans="7:31" ht="14.5" customHeight="1" x14ac:dyDescent="0.35">
      <c r="G521" s="85"/>
      <c r="H521" s="87"/>
      <c r="M521" s="94"/>
      <c r="N521" s="93"/>
      <c r="O521" s="85"/>
      <c r="Q521" s="94"/>
      <c r="R521" s="93"/>
      <c r="S521" s="85"/>
      <c r="U521" s="94"/>
      <c r="V521" s="93"/>
      <c r="W521" s="85"/>
      <c r="Y521" s="94"/>
      <c r="Z521" s="93"/>
      <c r="AA521" s="85"/>
      <c r="AC521" s="94"/>
      <c r="AD521" s="93"/>
      <c r="AE521" s="85"/>
    </row>
    <row r="522" spans="7:31" ht="14.5" customHeight="1" x14ac:dyDescent="0.35">
      <c r="G522" s="85"/>
      <c r="H522" s="87"/>
      <c r="M522" s="94"/>
      <c r="N522" s="93"/>
      <c r="O522" s="85"/>
      <c r="Q522" s="94"/>
      <c r="R522" s="93"/>
      <c r="S522" s="85"/>
      <c r="U522" s="94"/>
      <c r="V522" s="93"/>
      <c r="W522" s="85"/>
      <c r="Y522" s="94"/>
      <c r="Z522" s="93"/>
      <c r="AA522" s="85"/>
      <c r="AC522" s="94"/>
      <c r="AD522" s="93"/>
      <c r="AE522" s="85"/>
    </row>
    <row r="523" spans="7:31" ht="14.5" customHeight="1" x14ac:dyDescent="0.35">
      <c r="G523" s="85"/>
      <c r="H523" s="87"/>
      <c r="M523" s="94"/>
      <c r="N523" s="93"/>
      <c r="O523" s="85"/>
      <c r="Q523" s="94"/>
      <c r="R523" s="93"/>
      <c r="S523" s="85"/>
      <c r="U523" s="94"/>
      <c r="V523" s="93"/>
      <c r="W523" s="85"/>
      <c r="Y523" s="94"/>
      <c r="Z523" s="93"/>
      <c r="AA523" s="85"/>
      <c r="AC523" s="94"/>
      <c r="AD523" s="93"/>
      <c r="AE523" s="85"/>
    </row>
    <row r="524" spans="7:31" ht="14.5" customHeight="1" x14ac:dyDescent="0.35">
      <c r="G524" s="85"/>
      <c r="H524" s="87"/>
      <c r="M524" s="94"/>
      <c r="N524" s="93"/>
      <c r="O524" s="85"/>
      <c r="Q524" s="94"/>
      <c r="R524" s="93"/>
      <c r="S524" s="85"/>
      <c r="U524" s="94"/>
      <c r="V524" s="93"/>
      <c r="W524" s="85"/>
      <c r="Y524" s="94"/>
      <c r="Z524" s="93"/>
      <c r="AA524" s="85"/>
      <c r="AC524" s="94"/>
      <c r="AD524" s="93"/>
      <c r="AE524" s="85"/>
    </row>
    <row r="525" spans="7:31" ht="14.5" customHeight="1" x14ac:dyDescent="0.35">
      <c r="G525" s="85"/>
      <c r="H525" s="87"/>
      <c r="M525" s="94"/>
      <c r="N525" s="93"/>
      <c r="O525" s="85"/>
      <c r="Q525" s="94"/>
      <c r="R525" s="93"/>
      <c r="S525" s="85"/>
      <c r="U525" s="94"/>
      <c r="V525" s="93"/>
      <c r="W525" s="85"/>
      <c r="Y525" s="94"/>
      <c r="Z525" s="93"/>
      <c r="AA525" s="85"/>
      <c r="AC525" s="94"/>
      <c r="AD525" s="93"/>
      <c r="AE525" s="85"/>
    </row>
    <row r="526" spans="7:31" ht="14.5" customHeight="1" x14ac:dyDescent="0.35">
      <c r="G526" s="85"/>
      <c r="H526" s="87"/>
      <c r="M526" s="94"/>
      <c r="N526" s="93"/>
      <c r="O526" s="85"/>
      <c r="Q526" s="94"/>
      <c r="R526" s="93"/>
      <c r="S526" s="85"/>
      <c r="U526" s="94"/>
      <c r="V526" s="93"/>
      <c r="W526" s="85"/>
      <c r="Y526" s="94"/>
      <c r="Z526" s="93"/>
      <c r="AA526" s="85"/>
      <c r="AC526" s="94"/>
      <c r="AD526" s="93"/>
      <c r="AE526" s="85"/>
    </row>
    <row r="527" spans="7:31" ht="14.5" customHeight="1" x14ac:dyDescent="0.35">
      <c r="G527" s="85"/>
      <c r="H527" s="87"/>
      <c r="M527" s="94"/>
      <c r="N527" s="93"/>
      <c r="O527" s="85"/>
      <c r="Q527" s="94"/>
      <c r="R527" s="93"/>
      <c r="S527" s="85"/>
      <c r="U527" s="94"/>
      <c r="V527" s="93"/>
      <c r="W527" s="85"/>
      <c r="Y527" s="94"/>
      <c r="Z527" s="93"/>
      <c r="AA527" s="85"/>
      <c r="AC527" s="94"/>
      <c r="AD527" s="93"/>
      <c r="AE527" s="85"/>
    </row>
    <row r="528" spans="7:31" ht="14.5" customHeight="1" x14ac:dyDescent="0.35">
      <c r="G528" s="85"/>
      <c r="H528" s="87"/>
      <c r="M528" s="94"/>
      <c r="N528" s="93"/>
      <c r="O528" s="85"/>
      <c r="Q528" s="94"/>
      <c r="R528" s="93"/>
      <c r="S528" s="85"/>
      <c r="U528" s="94"/>
      <c r="V528" s="93"/>
      <c r="W528" s="85"/>
      <c r="Y528" s="94"/>
      <c r="Z528" s="93"/>
      <c r="AA528" s="85"/>
      <c r="AC528" s="94"/>
      <c r="AD528" s="93"/>
      <c r="AE528" s="85"/>
    </row>
    <row r="529" spans="7:31" ht="14.5" customHeight="1" x14ac:dyDescent="0.35">
      <c r="G529" s="85"/>
      <c r="H529" s="87"/>
      <c r="M529" s="94"/>
      <c r="N529" s="93"/>
      <c r="O529" s="85"/>
      <c r="Q529" s="94"/>
      <c r="R529" s="93"/>
      <c r="S529" s="85"/>
      <c r="U529" s="94"/>
      <c r="V529" s="93"/>
      <c r="W529" s="85"/>
      <c r="Y529" s="94"/>
      <c r="Z529" s="93"/>
      <c r="AA529" s="85"/>
      <c r="AC529" s="94"/>
      <c r="AD529" s="93"/>
      <c r="AE529" s="85"/>
    </row>
    <row r="530" spans="7:31" ht="14.5" customHeight="1" x14ac:dyDescent="0.35">
      <c r="G530" s="85"/>
      <c r="H530" s="87"/>
      <c r="M530" s="94"/>
      <c r="N530" s="93"/>
      <c r="O530" s="85"/>
      <c r="Q530" s="94"/>
      <c r="R530" s="93"/>
      <c r="S530" s="85"/>
      <c r="U530" s="94"/>
      <c r="V530" s="93"/>
      <c r="W530" s="85"/>
      <c r="Y530" s="94"/>
      <c r="Z530" s="93"/>
      <c r="AA530" s="85"/>
      <c r="AC530" s="94"/>
      <c r="AD530" s="93"/>
      <c r="AE530" s="85"/>
    </row>
    <row r="531" spans="7:31" ht="14.5" customHeight="1" x14ac:dyDescent="0.35">
      <c r="G531" s="85"/>
      <c r="H531" s="87"/>
      <c r="M531" s="94"/>
      <c r="N531" s="93"/>
      <c r="O531" s="85"/>
      <c r="Q531" s="94"/>
      <c r="R531" s="93"/>
      <c r="S531" s="85"/>
      <c r="U531" s="94"/>
      <c r="V531" s="93"/>
      <c r="W531" s="85"/>
      <c r="Y531" s="94"/>
      <c r="Z531" s="93"/>
      <c r="AA531" s="85"/>
      <c r="AC531" s="94"/>
      <c r="AD531" s="93"/>
      <c r="AE531" s="85"/>
    </row>
    <row r="532" spans="7:31" ht="14.5" customHeight="1" x14ac:dyDescent="0.35">
      <c r="G532" s="85"/>
      <c r="H532" s="87"/>
      <c r="M532" s="94"/>
      <c r="N532" s="93"/>
      <c r="O532" s="85"/>
      <c r="Q532" s="94"/>
      <c r="R532" s="93"/>
      <c r="S532" s="85"/>
      <c r="U532" s="94"/>
      <c r="V532" s="93"/>
      <c r="W532" s="85"/>
      <c r="Y532" s="94"/>
      <c r="Z532" s="93"/>
      <c r="AA532" s="85"/>
      <c r="AC532" s="94"/>
      <c r="AD532" s="93"/>
      <c r="AE532" s="85"/>
    </row>
    <row r="533" spans="7:31" ht="14.5" customHeight="1" x14ac:dyDescent="0.35">
      <c r="G533" s="85"/>
      <c r="H533" s="87"/>
      <c r="M533" s="94"/>
      <c r="N533" s="93"/>
      <c r="O533" s="85"/>
      <c r="Q533" s="94"/>
      <c r="R533" s="93"/>
      <c r="S533" s="85"/>
      <c r="U533" s="94"/>
      <c r="V533" s="93"/>
      <c r="W533" s="85"/>
      <c r="Y533" s="94"/>
      <c r="Z533" s="93"/>
      <c r="AA533" s="85"/>
      <c r="AC533" s="94"/>
      <c r="AD533" s="93"/>
      <c r="AE533" s="85"/>
    </row>
    <row r="534" spans="7:31" ht="14.5" customHeight="1" x14ac:dyDescent="0.35">
      <c r="G534" s="85"/>
      <c r="H534" s="87"/>
      <c r="M534" s="94"/>
      <c r="N534" s="93"/>
      <c r="O534" s="85"/>
      <c r="Q534" s="94"/>
      <c r="R534" s="93"/>
      <c r="S534" s="85"/>
      <c r="U534" s="94"/>
      <c r="V534" s="93"/>
      <c r="W534" s="85"/>
      <c r="Y534" s="94"/>
      <c r="Z534" s="93"/>
      <c r="AA534" s="85"/>
      <c r="AC534" s="94"/>
      <c r="AD534" s="93"/>
      <c r="AE534" s="85"/>
    </row>
    <row r="535" spans="7:31" ht="14.5" customHeight="1" x14ac:dyDescent="0.35">
      <c r="G535" s="85"/>
      <c r="H535" s="87"/>
      <c r="M535" s="94"/>
      <c r="N535" s="93"/>
      <c r="O535" s="85"/>
      <c r="Q535" s="94"/>
      <c r="R535" s="93"/>
      <c r="S535" s="85"/>
      <c r="U535" s="94"/>
      <c r="V535" s="93"/>
      <c r="W535" s="85"/>
      <c r="Y535" s="94"/>
      <c r="Z535" s="93"/>
      <c r="AA535" s="85"/>
      <c r="AC535" s="94"/>
      <c r="AD535" s="93"/>
      <c r="AE535" s="85"/>
    </row>
    <row r="536" spans="7:31" ht="14.5" customHeight="1" x14ac:dyDescent="0.35">
      <c r="G536" s="85"/>
      <c r="H536" s="87"/>
      <c r="M536" s="94"/>
      <c r="N536" s="93"/>
      <c r="O536" s="85"/>
      <c r="Q536" s="94"/>
      <c r="R536" s="93"/>
      <c r="S536" s="85"/>
      <c r="U536" s="94"/>
      <c r="V536" s="93"/>
      <c r="W536" s="85"/>
      <c r="Y536" s="94"/>
      <c r="Z536" s="93"/>
      <c r="AA536" s="85"/>
      <c r="AC536" s="94"/>
      <c r="AD536" s="93"/>
      <c r="AE536" s="85"/>
    </row>
    <row r="537" spans="7:31" ht="14.5" customHeight="1" x14ac:dyDescent="0.35">
      <c r="G537" s="85"/>
      <c r="H537" s="87"/>
      <c r="M537" s="94"/>
      <c r="N537" s="93"/>
      <c r="O537" s="85"/>
      <c r="Q537" s="94"/>
      <c r="R537" s="93"/>
      <c r="S537" s="85"/>
      <c r="U537" s="94"/>
      <c r="V537" s="93"/>
      <c r="W537" s="85"/>
      <c r="Y537" s="94"/>
      <c r="Z537" s="93"/>
      <c r="AA537" s="85"/>
      <c r="AC537" s="94"/>
      <c r="AD537" s="93"/>
      <c r="AE537" s="85"/>
    </row>
    <row r="538" spans="7:31" ht="14.5" customHeight="1" x14ac:dyDescent="0.35">
      <c r="G538" s="85"/>
      <c r="H538" s="87"/>
      <c r="M538" s="94"/>
      <c r="N538" s="93"/>
      <c r="O538" s="85"/>
      <c r="Q538" s="94"/>
      <c r="R538" s="93"/>
      <c r="S538" s="85"/>
      <c r="U538" s="94"/>
      <c r="V538" s="93"/>
      <c r="W538" s="85"/>
      <c r="Y538" s="94"/>
      <c r="Z538" s="93"/>
      <c r="AA538" s="85"/>
      <c r="AC538" s="94"/>
      <c r="AD538" s="93"/>
      <c r="AE538" s="85"/>
    </row>
    <row r="539" spans="7:31" ht="14.5" customHeight="1" x14ac:dyDescent="0.35">
      <c r="G539" s="85"/>
      <c r="H539" s="87"/>
      <c r="M539" s="94"/>
      <c r="N539" s="93"/>
      <c r="O539" s="85"/>
      <c r="Q539" s="94"/>
      <c r="R539" s="93"/>
      <c r="S539" s="85"/>
      <c r="U539" s="94"/>
      <c r="V539" s="93"/>
      <c r="W539" s="85"/>
      <c r="Y539" s="94"/>
      <c r="Z539" s="93"/>
      <c r="AA539" s="85"/>
      <c r="AC539" s="94"/>
      <c r="AD539" s="93"/>
      <c r="AE539" s="85"/>
    </row>
    <row r="540" spans="7:31" ht="14.5" customHeight="1" x14ac:dyDescent="0.35">
      <c r="G540" s="85"/>
      <c r="H540" s="87"/>
      <c r="M540" s="94"/>
      <c r="N540" s="93"/>
      <c r="O540" s="85"/>
      <c r="Q540" s="94"/>
      <c r="R540" s="93"/>
      <c r="S540" s="85"/>
      <c r="U540" s="94"/>
      <c r="V540" s="93"/>
      <c r="W540" s="85"/>
      <c r="Y540" s="94"/>
      <c r="Z540" s="93"/>
      <c r="AA540" s="85"/>
      <c r="AC540" s="94"/>
      <c r="AD540" s="93"/>
      <c r="AE540" s="85"/>
    </row>
    <row r="541" spans="7:31" ht="14.5" customHeight="1" x14ac:dyDescent="0.35">
      <c r="G541" s="85"/>
      <c r="H541" s="87"/>
      <c r="M541" s="94"/>
      <c r="N541" s="93"/>
      <c r="O541" s="85"/>
      <c r="Q541" s="94"/>
      <c r="R541" s="93"/>
      <c r="S541" s="85"/>
      <c r="U541" s="94"/>
      <c r="V541" s="93"/>
      <c r="W541" s="85"/>
      <c r="Y541" s="94"/>
      <c r="Z541" s="93"/>
      <c r="AA541" s="85"/>
      <c r="AC541" s="94"/>
      <c r="AD541" s="93"/>
      <c r="AE541" s="85"/>
    </row>
    <row r="542" spans="7:31" ht="14.5" customHeight="1" x14ac:dyDescent="0.35">
      <c r="G542" s="85"/>
      <c r="H542" s="87"/>
      <c r="M542" s="94"/>
      <c r="N542" s="93"/>
      <c r="O542" s="85"/>
      <c r="Q542" s="94"/>
      <c r="R542" s="93"/>
      <c r="S542" s="85"/>
      <c r="U542" s="94"/>
      <c r="V542" s="93"/>
      <c r="W542" s="85"/>
      <c r="Y542" s="94"/>
      <c r="Z542" s="93"/>
      <c r="AA542" s="85"/>
      <c r="AC542" s="94"/>
      <c r="AD542" s="93"/>
      <c r="AE542" s="85"/>
    </row>
    <row r="543" spans="7:31" ht="14.5" customHeight="1" x14ac:dyDescent="0.35">
      <c r="G543" s="85"/>
      <c r="H543" s="87"/>
      <c r="M543" s="94"/>
      <c r="N543" s="93"/>
      <c r="O543" s="85"/>
      <c r="Q543" s="94"/>
      <c r="R543" s="93"/>
      <c r="S543" s="85"/>
      <c r="U543" s="94"/>
      <c r="V543" s="93"/>
      <c r="W543" s="85"/>
      <c r="Y543" s="94"/>
      <c r="Z543" s="93"/>
      <c r="AA543" s="85"/>
      <c r="AC543" s="94"/>
      <c r="AD543" s="93"/>
      <c r="AE543" s="85"/>
    </row>
    <row r="544" spans="7:31" ht="14.5" customHeight="1" x14ac:dyDescent="0.35">
      <c r="G544" s="85"/>
      <c r="H544" s="87"/>
      <c r="M544" s="94"/>
      <c r="N544" s="93"/>
      <c r="O544" s="85"/>
      <c r="Q544" s="94"/>
      <c r="R544" s="93"/>
      <c r="S544" s="85"/>
      <c r="U544" s="94"/>
      <c r="V544" s="93"/>
      <c r="W544" s="85"/>
      <c r="Y544" s="94"/>
      <c r="Z544" s="93"/>
      <c r="AA544" s="85"/>
      <c r="AC544" s="94"/>
      <c r="AD544" s="93"/>
      <c r="AE544" s="85"/>
    </row>
    <row r="545" spans="7:31" ht="14.5" customHeight="1" x14ac:dyDescent="0.35">
      <c r="G545" s="85"/>
      <c r="H545" s="87"/>
      <c r="M545" s="94"/>
      <c r="N545" s="93"/>
      <c r="O545" s="85"/>
      <c r="Q545" s="94"/>
      <c r="R545" s="93"/>
      <c r="S545" s="85"/>
      <c r="U545" s="94"/>
      <c r="V545" s="93"/>
      <c r="W545" s="85"/>
      <c r="Y545" s="94"/>
      <c r="Z545" s="93"/>
      <c r="AA545" s="85"/>
      <c r="AC545" s="94"/>
      <c r="AD545" s="93"/>
      <c r="AE545" s="85"/>
    </row>
    <row r="546" spans="7:31" ht="14.5" customHeight="1" x14ac:dyDescent="0.35">
      <c r="G546" s="85"/>
      <c r="H546" s="87"/>
      <c r="M546" s="94"/>
      <c r="N546" s="93"/>
      <c r="O546" s="85"/>
      <c r="Q546" s="94"/>
      <c r="R546" s="93"/>
      <c r="S546" s="85"/>
      <c r="U546" s="94"/>
      <c r="V546" s="93"/>
      <c r="W546" s="85"/>
      <c r="Y546" s="94"/>
      <c r="Z546" s="93"/>
      <c r="AA546" s="85"/>
      <c r="AC546" s="94"/>
      <c r="AD546" s="93"/>
      <c r="AE546" s="85"/>
    </row>
    <row r="547" spans="7:31" ht="14.5" customHeight="1" x14ac:dyDescent="0.35">
      <c r="G547" s="85"/>
      <c r="H547" s="87"/>
      <c r="M547" s="94"/>
      <c r="N547" s="93"/>
      <c r="O547" s="85"/>
      <c r="Q547" s="94"/>
      <c r="R547" s="93"/>
      <c r="S547" s="85"/>
      <c r="U547" s="94"/>
      <c r="V547" s="93"/>
      <c r="W547" s="85"/>
      <c r="Y547" s="94"/>
      <c r="Z547" s="93"/>
      <c r="AA547" s="85"/>
      <c r="AC547" s="94"/>
      <c r="AD547" s="93"/>
      <c r="AE547" s="85"/>
    </row>
    <row r="548" spans="7:31" ht="14.5" customHeight="1" x14ac:dyDescent="0.35">
      <c r="G548" s="85"/>
      <c r="H548" s="87"/>
      <c r="M548" s="94"/>
      <c r="N548" s="93"/>
      <c r="O548" s="85"/>
      <c r="Q548" s="94"/>
      <c r="R548" s="93"/>
      <c r="S548" s="85"/>
      <c r="U548" s="94"/>
      <c r="V548" s="93"/>
      <c r="W548" s="85"/>
      <c r="Y548" s="94"/>
      <c r="Z548" s="93"/>
      <c r="AA548" s="85"/>
      <c r="AC548" s="94"/>
      <c r="AD548" s="93"/>
      <c r="AE548" s="85"/>
    </row>
    <row r="549" spans="7:31" ht="14.5" customHeight="1" x14ac:dyDescent="0.35">
      <c r="G549" s="85"/>
      <c r="H549" s="87"/>
      <c r="M549" s="94"/>
      <c r="N549" s="93"/>
      <c r="O549" s="85"/>
      <c r="Q549" s="94"/>
      <c r="R549" s="93"/>
      <c r="S549" s="85"/>
      <c r="U549" s="94"/>
      <c r="V549" s="93"/>
      <c r="W549" s="85"/>
      <c r="Y549" s="94"/>
      <c r="Z549" s="93"/>
      <c r="AA549" s="85"/>
      <c r="AC549" s="94"/>
      <c r="AD549" s="93"/>
      <c r="AE549" s="85"/>
    </row>
    <row r="550" spans="7:31" ht="14.5" customHeight="1" x14ac:dyDescent="0.35">
      <c r="G550" s="85"/>
      <c r="H550" s="87"/>
      <c r="M550" s="94"/>
      <c r="N550" s="93"/>
      <c r="O550" s="85"/>
      <c r="Q550" s="94"/>
      <c r="R550" s="93"/>
      <c r="S550" s="85"/>
      <c r="U550" s="94"/>
      <c r="V550" s="93"/>
      <c r="W550" s="85"/>
      <c r="Y550" s="94"/>
      <c r="Z550" s="93"/>
      <c r="AA550" s="85"/>
      <c r="AC550" s="94"/>
      <c r="AD550" s="93"/>
      <c r="AE550" s="85"/>
    </row>
    <row r="551" spans="7:31" ht="14.5" customHeight="1" x14ac:dyDescent="0.35">
      <c r="G551" s="85"/>
      <c r="H551" s="87"/>
      <c r="M551" s="94"/>
      <c r="N551" s="93"/>
      <c r="O551" s="85"/>
      <c r="Q551" s="94"/>
      <c r="R551" s="93"/>
      <c r="S551" s="85"/>
      <c r="U551" s="94"/>
      <c r="V551" s="93"/>
      <c r="W551" s="85"/>
      <c r="Y551" s="94"/>
      <c r="Z551" s="93"/>
      <c r="AA551" s="85"/>
      <c r="AC551" s="94"/>
      <c r="AD551" s="93"/>
      <c r="AE551" s="85"/>
    </row>
    <row r="552" spans="7:31" ht="14.5" customHeight="1" x14ac:dyDescent="0.35">
      <c r="G552" s="85"/>
      <c r="H552" s="87"/>
      <c r="M552" s="94"/>
      <c r="N552" s="93"/>
      <c r="O552" s="85"/>
      <c r="Q552" s="94"/>
      <c r="R552" s="93"/>
      <c r="S552" s="85"/>
      <c r="U552" s="94"/>
      <c r="V552" s="93"/>
      <c r="W552" s="85"/>
      <c r="Y552" s="94"/>
      <c r="Z552" s="93"/>
      <c r="AA552" s="85"/>
      <c r="AC552" s="94"/>
      <c r="AD552" s="93"/>
      <c r="AE552" s="85"/>
    </row>
    <row r="553" spans="7:31" ht="14.5" customHeight="1" x14ac:dyDescent="0.35">
      <c r="G553" s="85"/>
      <c r="H553" s="87"/>
      <c r="M553" s="94"/>
      <c r="N553" s="93"/>
      <c r="O553" s="85"/>
      <c r="Q553" s="94"/>
      <c r="R553" s="93"/>
      <c r="S553" s="85"/>
      <c r="U553" s="94"/>
      <c r="V553" s="93"/>
      <c r="W553" s="85"/>
      <c r="Y553" s="94"/>
      <c r="Z553" s="93"/>
      <c r="AA553" s="85"/>
      <c r="AC553" s="94"/>
      <c r="AD553" s="93"/>
      <c r="AE553" s="85"/>
    </row>
    <row r="554" spans="7:31" ht="14.5" customHeight="1" x14ac:dyDescent="0.35">
      <c r="G554" s="85"/>
      <c r="H554" s="87"/>
      <c r="M554" s="94"/>
      <c r="N554" s="93"/>
      <c r="O554" s="85"/>
      <c r="Q554" s="94"/>
      <c r="R554" s="93"/>
      <c r="S554" s="85"/>
      <c r="U554" s="94"/>
      <c r="V554" s="93"/>
      <c r="W554" s="85"/>
      <c r="Y554" s="94"/>
      <c r="Z554" s="93"/>
      <c r="AA554" s="85"/>
      <c r="AC554" s="94"/>
      <c r="AD554" s="93"/>
      <c r="AE554" s="85"/>
    </row>
    <row r="555" spans="7:31" ht="14.5" customHeight="1" x14ac:dyDescent="0.35">
      <c r="G555" s="85"/>
      <c r="H555" s="87"/>
      <c r="M555" s="94"/>
      <c r="N555" s="93"/>
      <c r="O555" s="85"/>
      <c r="Q555" s="94"/>
      <c r="R555" s="93"/>
      <c r="S555" s="85"/>
      <c r="U555" s="94"/>
      <c r="V555" s="93"/>
      <c r="W555" s="85"/>
      <c r="Y555" s="94"/>
      <c r="Z555" s="93"/>
      <c r="AA555" s="85"/>
      <c r="AC555" s="94"/>
      <c r="AD555" s="93"/>
      <c r="AE555" s="85"/>
    </row>
    <row r="556" spans="7:31" ht="14.5" customHeight="1" x14ac:dyDescent="0.35">
      <c r="G556" s="85"/>
      <c r="H556" s="87"/>
      <c r="M556" s="94"/>
      <c r="N556" s="93"/>
      <c r="O556" s="85"/>
      <c r="Q556" s="94"/>
      <c r="R556" s="93"/>
      <c r="S556" s="85"/>
      <c r="U556" s="94"/>
      <c r="V556" s="93"/>
      <c r="W556" s="85"/>
      <c r="Y556" s="94"/>
      <c r="Z556" s="93"/>
      <c r="AA556" s="85"/>
      <c r="AC556" s="94"/>
      <c r="AD556" s="93"/>
      <c r="AE556" s="85"/>
    </row>
    <row r="557" spans="7:31" ht="14.5" customHeight="1" x14ac:dyDescent="0.35">
      <c r="G557" s="85"/>
      <c r="H557" s="87"/>
      <c r="M557" s="94"/>
      <c r="N557" s="93"/>
      <c r="O557" s="85"/>
      <c r="Q557" s="94"/>
      <c r="R557" s="93"/>
      <c r="S557" s="85"/>
      <c r="U557" s="94"/>
      <c r="V557" s="93"/>
      <c r="W557" s="85"/>
      <c r="Y557" s="94"/>
      <c r="Z557" s="93"/>
      <c r="AA557" s="85"/>
      <c r="AC557" s="94"/>
      <c r="AD557" s="93"/>
      <c r="AE557" s="85"/>
    </row>
    <row r="558" spans="7:31" ht="14.5" customHeight="1" x14ac:dyDescent="0.35">
      <c r="G558" s="85"/>
      <c r="H558" s="87"/>
      <c r="M558" s="94"/>
      <c r="N558" s="93"/>
      <c r="O558" s="85"/>
      <c r="Q558" s="94"/>
      <c r="R558" s="93"/>
      <c r="S558" s="85"/>
      <c r="U558" s="94"/>
      <c r="V558" s="93"/>
      <c r="W558" s="85"/>
      <c r="Y558" s="94"/>
      <c r="Z558" s="93"/>
      <c r="AA558" s="85"/>
      <c r="AC558" s="94"/>
      <c r="AD558" s="93"/>
      <c r="AE558" s="85"/>
    </row>
    <row r="559" spans="7:31" ht="14.5" customHeight="1" x14ac:dyDescent="0.35">
      <c r="G559" s="85"/>
      <c r="H559" s="87"/>
      <c r="M559" s="94"/>
      <c r="N559" s="93"/>
      <c r="O559" s="85"/>
      <c r="Q559" s="94"/>
      <c r="R559" s="93"/>
      <c r="S559" s="85"/>
      <c r="U559" s="94"/>
      <c r="V559" s="93"/>
      <c r="W559" s="85"/>
      <c r="Y559" s="94"/>
      <c r="Z559" s="93"/>
      <c r="AA559" s="85"/>
      <c r="AC559" s="94"/>
      <c r="AD559" s="93"/>
      <c r="AE559" s="85"/>
    </row>
    <row r="560" spans="7:31" ht="14.5" customHeight="1" x14ac:dyDescent="0.35">
      <c r="G560" s="85"/>
      <c r="H560" s="87"/>
      <c r="M560" s="94"/>
      <c r="N560" s="93"/>
      <c r="O560" s="85"/>
      <c r="Q560" s="94"/>
      <c r="R560" s="93"/>
      <c r="S560" s="85"/>
      <c r="U560" s="94"/>
      <c r="V560" s="93"/>
      <c r="W560" s="85"/>
      <c r="Y560" s="94"/>
      <c r="Z560" s="93"/>
      <c r="AA560" s="85"/>
      <c r="AC560" s="94"/>
      <c r="AD560" s="93"/>
      <c r="AE560" s="85"/>
    </row>
    <row r="561" spans="7:31" ht="14.5" customHeight="1" x14ac:dyDescent="0.35">
      <c r="G561" s="85"/>
      <c r="H561" s="87"/>
      <c r="M561" s="94"/>
      <c r="N561" s="93"/>
      <c r="O561" s="85"/>
      <c r="Q561" s="94"/>
      <c r="R561" s="93"/>
      <c r="S561" s="85"/>
      <c r="U561" s="94"/>
      <c r="V561" s="93"/>
      <c r="W561" s="85"/>
      <c r="Y561" s="94"/>
      <c r="Z561" s="93"/>
      <c r="AA561" s="85"/>
      <c r="AC561" s="94"/>
      <c r="AD561" s="93"/>
      <c r="AE561" s="85"/>
    </row>
    <row r="562" spans="7:31" ht="14.5" customHeight="1" x14ac:dyDescent="0.35">
      <c r="G562" s="85"/>
      <c r="H562" s="87"/>
      <c r="M562" s="94"/>
      <c r="N562" s="93"/>
      <c r="O562" s="85"/>
      <c r="Q562" s="94"/>
      <c r="R562" s="93"/>
      <c r="S562" s="85"/>
      <c r="U562" s="94"/>
      <c r="V562" s="93"/>
      <c r="W562" s="85"/>
      <c r="Y562" s="94"/>
      <c r="Z562" s="93"/>
      <c r="AA562" s="85"/>
      <c r="AC562" s="94"/>
      <c r="AD562" s="93"/>
      <c r="AE562" s="85"/>
    </row>
    <row r="563" spans="7:31" ht="14.5" customHeight="1" x14ac:dyDescent="0.35">
      <c r="G563" s="85"/>
      <c r="H563" s="87"/>
      <c r="M563" s="94"/>
      <c r="N563" s="93"/>
      <c r="O563" s="85"/>
      <c r="Q563" s="94"/>
      <c r="R563" s="93"/>
      <c r="S563" s="85"/>
      <c r="U563" s="94"/>
      <c r="V563" s="93"/>
      <c r="W563" s="85"/>
      <c r="Y563" s="94"/>
      <c r="Z563" s="93"/>
      <c r="AA563" s="85"/>
      <c r="AC563" s="94"/>
      <c r="AD563" s="93"/>
      <c r="AE563" s="85"/>
    </row>
    <row r="564" spans="7:31" ht="14.5" customHeight="1" x14ac:dyDescent="0.35">
      <c r="G564" s="85"/>
      <c r="H564" s="87"/>
      <c r="M564" s="94"/>
      <c r="N564" s="93"/>
      <c r="O564" s="85"/>
      <c r="Q564" s="94"/>
      <c r="R564" s="93"/>
      <c r="S564" s="85"/>
      <c r="U564" s="94"/>
      <c r="V564" s="93"/>
      <c r="W564" s="85"/>
      <c r="Y564" s="94"/>
      <c r="Z564" s="93"/>
      <c r="AA564" s="85"/>
      <c r="AC564" s="94"/>
      <c r="AD564" s="93"/>
      <c r="AE564" s="85"/>
    </row>
    <row r="565" spans="7:31" ht="14.5" customHeight="1" x14ac:dyDescent="0.35">
      <c r="G565" s="85"/>
      <c r="H565" s="87"/>
      <c r="M565" s="94"/>
      <c r="N565" s="93"/>
      <c r="O565" s="85"/>
      <c r="Q565" s="94"/>
      <c r="R565" s="93"/>
      <c r="S565" s="85"/>
      <c r="U565" s="94"/>
      <c r="V565" s="93"/>
      <c r="W565" s="85"/>
      <c r="Y565" s="94"/>
      <c r="Z565" s="93"/>
      <c r="AA565" s="85"/>
      <c r="AC565" s="94"/>
      <c r="AD565" s="93"/>
      <c r="AE565" s="85"/>
    </row>
    <row r="566" spans="7:31" ht="14.5" customHeight="1" x14ac:dyDescent="0.35">
      <c r="G566" s="85"/>
      <c r="H566" s="87"/>
      <c r="M566" s="94"/>
      <c r="N566" s="93"/>
      <c r="O566" s="85"/>
      <c r="Q566" s="94"/>
      <c r="R566" s="93"/>
      <c r="S566" s="85"/>
      <c r="U566" s="94"/>
      <c r="V566" s="93"/>
      <c r="W566" s="85"/>
      <c r="Y566" s="94"/>
      <c r="Z566" s="93"/>
      <c r="AA566" s="85"/>
      <c r="AC566" s="94"/>
      <c r="AD566" s="93"/>
      <c r="AE566" s="85"/>
    </row>
    <row r="567" spans="7:31" ht="14.5" customHeight="1" x14ac:dyDescent="0.35">
      <c r="G567" s="85"/>
      <c r="H567" s="87"/>
      <c r="M567" s="94"/>
      <c r="N567" s="93"/>
      <c r="O567" s="85"/>
      <c r="Q567" s="94"/>
      <c r="R567" s="93"/>
      <c r="S567" s="85"/>
      <c r="U567" s="94"/>
      <c r="V567" s="93"/>
      <c r="W567" s="85"/>
      <c r="Y567" s="94"/>
      <c r="Z567" s="93"/>
      <c r="AA567" s="85"/>
      <c r="AC567" s="94"/>
      <c r="AD567" s="93"/>
      <c r="AE567" s="85"/>
    </row>
    <row r="568" spans="7:31" ht="14.5" customHeight="1" x14ac:dyDescent="0.35">
      <c r="G568" s="85"/>
      <c r="H568" s="87"/>
      <c r="M568" s="94"/>
      <c r="N568" s="93"/>
      <c r="O568" s="85"/>
      <c r="Q568" s="94"/>
      <c r="R568" s="93"/>
      <c r="S568" s="85"/>
      <c r="U568" s="94"/>
      <c r="V568" s="93"/>
      <c r="W568" s="85"/>
      <c r="Y568" s="94"/>
      <c r="Z568" s="93"/>
      <c r="AA568" s="85"/>
      <c r="AC568" s="94"/>
      <c r="AD568" s="93"/>
      <c r="AE568" s="85"/>
    </row>
    <row r="569" spans="7:31" ht="14.5" customHeight="1" x14ac:dyDescent="0.35">
      <c r="G569" s="85"/>
      <c r="H569" s="87"/>
      <c r="M569" s="94"/>
      <c r="N569" s="93"/>
      <c r="O569" s="85"/>
      <c r="Q569" s="94"/>
      <c r="R569" s="93"/>
      <c r="S569" s="85"/>
      <c r="U569" s="94"/>
      <c r="V569" s="93"/>
      <c r="W569" s="85"/>
      <c r="Y569" s="94"/>
      <c r="Z569" s="93"/>
      <c r="AA569" s="85"/>
      <c r="AC569" s="94"/>
      <c r="AD569" s="93"/>
      <c r="AE569" s="85"/>
    </row>
    <row r="570" spans="7:31" ht="14.5" customHeight="1" x14ac:dyDescent="0.35">
      <c r="G570" s="85"/>
      <c r="H570" s="87"/>
      <c r="M570" s="94"/>
      <c r="N570" s="93"/>
      <c r="O570" s="85"/>
      <c r="Q570" s="94"/>
      <c r="R570" s="93"/>
      <c r="S570" s="85"/>
      <c r="U570" s="94"/>
      <c r="V570" s="93"/>
      <c r="W570" s="85"/>
      <c r="Y570" s="94"/>
      <c r="Z570" s="93"/>
      <c r="AA570" s="85"/>
      <c r="AC570" s="94"/>
      <c r="AD570" s="93"/>
      <c r="AE570" s="85"/>
    </row>
    <row r="571" spans="7:31" ht="14.5" customHeight="1" x14ac:dyDescent="0.35">
      <c r="G571" s="85"/>
      <c r="H571" s="87"/>
      <c r="M571" s="94"/>
      <c r="N571" s="93"/>
      <c r="O571" s="85"/>
      <c r="Q571" s="94"/>
      <c r="R571" s="93"/>
      <c r="S571" s="85"/>
      <c r="U571" s="94"/>
      <c r="V571" s="93"/>
      <c r="W571" s="85"/>
      <c r="Y571" s="94"/>
      <c r="Z571" s="93"/>
      <c r="AA571" s="85"/>
      <c r="AC571" s="94"/>
      <c r="AD571" s="93"/>
      <c r="AE571" s="85"/>
    </row>
    <row r="572" spans="7:31" ht="14.5" customHeight="1" x14ac:dyDescent="0.35">
      <c r="G572" s="85"/>
      <c r="H572" s="87"/>
      <c r="M572" s="94"/>
      <c r="N572" s="93"/>
      <c r="O572" s="85"/>
      <c r="Q572" s="94"/>
      <c r="R572" s="93"/>
      <c r="S572" s="85"/>
      <c r="U572" s="94"/>
      <c r="V572" s="93"/>
      <c r="W572" s="85"/>
      <c r="Y572" s="94"/>
      <c r="Z572" s="93"/>
      <c r="AA572" s="85"/>
      <c r="AC572" s="94"/>
      <c r="AD572" s="93"/>
      <c r="AE572" s="85"/>
    </row>
    <row r="573" spans="7:31" ht="14.5" customHeight="1" x14ac:dyDescent="0.35">
      <c r="G573" s="85"/>
      <c r="H573" s="87"/>
      <c r="M573" s="94"/>
      <c r="N573" s="93"/>
      <c r="O573" s="85"/>
      <c r="Q573" s="94"/>
      <c r="R573" s="93"/>
      <c r="S573" s="85"/>
      <c r="U573" s="94"/>
      <c r="V573" s="93"/>
      <c r="W573" s="85"/>
      <c r="Y573" s="94"/>
      <c r="Z573" s="93"/>
      <c r="AA573" s="85"/>
      <c r="AC573" s="94"/>
      <c r="AD573" s="93"/>
      <c r="AE573" s="85"/>
    </row>
    <row r="574" spans="7:31" ht="14.5" customHeight="1" x14ac:dyDescent="0.35">
      <c r="G574" s="85"/>
      <c r="H574" s="87"/>
      <c r="M574" s="94"/>
      <c r="N574" s="93"/>
      <c r="O574" s="85"/>
      <c r="Q574" s="94"/>
      <c r="R574" s="93"/>
      <c r="S574" s="85"/>
      <c r="U574" s="94"/>
      <c r="V574" s="93"/>
      <c r="W574" s="85"/>
      <c r="Y574" s="94"/>
      <c r="Z574" s="93"/>
      <c r="AA574" s="85"/>
      <c r="AC574" s="94"/>
      <c r="AD574" s="93"/>
      <c r="AE574" s="85"/>
    </row>
    <row r="575" spans="7:31" ht="14.5" customHeight="1" x14ac:dyDescent="0.35">
      <c r="G575" s="85"/>
      <c r="H575" s="87"/>
      <c r="M575" s="94"/>
      <c r="N575" s="93"/>
      <c r="O575" s="85"/>
      <c r="Q575" s="94"/>
      <c r="R575" s="93"/>
      <c r="S575" s="85"/>
      <c r="U575" s="94"/>
      <c r="V575" s="93"/>
      <c r="W575" s="85"/>
      <c r="Y575" s="94"/>
      <c r="Z575" s="93"/>
      <c r="AA575" s="85"/>
      <c r="AC575" s="94"/>
      <c r="AD575" s="93"/>
      <c r="AE575" s="85"/>
    </row>
    <row r="576" spans="7:31" ht="14.5" customHeight="1" x14ac:dyDescent="0.35">
      <c r="G576" s="85"/>
      <c r="H576" s="87"/>
      <c r="M576" s="94"/>
      <c r="N576" s="93"/>
      <c r="O576" s="85"/>
      <c r="Q576" s="94"/>
      <c r="R576" s="93"/>
      <c r="S576" s="85"/>
      <c r="U576" s="94"/>
      <c r="V576" s="93"/>
      <c r="W576" s="85"/>
      <c r="Y576" s="94"/>
      <c r="Z576" s="93"/>
      <c r="AA576" s="85"/>
      <c r="AC576" s="94"/>
      <c r="AD576" s="93"/>
      <c r="AE576" s="85"/>
    </row>
    <row r="577" spans="7:31" ht="14.5" customHeight="1" x14ac:dyDescent="0.35">
      <c r="G577" s="85"/>
      <c r="H577" s="87"/>
      <c r="M577" s="94"/>
      <c r="N577" s="93"/>
      <c r="O577" s="85"/>
      <c r="Q577" s="94"/>
      <c r="R577" s="93"/>
      <c r="S577" s="85"/>
      <c r="U577" s="94"/>
      <c r="V577" s="93"/>
      <c r="W577" s="85"/>
      <c r="Y577" s="94"/>
      <c r="Z577" s="93"/>
      <c r="AA577" s="85"/>
      <c r="AC577" s="94"/>
      <c r="AD577" s="93"/>
      <c r="AE577" s="85"/>
    </row>
    <row r="578" spans="7:31" ht="14.5" customHeight="1" x14ac:dyDescent="0.35">
      <c r="G578" s="85"/>
      <c r="H578" s="87"/>
      <c r="M578" s="94"/>
      <c r="N578" s="93"/>
      <c r="O578" s="85"/>
      <c r="Q578" s="94"/>
      <c r="R578" s="93"/>
      <c r="S578" s="85"/>
      <c r="U578" s="94"/>
      <c r="V578" s="93"/>
      <c r="W578" s="85"/>
      <c r="Y578" s="94"/>
      <c r="Z578" s="93"/>
      <c r="AA578" s="85"/>
      <c r="AC578" s="94"/>
      <c r="AD578" s="93"/>
      <c r="AE578" s="85"/>
    </row>
    <row r="579" spans="7:31" ht="14.5" customHeight="1" x14ac:dyDescent="0.35">
      <c r="G579" s="85"/>
      <c r="H579" s="87"/>
      <c r="M579" s="94"/>
      <c r="N579" s="93"/>
      <c r="O579" s="85"/>
      <c r="Q579" s="94"/>
      <c r="R579" s="93"/>
      <c r="S579" s="85"/>
      <c r="U579" s="94"/>
      <c r="V579" s="93"/>
      <c r="W579" s="85"/>
      <c r="Y579" s="94"/>
      <c r="Z579" s="93"/>
      <c r="AA579" s="85"/>
      <c r="AC579" s="94"/>
      <c r="AD579" s="93"/>
      <c r="AE579" s="85"/>
    </row>
    <row r="580" spans="7:31" ht="14.5" customHeight="1" x14ac:dyDescent="0.35">
      <c r="G580" s="85"/>
      <c r="H580" s="87"/>
      <c r="M580" s="94"/>
      <c r="N580" s="93"/>
      <c r="O580" s="85"/>
      <c r="Q580" s="94"/>
      <c r="R580" s="93"/>
      <c r="S580" s="85"/>
      <c r="U580" s="94"/>
      <c r="V580" s="93"/>
      <c r="W580" s="85"/>
      <c r="Y580" s="94"/>
      <c r="Z580" s="93"/>
      <c r="AA580" s="85"/>
      <c r="AC580" s="94"/>
      <c r="AD580" s="93"/>
      <c r="AE580" s="85"/>
    </row>
    <row r="581" spans="7:31" ht="14.5" customHeight="1" x14ac:dyDescent="0.35">
      <c r="G581" s="85"/>
      <c r="H581" s="87"/>
      <c r="M581" s="94"/>
      <c r="N581" s="93"/>
      <c r="O581" s="85"/>
      <c r="Q581" s="94"/>
      <c r="R581" s="93"/>
      <c r="S581" s="85"/>
      <c r="U581" s="94"/>
      <c r="V581" s="93"/>
      <c r="W581" s="85"/>
      <c r="Y581" s="94"/>
      <c r="Z581" s="93"/>
      <c r="AA581" s="85"/>
      <c r="AC581" s="94"/>
      <c r="AD581" s="93"/>
      <c r="AE581" s="85"/>
    </row>
    <row r="582" spans="7:31" ht="14.5" customHeight="1" x14ac:dyDescent="0.35">
      <c r="G582" s="85"/>
      <c r="H582" s="87"/>
      <c r="M582" s="94"/>
      <c r="N582" s="93"/>
      <c r="O582" s="85"/>
      <c r="Q582" s="94"/>
      <c r="R582" s="93"/>
      <c r="S582" s="85"/>
      <c r="U582" s="94"/>
      <c r="V582" s="93"/>
      <c r="W582" s="85"/>
      <c r="Y582" s="94"/>
      <c r="Z582" s="93"/>
      <c r="AA582" s="85"/>
      <c r="AC582" s="94"/>
      <c r="AD582" s="93"/>
      <c r="AE582" s="85"/>
    </row>
    <row r="583" spans="7:31" ht="14.5" customHeight="1" x14ac:dyDescent="0.35">
      <c r="G583" s="85"/>
      <c r="H583" s="87"/>
      <c r="M583" s="94"/>
      <c r="N583" s="93"/>
      <c r="O583" s="85"/>
      <c r="Q583" s="94"/>
      <c r="R583" s="93"/>
      <c r="S583" s="85"/>
      <c r="U583" s="94"/>
      <c r="V583" s="93"/>
      <c r="W583" s="85"/>
      <c r="Y583" s="94"/>
      <c r="Z583" s="93"/>
      <c r="AA583" s="85"/>
      <c r="AC583" s="94"/>
      <c r="AD583" s="93"/>
      <c r="AE583" s="85"/>
    </row>
    <row r="584" spans="7:31" ht="14.5" customHeight="1" x14ac:dyDescent="0.35">
      <c r="G584" s="85"/>
      <c r="H584" s="87"/>
      <c r="M584" s="94"/>
      <c r="N584" s="93"/>
      <c r="O584" s="85"/>
      <c r="Q584" s="94"/>
      <c r="R584" s="93"/>
      <c r="S584" s="85"/>
      <c r="U584" s="94"/>
      <c r="V584" s="93"/>
      <c r="W584" s="85"/>
      <c r="Y584" s="94"/>
      <c r="Z584" s="93"/>
      <c r="AA584" s="85"/>
      <c r="AC584" s="94"/>
      <c r="AD584" s="93"/>
      <c r="AE584" s="85"/>
    </row>
    <row r="585" spans="7:31" ht="14.5" customHeight="1" x14ac:dyDescent="0.35">
      <c r="G585" s="85"/>
      <c r="H585" s="87"/>
      <c r="M585" s="94"/>
      <c r="N585" s="93"/>
      <c r="O585" s="85"/>
      <c r="Q585" s="94"/>
      <c r="R585" s="93"/>
      <c r="S585" s="85"/>
      <c r="U585" s="94"/>
      <c r="V585" s="93"/>
      <c r="W585" s="85"/>
      <c r="Y585" s="94"/>
      <c r="Z585" s="93"/>
      <c r="AA585" s="85"/>
      <c r="AC585" s="94"/>
      <c r="AD585" s="93"/>
      <c r="AE585" s="85"/>
    </row>
    <row r="586" spans="7:31" ht="14.5" customHeight="1" x14ac:dyDescent="0.35">
      <c r="G586" s="85"/>
      <c r="H586" s="87"/>
      <c r="M586" s="94"/>
      <c r="N586" s="93"/>
      <c r="O586" s="85"/>
      <c r="Q586" s="94"/>
      <c r="R586" s="93"/>
      <c r="S586" s="85"/>
      <c r="U586" s="94"/>
      <c r="V586" s="93"/>
      <c r="W586" s="85"/>
      <c r="Y586" s="94"/>
      <c r="Z586" s="93"/>
      <c r="AA586" s="85"/>
      <c r="AC586" s="94"/>
      <c r="AD586" s="93"/>
      <c r="AE586" s="85"/>
    </row>
    <row r="587" spans="7:31" ht="14.5" customHeight="1" x14ac:dyDescent="0.35">
      <c r="G587" s="85"/>
      <c r="H587" s="87"/>
      <c r="M587" s="94"/>
      <c r="N587" s="93"/>
      <c r="O587" s="85"/>
      <c r="Q587" s="94"/>
      <c r="R587" s="93"/>
      <c r="S587" s="85"/>
      <c r="U587" s="94"/>
      <c r="V587" s="93"/>
      <c r="W587" s="85"/>
      <c r="Y587" s="94"/>
      <c r="Z587" s="93"/>
      <c r="AA587" s="85"/>
      <c r="AC587" s="94"/>
      <c r="AD587" s="93"/>
      <c r="AE587" s="85"/>
    </row>
    <row r="588" spans="7:31" ht="14.5" customHeight="1" x14ac:dyDescent="0.35">
      <c r="G588" s="85"/>
      <c r="H588" s="87"/>
      <c r="M588" s="94"/>
      <c r="N588" s="93"/>
      <c r="O588" s="85"/>
      <c r="Q588" s="94"/>
      <c r="R588" s="93"/>
      <c r="S588" s="85"/>
      <c r="U588" s="94"/>
      <c r="V588" s="93"/>
      <c r="W588" s="85"/>
      <c r="Y588" s="94"/>
      <c r="Z588" s="93"/>
      <c r="AA588" s="85"/>
      <c r="AC588" s="94"/>
      <c r="AD588" s="93"/>
      <c r="AE588" s="85"/>
    </row>
    <row r="589" spans="7:31" ht="14.5" customHeight="1" x14ac:dyDescent="0.35">
      <c r="G589" s="85"/>
      <c r="H589" s="87"/>
      <c r="M589" s="94"/>
      <c r="N589" s="93"/>
      <c r="O589" s="85"/>
      <c r="Q589" s="94"/>
      <c r="R589" s="93"/>
      <c r="S589" s="85"/>
      <c r="U589" s="94"/>
      <c r="V589" s="93"/>
      <c r="W589" s="85"/>
      <c r="Y589" s="94"/>
      <c r="Z589" s="93"/>
      <c r="AA589" s="85"/>
      <c r="AC589" s="94"/>
      <c r="AD589" s="93"/>
      <c r="AE589" s="85"/>
    </row>
    <row r="590" spans="7:31" ht="14.5" customHeight="1" x14ac:dyDescent="0.35">
      <c r="G590" s="85"/>
      <c r="H590" s="87"/>
      <c r="M590" s="94"/>
      <c r="N590" s="93"/>
      <c r="O590" s="85"/>
      <c r="Q590" s="94"/>
      <c r="R590" s="93"/>
      <c r="S590" s="85"/>
      <c r="U590" s="94"/>
      <c r="V590" s="93"/>
      <c r="W590" s="85"/>
      <c r="Y590" s="94"/>
      <c r="Z590" s="93"/>
      <c r="AA590" s="85"/>
      <c r="AC590" s="94"/>
      <c r="AD590" s="93"/>
      <c r="AE590" s="85"/>
    </row>
    <row r="591" spans="7:31" ht="14.5" customHeight="1" x14ac:dyDescent="0.35">
      <c r="G591" s="85"/>
      <c r="H591" s="87"/>
      <c r="M591" s="94"/>
      <c r="N591" s="93"/>
      <c r="O591" s="85"/>
      <c r="Q591" s="94"/>
      <c r="R591" s="93"/>
      <c r="S591" s="85"/>
      <c r="U591" s="94"/>
      <c r="V591" s="93"/>
      <c r="W591" s="85"/>
      <c r="Y591" s="94"/>
      <c r="Z591" s="93"/>
      <c r="AA591" s="85"/>
      <c r="AC591" s="94"/>
      <c r="AD591" s="93"/>
      <c r="AE591" s="85"/>
    </row>
    <row r="592" spans="7:31" ht="14.5" customHeight="1" x14ac:dyDescent="0.35">
      <c r="G592" s="85"/>
      <c r="H592" s="87"/>
      <c r="M592" s="94"/>
      <c r="N592" s="93"/>
      <c r="O592" s="85"/>
      <c r="Q592" s="94"/>
      <c r="R592" s="93"/>
      <c r="S592" s="85"/>
      <c r="U592" s="94"/>
      <c r="V592" s="93"/>
      <c r="W592" s="85"/>
      <c r="Y592" s="94"/>
      <c r="Z592" s="93"/>
      <c r="AA592" s="85"/>
      <c r="AC592" s="94"/>
      <c r="AD592" s="93"/>
      <c r="AE592" s="85"/>
    </row>
    <row r="593" spans="7:31" ht="14.5" customHeight="1" x14ac:dyDescent="0.35">
      <c r="G593" s="85"/>
      <c r="H593" s="87"/>
      <c r="M593" s="94"/>
      <c r="N593" s="93"/>
      <c r="O593" s="85"/>
      <c r="Q593" s="94"/>
      <c r="R593" s="93"/>
      <c r="S593" s="85"/>
      <c r="U593" s="94"/>
      <c r="V593" s="93"/>
      <c r="W593" s="85"/>
      <c r="Y593" s="94"/>
      <c r="Z593" s="93"/>
      <c r="AA593" s="85"/>
      <c r="AC593" s="94"/>
      <c r="AD593" s="93"/>
      <c r="AE593" s="85"/>
    </row>
    <row r="594" spans="7:31" ht="14.5" customHeight="1" x14ac:dyDescent="0.35">
      <c r="G594" s="85"/>
      <c r="H594" s="87"/>
      <c r="M594" s="94"/>
      <c r="N594" s="93"/>
      <c r="O594" s="85"/>
      <c r="Q594" s="94"/>
      <c r="R594" s="93"/>
      <c r="S594" s="85"/>
      <c r="U594" s="94"/>
      <c r="V594" s="93"/>
      <c r="W594" s="85"/>
      <c r="Y594" s="94"/>
      <c r="Z594" s="93"/>
      <c r="AA594" s="85"/>
      <c r="AC594" s="94"/>
      <c r="AD594" s="93"/>
      <c r="AE594" s="85"/>
    </row>
    <row r="595" spans="7:31" ht="14.5" customHeight="1" x14ac:dyDescent="0.35">
      <c r="G595" s="85"/>
      <c r="H595" s="87"/>
      <c r="M595" s="94"/>
      <c r="N595" s="93"/>
      <c r="O595" s="85"/>
      <c r="Q595" s="94"/>
      <c r="R595" s="93"/>
      <c r="S595" s="85"/>
      <c r="U595" s="94"/>
      <c r="V595" s="93"/>
      <c r="W595" s="85"/>
      <c r="Y595" s="94"/>
      <c r="Z595" s="93"/>
      <c r="AA595" s="85"/>
      <c r="AC595" s="94"/>
      <c r="AD595" s="93"/>
      <c r="AE595" s="85"/>
    </row>
    <row r="596" spans="7:31" ht="14.5" customHeight="1" x14ac:dyDescent="0.35">
      <c r="G596" s="85"/>
      <c r="H596" s="87"/>
      <c r="M596" s="94"/>
      <c r="N596" s="93"/>
      <c r="O596" s="85"/>
      <c r="Q596" s="94"/>
      <c r="R596" s="93"/>
      <c r="S596" s="85"/>
      <c r="U596" s="94"/>
      <c r="V596" s="93"/>
      <c r="W596" s="85"/>
      <c r="Y596" s="94"/>
      <c r="Z596" s="93"/>
      <c r="AA596" s="85"/>
      <c r="AC596" s="94"/>
      <c r="AD596" s="93"/>
      <c r="AE596" s="85"/>
    </row>
    <row r="597" spans="7:31" ht="14.5" customHeight="1" x14ac:dyDescent="0.35">
      <c r="G597" s="85"/>
      <c r="H597" s="87"/>
      <c r="M597" s="94"/>
      <c r="N597" s="93"/>
      <c r="O597" s="85"/>
      <c r="Q597" s="94"/>
      <c r="R597" s="93"/>
      <c r="S597" s="85"/>
      <c r="U597" s="94"/>
      <c r="V597" s="93"/>
      <c r="W597" s="85"/>
      <c r="Y597" s="94"/>
      <c r="Z597" s="93"/>
      <c r="AA597" s="85"/>
      <c r="AC597" s="94"/>
      <c r="AD597" s="93"/>
      <c r="AE597" s="85"/>
    </row>
    <row r="598" spans="7:31" ht="14.5" customHeight="1" x14ac:dyDescent="0.35">
      <c r="G598" s="85"/>
      <c r="H598" s="87"/>
      <c r="M598" s="94"/>
      <c r="N598" s="93"/>
      <c r="O598" s="85"/>
      <c r="Q598" s="94"/>
      <c r="R598" s="93"/>
      <c r="S598" s="85"/>
      <c r="U598" s="94"/>
      <c r="V598" s="93"/>
      <c r="W598" s="85"/>
      <c r="Y598" s="94"/>
      <c r="Z598" s="93"/>
      <c r="AA598" s="85"/>
      <c r="AC598" s="94"/>
      <c r="AD598" s="93"/>
      <c r="AE598" s="85"/>
    </row>
    <row r="599" spans="7:31" ht="14.5" customHeight="1" x14ac:dyDescent="0.35">
      <c r="G599" s="85"/>
      <c r="H599" s="87"/>
      <c r="M599" s="94"/>
      <c r="N599" s="93"/>
      <c r="O599" s="85"/>
      <c r="Q599" s="94"/>
      <c r="R599" s="93"/>
      <c r="S599" s="85"/>
      <c r="U599" s="94"/>
      <c r="V599" s="93"/>
      <c r="W599" s="85"/>
      <c r="Y599" s="94"/>
      <c r="Z599" s="93"/>
      <c r="AA599" s="85"/>
      <c r="AC599" s="94"/>
      <c r="AD599" s="93"/>
      <c r="AE599" s="85"/>
    </row>
    <row r="600" spans="7:31" ht="14.5" customHeight="1" x14ac:dyDescent="0.35">
      <c r="G600" s="85"/>
      <c r="H600" s="87"/>
      <c r="M600" s="94"/>
      <c r="N600" s="93"/>
      <c r="O600" s="85"/>
      <c r="Q600" s="94"/>
      <c r="R600" s="93"/>
      <c r="S600" s="85"/>
      <c r="U600" s="94"/>
      <c r="V600" s="93"/>
      <c r="W600" s="85"/>
      <c r="Y600" s="94"/>
      <c r="Z600" s="93"/>
      <c r="AA600" s="85"/>
      <c r="AC600" s="94"/>
      <c r="AD600" s="93"/>
      <c r="AE600" s="85"/>
    </row>
    <row r="601" spans="7:31" ht="14.5" customHeight="1" x14ac:dyDescent="0.35">
      <c r="G601" s="85"/>
      <c r="H601" s="87"/>
      <c r="M601" s="94"/>
      <c r="N601" s="93"/>
      <c r="O601" s="85"/>
      <c r="Q601" s="94"/>
      <c r="R601" s="93"/>
      <c r="S601" s="85"/>
      <c r="U601" s="94"/>
      <c r="V601" s="93"/>
      <c r="W601" s="85"/>
      <c r="Y601" s="94"/>
      <c r="Z601" s="93"/>
      <c r="AA601" s="85"/>
      <c r="AC601" s="94"/>
      <c r="AD601" s="93"/>
      <c r="AE601" s="85"/>
    </row>
    <row r="602" spans="7:31" ht="14.5" customHeight="1" x14ac:dyDescent="0.35">
      <c r="G602" s="85"/>
      <c r="H602" s="87"/>
      <c r="M602" s="94"/>
      <c r="N602" s="93"/>
      <c r="O602" s="85"/>
      <c r="Q602" s="94"/>
      <c r="R602" s="93"/>
      <c r="S602" s="85"/>
      <c r="U602" s="94"/>
      <c r="V602" s="93"/>
      <c r="W602" s="85"/>
      <c r="Y602" s="94"/>
      <c r="Z602" s="93"/>
      <c r="AA602" s="85"/>
      <c r="AC602" s="94"/>
      <c r="AD602" s="93"/>
      <c r="AE602" s="85"/>
    </row>
    <row r="603" spans="7:31" ht="14.5" customHeight="1" x14ac:dyDescent="0.35">
      <c r="G603" s="85"/>
      <c r="H603" s="87"/>
      <c r="M603" s="94"/>
      <c r="N603" s="93"/>
      <c r="O603" s="85"/>
      <c r="Q603" s="94"/>
      <c r="R603" s="93"/>
      <c r="S603" s="85"/>
      <c r="U603" s="94"/>
      <c r="V603" s="93"/>
      <c r="W603" s="85"/>
      <c r="Y603" s="94"/>
      <c r="Z603" s="93"/>
      <c r="AA603" s="85"/>
      <c r="AC603" s="94"/>
      <c r="AD603" s="93"/>
      <c r="AE603" s="85"/>
    </row>
    <row r="604" spans="7:31" ht="14.5" customHeight="1" x14ac:dyDescent="0.35">
      <c r="G604" s="85"/>
      <c r="H604" s="87"/>
      <c r="M604" s="94"/>
      <c r="N604" s="93"/>
      <c r="O604" s="85"/>
      <c r="Q604" s="94"/>
      <c r="R604" s="93"/>
      <c r="S604" s="85"/>
      <c r="U604" s="94"/>
      <c r="V604" s="93"/>
      <c r="W604" s="85"/>
      <c r="Y604" s="94"/>
      <c r="Z604" s="93"/>
      <c r="AA604" s="85"/>
      <c r="AC604" s="94"/>
      <c r="AD604" s="93"/>
      <c r="AE604" s="85"/>
    </row>
    <row r="605" spans="7:31" ht="14.5" customHeight="1" x14ac:dyDescent="0.35">
      <c r="G605" s="85"/>
      <c r="H605" s="87"/>
      <c r="M605" s="94"/>
      <c r="N605" s="93"/>
      <c r="O605" s="85"/>
      <c r="Q605" s="94"/>
      <c r="R605" s="93"/>
      <c r="S605" s="85"/>
      <c r="U605" s="94"/>
      <c r="V605" s="93"/>
      <c r="W605" s="85"/>
      <c r="Y605" s="94"/>
      <c r="Z605" s="93"/>
      <c r="AA605" s="85"/>
      <c r="AC605" s="94"/>
      <c r="AD605" s="93"/>
      <c r="AE605" s="85"/>
    </row>
    <row r="606" spans="7:31" ht="14.5" customHeight="1" x14ac:dyDescent="0.35">
      <c r="G606" s="85"/>
      <c r="H606" s="87"/>
      <c r="M606" s="94"/>
      <c r="N606" s="93"/>
      <c r="O606" s="85"/>
      <c r="Q606" s="94"/>
      <c r="R606" s="93"/>
      <c r="S606" s="85"/>
      <c r="U606" s="94"/>
      <c r="V606" s="93"/>
      <c r="W606" s="85"/>
      <c r="Y606" s="94"/>
      <c r="Z606" s="93"/>
      <c r="AA606" s="85"/>
      <c r="AC606" s="94"/>
      <c r="AD606" s="93"/>
      <c r="AE606" s="85"/>
    </row>
    <row r="607" spans="7:31" ht="14.5" customHeight="1" x14ac:dyDescent="0.35">
      <c r="G607" s="85"/>
      <c r="H607" s="87"/>
      <c r="M607" s="94"/>
      <c r="N607" s="93"/>
      <c r="O607" s="85"/>
      <c r="Q607" s="94"/>
      <c r="R607" s="93"/>
      <c r="S607" s="85"/>
      <c r="U607" s="94"/>
      <c r="V607" s="93"/>
      <c r="W607" s="85"/>
      <c r="Y607" s="94"/>
      <c r="Z607" s="93"/>
      <c r="AA607" s="85"/>
      <c r="AC607" s="94"/>
      <c r="AD607" s="93"/>
      <c r="AE607" s="85"/>
    </row>
    <row r="608" spans="7:31" ht="14.5" customHeight="1" x14ac:dyDescent="0.35">
      <c r="G608" s="85"/>
      <c r="H608" s="87"/>
      <c r="M608" s="94"/>
      <c r="N608" s="93"/>
      <c r="O608" s="85"/>
      <c r="Q608" s="94"/>
      <c r="R608" s="93"/>
      <c r="S608" s="85"/>
      <c r="U608" s="94"/>
      <c r="V608" s="93"/>
      <c r="W608" s="85"/>
      <c r="Y608" s="94"/>
      <c r="Z608" s="93"/>
      <c r="AA608" s="85"/>
      <c r="AC608" s="94"/>
      <c r="AD608" s="93"/>
      <c r="AE608" s="85"/>
    </row>
    <row r="609" spans="7:31" ht="14.5" customHeight="1" x14ac:dyDescent="0.35">
      <c r="G609" s="85"/>
      <c r="H609" s="87"/>
      <c r="M609" s="94"/>
      <c r="N609" s="93"/>
      <c r="O609" s="85"/>
      <c r="Q609" s="94"/>
      <c r="R609" s="93"/>
      <c r="S609" s="85"/>
      <c r="U609" s="94"/>
      <c r="V609" s="93"/>
      <c r="W609" s="85"/>
      <c r="Y609" s="94"/>
      <c r="Z609" s="93"/>
      <c r="AA609" s="85"/>
      <c r="AC609" s="94"/>
      <c r="AD609" s="93"/>
      <c r="AE609" s="85"/>
    </row>
    <row r="610" spans="7:31" ht="14.5" customHeight="1" x14ac:dyDescent="0.35">
      <c r="G610" s="85"/>
      <c r="H610" s="87"/>
      <c r="M610" s="94"/>
      <c r="N610" s="93"/>
      <c r="O610" s="85"/>
      <c r="Q610" s="94"/>
      <c r="R610" s="93"/>
      <c r="S610" s="85"/>
      <c r="U610" s="94"/>
      <c r="V610" s="93"/>
      <c r="W610" s="85"/>
      <c r="Y610" s="94"/>
      <c r="Z610" s="93"/>
      <c r="AA610" s="85"/>
      <c r="AC610" s="94"/>
      <c r="AD610" s="93"/>
      <c r="AE610" s="85"/>
    </row>
    <row r="611" spans="7:31" ht="14.5" customHeight="1" x14ac:dyDescent="0.35">
      <c r="G611" s="85"/>
      <c r="H611" s="87"/>
      <c r="M611" s="94"/>
      <c r="N611" s="93"/>
      <c r="O611" s="85"/>
      <c r="Q611" s="94"/>
      <c r="R611" s="93"/>
      <c r="S611" s="85"/>
      <c r="U611" s="94"/>
      <c r="V611" s="93"/>
      <c r="W611" s="85"/>
      <c r="Y611" s="94"/>
      <c r="Z611" s="93"/>
      <c r="AA611" s="85"/>
      <c r="AC611" s="94"/>
      <c r="AD611" s="93"/>
      <c r="AE611" s="85"/>
    </row>
    <row r="612" spans="7:31" ht="14.5" customHeight="1" x14ac:dyDescent="0.35">
      <c r="G612" s="85"/>
      <c r="H612" s="87"/>
      <c r="M612" s="94"/>
      <c r="N612" s="93"/>
      <c r="O612" s="85"/>
      <c r="Q612" s="94"/>
      <c r="R612" s="93"/>
      <c r="S612" s="85"/>
      <c r="U612" s="94"/>
      <c r="V612" s="93"/>
      <c r="W612" s="85"/>
      <c r="Y612" s="94"/>
      <c r="Z612" s="93"/>
      <c r="AA612" s="85"/>
      <c r="AC612" s="94"/>
      <c r="AD612" s="93"/>
      <c r="AE612" s="85"/>
    </row>
    <row r="613" spans="7:31" ht="14.5" customHeight="1" x14ac:dyDescent="0.35">
      <c r="G613" s="85"/>
      <c r="H613" s="87"/>
      <c r="M613" s="94"/>
      <c r="N613" s="93"/>
      <c r="O613" s="85"/>
      <c r="Q613" s="94"/>
      <c r="R613" s="93"/>
      <c r="S613" s="85"/>
      <c r="U613" s="94"/>
      <c r="V613" s="93"/>
      <c r="W613" s="85"/>
      <c r="Y613" s="94"/>
      <c r="Z613" s="93"/>
      <c r="AA613" s="85"/>
      <c r="AC613" s="94"/>
      <c r="AD613" s="93"/>
      <c r="AE613" s="85"/>
    </row>
    <row r="614" spans="7:31" ht="14.5" customHeight="1" x14ac:dyDescent="0.35">
      <c r="G614" s="85"/>
      <c r="H614" s="87"/>
      <c r="M614" s="94"/>
      <c r="N614" s="93"/>
      <c r="O614" s="85"/>
      <c r="Q614" s="94"/>
      <c r="R614" s="93"/>
      <c r="S614" s="85"/>
      <c r="U614" s="94"/>
      <c r="V614" s="93"/>
      <c r="W614" s="85"/>
      <c r="Y614" s="94"/>
      <c r="Z614" s="93"/>
      <c r="AA614" s="85"/>
      <c r="AC614" s="94"/>
      <c r="AD614" s="93"/>
      <c r="AE614" s="85"/>
    </row>
    <row r="615" spans="7:31" ht="14.5" customHeight="1" x14ac:dyDescent="0.35">
      <c r="G615" s="85"/>
      <c r="H615" s="87"/>
      <c r="M615" s="94"/>
      <c r="N615" s="93"/>
      <c r="O615" s="85"/>
      <c r="Q615" s="94"/>
      <c r="R615" s="93"/>
      <c r="S615" s="85"/>
      <c r="U615" s="94"/>
      <c r="V615" s="93"/>
      <c r="W615" s="85"/>
      <c r="Y615" s="94"/>
      <c r="Z615" s="93"/>
      <c r="AA615" s="85"/>
      <c r="AC615" s="94"/>
      <c r="AD615" s="93"/>
      <c r="AE615" s="85"/>
    </row>
    <row r="616" spans="7:31" ht="14.5" customHeight="1" x14ac:dyDescent="0.35">
      <c r="G616" s="85"/>
      <c r="H616" s="87"/>
      <c r="M616" s="94"/>
      <c r="N616" s="93"/>
      <c r="O616" s="85"/>
      <c r="Q616" s="94"/>
      <c r="R616" s="93"/>
      <c r="S616" s="85"/>
      <c r="U616" s="94"/>
      <c r="V616" s="93"/>
      <c r="W616" s="85"/>
      <c r="Y616" s="94"/>
      <c r="Z616" s="93"/>
      <c r="AA616" s="85"/>
      <c r="AC616" s="94"/>
      <c r="AD616" s="93"/>
      <c r="AE616" s="85"/>
    </row>
    <row r="617" spans="7:31" ht="14.5" customHeight="1" x14ac:dyDescent="0.35">
      <c r="G617" s="85"/>
      <c r="H617" s="87"/>
      <c r="M617" s="94"/>
      <c r="N617" s="93"/>
      <c r="O617" s="85"/>
      <c r="Q617" s="94"/>
      <c r="R617" s="93"/>
      <c r="S617" s="85"/>
      <c r="U617" s="94"/>
      <c r="V617" s="93"/>
      <c r="W617" s="85"/>
      <c r="Y617" s="94"/>
      <c r="Z617" s="93"/>
      <c r="AA617" s="85"/>
      <c r="AC617" s="94"/>
      <c r="AD617" s="93"/>
      <c r="AE617" s="85"/>
    </row>
    <row r="618" spans="7:31" ht="14.5" customHeight="1" x14ac:dyDescent="0.35">
      <c r="G618" s="85"/>
      <c r="H618" s="87"/>
      <c r="M618" s="94"/>
      <c r="N618" s="93"/>
      <c r="O618" s="85"/>
      <c r="Q618" s="94"/>
      <c r="R618" s="93"/>
      <c r="S618" s="85"/>
      <c r="U618" s="94"/>
      <c r="V618" s="93"/>
      <c r="W618" s="85"/>
      <c r="Y618" s="94"/>
      <c r="Z618" s="93"/>
      <c r="AA618" s="85"/>
      <c r="AC618" s="94"/>
      <c r="AD618" s="93"/>
      <c r="AE618" s="85"/>
    </row>
    <row r="619" spans="7:31" ht="14.5" customHeight="1" x14ac:dyDescent="0.35">
      <c r="G619" s="85"/>
      <c r="H619" s="87"/>
      <c r="M619" s="94"/>
      <c r="N619" s="93"/>
      <c r="O619" s="85"/>
      <c r="Q619" s="94"/>
      <c r="R619" s="93"/>
      <c r="S619" s="85"/>
      <c r="U619" s="94"/>
      <c r="V619" s="93"/>
      <c r="W619" s="85"/>
      <c r="Y619" s="94"/>
      <c r="Z619" s="93"/>
      <c r="AA619" s="85"/>
      <c r="AC619" s="94"/>
      <c r="AD619" s="93"/>
      <c r="AE619" s="85"/>
    </row>
    <row r="620" spans="7:31" ht="14.5" customHeight="1" x14ac:dyDescent="0.35">
      <c r="G620" s="85"/>
      <c r="H620" s="87"/>
      <c r="M620" s="94"/>
      <c r="N620" s="93"/>
      <c r="O620" s="85"/>
      <c r="Q620" s="94"/>
      <c r="R620" s="93"/>
      <c r="S620" s="85"/>
      <c r="U620" s="94"/>
      <c r="V620" s="93"/>
      <c r="W620" s="85"/>
      <c r="Y620" s="94"/>
      <c r="Z620" s="93"/>
      <c r="AA620" s="85"/>
      <c r="AC620" s="94"/>
      <c r="AD620" s="93"/>
      <c r="AE620" s="85"/>
    </row>
    <row r="621" spans="7:31" ht="14.5" customHeight="1" x14ac:dyDescent="0.35">
      <c r="G621" s="85"/>
      <c r="H621" s="87"/>
      <c r="M621" s="94"/>
      <c r="N621" s="93"/>
      <c r="O621" s="85"/>
      <c r="Q621" s="94"/>
      <c r="R621" s="93"/>
      <c r="S621" s="85"/>
      <c r="U621" s="94"/>
      <c r="V621" s="93"/>
      <c r="W621" s="85"/>
      <c r="Y621" s="94"/>
      <c r="Z621" s="93"/>
      <c r="AA621" s="85"/>
      <c r="AC621" s="94"/>
      <c r="AD621" s="93"/>
      <c r="AE621" s="85"/>
    </row>
    <row r="622" spans="7:31" ht="14.5" customHeight="1" x14ac:dyDescent="0.35">
      <c r="G622" s="85"/>
      <c r="H622" s="87"/>
      <c r="M622" s="94"/>
      <c r="N622" s="93"/>
      <c r="O622" s="85"/>
      <c r="Q622" s="94"/>
      <c r="R622" s="93"/>
      <c r="S622" s="85"/>
      <c r="U622" s="94"/>
      <c r="V622" s="93"/>
      <c r="W622" s="85"/>
      <c r="Y622" s="94"/>
      <c r="Z622" s="93"/>
      <c r="AA622" s="85"/>
      <c r="AC622" s="94"/>
      <c r="AD622" s="93"/>
      <c r="AE622" s="85"/>
    </row>
    <row r="623" spans="7:31" ht="14.5" customHeight="1" x14ac:dyDescent="0.35">
      <c r="G623" s="85"/>
      <c r="H623" s="87"/>
      <c r="M623" s="94"/>
      <c r="N623" s="93"/>
      <c r="O623" s="85"/>
      <c r="Q623" s="94"/>
      <c r="R623" s="93"/>
      <c r="S623" s="85"/>
      <c r="U623" s="94"/>
      <c r="V623" s="93"/>
      <c r="W623" s="85"/>
      <c r="Y623" s="94"/>
      <c r="Z623" s="93"/>
      <c r="AA623" s="85"/>
      <c r="AC623" s="94"/>
      <c r="AD623" s="93"/>
      <c r="AE623" s="85"/>
    </row>
    <row r="624" spans="7:31" ht="14.5" customHeight="1" x14ac:dyDescent="0.35">
      <c r="G624" s="85"/>
      <c r="H624" s="87"/>
      <c r="M624" s="94"/>
      <c r="N624" s="93"/>
      <c r="O624" s="85"/>
      <c r="Q624" s="94"/>
      <c r="R624" s="93"/>
      <c r="S624" s="85"/>
      <c r="U624" s="94"/>
      <c r="V624" s="93"/>
      <c r="W624" s="85"/>
      <c r="Y624" s="94"/>
      <c r="Z624" s="93"/>
      <c r="AA624" s="85"/>
      <c r="AC624" s="94"/>
      <c r="AD624" s="93"/>
      <c r="AE624" s="85"/>
    </row>
    <row r="625" spans="7:31" ht="14.5" customHeight="1" x14ac:dyDescent="0.35">
      <c r="G625" s="85"/>
      <c r="H625" s="87"/>
      <c r="M625" s="94"/>
      <c r="N625" s="93"/>
      <c r="O625" s="85"/>
      <c r="Q625" s="94"/>
      <c r="R625" s="93"/>
      <c r="S625" s="85"/>
      <c r="U625" s="94"/>
      <c r="V625" s="93"/>
      <c r="W625" s="85"/>
      <c r="Y625" s="94"/>
      <c r="Z625" s="93"/>
      <c r="AA625" s="85"/>
      <c r="AC625" s="94"/>
      <c r="AD625" s="93"/>
      <c r="AE625" s="85"/>
    </row>
    <row r="626" spans="7:31" ht="14.5" customHeight="1" x14ac:dyDescent="0.35">
      <c r="G626" s="85"/>
      <c r="H626" s="87"/>
      <c r="M626" s="94"/>
      <c r="N626" s="93"/>
      <c r="O626" s="85"/>
      <c r="Q626" s="94"/>
      <c r="R626" s="93"/>
      <c r="S626" s="85"/>
      <c r="U626" s="94"/>
      <c r="V626" s="93"/>
      <c r="W626" s="85"/>
      <c r="Y626" s="94"/>
      <c r="Z626" s="93"/>
      <c r="AA626" s="85"/>
      <c r="AC626" s="94"/>
      <c r="AD626" s="93"/>
      <c r="AE626" s="85"/>
    </row>
    <row r="627" spans="7:31" ht="14.5" customHeight="1" x14ac:dyDescent="0.35">
      <c r="G627" s="85"/>
      <c r="H627" s="87"/>
      <c r="M627" s="94"/>
      <c r="N627" s="93"/>
      <c r="O627" s="85"/>
      <c r="Q627" s="94"/>
      <c r="R627" s="93"/>
      <c r="S627" s="85"/>
      <c r="U627" s="94"/>
      <c r="V627" s="93"/>
      <c r="W627" s="85"/>
      <c r="Y627" s="94"/>
      <c r="Z627" s="93"/>
      <c r="AA627" s="85"/>
      <c r="AC627" s="94"/>
      <c r="AD627" s="93"/>
      <c r="AE627" s="85"/>
    </row>
    <row r="628" spans="7:31" ht="14.5" customHeight="1" x14ac:dyDescent="0.35">
      <c r="G628" s="85"/>
      <c r="H628" s="87"/>
      <c r="M628" s="94"/>
      <c r="N628" s="93"/>
      <c r="O628" s="85"/>
      <c r="Q628" s="94"/>
      <c r="R628" s="93"/>
      <c r="S628" s="85"/>
      <c r="U628" s="94"/>
      <c r="V628" s="93"/>
      <c r="W628" s="85"/>
      <c r="Y628" s="94"/>
      <c r="Z628" s="93"/>
      <c r="AA628" s="85"/>
      <c r="AC628" s="94"/>
      <c r="AD628" s="93"/>
      <c r="AE628" s="85"/>
    </row>
    <row r="629" spans="7:31" ht="14.5" customHeight="1" x14ac:dyDescent="0.35">
      <c r="G629" s="85"/>
      <c r="H629" s="87"/>
      <c r="M629" s="94"/>
      <c r="N629" s="93"/>
      <c r="O629" s="85"/>
      <c r="Q629" s="94"/>
      <c r="R629" s="93"/>
      <c r="S629" s="85"/>
      <c r="U629" s="94"/>
      <c r="V629" s="93"/>
      <c r="W629" s="85"/>
      <c r="Y629" s="94"/>
      <c r="Z629" s="93"/>
      <c r="AA629" s="85"/>
      <c r="AC629" s="94"/>
      <c r="AD629" s="93"/>
      <c r="AE629" s="85"/>
    </row>
    <row r="630" spans="7:31" ht="14.5" customHeight="1" x14ac:dyDescent="0.35">
      <c r="G630" s="85"/>
      <c r="H630" s="87"/>
      <c r="M630" s="94"/>
      <c r="N630" s="93"/>
      <c r="O630" s="85"/>
      <c r="Q630" s="94"/>
      <c r="R630" s="93"/>
      <c r="S630" s="85"/>
      <c r="U630" s="94"/>
      <c r="V630" s="93"/>
      <c r="W630" s="85"/>
      <c r="Y630" s="94"/>
      <c r="Z630" s="93"/>
      <c r="AA630" s="85"/>
      <c r="AC630" s="94"/>
      <c r="AD630" s="93"/>
      <c r="AE630" s="85"/>
    </row>
    <row r="631" spans="7:31" ht="14.5" customHeight="1" x14ac:dyDescent="0.35">
      <c r="G631" s="85"/>
      <c r="H631" s="87"/>
      <c r="M631" s="94"/>
      <c r="N631" s="93"/>
      <c r="O631" s="85"/>
      <c r="Q631" s="94"/>
      <c r="R631" s="93"/>
      <c r="S631" s="85"/>
      <c r="U631" s="94"/>
      <c r="V631" s="93"/>
      <c r="W631" s="85"/>
      <c r="Y631" s="94"/>
      <c r="Z631" s="93"/>
      <c r="AA631" s="85"/>
      <c r="AC631" s="94"/>
      <c r="AD631" s="93"/>
      <c r="AE631" s="85"/>
    </row>
    <row r="632" spans="7:31" ht="14.5" customHeight="1" x14ac:dyDescent="0.35">
      <c r="G632" s="85"/>
      <c r="H632" s="87"/>
      <c r="M632" s="94"/>
      <c r="N632" s="93"/>
      <c r="O632" s="85"/>
      <c r="Q632" s="94"/>
      <c r="R632" s="93"/>
      <c r="S632" s="85"/>
      <c r="U632" s="94"/>
      <c r="V632" s="93"/>
      <c r="W632" s="85"/>
      <c r="Y632" s="94"/>
      <c r="Z632" s="93"/>
      <c r="AA632" s="85"/>
      <c r="AC632" s="94"/>
      <c r="AD632" s="93"/>
      <c r="AE632" s="85"/>
    </row>
    <row r="633" spans="7:31" ht="14.5" customHeight="1" x14ac:dyDescent="0.35">
      <c r="G633" s="85"/>
      <c r="H633" s="87"/>
      <c r="M633" s="94"/>
      <c r="N633" s="93"/>
      <c r="O633" s="85"/>
      <c r="Q633" s="94"/>
      <c r="R633" s="93"/>
      <c r="S633" s="85"/>
      <c r="U633" s="94"/>
      <c r="V633" s="93"/>
      <c r="W633" s="85"/>
      <c r="Y633" s="94"/>
      <c r="Z633" s="93"/>
      <c r="AA633" s="85"/>
      <c r="AC633" s="94"/>
      <c r="AD633" s="93"/>
      <c r="AE633" s="85"/>
    </row>
    <row r="634" spans="7:31" ht="14.5" customHeight="1" x14ac:dyDescent="0.35">
      <c r="G634" s="85"/>
      <c r="H634" s="87"/>
      <c r="M634" s="94"/>
      <c r="N634" s="93"/>
      <c r="O634" s="85"/>
      <c r="Q634" s="94"/>
      <c r="R634" s="93"/>
      <c r="S634" s="85"/>
      <c r="U634" s="94"/>
      <c r="V634" s="93"/>
      <c r="W634" s="85"/>
      <c r="Y634" s="94"/>
      <c r="Z634" s="93"/>
      <c r="AA634" s="85"/>
      <c r="AC634" s="94"/>
      <c r="AD634" s="93"/>
      <c r="AE634" s="85"/>
    </row>
    <row r="635" spans="7:31" ht="14.5" customHeight="1" x14ac:dyDescent="0.35">
      <c r="G635" s="85"/>
      <c r="H635" s="87"/>
      <c r="M635" s="94"/>
      <c r="N635" s="93"/>
      <c r="O635" s="85"/>
      <c r="Q635" s="94"/>
      <c r="R635" s="93"/>
      <c r="S635" s="85"/>
      <c r="U635" s="94"/>
      <c r="V635" s="93"/>
      <c r="W635" s="85"/>
      <c r="Y635" s="94"/>
      <c r="Z635" s="93"/>
      <c r="AA635" s="85"/>
      <c r="AC635" s="94"/>
      <c r="AD635" s="93"/>
      <c r="AE635" s="85"/>
    </row>
    <row r="636" spans="7:31" ht="14.5" customHeight="1" x14ac:dyDescent="0.35">
      <c r="G636" s="85"/>
      <c r="H636" s="87"/>
      <c r="M636" s="94"/>
      <c r="N636" s="93"/>
      <c r="O636" s="85"/>
      <c r="Q636" s="94"/>
      <c r="R636" s="93"/>
      <c r="S636" s="85"/>
      <c r="U636" s="94"/>
      <c r="V636" s="93"/>
      <c r="W636" s="85"/>
      <c r="Y636" s="94"/>
      <c r="Z636" s="93"/>
      <c r="AA636" s="85"/>
      <c r="AC636" s="94"/>
      <c r="AD636" s="93"/>
      <c r="AE636" s="85"/>
    </row>
    <row r="637" spans="7:31" ht="14.5" customHeight="1" x14ac:dyDescent="0.35">
      <c r="G637" s="85"/>
      <c r="H637" s="87"/>
      <c r="M637" s="94"/>
      <c r="N637" s="93"/>
      <c r="O637" s="85"/>
      <c r="Q637" s="94"/>
      <c r="R637" s="93"/>
      <c r="S637" s="85"/>
      <c r="U637" s="94"/>
      <c r="V637" s="93"/>
      <c r="W637" s="85"/>
      <c r="Y637" s="94"/>
      <c r="Z637" s="93"/>
      <c r="AA637" s="85"/>
      <c r="AC637" s="94"/>
      <c r="AD637" s="93"/>
      <c r="AE637" s="85"/>
    </row>
    <row r="638" spans="7:31" ht="14.5" customHeight="1" x14ac:dyDescent="0.35">
      <c r="G638" s="85"/>
      <c r="H638" s="87"/>
      <c r="M638" s="94"/>
      <c r="N638" s="93"/>
      <c r="O638" s="85"/>
      <c r="Q638" s="94"/>
      <c r="R638" s="93"/>
      <c r="S638" s="85"/>
      <c r="U638" s="94"/>
      <c r="V638" s="93"/>
      <c r="W638" s="85"/>
      <c r="Y638" s="94"/>
      <c r="Z638" s="93"/>
      <c r="AA638" s="85"/>
      <c r="AC638" s="94"/>
      <c r="AD638" s="93"/>
      <c r="AE638" s="85"/>
    </row>
    <row r="639" spans="7:31" ht="14.5" customHeight="1" x14ac:dyDescent="0.35">
      <c r="G639" s="85"/>
      <c r="H639" s="87"/>
      <c r="M639" s="94"/>
      <c r="N639" s="93"/>
      <c r="O639" s="85"/>
      <c r="Q639" s="94"/>
      <c r="R639" s="93"/>
      <c r="S639" s="85"/>
      <c r="U639" s="94"/>
      <c r="V639" s="93"/>
      <c r="W639" s="85"/>
      <c r="Y639" s="94"/>
      <c r="Z639" s="93"/>
      <c r="AA639" s="85"/>
      <c r="AC639" s="94"/>
      <c r="AD639" s="93"/>
      <c r="AE639" s="85"/>
    </row>
    <row r="640" spans="7:31" ht="14.5" customHeight="1" x14ac:dyDescent="0.35">
      <c r="G640" s="85"/>
      <c r="H640" s="87"/>
      <c r="M640" s="94"/>
      <c r="N640" s="93"/>
      <c r="O640" s="85"/>
      <c r="Q640" s="94"/>
      <c r="R640" s="93"/>
      <c r="S640" s="85"/>
      <c r="U640" s="94"/>
      <c r="V640" s="93"/>
      <c r="W640" s="85"/>
      <c r="Y640" s="94"/>
      <c r="Z640" s="93"/>
      <c r="AA640" s="85"/>
      <c r="AC640" s="94"/>
      <c r="AD640" s="93"/>
      <c r="AE640" s="85"/>
    </row>
    <row r="641" spans="7:31" ht="14.5" customHeight="1" x14ac:dyDescent="0.35">
      <c r="G641" s="85"/>
      <c r="H641" s="87"/>
      <c r="M641" s="94"/>
      <c r="N641" s="93"/>
      <c r="O641" s="85"/>
      <c r="Q641" s="94"/>
      <c r="R641" s="93"/>
      <c r="S641" s="85"/>
      <c r="U641" s="94"/>
      <c r="V641" s="93"/>
      <c r="W641" s="85"/>
      <c r="Y641" s="94"/>
      <c r="Z641" s="93"/>
      <c r="AA641" s="85"/>
      <c r="AC641" s="94"/>
      <c r="AD641" s="93"/>
      <c r="AE641" s="85"/>
    </row>
    <row r="642" spans="7:31" ht="14.5" customHeight="1" x14ac:dyDescent="0.35">
      <c r="G642" s="85"/>
      <c r="H642" s="87"/>
      <c r="M642" s="94"/>
      <c r="N642" s="93"/>
      <c r="O642" s="85"/>
      <c r="Q642" s="94"/>
      <c r="R642" s="93"/>
      <c r="S642" s="85"/>
      <c r="U642" s="94"/>
      <c r="V642" s="93"/>
      <c r="W642" s="85"/>
      <c r="Y642" s="94"/>
      <c r="Z642" s="93"/>
      <c r="AA642" s="85"/>
      <c r="AC642" s="94"/>
      <c r="AD642" s="93"/>
      <c r="AE642" s="85"/>
    </row>
    <row r="643" spans="7:31" ht="14.5" customHeight="1" x14ac:dyDescent="0.35">
      <c r="G643" s="85"/>
      <c r="H643" s="87"/>
      <c r="M643" s="94"/>
      <c r="N643" s="93"/>
      <c r="O643" s="85"/>
      <c r="Q643" s="94"/>
      <c r="R643" s="93"/>
      <c r="S643" s="85"/>
      <c r="U643" s="94"/>
      <c r="V643" s="93"/>
      <c r="W643" s="85"/>
      <c r="Y643" s="94"/>
      <c r="Z643" s="93"/>
      <c r="AA643" s="85"/>
      <c r="AC643" s="94"/>
      <c r="AD643" s="93"/>
      <c r="AE643" s="85"/>
    </row>
    <row r="644" spans="7:31" ht="14.5" customHeight="1" x14ac:dyDescent="0.35">
      <c r="G644" s="85"/>
      <c r="H644" s="87"/>
      <c r="M644" s="94"/>
      <c r="N644" s="93"/>
      <c r="O644" s="85"/>
      <c r="Q644" s="94"/>
      <c r="R644" s="93"/>
      <c r="S644" s="85"/>
      <c r="U644" s="94"/>
      <c r="V644" s="93"/>
      <c r="W644" s="85"/>
      <c r="Y644" s="94"/>
      <c r="Z644" s="93"/>
      <c r="AA644" s="85"/>
      <c r="AC644" s="94"/>
      <c r="AD644" s="93"/>
      <c r="AE644" s="85"/>
    </row>
    <row r="645" spans="7:31" ht="14.5" customHeight="1" x14ac:dyDescent="0.35">
      <c r="G645" s="85"/>
      <c r="H645" s="87"/>
      <c r="M645" s="94"/>
      <c r="N645" s="93"/>
      <c r="O645" s="85"/>
      <c r="Q645" s="94"/>
      <c r="R645" s="93"/>
      <c r="S645" s="85"/>
      <c r="U645" s="94"/>
      <c r="V645" s="93"/>
      <c r="W645" s="85"/>
      <c r="Y645" s="94"/>
      <c r="Z645" s="93"/>
      <c r="AA645" s="85"/>
      <c r="AC645" s="94"/>
      <c r="AD645" s="93"/>
      <c r="AE645" s="85"/>
    </row>
    <row r="646" spans="7:31" ht="14.5" customHeight="1" x14ac:dyDescent="0.35">
      <c r="G646" s="85"/>
      <c r="H646" s="87"/>
      <c r="M646" s="94"/>
      <c r="N646" s="93"/>
      <c r="O646" s="85"/>
      <c r="Q646" s="94"/>
      <c r="R646" s="93"/>
      <c r="S646" s="85"/>
      <c r="U646" s="94"/>
      <c r="V646" s="93"/>
      <c r="W646" s="85"/>
      <c r="Y646" s="94"/>
      <c r="Z646" s="93"/>
      <c r="AA646" s="85"/>
      <c r="AC646" s="94"/>
      <c r="AD646" s="93"/>
      <c r="AE646" s="85"/>
    </row>
    <row r="647" spans="7:31" ht="14.5" customHeight="1" x14ac:dyDescent="0.35">
      <c r="G647" s="85"/>
      <c r="H647" s="87"/>
      <c r="M647" s="94"/>
      <c r="N647" s="93"/>
      <c r="O647" s="85"/>
      <c r="Q647" s="94"/>
      <c r="R647" s="93"/>
      <c r="S647" s="85"/>
      <c r="U647" s="94"/>
      <c r="V647" s="93"/>
      <c r="W647" s="85"/>
      <c r="Y647" s="94"/>
      <c r="Z647" s="93"/>
      <c r="AA647" s="85"/>
      <c r="AC647" s="94"/>
      <c r="AD647" s="93"/>
      <c r="AE647" s="85"/>
    </row>
    <row r="648" spans="7:31" ht="14.5" customHeight="1" x14ac:dyDescent="0.35">
      <c r="G648" s="85"/>
      <c r="H648" s="87"/>
      <c r="M648" s="94"/>
      <c r="N648" s="93"/>
      <c r="O648" s="85"/>
      <c r="Q648" s="94"/>
      <c r="R648" s="93"/>
      <c r="S648" s="85"/>
      <c r="U648" s="94"/>
      <c r="V648" s="93"/>
      <c r="W648" s="85"/>
      <c r="Y648" s="94"/>
      <c r="Z648" s="93"/>
      <c r="AA648" s="85"/>
      <c r="AC648" s="94"/>
      <c r="AD648" s="93"/>
      <c r="AE648" s="85"/>
    </row>
    <row r="649" spans="7:31" ht="14.5" customHeight="1" x14ac:dyDescent="0.35">
      <c r="G649" s="85"/>
      <c r="H649" s="87"/>
      <c r="M649" s="94"/>
      <c r="N649" s="93"/>
      <c r="O649" s="85"/>
      <c r="Q649" s="94"/>
      <c r="R649" s="93"/>
      <c r="S649" s="85"/>
      <c r="U649" s="94"/>
      <c r="V649" s="93"/>
      <c r="W649" s="85"/>
      <c r="Y649" s="94"/>
      <c r="Z649" s="93"/>
      <c r="AA649" s="85"/>
      <c r="AC649" s="94"/>
      <c r="AD649" s="93"/>
      <c r="AE649" s="85"/>
    </row>
    <row r="650" spans="7:31" ht="14.5" customHeight="1" x14ac:dyDescent="0.35">
      <c r="G650" s="85"/>
      <c r="H650" s="87"/>
      <c r="M650" s="94"/>
      <c r="N650" s="93"/>
      <c r="O650" s="85"/>
      <c r="Q650" s="94"/>
      <c r="R650" s="93"/>
      <c r="S650" s="85"/>
      <c r="U650" s="94"/>
      <c r="V650" s="93"/>
      <c r="W650" s="85"/>
      <c r="Y650" s="94"/>
      <c r="Z650" s="93"/>
      <c r="AA650" s="85"/>
      <c r="AC650" s="94"/>
      <c r="AD650" s="93"/>
      <c r="AE650" s="85"/>
    </row>
    <row r="651" spans="7:31" ht="14.5" customHeight="1" x14ac:dyDescent="0.35">
      <c r="G651" s="85"/>
      <c r="H651" s="87"/>
      <c r="M651" s="94"/>
      <c r="N651" s="93"/>
      <c r="O651" s="85"/>
      <c r="Q651" s="94"/>
      <c r="R651" s="93"/>
      <c r="S651" s="85"/>
      <c r="U651" s="94"/>
      <c r="V651" s="93"/>
      <c r="W651" s="85"/>
      <c r="Y651" s="94"/>
      <c r="Z651" s="93"/>
      <c r="AA651" s="85"/>
      <c r="AC651" s="94"/>
      <c r="AD651" s="93"/>
      <c r="AE651" s="85"/>
    </row>
    <row r="652" spans="7:31" ht="14.5" customHeight="1" x14ac:dyDescent="0.35">
      <c r="G652" s="85"/>
      <c r="H652" s="87"/>
      <c r="M652" s="94"/>
      <c r="N652" s="93"/>
      <c r="O652" s="85"/>
      <c r="Q652" s="94"/>
      <c r="R652" s="93"/>
      <c r="S652" s="85"/>
      <c r="U652" s="94"/>
      <c r="V652" s="93"/>
      <c r="W652" s="85"/>
      <c r="Y652" s="94"/>
      <c r="Z652" s="93"/>
      <c r="AA652" s="85"/>
      <c r="AC652" s="94"/>
      <c r="AD652" s="93"/>
      <c r="AE652" s="85"/>
    </row>
    <row r="653" spans="7:31" ht="14.5" customHeight="1" x14ac:dyDescent="0.35">
      <c r="G653" s="85"/>
      <c r="H653" s="87"/>
      <c r="M653" s="94"/>
      <c r="N653" s="93"/>
      <c r="O653" s="85"/>
      <c r="Q653" s="94"/>
      <c r="R653" s="93"/>
      <c r="S653" s="85"/>
      <c r="U653" s="94"/>
      <c r="V653" s="93"/>
      <c r="W653" s="85"/>
      <c r="Y653" s="94"/>
      <c r="Z653" s="93"/>
      <c r="AA653" s="85"/>
      <c r="AC653" s="94"/>
      <c r="AD653" s="93"/>
      <c r="AE653" s="85"/>
    </row>
    <row r="654" spans="7:31" ht="14.5" customHeight="1" x14ac:dyDescent="0.35">
      <c r="G654" s="85"/>
      <c r="H654" s="87"/>
      <c r="M654" s="94"/>
      <c r="N654" s="93"/>
      <c r="O654" s="85"/>
      <c r="Q654" s="94"/>
      <c r="R654" s="93"/>
      <c r="S654" s="85"/>
      <c r="U654" s="94"/>
      <c r="V654" s="93"/>
      <c r="W654" s="85"/>
      <c r="Y654" s="94"/>
      <c r="Z654" s="93"/>
      <c r="AA654" s="85"/>
      <c r="AC654" s="94"/>
      <c r="AD654" s="93"/>
      <c r="AE654" s="85"/>
    </row>
    <row r="655" spans="7:31" ht="14.5" customHeight="1" x14ac:dyDescent="0.35">
      <c r="G655" s="85"/>
      <c r="H655" s="87"/>
      <c r="M655" s="94"/>
      <c r="N655" s="93"/>
      <c r="O655" s="85"/>
      <c r="Q655" s="94"/>
      <c r="R655" s="93"/>
      <c r="S655" s="85"/>
      <c r="U655" s="94"/>
      <c r="V655" s="93"/>
      <c r="W655" s="85"/>
      <c r="Y655" s="94"/>
      <c r="Z655" s="93"/>
      <c r="AA655" s="85"/>
      <c r="AC655" s="94"/>
      <c r="AD655" s="93"/>
      <c r="AE655" s="85"/>
    </row>
    <row r="656" spans="7:31" ht="14.5" customHeight="1" x14ac:dyDescent="0.35">
      <c r="G656" s="85"/>
      <c r="H656" s="87"/>
      <c r="M656" s="94"/>
      <c r="N656" s="93"/>
      <c r="O656" s="85"/>
      <c r="Q656" s="94"/>
      <c r="R656" s="93"/>
      <c r="S656" s="85"/>
      <c r="U656" s="94"/>
      <c r="V656" s="93"/>
      <c r="W656" s="85"/>
      <c r="Y656" s="94"/>
      <c r="Z656" s="93"/>
      <c r="AA656" s="85"/>
      <c r="AC656" s="94"/>
      <c r="AD656" s="93"/>
      <c r="AE656" s="85"/>
    </row>
    <row r="657" spans="7:31" ht="14.5" customHeight="1" x14ac:dyDescent="0.35">
      <c r="G657" s="85"/>
      <c r="H657" s="87"/>
      <c r="M657" s="94"/>
      <c r="N657" s="93"/>
      <c r="O657" s="85"/>
      <c r="Q657" s="94"/>
      <c r="R657" s="93"/>
      <c r="S657" s="85"/>
      <c r="U657" s="94"/>
      <c r="V657" s="93"/>
      <c r="W657" s="85"/>
      <c r="Y657" s="94"/>
      <c r="Z657" s="93"/>
      <c r="AA657" s="85"/>
      <c r="AC657" s="94"/>
      <c r="AD657" s="93"/>
      <c r="AE657" s="85"/>
    </row>
    <row r="658" spans="7:31" ht="14.5" customHeight="1" x14ac:dyDescent="0.35">
      <c r="G658" s="85"/>
      <c r="H658" s="87"/>
      <c r="M658" s="94"/>
      <c r="N658" s="93"/>
      <c r="O658" s="85"/>
      <c r="Q658" s="94"/>
      <c r="R658" s="93"/>
      <c r="S658" s="85"/>
      <c r="U658" s="94"/>
      <c r="V658" s="93"/>
      <c r="W658" s="85"/>
      <c r="Y658" s="94"/>
      <c r="Z658" s="93"/>
      <c r="AA658" s="85"/>
      <c r="AC658" s="94"/>
      <c r="AD658" s="93"/>
      <c r="AE658" s="85"/>
    </row>
    <row r="659" spans="7:31" ht="14.5" customHeight="1" x14ac:dyDescent="0.35">
      <c r="G659" s="85"/>
      <c r="H659" s="87"/>
      <c r="M659" s="94"/>
      <c r="N659" s="93"/>
      <c r="O659" s="85"/>
      <c r="Q659" s="94"/>
      <c r="R659" s="93"/>
      <c r="S659" s="85"/>
      <c r="U659" s="94"/>
      <c r="V659" s="93"/>
      <c r="W659" s="85"/>
      <c r="Y659" s="94"/>
      <c r="Z659" s="93"/>
      <c r="AA659" s="85"/>
      <c r="AC659" s="94"/>
      <c r="AD659" s="93"/>
      <c r="AE659" s="85"/>
    </row>
    <row r="660" spans="7:31" ht="14.5" customHeight="1" x14ac:dyDescent="0.35">
      <c r="G660" s="85"/>
      <c r="H660" s="87"/>
      <c r="M660" s="94"/>
      <c r="N660" s="93"/>
      <c r="O660" s="85"/>
      <c r="Q660" s="94"/>
      <c r="R660" s="93"/>
      <c r="S660" s="85"/>
      <c r="U660" s="94"/>
      <c r="V660" s="93"/>
      <c r="W660" s="85"/>
      <c r="Y660" s="94"/>
      <c r="Z660" s="93"/>
      <c r="AA660" s="85"/>
      <c r="AC660" s="94"/>
      <c r="AD660" s="93"/>
      <c r="AE660" s="85"/>
    </row>
    <row r="661" spans="7:31" ht="14.5" customHeight="1" x14ac:dyDescent="0.35">
      <c r="G661" s="85"/>
      <c r="H661" s="87"/>
      <c r="M661" s="94"/>
      <c r="N661" s="93"/>
      <c r="O661" s="85"/>
      <c r="Q661" s="94"/>
      <c r="R661" s="93"/>
      <c r="S661" s="85"/>
      <c r="U661" s="94"/>
      <c r="V661" s="93"/>
      <c r="W661" s="85"/>
      <c r="Y661" s="94"/>
      <c r="Z661" s="93"/>
      <c r="AA661" s="85"/>
      <c r="AC661" s="94"/>
      <c r="AD661" s="93"/>
      <c r="AE661" s="85"/>
    </row>
    <row r="662" spans="7:31" ht="14.5" customHeight="1" x14ac:dyDescent="0.35">
      <c r="G662" s="85"/>
      <c r="H662" s="87"/>
      <c r="M662" s="94"/>
      <c r="N662" s="93"/>
      <c r="O662" s="85"/>
      <c r="Q662" s="94"/>
      <c r="R662" s="93"/>
      <c r="S662" s="85"/>
      <c r="U662" s="94"/>
      <c r="V662" s="93"/>
      <c r="W662" s="85"/>
      <c r="Y662" s="94"/>
      <c r="Z662" s="93"/>
      <c r="AA662" s="85"/>
      <c r="AC662" s="94"/>
      <c r="AD662" s="93"/>
      <c r="AE662" s="85"/>
    </row>
    <row r="663" spans="7:31" ht="14.5" customHeight="1" x14ac:dyDescent="0.35">
      <c r="G663" s="85"/>
      <c r="H663" s="87"/>
      <c r="M663" s="94"/>
      <c r="N663" s="93"/>
      <c r="O663" s="85"/>
      <c r="Q663" s="94"/>
      <c r="R663" s="93"/>
      <c r="S663" s="85"/>
      <c r="U663" s="94"/>
      <c r="V663" s="93"/>
      <c r="W663" s="85"/>
      <c r="Y663" s="94"/>
      <c r="Z663" s="93"/>
      <c r="AA663" s="85"/>
      <c r="AC663" s="94"/>
      <c r="AD663" s="93"/>
      <c r="AE663" s="85"/>
    </row>
    <row r="664" spans="7:31" ht="14.5" customHeight="1" x14ac:dyDescent="0.35">
      <c r="G664" s="85"/>
      <c r="H664" s="87"/>
      <c r="M664" s="94"/>
      <c r="N664" s="93"/>
      <c r="O664" s="85"/>
      <c r="Q664" s="94"/>
      <c r="R664" s="93"/>
      <c r="S664" s="85"/>
      <c r="U664" s="94"/>
      <c r="V664" s="93"/>
      <c r="W664" s="85"/>
      <c r="Y664" s="94"/>
      <c r="Z664" s="93"/>
      <c r="AA664" s="85"/>
      <c r="AC664" s="94"/>
      <c r="AD664" s="93"/>
      <c r="AE664" s="85"/>
    </row>
    <row r="665" spans="7:31" ht="14.5" customHeight="1" x14ac:dyDescent="0.35">
      <c r="G665" s="85"/>
      <c r="H665" s="87"/>
      <c r="M665" s="94"/>
      <c r="N665" s="93"/>
      <c r="O665" s="85"/>
      <c r="Q665" s="94"/>
      <c r="R665" s="93"/>
      <c r="S665" s="85"/>
      <c r="U665" s="94"/>
      <c r="V665" s="93"/>
      <c r="W665" s="85"/>
      <c r="Y665" s="94"/>
      <c r="Z665" s="93"/>
      <c r="AA665" s="85"/>
      <c r="AC665" s="94"/>
      <c r="AD665" s="93"/>
      <c r="AE665" s="85"/>
    </row>
    <row r="666" spans="7:31" ht="14.5" customHeight="1" x14ac:dyDescent="0.35">
      <c r="G666" s="85"/>
      <c r="H666" s="87"/>
      <c r="M666" s="94"/>
      <c r="N666" s="93"/>
      <c r="O666" s="85"/>
      <c r="Q666" s="94"/>
      <c r="R666" s="93"/>
      <c r="S666" s="85"/>
      <c r="U666" s="94"/>
      <c r="V666" s="93"/>
      <c r="W666" s="85"/>
      <c r="Y666" s="94"/>
      <c r="Z666" s="93"/>
      <c r="AA666" s="85"/>
      <c r="AC666" s="94"/>
      <c r="AD666" s="93"/>
      <c r="AE666" s="85"/>
    </row>
    <row r="667" spans="7:31" ht="14.5" customHeight="1" x14ac:dyDescent="0.35">
      <c r="G667" s="85"/>
      <c r="H667" s="87"/>
      <c r="M667" s="94"/>
      <c r="N667" s="93"/>
      <c r="O667" s="85"/>
      <c r="Q667" s="94"/>
      <c r="R667" s="93"/>
      <c r="S667" s="85"/>
      <c r="U667" s="94"/>
      <c r="V667" s="93"/>
      <c r="W667" s="85"/>
      <c r="Y667" s="94"/>
      <c r="Z667" s="93"/>
      <c r="AA667" s="85"/>
      <c r="AC667" s="94"/>
      <c r="AD667" s="93"/>
      <c r="AE667" s="85"/>
    </row>
    <row r="668" spans="7:31" ht="14.5" customHeight="1" x14ac:dyDescent="0.35">
      <c r="G668" s="85"/>
      <c r="H668" s="87"/>
      <c r="M668" s="94"/>
      <c r="N668" s="93"/>
      <c r="O668" s="85"/>
      <c r="Q668" s="94"/>
      <c r="R668" s="93"/>
      <c r="S668" s="85"/>
      <c r="U668" s="94"/>
      <c r="V668" s="93"/>
      <c r="W668" s="85"/>
      <c r="Y668" s="94"/>
      <c r="Z668" s="93"/>
      <c r="AA668" s="85"/>
      <c r="AC668" s="94"/>
      <c r="AD668" s="93"/>
      <c r="AE668" s="85"/>
    </row>
    <row r="669" spans="7:31" ht="14.5" customHeight="1" x14ac:dyDescent="0.35">
      <c r="G669" s="85"/>
      <c r="H669" s="87"/>
      <c r="M669" s="94"/>
      <c r="N669" s="93"/>
      <c r="O669" s="85"/>
      <c r="Q669" s="94"/>
      <c r="R669" s="93"/>
      <c r="S669" s="85"/>
      <c r="U669" s="94"/>
      <c r="V669" s="93"/>
      <c r="W669" s="85"/>
      <c r="Y669" s="94"/>
      <c r="Z669" s="93"/>
      <c r="AA669" s="85"/>
      <c r="AC669" s="94"/>
      <c r="AD669" s="93"/>
      <c r="AE669" s="85"/>
    </row>
    <row r="670" spans="7:31" ht="14.5" customHeight="1" x14ac:dyDescent="0.35">
      <c r="G670" s="85"/>
      <c r="H670" s="87"/>
      <c r="M670" s="94"/>
      <c r="N670" s="93"/>
      <c r="O670" s="85"/>
      <c r="Q670" s="94"/>
      <c r="R670" s="93"/>
      <c r="S670" s="85"/>
      <c r="U670" s="94"/>
      <c r="V670" s="93"/>
      <c r="W670" s="85"/>
      <c r="Y670" s="94"/>
      <c r="Z670" s="93"/>
      <c r="AA670" s="85"/>
      <c r="AC670" s="94"/>
      <c r="AD670" s="93"/>
      <c r="AE670" s="85"/>
    </row>
    <row r="671" spans="7:31" ht="14.5" customHeight="1" x14ac:dyDescent="0.35">
      <c r="G671" s="85"/>
      <c r="H671" s="87"/>
      <c r="M671" s="94"/>
      <c r="N671" s="93"/>
      <c r="O671" s="85"/>
      <c r="Q671" s="94"/>
      <c r="R671" s="93"/>
      <c r="S671" s="85"/>
      <c r="U671" s="94"/>
      <c r="V671" s="93"/>
      <c r="W671" s="85"/>
      <c r="Y671" s="94"/>
      <c r="Z671" s="93"/>
      <c r="AA671" s="85"/>
      <c r="AC671" s="94"/>
      <c r="AD671" s="93"/>
      <c r="AE671" s="85"/>
    </row>
    <row r="672" spans="7:31" ht="14.5" customHeight="1" x14ac:dyDescent="0.35">
      <c r="G672" s="85"/>
      <c r="H672" s="87"/>
      <c r="M672" s="94"/>
      <c r="N672" s="93"/>
      <c r="O672" s="85"/>
      <c r="Q672" s="94"/>
      <c r="R672" s="93"/>
      <c r="S672" s="85"/>
      <c r="U672" s="94"/>
      <c r="V672" s="93"/>
      <c r="W672" s="85"/>
      <c r="Y672" s="94"/>
      <c r="Z672" s="93"/>
      <c r="AA672" s="85"/>
      <c r="AC672" s="94"/>
      <c r="AD672" s="93"/>
      <c r="AE672" s="85"/>
    </row>
    <row r="673" spans="7:31" ht="14.5" customHeight="1" x14ac:dyDescent="0.35">
      <c r="G673" s="85"/>
      <c r="H673" s="87"/>
      <c r="M673" s="94"/>
      <c r="N673" s="93"/>
      <c r="O673" s="85"/>
      <c r="Q673" s="94"/>
      <c r="R673" s="93"/>
      <c r="S673" s="85"/>
      <c r="U673" s="94"/>
      <c r="V673" s="93"/>
      <c r="W673" s="85"/>
      <c r="Y673" s="94"/>
      <c r="Z673" s="93"/>
      <c r="AA673" s="85"/>
      <c r="AC673" s="94"/>
      <c r="AD673" s="93"/>
      <c r="AE673" s="85"/>
    </row>
    <row r="674" spans="7:31" ht="14.5" customHeight="1" x14ac:dyDescent="0.35">
      <c r="G674" s="85"/>
      <c r="H674" s="87"/>
      <c r="M674" s="94"/>
      <c r="N674" s="93"/>
      <c r="O674" s="85"/>
      <c r="Q674" s="94"/>
      <c r="R674" s="93"/>
      <c r="S674" s="85"/>
      <c r="U674" s="94"/>
      <c r="V674" s="93"/>
      <c r="W674" s="85"/>
      <c r="Y674" s="94"/>
      <c r="Z674" s="93"/>
      <c r="AA674" s="85"/>
      <c r="AC674" s="94"/>
      <c r="AD674" s="93"/>
      <c r="AE674" s="85"/>
    </row>
    <row r="675" spans="7:31" ht="14.5" customHeight="1" x14ac:dyDescent="0.35">
      <c r="G675" s="85"/>
      <c r="H675" s="87"/>
      <c r="M675" s="94"/>
      <c r="N675" s="93"/>
      <c r="O675" s="85"/>
      <c r="Q675" s="94"/>
      <c r="R675" s="93"/>
      <c r="S675" s="85"/>
      <c r="U675" s="94"/>
      <c r="V675" s="93"/>
      <c r="W675" s="85"/>
      <c r="Y675" s="94"/>
      <c r="Z675" s="93"/>
      <c r="AA675" s="85"/>
      <c r="AC675" s="94"/>
      <c r="AD675" s="93"/>
      <c r="AE675" s="85"/>
    </row>
    <row r="676" spans="7:31" ht="14.5" customHeight="1" x14ac:dyDescent="0.35">
      <c r="G676" s="85"/>
      <c r="H676" s="87"/>
      <c r="M676" s="94"/>
      <c r="N676" s="93"/>
      <c r="O676" s="85"/>
      <c r="Q676" s="94"/>
      <c r="R676" s="93"/>
      <c r="S676" s="85"/>
      <c r="U676" s="94"/>
      <c r="V676" s="93"/>
      <c r="W676" s="85"/>
      <c r="Y676" s="94"/>
      <c r="Z676" s="93"/>
      <c r="AA676" s="85"/>
      <c r="AC676" s="94"/>
      <c r="AD676" s="93"/>
      <c r="AE676" s="85"/>
    </row>
    <row r="677" spans="7:31" ht="14.5" customHeight="1" x14ac:dyDescent="0.35">
      <c r="G677" s="85"/>
      <c r="H677" s="87"/>
      <c r="M677" s="94"/>
      <c r="N677" s="93"/>
      <c r="O677" s="85"/>
      <c r="Q677" s="94"/>
      <c r="R677" s="93"/>
      <c r="S677" s="85"/>
      <c r="U677" s="94"/>
      <c r="V677" s="93"/>
      <c r="W677" s="85"/>
      <c r="Y677" s="94"/>
      <c r="Z677" s="93"/>
      <c r="AA677" s="85"/>
      <c r="AC677" s="94"/>
      <c r="AD677" s="93"/>
      <c r="AE677" s="85"/>
    </row>
    <row r="678" spans="7:31" ht="14.5" customHeight="1" x14ac:dyDescent="0.35">
      <c r="G678" s="85"/>
      <c r="H678" s="87"/>
      <c r="M678" s="94"/>
      <c r="N678" s="93"/>
      <c r="O678" s="85"/>
      <c r="Q678" s="94"/>
      <c r="R678" s="93"/>
      <c r="S678" s="85"/>
      <c r="U678" s="94"/>
      <c r="V678" s="93"/>
      <c r="W678" s="85"/>
      <c r="Y678" s="94"/>
      <c r="Z678" s="93"/>
      <c r="AA678" s="85"/>
      <c r="AC678" s="94"/>
      <c r="AD678" s="93"/>
      <c r="AE678" s="85"/>
    </row>
    <row r="679" spans="7:31" ht="14.5" customHeight="1" x14ac:dyDescent="0.35">
      <c r="G679" s="85"/>
      <c r="H679" s="87"/>
      <c r="M679" s="94"/>
      <c r="N679" s="93"/>
      <c r="O679" s="85"/>
      <c r="Q679" s="94"/>
      <c r="R679" s="93"/>
      <c r="S679" s="85"/>
      <c r="U679" s="94"/>
      <c r="V679" s="93"/>
      <c r="W679" s="85"/>
      <c r="Y679" s="94"/>
      <c r="Z679" s="93"/>
      <c r="AA679" s="85"/>
      <c r="AC679" s="94"/>
      <c r="AD679" s="93"/>
      <c r="AE679" s="85"/>
    </row>
    <row r="680" spans="7:31" ht="14.5" customHeight="1" x14ac:dyDescent="0.35">
      <c r="G680" s="85"/>
      <c r="H680" s="87"/>
      <c r="M680" s="94"/>
      <c r="N680" s="93"/>
      <c r="O680" s="85"/>
      <c r="Q680" s="94"/>
      <c r="R680" s="93"/>
      <c r="S680" s="85"/>
      <c r="U680" s="94"/>
      <c r="V680" s="93"/>
      <c r="W680" s="85"/>
      <c r="Y680" s="94"/>
      <c r="Z680" s="93"/>
      <c r="AA680" s="85"/>
      <c r="AC680" s="94"/>
      <c r="AD680" s="93"/>
      <c r="AE680" s="85"/>
    </row>
    <row r="681" spans="7:31" ht="14.5" customHeight="1" x14ac:dyDescent="0.35">
      <c r="G681" s="85"/>
      <c r="H681" s="87"/>
      <c r="M681" s="94"/>
      <c r="N681" s="93"/>
      <c r="O681" s="85"/>
      <c r="Q681" s="94"/>
      <c r="R681" s="93"/>
      <c r="S681" s="85"/>
      <c r="U681" s="94"/>
      <c r="V681" s="93"/>
      <c r="W681" s="85"/>
      <c r="Y681" s="94"/>
      <c r="Z681" s="93"/>
      <c r="AA681" s="85"/>
      <c r="AC681" s="94"/>
      <c r="AD681" s="93"/>
      <c r="AE681" s="85"/>
    </row>
    <row r="682" spans="7:31" ht="14.5" customHeight="1" x14ac:dyDescent="0.35">
      <c r="G682" s="85"/>
      <c r="H682" s="87"/>
      <c r="M682" s="94"/>
      <c r="N682" s="93"/>
      <c r="O682" s="85"/>
      <c r="Q682" s="94"/>
      <c r="R682" s="93"/>
      <c r="S682" s="85"/>
      <c r="U682" s="94"/>
      <c r="V682" s="93"/>
      <c r="W682" s="85"/>
      <c r="Y682" s="94"/>
      <c r="Z682" s="93"/>
      <c r="AA682" s="85"/>
      <c r="AC682" s="94"/>
      <c r="AD682" s="93"/>
      <c r="AE682" s="85"/>
    </row>
    <row r="683" spans="7:31" ht="14.5" customHeight="1" x14ac:dyDescent="0.35">
      <c r="G683" s="85"/>
      <c r="H683" s="87"/>
      <c r="M683" s="94"/>
      <c r="N683" s="93"/>
      <c r="O683" s="85"/>
      <c r="Q683" s="94"/>
      <c r="R683" s="93"/>
      <c r="S683" s="85"/>
      <c r="U683" s="94"/>
      <c r="V683" s="93"/>
      <c r="W683" s="85"/>
      <c r="Y683" s="94"/>
      <c r="Z683" s="93"/>
      <c r="AA683" s="85"/>
      <c r="AC683" s="94"/>
      <c r="AD683" s="93"/>
      <c r="AE683" s="85"/>
    </row>
    <row r="684" spans="7:31" ht="14.5" customHeight="1" x14ac:dyDescent="0.35">
      <c r="G684" s="85"/>
      <c r="H684" s="87"/>
      <c r="M684" s="94"/>
      <c r="N684" s="93"/>
      <c r="O684" s="85"/>
      <c r="Q684" s="94"/>
      <c r="R684" s="93"/>
      <c r="S684" s="85"/>
      <c r="U684" s="94"/>
      <c r="V684" s="93"/>
      <c r="W684" s="85"/>
      <c r="Y684" s="94"/>
      <c r="Z684" s="93"/>
      <c r="AA684" s="85"/>
      <c r="AC684" s="94"/>
      <c r="AD684" s="93"/>
      <c r="AE684" s="85"/>
    </row>
    <row r="685" spans="7:31" ht="14.5" customHeight="1" x14ac:dyDescent="0.35">
      <c r="G685" s="85"/>
      <c r="H685" s="87"/>
      <c r="M685" s="94"/>
      <c r="N685" s="93"/>
      <c r="O685" s="85"/>
      <c r="Q685" s="94"/>
      <c r="R685" s="93"/>
      <c r="S685" s="85"/>
      <c r="U685" s="94"/>
      <c r="V685" s="93"/>
      <c r="W685" s="85"/>
      <c r="Y685" s="94"/>
      <c r="Z685" s="93"/>
      <c r="AA685" s="85"/>
      <c r="AC685" s="94"/>
      <c r="AD685" s="93"/>
      <c r="AE685" s="85"/>
    </row>
    <row r="686" spans="7:31" ht="14.5" customHeight="1" x14ac:dyDescent="0.35">
      <c r="G686" s="85"/>
      <c r="H686" s="87"/>
      <c r="M686" s="94"/>
      <c r="N686" s="93"/>
      <c r="O686" s="85"/>
      <c r="Q686" s="94"/>
      <c r="R686" s="93"/>
      <c r="S686" s="85"/>
      <c r="U686" s="94"/>
      <c r="V686" s="93"/>
      <c r="W686" s="85"/>
      <c r="Y686" s="94"/>
      <c r="Z686" s="93"/>
      <c r="AA686" s="85"/>
      <c r="AC686" s="94"/>
      <c r="AD686" s="93"/>
      <c r="AE686" s="85"/>
    </row>
    <row r="687" spans="7:31" ht="14.5" customHeight="1" x14ac:dyDescent="0.35">
      <c r="G687" s="85"/>
      <c r="H687" s="87"/>
      <c r="M687" s="94"/>
      <c r="N687" s="93"/>
      <c r="O687" s="85"/>
      <c r="Q687" s="94"/>
      <c r="R687" s="93"/>
      <c r="S687" s="85"/>
      <c r="U687" s="94"/>
      <c r="V687" s="93"/>
      <c r="W687" s="85"/>
      <c r="Y687" s="94"/>
      <c r="Z687" s="93"/>
      <c r="AA687" s="85"/>
      <c r="AC687" s="94"/>
      <c r="AD687" s="93"/>
      <c r="AE687" s="85"/>
    </row>
    <row r="688" spans="7:31" ht="14.5" customHeight="1" x14ac:dyDescent="0.35">
      <c r="G688" s="85"/>
      <c r="H688" s="87"/>
      <c r="M688" s="94"/>
      <c r="N688" s="93"/>
      <c r="O688" s="85"/>
      <c r="Q688" s="94"/>
      <c r="R688" s="93"/>
      <c r="S688" s="85"/>
      <c r="U688" s="94"/>
      <c r="V688" s="93"/>
      <c r="W688" s="85"/>
      <c r="Y688" s="94"/>
      <c r="Z688" s="93"/>
      <c r="AA688" s="85"/>
      <c r="AC688" s="94"/>
      <c r="AD688" s="93"/>
      <c r="AE688" s="85"/>
    </row>
    <row r="689" spans="7:31" ht="14.5" customHeight="1" x14ac:dyDescent="0.35">
      <c r="G689" s="85"/>
      <c r="H689" s="87"/>
      <c r="M689" s="94"/>
      <c r="N689" s="93"/>
      <c r="O689" s="85"/>
      <c r="Q689" s="94"/>
      <c r="R689" s="93"/>
      <c r="S689" s="85"/>
      <c r="U689" s="94"/>
      <c r="V689" s="93"/>
      <c r="W689" s="85"/>
      <c r="Y689" s="94"/>
      <c r="Z689" s="93"/>
      <c r="AA689" s="85"/>
      <c r="AC689" s="94"/>
      <c r="AD689" s="93"/>
      <c r="AE689" s="85"/>
    </row>
    <row r="690" spans="7:31" ht="14.5" customHeight="1" x14ac:dyDescent="0.35">
      <c r="G690" s="85"/>
      <c r="H690" s="87"/>
      <c r="M690" s="94"/>
      <c r="N690" s="93"/>
      <c r="O690" s="85"/>
      <c r="Q690" s="94"/>
      <c r="R690" s="93"/>
      <c r="S690" s="85"/>
      <c r="U690" s="94"/>
      <c r="V690" s="93"/>
      <c r="W690" s="85"/>
      <c r="Y690" s="94"/>
      <c r="Z690" s="93"/>
      <c r="AA690" s="85"/>
      <c r="AC690" s="94"/>
      <c r="AD690" s="93"/>
      <c r="AE690" s="85"/>
    </row>
    <row r="691" spans="7:31" ht="14.5" customHeight="1" x14ac:dyDescent="0.35">
      <c r="G691" s="85"/>
      <c r="H691" s="87"/>
      <c r="M691" s="94"/>
      <c r="N691" s="93"/>
      <c r="O691" s="85"/>
      <c r="Q691" s="94"/>
      <c r="R691" s="93"/>
      <c r="S691" s="85"/>
      <c r="U691" s="94"/>
      <c r="V691" s="93"/>
      <c r="W691" s="85"/>
      <c r="Y691" s="94"/>
      <c r="Z691" s="93"/>
      <c r="AA691" s="85"/>
      <c r="AC691" s="94"/>
      <c r="AD691" s="93"/>
      <c r="AE691" s="85"/>
    </row>
    <row r="692" spans="7:31" ht="14.5" customHeight="1" x14ac:dyDescent="0.35">
      <c r="G692" s="85"/>
      <c r="H692" s="87"/>
      <c r="M692" s="94"/>
      <c r="N692" s="93"/>
      <c r="O692" s="85"/>
      <c r="Q692" s="94"/>
      <c r="R692" s="93"/>
      <c r="S692" s="85"/>
      <c r="U692" s="94"/>
      <c r="V692" s="93"/>
      <c r="W692" s="85"/>
      <c r="Y692" s="94"/>
      <c r="Z692" s="93"/>
      <c r="AA692" s="85"/>
      <c r="AC692" s="94"/>
      <c r="AD692" s="93"/>
      <c r="AE692" s="85"/>
    </row>
    <row r="693" spans="7:31" ht="14.5" customHeight="1" x14ac:dyDescent="0.35">
      <c r="G693" s="85"/>
      <c r="H693" s="87"/>
      <c r="M693" s="94"/>
      <c r="N693" s="93"/>
      <c r="O693" s="85"/>
      <c r="Q693" s="94"/>
      <c r="R693" s="93"/>
      <c r="S693" s="85"/>
      <c r="U693" s="94"/>
      <c r="V693" s="93"/>
      <c r="W693" s="85"/>
      <c r="Y693" s="94"/>
      <c r="Z693" s="93"/>
      <c r="AA693" s="85"/>
      <c r="AC693" s="94"/>
      <c r="AD693" s="93"/>
      <c r="AE693" s="85"/>
    </row>
    <row r="694" spans="7:31" ht="14.5" customHeight="1" x14ac:dyDescent="0.35">
      <c r="G694" s="85"/>
      <c r="H694" s="87"/>
      <c r="M694" s="94"/>
      <c r="N694" s="93"/>
      <c r="O694" s="85"/>
      <c r="Q694" s="94"/>
      <c r="R694" s="93"/>
      <c r="S694" s="85"/>
      <c r="U694" s="94"/>
      <c r="V694" s="93"/>
      <c r="W694" s="85"/>
      <c r="Y694" s="94"/>
      <c r="Z694" s="93"/>
      <c r="AA694" s="85"/>
      <c r="AC694" s="94"/>
      <c r="AD694" s="93"/>
      <c r="AE694" s="85"/>
    </row>
    <row r="695" spans="7:31" ht="14.5" customHeight="1" x14ac:dyDescent="0.35">
      <c r="G695" s="85"/>
      <c r="H695" s="87"/>
      <c r="M695" s="94"/>
      <c r="N695" s="93"/>
      <c r="O695" s="85"/>
      <c r="Q695" s="94"/>
      <c r="R695" s="93"/>
      <c r="S695" s="85"/>
      <c r="U695" s="94"/>
      <c r="V695" s="93"/>
      <c r="W695" s="85"/>
      <c r="Y695" s="94"/>
      <c r="Z695" s="93"/>
      <c r="AA695" s="85"/>
      <c r="AC695" s="94"/>
      <c r="AD695" s="93"/>
      <c r="AE695" s="85"/>
    </row>
    <row r="696" spans="7:31" ht="14.5" customHeight="1" x14ac:dyDescent="0.35">
      <c r="G696" s="85"/>
      <c r="H696" s="87"/>
      <c r="M696" s="94"/>
      <c r="N696" s="93"/>
      <c r="O696" s="85"/>
      <c r="Q696" s="94"/>
      <c r="R696" s="93"/>
      <c r="S696" s="85"/>
      <c r="U696" s="94"/>
      <c r="V696" s="93"/>
      <c r="W696" s="85"/>
      <c r="Y696" s="94"/>
      <c r="Z696" s="93"/>
      <c r="AA696" s="85"/>
      <c r="AC696" s="94"/>
      <c r="AD696" s="93"/>
      <c r="AE696" s="85"/>
    </row>
    <row r="697" spans="7:31" ht="14.5" customHeight="1" x14ac:dyDescent="0.35">
      <c r="G697" s="85"/>
      <c r="H697" s="87"/>
      <c r="M697" s="94"/>
      <c r="N697" s="93"/>
      <c r="O697" s="85"/>
      <c r="Q697" s="94"/>
      <c r="R697" s="93"/>
      <c r="S697" s="85"/>
      <c r="U697" s="94"/>
      <c r="V697" s="93"/>
      <c r="W697" s="85"/>
      <c r="Y697" s="94"/>
      <c r="Z697" s="93"/>
      <c r="AA697" s="85"/>
      <c r="AC697" s="94"/>
      <c r="AD697" s="93"/>
      <c r="AE697" s="85"/>
    </row>
    <row r="698" spans="7:31" ht="14.5" customHeight="1" x14ac:dyDescent="0.35">
      <c r="G698" s="85"/>
      <c r="H698" s="87"/>
      <c r="M698" s="94"/>
      <c r="N698" s="93"/>
      <c r="O698" s="85"/>
      <c r="Q698" s="94"/>
      <c r="R698" s="93"/>
      <c r="S698" s="85"/>
      <c r="U698" s="94"/>
      <c r="V698" s="93"/>
      <c r="W698" s="85"/>
      <c r="Y698" s="94"/>
      <c r="Z698" s="93"/>
      <c r="AA698" s="85"/>
      <c r="AC698" s="94"/>
      <c r="AD698" s="93"/>
      <c r="AE698" s="85"/>
    </row>
    <row r="699" spans="7:31" ht="14.5" customHeight="1" x14ac:dyDescent="0.35">
      <c r="G699" s="85"/>
      <c r="H699" s="87"/>
      <c r="M699" s="94"/>
      <c r="N699" s="93"/>
      <c r="O699" s="85"/>
      <c r="Q699" s="94"/>
      <c r="R699" s="93"/>
      <c r="S699" s="85"/>
      <c r="U699" s="94"/>
      <c r="V699" s="93"/>
      <c r="W699" s="85"/>
      <c r="Y699" s="94"/>
      <c r="Z699" s="93"/>
      <c r="AA699" s="85"/>
      <c r="AC699" s="94"/>
      <c r="AD699" s="93"/>
      <c r="AE699" s="85"/>
    </row>
    <row r="700" spans="7:31" ht="14.5" customHeight="1" x14ac:dyDescent="0.35">
      <c r="G700" s="85"/>
      <c r="H700" s="87"/>
      <c r="M700" s="94"/>
      <c r="N700" s="93"/>
      <c r="O700" s="85"/>
      <c r="Q700" s="94"/>
      <c r="R700" s="93"/>
      <c r="S700" s="85"/>
      <c r="U700" s="94"/>
      <c r="V700" s="93"/>
      <c r="W700" s="85"/>
      <c r="Y700" s="94"/>
      <c r="Z700" s="93"/>
      <c r="AA700" s="85"/>
      <c r="AC700" s="94"/>
      <c r="AD700" s="93"/>
      <c r="AE700" s="85"/>
    </row>
    <row r="701" spans="7:31" ht="14.5" customHeight="1" x14ac:dyDescent="0.35">
      <c r="G701" s="85"/>
      <c r="H701" s="87"/>
      <c r="M701" s="94"/>
      <c r="N701" s="93"/>
      <c r="O701" s="85"/>
      <c r="Q701" s="94"/>
      <c r="R701" s="93"/>
      <c r="S701" s="85"/>
      <c r="U701" s="94"/>
      <c r="V701" s="93"/>
      <c r="W701" s="85"/>
      <c r="Y701" s="94"/>
      <c r="Z701" s="93"/>
      <c r="AA701" s="85"/>
      <c r="AC701" s="94"/>
      <c r="AD701" s="93"/>
      <c r="AE701" s="85"/>
    </row>
    <row r="702" spans="7:31" ht="14.5" customHeight="1" x14ac:dyDescent="0.35">
      <c r="G702" s="85"/>
      <c r="H702" s="87"/>
      <c r="M702" s="94"/>
      <c r="N702" s="93"/>
      <c r="O702" s="85"/>
      <c r="Q702" s="94"/>
      <c r="R702" s="93"/>
      <c r="S702" s="85"/>
      <c r="U702" s="94"/>
      <c r="V702" s="93"/>
      <c r="W702" s="85"/>
      <c r="Y702" s="94"/>
      <c r="Z702" s="93"/>
      <c r="AA702" s="85"/>
      <c r="AC702" s="94"/>
      <c r="AD702" s="93"/>
      <c r="AE702" s="85"/>
    </row>
    <row r="703" spans="7:31" ht="14.5" customHeight="1" x14ac:dyDescent="0.35">
      <c r="G703" s="85"/>
      <c r="H703" s="87"/>
      <c r="M703" s="94"/>
      <c r="N703" s="93"/>
      <c r="O703" s="85"/>
      <c r="Q703" s="94"/>
      <c r="R703" s="93"/>
      <c r="S703" s="85"/>
      <c r="U703" s="94"/>
      <c r="V703" s="93"/>
      <c r="W703" s="85"/>
      <c r="Y703" s="94"/>
      <c r="Z703" s="93"/>
      <c r="AA703" s="85"/>
      <c r="AC703" s="94"/>
      <c r="AD703" s="93"/>
      <c r="AE703" s="85"/>
    </row>
    <row r="704" spans="7:31" ht="14.5" customHeight="1" x14ac:dyDescent="0.35">
      <c r="G704" s="85"/>
      <c r="H704" s="87"/>
      <c r="M704" s="94"/>
      <c r="N704" s="93"/>
      <c r="O704" s="85"/>
      <c r="Q704" s="94"/>
      <c r="R704" s="93"/>
      <c r="S704" s="85"/>
      <c r="U704" s="94"/>
      <c r="V704" s="93"/>
      <c r="W704" s="85"/>
      <c r="Y704" s="94"/>
      <c r="Z704" s="93"/>
      <c r="AA704" s="85"/>
      <c r="AC704" s="94"/>
      <c r="AD704" s="93"/>
      <c r="AE704" s="85"/>
    </row>
    <row r="705" spans="7:31" ht="14.5" customHeight="1" x14ac:dyDescent="0.35">
      <c r="G705" s="85"/>
      <c r="H705" s="87"/>
      <c r="M705" s="94"/>
      <c r="N705" s="93"/>
      <c r="O705" s="85"/>
      <c r="Q705" s="94"/>
      <c r="R705" s="93"/>
      <c r="S705" s="85"/>
      <c r="U705" s="94"/>
      <c r="V705" s="93"/>
      <c r="W705" s="85"/>
      <c r="Y705" s="94"/>
      <c r="Z705" s="93"/>
      <c r="AA705" s="85"/>
      <c r="AC705" s="94"/>
      <c r="AD705" s="93"/>
      <c r="AE705" s="85"/>
    </row>
    <row r="706" spans="7:31" ht="14.5" customHeight="1" x14ac:dyDescent="0.35">
      <c r="G706" s="85"/>
      <c r="H706" s="87"/>
      <c r="M706" s="94"/>
      <c r="N706" s="93"/>
      <c r="O706" s="85"/>
      <c r="Q706" s="94"/>
      <c r="R706" s="93"/>
      <c r="S706" s="85"/>
      <c r="U706" s="94"/>
      <c r="V706" s="93"/>
      <c r="W706" s="85"/>
      <c r="Y706" s="94"/>
      <c r="Z706" s="93"/>
      <c r="AA706" s="85"/>
      <c r="AC706" s="94"/>
      <c r="AD706" s="93"/>
      <c r="AE706" s="85"/>
    </row>
    <row r="707" spans="7:31" ht="14.5" customHeight="1" x14ac:dyDescent="0.35">
      <c r="G707" s="85"/>
      <c r="H707" s="87"/>
      <c r="M707" s="94"/>
      <c r="N707" s="93"/>
      <c r="O707" s="85"/>
      <c r="Q707" s="94"/>
      <c r="R707" s="93"/>
      <c r="S707" s="85"/>
      <c r="U707" s="94"/>
      <c r="V707" s="93"/>
      <c r="W707" s="85"/>
      <c r="Y707" s="94"/>
      <c r="Z707" s="93"/>
      <c r="AA707" s="85"/>
      <c r="AC707" s="94"/>
      <c r="AD707" s="93"/>
      <c r="AE707" s="85"/>
    </row>
    <row r="708" spans="7:31" ht="14.5" customHeight="1" x14ac:dyDescent="0.35">
      <c r="G708" s="85"/>
      <c r="H708" s="87"/>
      <c r="M708" s="94"/>
      <c r="N708" s="93"/>
      <c r="O708" s="85"/>
      <c r="Q708" s="94"/>
      <c r="R708" s="93"/>
      <c r="S708" s="85"/>
      <c r="U708" s="94"/>
      <c r="V708" s="93"/>
      <c r="W708" s="85"/>
      <c r="Y708" s="94"/>
      <c r="Z708" s="93"/>
      <c r="AA708" s="85"/>
      <c r="AC708" s="94"/>
      <c r="AD708" s="93"/>
      <c r="AE708" s="85"/>
    </row>
    <row r="709" spans="7:31" ht="14.5" customHeight="1" x14ac:dyDescent="0.35">
      <c r="G709" s="85"/>
      <c r="H709" s="87"/>
      <c r="M709" s="94"/>
      <c r="N709" s="93"/>
      <c r="O709" s="85"/>
      <c r="Q709" s="94"/>
      <c r="R709" s="93"/>
      <c r="S709" s="85"/>
      <c r="U709" s="94"/>
      <c r="V709" s="93"/>
      <c r="W709" s="85"/>
      <c r="Y709" s="94"/>
      <c r="Z709" s="93"/>
      <c r="AA709" s="85"/>
      <c r="AC709" s="94"/>
      <c r="AD709" s="93"/>
      <c r="AE709" s="85"/>
    </row>
    <row r="710" spans="7:31" ht="14.5" customHeight="1" x14ac:dyDescent="0.35">
      <c r="G710" s="85"/>
      <c r="H710" s="87"/>
      <c r="M710" s="94"/>
      <c r="N710" s="93"/>
      <c r="O710" s="85"/>
      <c r="Q710" s="94"/>
      <c r="R710" s="93"/>
      <c r="S710" s="85"/>
      <c r="U710" s="94"/>
      <c r="V710" s="93"/>
      <c r="W710" s="85"/>
      <c r="Y710" s="94"/>
      <c r="Z710" s="93"/>
      <c r="AA710" s="85"/>
      <c r="AC710" s="94"/>
      <c r="AD710" s="93"/>
      <c r="AE710" s="85"/>
    </row>
    <row r="711" spans="7:31" ht="14.5" customHeight="1" x14ac:dyDescent="0.35">
      <c r="G711" s="85"/>
      <c r="H711" s="87"/>
      <c r="M711" s="94"/>
      <c r="N711" s="93"/>
      <c r="O711" s="85"/>
      <c r="Q711" s="94"/>
      <c r="R711" s="93"/>
      <c r="S711" s="85"/>
      <c r="U711" s="94"/>
      <c r="V711" s="93"/>
      <c r="W711" s="85"/>
      <c r="Y711" s="94"/>
      <c r="Z711" s="93"/>
      <c r="AA711" s="85"/>
      <c r="AC711" s="94"/>
      <c r="AD711" s="93"/>
      <c r="AE711" s="85"/>
    </row>
    <row r="712" spans="7:31" ht="14.5" customHeight="1" x14ac:dyDescent="0.35">
      <c r="G712" s="85"/>
      <c r="H712" s="87"/>
      <c r="M712" s="94"/>
      <c r="N712" s="93"/>
      <c r="O712" s="85"/>
      <c r="Q712" s="94"/>
      <c r="R712" s="93"/>
      <c r="S712" s="85"/>
      <c r="U712" s="94"/>
      <c r="V712" s="93"/>
      <c r="W712" s="85"/>
      <c r="Y712" s="94"/>
      <c r="Z712" s="93"/>
      <c r="AA712" s="85"/>
      <c r="AC712" s="94"/>
      <c r="AD712" s="93"/>
      <c r="AE712" s="85"/>
    </row>
    <row r="713" spans="7:31" ht="14.5" customHeight="1" x14ac:dyDescent="0.35">
      <c r="G713" s="85"/>
      <c r="H713" s="87"/>
      <c r="M713" s="94"/>
      <c r="N713" s="93"/>
      <c r="O713" s="85"/>
      <c r="Q713" s="94"/>
      <c r="R713" s="93"/>
      <c r="S713" s="85"/>
      <c r="U713" s="94"/>
      <c r="V713" s="93"/>
      <c r="W713" s="85"/>
      <c r="Y713" s="94"/>
      <c r="Z713" s="93"/>
      <c r="AA713" s="85"/>
      <c r="AC713" s="94"/>
      <c r="AD713" s="93"/>
      <c r="AE713" s="85"/>
    </row>
    <row r="714" spans="7:31" ht="14.5" customHeight="1" x14ac:dyDescent="0.35">
      <c r="G714" s="85"/>
      <c r="H714" s="87"/>
      <c r="M714" s="94"/>
      <c r="N714" s="93"/>
      <c r="O714" s="85"/>
      <c r="Q714" s="94"/>
      <c r="R714" s="93"/>
      <c r="S714" s="85"/>
      <c r="U714" s="94"/>
      <c r="V714" s="93"/>
      <c r="W714" s="85"/>
      <c r="Y714" s="94"/>
      <c r="Z714" s="93"/>
      <c r="AA714" s="85"/>
      <c r="AC714" s="94"/>
      <c r="AD714" s="93"/>
      <c r="AE714" s="85"/>
    </row>
    <row r="715" spans="7:31" ht="14.5" customHeight="1" x14ac:dyDescent="0.35">
      <c r="G715" s="85"/>
      <c r="H715" s="87"/>
      <c r="M715" s="94"/>
      <c r="N715" s="93"/>
      <c r="O715" s="85"/>
      <c r="Q715" s="94"/>
      <c r="R715" s="93"/>
      <c r="S715" s="85"/>
      <c r="U715" s="94"/>
      <c r="V715" s="93"/>
      <c r="W715" s="85"/>
      <c r="Y715" s="94"/>
      <c r="Z715" s="93"/>
      <c r="AA715" s="85"/>
      <c r="AC715" s="94"/>
      <c r="AD715" s="93"/>
      <c r="AE715" s="85"/>
    </row>
    <row r="716" spans="7:31" ht="14.5" customHeight="1" x14ac:dyDescent="0.35">
      <c r="G716" s="85"/>
      <c r="H716" s="87"/>
      <c r="M716" s="94"/>
      <c r="N716" s="93"/>
      <c r="O716" s="85"/>
      <c r="Q716" s="94"/>
      <c r="R716" s="93"/>
      <c r="S716" s="85"/>
      <c r="U716" s="94"/>
      <c r="V716" s="93"/>
      <c r="W716" s="85"/>
      <c r="Y716" s="94"/>
      <c r="Z716" s="93"/>
      <c r="AA716" s="85"/>
      <c r="AC716" s="94"/>
      <c r="AD716" s="93"/>
      <c r="AE716" s="85"/>
    </row>
    <row r="717" spans="7:31" ht="14.5" customHeight="1" x14ac:dyDescent="0.35">
      <c r="G717" s="85"/>
      <c r="H717" s="87"/>
      <c r="M717" s="94"/>
      <c r="N717" s="93"/>
      <c r="O717" s="85"/>
      <c r="Q717" s="94"/>
      <c r="R717" s="93"/>
      <c r="S717" s="85"/>
      <c r="U717" s="94"/>
      <c r="V717" s="93"/>
      <c r="W717" s="85"/>
      <c r="Y717" s="94"/>
      <c r="Z717" s="93"/>
      <c r="AA717" s="85"/>
      <c r="AC717" s="94"/>
      <c r="AD717" s="93"/>
      <c r="AE717" s="85"/>
    </row>
    <row r="718" spans="7:31" ht="14.5" customHeight="1" x14ac:dyDescent="0.35">
      <c r="G718" s="85"/>
      <c r="H718" s="87"/>
      <c r="M718" s="94"/>
      <c r="N718" s="93"/>
      <c r="O718" s="85"/>
      <c r="Q718" s="94"/>
      <c r="R718" s="93"/>
      <c r="S718" s="85"/>
      <c r="U718" s="94"/>
      <c r="V718" s="93"/>
      <c r="W718" s="85"/>
      <c r="Y718" s="94"/>
      <c r="Z718" s="93"/>
      <c r="AA718" s="85"/>
      <c r="AC718" s="94"/>
      <c r="AD718" s="93"/>
      <c r="AE718" s="85"/>
    </row>
    <row r="719" spans="7:31" ht="14.5" customHeight="1" x14ac:dyDescent="0.35">
      <c r="G719" s="85"/>
      <c r="H719" s="87"/>
      <c r="M719" s="94"/>
      <c r="N719" s="93"/>
      <c r="O719" s="85"/>
      <c r="Q719" s="94"/>
      <c r="R719" s="93"/>
      <c r="S719" s="85"/>
      <c r="U719" s="94"/>
      <c r="V719" s="93"/>
      <c r="W719" s="85"/>
      <c r="Y719" s="94"/>
      <c r="Z719" s="93"/>
      <c r="AA719" s="85"/>
      <c r="AC719" s="94"/>
      <c r="AD719" s="93"/>
      <c r="AE719" s="85"/>
    </row>
    <row r="720" spans="7:31" ht="14.5" customHeight="1" x14ac:dyDescent="0.35">
      <c r="G720" s="85"/>
      <c r="H720" s="87"/>
      <c r="M720" s="94"/>
      <c r="N720" s="93"/>
      <c r="O720" s="85"/>
      <c r="Q720" s="94"/>
      <c r="R720" s="93"/>
      <c r="S720" s="85"/>
      <c r="U720" s="94"/>
      <c r="V720" s="93"/>
      <c r="W720" s="85"/>
      <c r="Y720" s="94"/>
      <c r="Z720" s="93"/>
      <c r="AA720" s="85"/>
      <c r="AC720" s="94"/>
      <c r="AD720" s="93"/>
      <c r="AE720" s="85"/>
    </row>
    <row r="721" spans="7:31" ht="14.5" customHeight="1" x14ac:dyDescent="0.35">
      <c r="G721" s="85"/>
      <c r="H721" s="87"/>
      <c r="M721" s="94"/>
      <c r="N721" s="93"/>
      <c r="O721" s="85"/>
      <c r="Q721" s="94"/>
      <c r="R721" s="93"/>
      <c r="S721" s="85"/>
      <c r="U721" s="94"/>
      <c r="V721" s="93"/>
      <c r="W721" s="85"/>
      <c r="Y721" s="94"/>
      <c r="Z721" s="93"/>
      <c r="AA721" s="85"/>
      <c r="AC721" s="94"/>
      <c r="AD721" s="93"/>
      <c r="AE721" s="85"/>
    </row>
    <row r="722" spans="7:31" ht="14.5" customHeight="1" x14ac:dyDescent="0.35">
      <c r="G722" s="85"/>
      <c r="H722" s="87"/>
      <c r="M722" s="94"/>
      <c r="N722" s="93"/>
      <c r="O722" s="85"/>
      <c r="Q722" s="94"/>
      <c r="R722" s="93"/>
      <c r="S722" s="85"/>
      <c r="U722" s="94"/>
      <c r="V722" s="93"/>
      <c r="W722" s="85"/>
      <c r="Y722" s="94"/>
      <c r="Z722" s="93"/>
      <c r="AA722" s="85"/>
      <c r="AC722" s="94"/>
      <c r="AD722" s="93"/>
      <c r="AE722" s="85"/>
    </row>
    <row r="723" spans="7:31" ht="14.5" customHeight="1" x14ac:dyDescent="0.35">
      <c r="G723" s="85"/>
      <c r="H723" s="87"/>
      <c r="M723" s="94"/>
      <c r="N723" s="93"/>
      <c r="O723" s="85"/>
      <c r="Q723" s="94"/>
      <c r="R723" s="93"/>
      <c r="S723" s="85"/>
      <c r="U723" s="94"/>
      <c r="V723" s="93"/>
      <c r="W723" s="85"/>
      <c r="Y723" s="94"/>
      <c r="Z723" s="93"/>
      <c r="AA723" s="85"/>
      <c r="AC723" s="94"/>
      <c r="AD723" s="93"/>
      <c r="AE723" s="85"/>
    </row>
    <row r="724" spans="7:31" ht="14.5" customHeight="1" x14ac:dyDescent="0.35">
      <c r="G724" s="85"/>
      <c r="H724" s="87"/>
      <c r="M724" s="94"/>
      <c r="N724" s="93"/>
      <c r="O724" s="85"/>
      <c r="Q724" s="94"/>
      <c r="R724" s="93"/>
      <c r="S724" s="85"/>
      <c r="U724" s="94"/>
      <c r="V724" s="93"/>
      <c r="W724" s="85"/>
      <c r="Y724" s="94"/>
      <c r="Z724" s="93"/>
      <c r="AA724" s="85"/>
      <c r="AC724" s="94"/>
      <c r="AD724" s="93"/>
      <c r="AE724" s="85"/>
    </row>
    <row r="725" spans="7:31" ht="14.5" customHeight="1" x14ac:dyDescent="0.35">
      <c r="G725" s="85"/>
      <c r="H725" s="87"/>
      <c r="M725" s="94"/>
      <c r="N725" s="93"/>
      <c r="O725" s="85"/>
      <c r="Q725" s="94"/>
      <c r="R725" s="93"/>
      <c r="S725" s="85"/>
      <c r="U725" s="94"/>
      <c r="V725" s="93"/>
      <c r="W725" s="85"/>
      <c r="Y725" s="94"/>
      <c r="Z725" s="93"/>
      <c r="AA725" s="85"/>
      <c r="AC725" s="94"/>
      <c r="AD725" s="93"/>
      <c r="AE725" s="85"/>
    </row>
    <row r="726" spans="7:31" ht="14.5" customHeight="1" x14ac:dyDescent="0.35">
      <c r="G726" s="85"/>
      <c r="H726" s="87"/>
      <c r="M726" s="94"/>
      <c r="N726" s="93"/>
      <c r="O726" s="85"/>
      <c r="Q726" s="94"/>
      <c r="R726" s="93"/>
      <c r="S726" s="85"/>
      <c r="U726" s="94"/>
      <c r="V726" s="93"/>
      <c r="W726" s="85"/>
      <c r="Y726" s="94"/>
      <c r="Z726" s="93"/>
      <c r="AA726" s="85"/>
      <c r="AC726" s="94"/>
      <c r="AD726" s="93"/>
      <c r="AE726" s="85"/>
    </row>
    <row r="727" spans="7:31" ht="14.5" customHeight="1" x14ac:dyDescent="0.35">
      <c r="G727" s="85"/>
      <c r="H727" s="87"/>
      <c r="M727" s="94"/>
      <c r="N727" s="93"/>
      <c r="O727" s="85"/>
      <c r="Q727" s="94"/>
      <c r="R727" s="93"/>
      <c r="S727" s="85"/>
      <c r="U727" s="94"/>
      <c r="V727" s="93"/>
      <c r="W727" s="85"/>
      <c r="Y727" s="94"/>
      <c r="Z727" s="93"/>
      <c r="AA727" s="85"/>
      <c r="AC727" s="94"/>
      <c r="AD727" s="93"/>
      <c r="AE727" s="85"/>
    </row>
    <row r="728" spans="7:31" ht="14.5" customHeight="1" x14ac:dyDescent="0.35">
      <c r="G728" s="85"/>
      <c r="H728" s="87"/>
      <c r="M728" s="94"/>
      <c r="N728" s="93"/>
      <c r="O728" s="85"/>
      <c r="Q728" s="94"/>
      <c r="R728" s="93"/>
      <c r="S728" s="85"/>
      <c r="U728" s="94"/>
      <c r="V728" s="93"/>
      <c r="W728" s="85"/>
      <c r="Y728" s="94"/>
      <c r="Z728" s="93"/>
      <c r="AA728" s="85"/>
      <c r="AC728" s="94"/>
      <c r="AD728" s="93"/>
      <c r="AE728" s="85"/>
    </row>
    <row r="729" spans="7:31" ht="14.5" customHeight="1" x14ac:dyDescent="0.35">
      <c r="G729" s="85"/>
      <c r="H729" s="87"/>
      <c r="M729" s="94"/>
      <c r="N729" s="93"/>
      <c r="O729" s="85"/>
      <c r="Q729" s="94"/>
      <c r="R729" s="93"/>
      <c r="S729" s="85"/>
      <c r="U729" s="94"/>
      <c r="V729" s="93"/>
      <c r="W729" s="85"/>
      <c r="Y729" s="94"/>
      <c r="Z729" s="93"/>
      <c r="AA729" s="85"/>
      <c r="AC729" s="94"/>
      <c r="AD729" s="93"/>
      <c r="AE729" s="85"/>
    </row>
    <row r="730" spans="7:31" ht="14.5" customHeight="1" x14ac:dyDescent="0.35">
      <c r="G730" s="85"/>
      <c r="H730" s="87"/>
      <c r="M730" s="94"/>
      <c r="N730" s="93"/>
      <c r="O730" s="85"/>
      <c r="Q730" s="94"/>
      <c r="R730" s="93"/>
      <c r="S730" s="85"/>
      <c r="U730" s="94"/>
      <c r="V730" s="93"/>
      <c r="W730" s="85"/>
      <c r="Y730" s="94"/>
      <c r="Z730" s="93"/>
      <c r="AA730" s="85"/>
      <c r="AC730" s="94"/>
      <c r="AD730" s="93"/>
      <c r="AE730" s="85"/>
    </row>
    <row r="731" spans="7:31" ht="14.5" customHeight="1" x14ac:dyDescent="0.35">
      <c r="G731" s="85"/>
      <c r="H731" s="87"/>
      <c r="M731" s="94"/>
      <c r="N731" s="93"/>
      <c r="O731" s="85"/>
      <c r="Q731" s="94"/>
      <c r="R731" s="93"/>
      <c r="S731" s="85"/>
      <c r="U731" s="94"/>
      <c r="V731" s="93"/>
      <c r="W731" s="85"/>
      <c r="Y731" s="94"/>
      <c r="Z731" s="93"/>
      <c r="AA731" s="85"/>
      <c r="AC731" s="94"/>
      <c r="AD731" s="93"/>
      <c r="AE731" s="85"/>
    </row>
    <row r="732" spans="7:31" ht="14.5" customHeight="1" x14ac:dyDescent="0.35">
      <c r="G732" s="85"/>
      <c r="H732" s="87"/>
      <c r="M732" s="94"/>
      <c r="N732" s="93"/>
      <c r="O732" s="85"/>
      <c r="Q732" s="94"/>
      <c r="R732" s="93"/>
      <c r="S732" s="85"/>
      <c r="U732" s="94"/>
      <c r="V732" s="93"/>
      <c r="W732" s="85"/>
      <c r="Y732" s="94"/>
      <c r="Z732" s="93"/>
      <c r="AA732" s="85"/>
      <c r="AC732" s="94"/>
      <c r="AD732" s="93"/>
      <c r="AE732" s="85"/>
    </row>
    <row r="733" spans="7:31" ht="14.5" customHeight="1" x14ac:dyDescent="0.35">
      <c r="G733" s="85"/>
      <c r="H733" s="87"/>
      <c r="M733" s="94"/>
      <c r="N733" s="93"/>
      <c r="O733" s="85"/>
      <c r="Q733" s="94"/>
      <c r="R733" s="93"/>
      <c r="S733" s="85"/>
      <c r="U733" s="94"/>
      <c r="V733" s="93"/>
      <c r="W733" s="85"/>
      <c r="Y733" s="94"/>
      <c r="Z733" s="93"/>
      <c r="AA733" s="85"/>
      <c r="AC733" s="94"/>
      <c r="AD733" s="93"/>
      <c r="AE733" s="85"/>
    </row>
    <row r="734" spans="7:31" ht="14.5" customHeight="1" x14ac:dyDescent="0.35">
      <c r="G734" s="85"/>
      <c r="H734" s="87"/>
      <c r="M734" s="94"/>
      <c r="N734" s="93"/>
      <c r="O734" s="85"/>
      <c r="Q734" s="94"/>
      <c r="R734" s="93"/>
      <c r="S734" s="85"/>
      <c r="U734" s="94"/>
      <c r="V734" s="93"/>
      <c r="W734" s="85"/>
      <c r="Y734" s="94"/>
      <c r="Z734" s="93"/>
      <c r="AA734" s="85"/>
      <c r="AC734" s="94"/>
      <c r="AD734" s="93"/>
      <c r="AE734" s="85"/>
    </row>
    <row r="735" spans="7:31" ht="14.5" customHeight="1" x14ac:dyDescent="0.35">
      <c r="G735" s="85"/>
      <c r="H735" s="87"/>
      <c r="M735" s="94"/>
      <c r="N735" s="93"/>
      <c r="O735" s="85"/>
      <c r="Q735" s="94"/>
      <c r="R735" s="93"/>
      <c r="S735" s="85"/>
      <c r="U735" s="94"/>
      <c r="V735" s="93"/>
      <c r="W735" s="85"/>
      <c r="Y735" s="94"/>
      <c r="Z735" s="93"/>
      <c r="AA735" s="85"/>
      <c r="AC735" s="94"/>
      <c r="AD735" s="93"/>
      <c r="AE735" s="85"/>
    </row>
    <row r="736" spans="7:31" ht="14.5" customHeight="1" x14ac:dyDescent="0.35">
      <c r="G736" s="85"/>
      <c r="H736" s="87"/>
      <c r="M736" s="94"/>
      <c r="N736" s="93"/>
      <c r="O736" s="85"/>
      <c r="Q736" s="94"/>
      <c r="R736" s="93"/>
      <c r="S736" s="85"/>
      <c r="U736" s="94"/>
      <c r="V736" s="93"/>
      <c r="W736" s="85"/>
      <c r="Y736" s="94"/>
      <c r="Z736" s="93"/>
      <c r="AA736" s="85"/>
      <c r="AC736" s="94"/>
      <c r="AD736" s="93"/>
      <c r="AE736" s="85"/>
    </row>
    <row r="737" spans="7:31" ht="14.5" customHeight="1" x14ac:dyDescent="0.35">
      <c r="G737" s="85"/>
      <c r="H737" s="87"/>
      <c r="M737" s="94"/>
      <c r="N737" s="93"/>
      <c r="O737" s="85"/>
      <c r="Q737" s="94"/>
      <c r="R737" s="93"/>
      <c r="S737" s="85"/>
      <c r="U737" s="94"/>
      <c r="V737" s="93"/>
      <c r="W737" s="85"/>
      <c r="Y737" s="94"/>
      <c r="Z737" s="93"/>
      <c r="AA737" s="85"/>
      <c r="AC737" s="94"/>
      <c r="AD737" s="93"/>
      <c r="AE737" s="85"/>
    </row>
    <row r="738" spans="7:31" ht="14.5" customHeight="1" x14ac:dyDescent="0.35">
      <c r="G738" s="85"/>
      <c r="H738" s="87"/>
      <c r="M738" s="94"/>
      <c r="N738" s="93"/>
      <c r="O738" s="85"/>
      <c r="Q738" s="94"/>
      <c r="R738" s="93"/>
      <c r="S738" s="85"/>
      <c r="U738" s="94"/>
      <c r="V738" s="93"/>
      <c r="W738" s="85"/>
      <c r="Y738" s="94"/>
      <c r="Z738" s="93"/>
      <c r="AA738" s="85"/>
      <c r="AC738" s="94"/>
      <c r="AD738" s="93"/>
      <c r="AE738" s="85"/>
    </row>
    <row r="739" spans="7:31" ht="14.5" customHeight="1" x14ac:dyDescent="0.35">
      <c r="G739" s="85"/>
      <c r="H739" s="87"/>
      <c r="M739" s="94"/>
      <c r="N739" s="93"/>
      <c r="O739" s="85"/>
      <c r="Q739" s="94"/>
      <c r="R739" s="93"/>
      <c r="S739" s="85"/>
      <c r="U739" s="94"/>
      <c r="V739" s="93"/>
      <c r="W739" s="85"/>
      <c r="Y739" s="94"/>
      <c r="Z739" s="93"/>
      <c r="AA739" s="85"/>
      <c r="AC739" s="94"/>
      <c r="AD739" s="93"/>
      <c r="AE739" s="85"/>
    </row>
    <row r="740" spans="7:31" ht="14.5" customHeight="1" x14ac:dyDescent="0.35">
      <c r="G740" s="85"/>
      <c r="H740" s="87"/>
      <c r="M740" s="94"/>
      <c r="N740" s="93"/>
      <c r="O740" s="85"/>
      <c r="Q740" s="94"/>
      <c r="R740" s="93"/>
      <c r="S740" s="85"/>
      <c r="U740" s="94"/>
      <c r="V740" s="93"/>
      <c r="W740" s="85"/>
      <c r="Y740" s="94"/>
      <c r="Z740" s="93"/>
      <c r="AA740" s="85"/>
      <c r="AC740" s="94"/>
      <c r="AD740" s="93"/>
      <c r="AE740" s="85"/>
    </row>
    <row r="741" spans="7:31" ht="14.5" customHeight="1" x14ac:dyDescent="0.35">
      <c r="G741" s="85"/>
      <c r="H741" s="87"/>
      <c r="M741" s="94"/>
      <c r="N741" s="93"/>
      <c r="O741" s="85"/>
      <c r="Q741" s="94"/>
      <c r="R741" s="93"/>
      <c r="S741" s="85"/>
      <c r="U741" s="94"/>
      <c r="V741" s="93"/>
      <c r="W741" s="85"/>
      <c r="Y741" s="94"/>
      <c r="Z741" s="93"/>
      <c r="AA741" s="85"/>
      <c r="AC741" s="94"/>
      <c r="AD741" s="93"/>
      <c r="AE741" s="85"/>
    </row>
    <row r="742" spans="7:31" ht="14.5" customHeight="1" x14ac:dyDescent="0.35">
      <c r="G742" s="85"/>
      <c r="H742" s="87"/>
      <c r="M742" s="94"/>
      <c r="N742" s="93"/>
      <c r="O742" s="85"/>
      <c r="Q742" s="94"/>
      <c r="R742" s="93"/>
      <c r="S742" s="85"/>
      <c r="U742" s="94"/>
      <c r="V742" s="93"/>
      <c r="W742" s="85"/>
      <c r="Y742" s="94"/>
      <c r="Z742" s="93"/>
      <c r="AA742" s="85"/>
      <c r="AC742" s="94"/>
      <c r="AD742" s="93"/>
      <c r="AE742" s="85"/>
    </row>
    <row r="743" spans="7:31" ht="14.5" customHeight="1" x14ac:dyDescent="0.35">
      <c r="G743" s="85"/>
      <c r="H743" s="87"/>
      <c r="M743" s="94"/>
      <c r="N743" s="93"/>
      <c r="O743" s="85"/>
      <c r="Q743" s="94"/>
      <c r="R743" s="93"/>
      <c r="S743" s="85"/>
      <c r="U743" s="94"/>
      <c r="V743" s="93"/>
      <c r="W743" s="85"/>
      <c r="Y743" s="94"/>
      <c r="Z743" s="93"/>
      <c r="AA743" s="85"/>
      <c r="AC743" s="94"/>
      <c r="AD743" s="93"/>
      <c r="AE743" s="85"/>
    </row>
    <row r="744" spans="7:31" ht="14.5" customHeight="1" x14ac:dyDescent="0.35">
      <c r="G744" s="85"/>
      <c r="H744" s="87"/>
      <c r="M744" s="94"/>
      <c r="N744" s="93"/>
      <c r="O744" s="85"/>
      <c r="Q744" s="94"/>
      <c r="R744" s="93"/>
      <c r="S744" s="85"/>
      <c r="U744" s="94"/>
      <c r="V744" s="93"/>
      <c r="W744" s="85"/>
      <c r="Y744" s="94"/>
      <c r="Z744" s="93"/>
      <c r="AA744" s="85"/>
      <c r="AC744" s="94"/>
      <c r="AD744" s="93"/>
      <c r="AE744" s="85"/>
    </row>
    <row r="745" spans="7:31" ht="14.5" customHeight="1" x14ac:dyDescent="0.35">
      <c r="G745" s="85"/>
      <c r="H745" s="87"/>
      <c r="M745" s="94"/>
      <c r="N745" s="93"/>
      <c r="O745" s="85"/>
      <c r="Q745" s="94"/>
      <c r="R745" s="93"/>
      <c r="S745" s="85"/>
      <c r="U745" s="94"/>
      <c r="V745" s="93"/>
      <c r="W745" s="85"/>
      <c r="Y745" s="94"/>
      <c r="Z745" s="93"/>
      <c r="AA745" s="85"/>
      <c r="AC745" s="94"/>
      <c r="AD745" s="93"/>
      <c r="AE745" s="85"/>
    </row>
    <row r="746" spans="7:31" ht="14.5" customHeight="1" x14ac:dyDescent="0.35">
      <c r="G746" s="85"/>
      <c r="H746" s="87"/>
      <c r="M746" s="94"/>
      <c r="N746" s="93"/>
      <c r="O746" s="85"/>
      <c r="Q746" s="94"/>
      <c r="R746" s="93"/>
      <c r="S746" s="85"/>
      <c r="U746" s="94"/>
      <c r="V746" s="93"/>
      <c r="W746" s="85"/>
      <c r="Y746" s="94"/>
      <c r="Z746" s="93"/>
      <c r="AA746" s="85"/>
      <c r="AC746" s="94"/>
      <c r="AD746" s="93"/>
      <c r="AE746" s="85"/>
    </row>
    <row r="747" spans="7:31" ht="14.5" customHeight="1" x14ac:dyDescent="0.35">
      <c r="G747" s="85"/>
      <c r="H747" s="87"/>
      <c r="M747" s="94"/>
      <c r="N747" s="93"/>
      <c r="O747" s="85"/>
      <c r="Q747" s="94"/>
      <c r="R747" s="93"/>
      <c r="S747" s="85"/>
      <c r="U747" s="94"/>
      <c r="V747" s="93"/>
      <c r="W747" s="85"/>
      <c r="Y747" s="94"/>
      <c r="Z747" s="93"/>
      <c r="AA747" s="85"/>
      <c r="AC747" s="94"/>
      <c r="AD747" s="93"/>
      <c r="AE747" s="85"/>
    </row>
    <row r="748" spans="7:31" ht="14.5" customHeight="1" x14ac:dyDescent="0.35">
      <c r="G748" s="85"/>
      <c r="H748" s="87"/>
      <c r="M748" s="94"/>
      <c r="N748" s="93"/>
      <c r="O748" s="85"/>
      <c r="Q748" s="94"/>
      <c r="R748" s="93"/>
      <c r="S748" s="85"/>
      <c r="U748" s="94"/>
      <c r="V748" s="93"/>
      <c r="W748" s="85"/>
      <c r="Y748" s="94"/>
      <c r="Z748" s="93"/>
      <c r="AA748" s="85"/>
      <c r="AC748" s="94"/>
      <c r="AD748" s="93"/>
      <c r="AE748" s="85"/>
    </row>
    <row r="749" spans="7:31" ht="14.5" customHeight="1" x14ac:dyDescent="0.35">
      <c r="G749" s="85"/>
      <c r="H749" s="87"/>
      <c r="M749" s="94"/>
      <c r="N749" s="93"/>
      <c r="O749" s="85"/>
      <c r="Q749" s="94"/>
      <c r="R749" s="93"/>
      <c r="S749" s="85"/>
      <c r="U749" s="94"/>
      <c r="V749" s="93"/>
      <c r="W749" s="85"/>
      <c r="Y749" s="94"/>
      <c r="Z749" s="93"/>
      <c r="AA749" s="85"/>
      <c r="AC749" s="94"/>
      <c r="AD749" s="93"/>
      <c r="AE749" s="85"/>
    </row>
    <row r="750" spans="7:31" ht="14.5" customHeight="1" x14ac:dyDescent="0.35">
      <c r="G750" s="85"/>
      <c r="H750" s="87"/>
      <c r="M750" s="94"/>
      <c r="N750" s="93"/>
      <c r="O750" s="85"/>
      <c r="Q750" s="94"/>
      <c r="R750" s="93"/>
      <c r="S750" s="85"/>
      <c r="U750" s="94"/>
      <c r="V750" s="93"/>
      <c r="W750" s="85"/>
      <c r="Y750" s="94"/>
      <c r="Z750" s="93"/>
      <c r="AA750" s="85"/>
      <c r="AC750" s="94"/>
      <c r="AD750" s="93"/>
      <c r="AE750" s="85"/>
    </row>
    <row r="751" spans="7:31" ht="14.5" customHeight="1" x14ac:dyDescent="0.35">
      <c r="G751" s="85"/>
      <c r="H751" s="87"/>
      <c r="M751" s="94"/>
      <c r="N751" s="93"/>
      <c r="O751" s="85"/>
      <c r="Q751" s="94"/>
      <c r="R751" s="93"/>
      <c r="S751" s="85"/>
      <c r="U751" s="94"/>
      <c r="V751" s="93"/>
      <c r="W751" s="85"/>
      <c r="Y751" s="94"/>
      <c r="Z751" s="93"/>
      <c r="AA751" s="85"/>
      <c r="AC751" s="94"/>
      <c r="AD751" s="93"/>
      <c r="AE751" s="85"/>
    </row>
    <row r="752" spans="7:31" ht="14.5" customHeight="1" x14ac:dyDescent="0.35">
      <c r="G752" s="85"/>
      <c r="H752" s="87"/>
      <c r="M752" s="94"/>
      <c r="N752" s="93"/>
      <c r="O752" s="85"/>
      <c r="Q752" s="94"/>
      <c r="R752" s="93"/>
      <c r="S752" s="85"/>
      <c r="U752" s="94"/>
      <c r="V752" s="93"/>
      <c r="W752" s="85"/>
      <c r="Y752" s="94"/>
      <c r="Z752" s="93"/>
      <c r="AA752" s="85"/>
      <c r="AC752" s="94"/>
      <c r="AD752" s="93"/>
      <c r="AE752" s="85"/>
    </row>
    <row r="753" spans="7:31" ht="14.5" customHeight="1" x14ac:dyDescent="0.35">
      <c r="G753" s="85"/>
      <c r="H753" s="87"/>
      <c r="M753" s="94"/>
      <c r="N753" s="93"/>
      <c r="O753" s="85"/>
      <c r="Q753" s="94"/>
      <c r="R753" s="93"/>
      <c r="S753" s="85"/>
      <c r="U753" s="94"/>
      <c r="V753" s="93"/>
      <c r="W753" s="85"/>
      <c r="Y753" s="94"/>
      <c r="Z753" s="93"/>
      <c r="AA753" s="85"/>
      <c r="AC753" s="94"/>
      <c r="AD753" s="93"/>
      <c r="AE753" s="85"/>
    </row>
    <row r="754" spans="7:31" ht="14.5" customHeight="1" x14ac:dyDescent="0.35">
      <c r="G754" s="85"/>
      <c r="H754" s="87"/>
      <c r="M754" s="94"/>
      <c r="N754" s="93"/>
      <c r="O754" s="85"/>
      <c r="Q754" s="94"/>
      <c r="R754" s="93"/>
      <c r="S754" s="85"/>
      <c r="U754" s="94"/>
      <c r="V754" s="93"/>
      <c r="W754" s="85"/>
      <c r="Y754" s="94"/>
      <c r="Z754" s="93"/>
      <c r="AA754" s="85"/>
      <c r="AC754" s="94"/>
      <c r="AD754" s="93"/>
      <c r="AE754" s="85"/>
    </row>
    <row r="755" spans="7:31" ht="14.5" customHeight="1" x14ac:dyDescent="0.35">
      <c r="G755" s="85"/>
      <c r="H755" s="87"/>
      <c r="M755" s="94"/>
      <c r="N755" s="93"/>
      <c r="O755" s="85"/>
      <c r="Q755" s="94"/>
      <c r="R755" s="93"/>
      <c r="S755" s="85"/>
      <c r="U755" s="94"/>
      <c r="V755" s="93"/>
      <c r="W755" s="85"/>
      <c r="Y755" s="94"/>
      <c r="Z755" s="93"/>
      <c r="AA755" s="85"/>
      <c r="AC755" s="94"/>
      <c r="AD755" s="93"/>
      <c r="AE755" s="85"/>
    </row>
    <row r="756" spans="7:31" ht="14.5" customHeight="1" x14ac:dyDescent="0.35">
      <c r="G756" s="85"/>
      <c r="H756" s="87"/>
      <c r="M756" s="94"/>
      <c r="N756" s="93"/>
      <c r="O756" s="85"/>
      <c r="Q756" s="94"/>
      <c r="R756" s="93"/>
      <c r="S756" s="85"/>
      <c r="U756" s="94"/>
      <c r="V756" s="93"/>
      <c r="W756" s="85"/>
      <c r="Y756" s="94"/>
      <c r="Z756" s="93"/>
      <c r="AA756" s="85"/>
      <c r="AC756" s="94"/>
      <c r="AD756" s="93"/>
      <c r="AE756" s="85"/>
    </row>
    <row r="757" spans="7:31" ht="14.5" customHeight="1" x14ac:dyDescent="0.35">
      <c r="G757" s="85"/>
      <c r="H757" s="87"/>
      <c r="M757" s="94"/>
      <c r="N757" s="93"/>
      <c r="O757" s="85"/>
      <c r="Q757" s="94"/>
      <c r="R757" s="93"/>
      <c r="S757" s="85"/>
      <c r="U757" s="94"/>
      <c r="V757" s="93"/>
      <c r="W757" s="85"/>
      <c r="Y757" s="94"/>
      <c r="Z757" s="93"/>
      <c r="AA757" s="85"/>
      <c r="AC757" s="94"/>
      <c r="AD757" s="93"/>
      <c r="AE757" s="85"/>
    </row>
    <row r="758" spans="7:31" ht="14.5" customHeight="1" x14ac:dyDescent="0.35">
      <c r="G758" s="85"/>
      <c r="H758" s="87"/>
      <c r="M758" s="94"/>
      <c r="N758" s="93"/>
      <c r="O758" s="85"/>
      <c r="Q758" s="94"/>
      <c r="R758" s="93"/>
      <c r="S758" s="85"/>
      <c r="U758" s="94"/>
      <c r="V758" s="93"/>
      <c r="W758" s="85"/>
      <c r="Y758" s="94"/>
      <c r="Z758" s="93"/>
      <c r="AA758" s="85"/>
      <c r="AC758" s="94"/>
      <c r="AD758" s="93"/>
      <c r="AE758" s="85"/>
    </row>
    <row r="759" spans="7:31" ht="14.5" customHeight="1" x14ac:dyDescent="0.35">
      <c r="G759" s="85"/>
      <c r="H759" s="87"/>
      <c r="M759" s="94"/>
      <c r="N759" s="93"/>
      <c r="O759" s="85"/>
      <c r="Q759" s="94"/>
      <c r="R759" s="93"/>
      <c r="S759" s="85"/>
      <c r="U759" s="94"/>
      <c r="V759" s="93"/>
      <c r="W759" s="85"/>
      <c r="Y759" s="94"/>
      <c r="Z759" s="93"/>
      <c r="AA759" s="85"/>
      <c r="AC759" s="94"/>
      <c r="AD759" s="93"/>
      <c r="AE759" s="85"/>
    </row>
    <row r="760" spans="7:31" ht="14.5" customHeight="1" x14ac:dyDescent="0.35">
      <c r="G760" s="85"/>
      <c r="H760" s="87"/>
      <c r="M760" s="94"/>
      <c r="N760" s="93"/>
      <c r="O760" s="85"/>
      <c r="Q760" s="94"/>
      <c r="R760" s="93"/>
      <c r="S760" s="85"/>
      <c r="U760" s="94"/>
      <c r="V760" s="93"/>
      <c r="W760" s="85"/>
      <c r="Y760" s="94"/>
      <c r="Z760" s="93"/>
      <c r="AA760" s="85"/>
      <c r="AC760" s="94"/>
      <c r="AD760" s="93"/>
      <c r="AE760" s="85"/>
    </row>
    <row r="761" spans="7:31" ht="14.5" customHeight="1" x14ac:dyDescent="0.35">
      <c r="G761" s="85"/>
      <c r="H761" s="87"/>
      <c r="M761" s="94"/>
      <c r="N761" s="93"/>
      <c r="O761" s="85"/>
      <c r="Q761" s="94"/>
      <c r="R761" s="93"/>
      <c r="S761" s="85"/>
      <c r="U761" s="94"/>
      <c r="V761" s="93"/>
      <c r="W761" s="85"/>
      <c r="Y761" s="94"/>
      <c r="Z761" s="93"/>
      <c r="AA761" s="85"/>
      <c r="AC761" s="94"/>
      <c r="AD761" s="93"/>
      <c r="AE761" s="85"/>
    </row>
    <row r="762" spans="7:31" ht="14.5" customHeight="1" x14ac:dyDescent="0.35">
      <c r="G762" s="85"/>
      <c r="H762" s="87"/>
      <c r="M762" s="94"/>
      <c r="N762" s="93"/>
      <c r="O762" s="85"/>
      <c r="Q762" s="94"/>
      <c r="R762" s="93"/>
      <c r="S762" s="85"/>
      <c r="U762" s="94"/>
      <c r="V762" s="93"/>
      <c r="W762" s="85"/>
      <c r="Y762" s="94"/>
      <c r="Z762" s="93"/>
      <c r="AA762" s="85"/>
      <c r="AC762" s="94"/>
      <c r="AD762" s="93"/>
      <c r="AE762" s="85"/>
    </row>
    <row r="763" spans="7:31" ht="14.5" customHeight="1" x14ac:dyDescent="0.35">
      <c r="G763" s="85"/>
      <c r="H763" s="87"/>
      <c r="M763" s="94"/>
      <c r="N763" s="93"/>
      <c r="O763" s="85"/>
      <c r="Q763" s="94"/>
      <c r="R763" s="93"/>
      <c r="S763" s="85"/>
      <c r="U763" s="94"/>
      <c r="V763" s="93"/>
      <c r="W763" s="85"/>
      <c r="Y763" s="94"/>
      <c r="Z763" s="93"/>
      <c r="AA763" s="85"/>
      <c r="AC763" s="94"/>
      <c r="AD763" s="93"/>
      <c r="AE763" s="85"/>
    </row>
    <row r="764" spans="7:31" ht="14.5" customHeight="1" x14ac:dyDescent="0.35">
      <c r="G764" s="85"/>
      <c r="H764" s="87"/>
      <c r="M764" s="94"/>
      <c r="N764" s="93"/>
      <c r="O764" s="85"/>
      <c r="Q764" s="94"/>
      <c r="R764" s="93"/>
      <c r="S764" s="85"/>
      <c r="U764" s="94"/>
      <c r="V764" s="93"/>
      <c r="W764" s="85"/>
      <c r="Y764" s="94"/>
      <c r="Z764" s="93"/>
      <c r="AA764" s="85"/>
      <c r="AC764" s="94"/>
      <c r="AD764" s="93"/>
      <c r="AE764" s="85"/>
    </row>
    <row r="765" spans="7:31" ht="14.5" customHeight="1" x14ac:dyDescent="0.35">
      <c r="G765" s="85"/>
      <c r="H765" s="87"/>
      <c r="M765" s="94"/>
      <c r="N765" s="93"/>
      <c r="O765" s="85"/>
      <c r="Q765" s="94"/>
      <c r="R765" s="93"/>
      <c r="S765" s="85"/>
      <c r="U765" s="94"/>
      <c r="V765" s="93"/>
      <c r="W765" s="85"/>
      <c r="Y765" s="94"/>
      <c r="Z765" s="93"/>
      <c r="AA765" s="85"/>
      <c r="AC765" s="94"/>
      <c r="AD765" s="93"/>
      <c r="AE765" s="85"/>
    </row>
    <row r="766" spans="7:31" ht="14.5" customHeight="1" x14ac:dyDescent="0.35">
      <c r="G766" s="85"/>
      <c r="H766" s="87"/>
      <c r="M766" s="94"/>
      <c r="N766" s="93"/>
      <c r="O766" s="85"/>
      <c r="Q766" s="94"/>
      <c r="R766" s="93"/>
      <c r="S766" s="85"/>
      <c r="U766" s="94"/>
      <c r="V766" s="93"/>
      <c r="W766" s="85"/>
      <c r="Y766" s="94"/>
      <c r="Z766" s="93"/>
      <c r="AA766" s="85"/>
      <c r="AC766" s="94"/>
      <c r="AD766" s="93"/>
      <c r="AE766" s="85"/>
    </row>
    <row r="767" spans="7:31" ht="14.5" customHeight="1" x14ac:dyDescent="0.35">
      <c r="G767" s="85"/>
      <c r="H767" s="87"/>
      <c r="M767" s="94"/>
      <c r="N767" s="93"/>
      <c r="O767" s="85"/>
      <c r="Q767" s="94"/>
      <c r="R767" s="93"/>
      <c r="S767" s="85"/>
      <c r="U767" s="94"/>
      <c r="V767" s="93"/>
      <c r="W767" s="85"/>
      <c r="Y767" s="94"/>
      <c r="Z767" s="93"/>
      <c r="AA767" s="85"/>
      <c r="AC767" s="94"/>
      <c r="AD767" s="93"/>
      <c r="AE767" s="85"/>
    </row>
    <row r="768" spans="7:31" ht="14.5" customHeight="1" x14ac:dyDescent="0.35">
      <c r="G768" s="85"/>
      <c r="H768" s="87"/>
      <c r="M768" s="94"/>
      <c r="N768" s="93"/>
      <c r="O768" s="85"/>
      <c r="Q768" s="94"/>
      <c r="R768" s="93"/>
      <c r="S768" s="85"/>
      <c r="U768" s="94"/>
      <c r="V768" s="93"/>
      <c r="W768" s="85"/>
      <c r="Y768" s="94"/>
      <c r="Z768" s="93"/>
      <c r="AA768" s="85"/>
      <c r="AC768" s="94"/>
      <c r="AD768" s="93"/>
      <c r="AE768" s="85"/>
    </row>
    <row r="769" spans="7:31" ht="14.5" customHeight="1" x14ac:dyDescent="0.35">
      <c r="G769" s="85"/>
      <c r="H769" s="87"/>
      <c r="M769" s="94"/>
      <c r="N769" s="93"/>
      <c r="O769" s="85"/>
      <c r="Q769" s="94"/>
      <c r="R769" s="93"/>
      <c r="S769" s="85"/>
      <c r="U769" s="94"/>
      <c r="V769" s="93"/>
      <c r="W769" s="85"/>
      <c r="Y769" s="94"/>
      <c r="Z769" s="93"/>
      <c r="AA769" s="85"/>
      <c r="AC769" s="94"/>
      <c r="AD769" s="93"/>
      <c r="AE769" s="85"/>
    </row>
    <row r="770" spans="7:31" ht="14.5" customHeight="1" x14ac:dyDescent="0.35">
      <c r="G770" s="85"/>
      <c r="H770" s="87"/>
      <c r="M770" s="94"/>
      <c r="N770" s="93"/>
      <c r="O770" s="85"/>
      <c r="Q770" s="94"/>
      <c r="R770" s="93"/>
      <c r="S770" s="85"/>
      <c r="U770" s="94"/>
      <c r="V770" s="93"/>
      <c r="W770" s="85"/>
      <c r="Y770" s="94"/>
      <c r="Z770" s="93"/>
      <c r="AA770" s="85"/>
      <c r="AC770" s="94"/>
      <c r="AD770" s="93"/>
      <c r="AE770" s="85"/>
    </row>
    <row r="771" spans="7:31" ht="14.5" customHeight="1" x14ac:dyDescent="0.35">
      <c r="G771" s="85"/>
      <c r="H771" s="87"/>
      <c r="M771" s="94"/>
      <c r="N771" s="93"/>
      <c r="O771" s="85"/>
      <c r="Q771" s="94"/>
      <c r="R771" s="93"/>
      <c r="S771" s="85"/>
      <c r="U771" s="94"/>
      <c r="V771" s="93"/>
      <c r="W771" s="85"/>
      <c r="Y771" s="94"/>
      <c r="Z771" s="93"/>
      <c r="AA771" s="85"/>
      <c r="AC771" s="94"/>
      <c r="AD771" s="93"/>
      <c r="AE771" s="85"/>
    </row>
    <row r="772" spans="7:31" ht="14.5" customHeight="1" x14ac:dyDescent="0.35">
      <c r="G772" s="85"/>
      <c r="H772" s="87"/>
      <c r="M772" s="94"/>
      <c r="N772" s="93"/>
      <c r="O772" s="85"/>
      <c r="Q772" s="94"/>
      <c r="R772" s="93"/>
      <c r="S772" s="85"/>
      <c r="U772" s="94"/>
      <c r="V772" s="93"/>
      <c r="W772" s="85"/>
      <c r="Y772" s="94"/>
      <c r="Z772" s="93"/>
      <c r="AA772" s="85"/>
      <c r="AC772" s="94"/>
      <c r="AD772" s="93"/>
      <c r="AE772" s="85"/>
    </row>
    <row r="773" spans="7:31" ht="14.5" customHeight="1" x14ac:dyDescent="0.35">
      <c r="G773" s="85"/>
      <c r="H773" s="87"/>
      <c r="M773" s="94"/>
      <c r="N773" s="93"/>
      <c r="O773" s="85"/>
      <c r="Q773" s="94"/>
      <c r="R773" s="93"/>
      <c r="S773" s="85"/>
      <c r="U773" s="94"/>
      <c r="V773" s="93"/>
      <c r="W773" s="85"/>
      <c r="Y773" s="94"/>
      <c r="Z773" s="93"/>
      <c r="AA773" s="85"/>
      <c r="AC773" s="94"/>
      <c r="AD773" s="93"/>
      <c r="AE773" s="85"/>
    </row>
    <row r="774" spans="7:31" ht="14.5" customHeight="1" x14ac:dyDescent="0.35">
      <c r="G774" s="85"/>
      <c r="H774" s="87"/>
      <c r="M774" s="94"/>
      <c r="N774" s="93"/>
      <c r="O774" s="85"/>
      <c r="Q774" s="94"/>
      <c r="R774" s="93"/>
      <c r="S774" s="85"/>
      <c r="U774" s="94"/>
      <c r="V774" s="93"/>
      <c r="W774" s="85"/>
      <c r="Y774" s="94"/>
      <c r="Z774" s="93"/>
      <c r="AA774" s="85"/>
      <c r="AC774" s="94"/>
      <c r="AD774" s="93"/>
      <c r="AE774" s="85"/>
    </row>
    <row r="775" spans="7:31" ht="14.5" customHeight="1" x14ac:dyDescent="0.35">
      <c r="G775" s="85"/>
      <c r="H775" s="87"/>
      <c r="M775" s="94"/>
      <c r="N775" s="93"/>
      <c r="O775" s="85"/>
      <c r="Q775" s="94"/>
      <c r="R775" s="93"/>
      <c r="S775" s="85"/>
      <c r="U775" s="94"/>
      <c r="V775" s="93"/>
      <c r="W775" s="85"/>
      <c r="Y775" s="94"/>
      <c r="Z775" s="93"/>
      <c r="AA775" s="85"/>
      <c r="AC775" s="94"/>
      <c r="AD775" s="93"/>
      <c r="AE775" s="85"/>
    </row>
    <row r="776" spans="7:31" ht="14.5" customHeight="1" x14ac:dyDescent="0.35">
      <c r="G776" s="85"/>
      <c r="H776" s="87"/>
      <c r="M776" s="94"/>
      <c r="N776" s="93"/>
      <c r="O776" s="85"/>
      <c r="Q776" s="94"/>
      <c r="R776" s="93"/>
      <c r="S776" s="85"/>
      <c r="U776" s="94"/>
      <c r="V776" s="93"/>
      <c r="W776" s="85"/>
      <c r="Y776" s="94"/>
      <c r="Z776" s="93"/>
      <c r="AA776" s="85"/>
      <c r="AC776" s="94"/>
      <c r="AD776" s="93"/>
      <c r="AE776" s="85"/>
    </row>
    <row r="777" spans="7:31" ht="14.5" customHeight="1" x14ac:dyDescent="0.35">
      <c r="G777" s="85"/>
      <c r="H777" s="87"/>
      <c r="M777" s="94"/>
      <c r="N777" s="93"/>
      <c r="O777" s="85"/>
      <c r="Q777" s="94"/>
      <c r="R777" s="93"/>
      <c r="S777" s="85"/>
      <c r="U777" s="94"/>
      <c r="V777" s="93"/>
      <c r="W777" s="85"/>
      <c r="Y777" s="94"/>
      <c r="Z777" s="93"/>
      <c r="AA777" s="85"/>
      <c r="AC777" s="94"/>
      <c r="AD777" s="93"/>
      <c r="AE777" s="85"/>
    </row>
    <row r="778" spans="7:31" ht="14.5" customHeight="1" x14ac:dyDescent="0.35">
      <c r="G778" s="85"/>
      <c r="H778" s="87"/>
      <c r="M778" s="94"/>
      <c r="N778" s="93"/>
      <c r="O778" s="85"/>
      <c r="Q778" s="94"/>
      <c r="R778" s="93"/>
      <c r="S778" s="85"/>
      <c r="U778" s="94"/>
      <c r="V778" s="93"/>
      <c r="W778" s="85"/>
      <c r="Y778" s="94"/>
      <c r="Z778" s="93"/>
      <c r="AA778" s="85"/>
      <c r="AC778" s="94"/>
      <c r="AD778" s="93"/>
      <c r="AE778" s="85"/>
    </row>
    <row r="779" spans="7:31" ht="14.5" customHeight="1" x14ac:dyDescent="0.35">
      <c r="G779" s="85"/>
      <c r="H779" s="87"/>
      <c r="M779" s="94"/>
      <c r="N779" s="93"/>
      <c r="O779" s="85"/>
      <c r="Q779" s="94"/>
      <c r="R779" s="93"/>
      <c r="S779" s="85"/>
      <c r="U779" s="94"/>
      <c r="V779" s="93"/>
      <c r="W779" s="85"/>
      <c r="Y779" s="94"/>
      <c r="Z779" s="93"/>
      <c r="AA779" s="85"/>
      <c r="AC779" s="94"/>
      <c r="AD779" s="93"/>
      <c r="AE779" s="85"/>
    </row>
    <row r="780" spans="7:31" ht="14.5" customHeight="1" x14ac:dyDescent="0.35">
      <c r="G780" s="85"/>
      <c r="H780" s="87"/>
      <c r="M780" s="94"/>
      <c r="N780" s="93"/>
      <c r="O780" s="85"/>
      <c r="Q780" s="94"/>
      <c r="R780" s="93"/>
      <c r="S780" s="85"/>
      <c r="U780" s="94"/>
      <c r="V780" s="93"/>
      <c r="W780" s="85"/>
      <c r="Y780" s="94"/>
      <c r="Z780" s="93"/>
      <c r="AA780" s="85"/>
      <c r="AC780" s="94"/>
      <c r="AD780" s="93"/>
      <c r="AE780" s="85"/>
    </row>
    <row r="781" spans="7:31" ht="14.5" customHeight="1" x14ac:dyDescent="0.35">
      <c r="G781" s="85"/>
      <c r="H781" s="87"/>
      <c r="M781" s="94"/>
      <c r="N781" s="93"/>
      <c r="O781" s="85"/>
      <c r="Q781" s="94"/>
      <c r="R781" s="93"/>
      <c r="S781" s="85"/>
      <c r="U781" s="94"/>
      <c r="V781" s="93"/>
      <c r="W781" s="85"/>
      <c r="Y781" s="94"/>
      <c r="Z781" s="93"/>
      <c r="AA781" s="85"/>
      <c r="AC781" s="94"/>
      <c r="AD781" s="93"/>
      <c r="AE781" s="85"/>
    </row>
    <row r="782" spans="7:31" ht="14.5" customHeight="1" x14ac:dyDescent="0.35">
      <c r="G782" s="85"/>
      <c r="H782" s="87"/>
      <c r="M782" s="94"/>
      <c r="N782" s="93"/>
      <c r="O782" s="85"/>
      <c r="Q782" s="94"/>
      <c r="R782" s="93"/>
      <c r="S782" s="85"/>
      <c r="U782" s="94"/>
      <c r="V782" s="93"/>
      <c r="W782" s="85"/>
      <c r="Y782" s="94"/>
      <c r="Z782" s="93"/>
      <c r="AA782" s="85"/>
      <c r="AC782" s="94"/>
      <c r="AD782" s="93"/>
      <c r="AE782" s="85"/>
    </row>
    <row r="783" spans="7:31" ht="14.5" customHeight="1" x14ac:dyDescent="0.35">
      <c r="G783" s="85"/>
      <c r="H783" s="87"/>
      <c r="M783" s="94"/>
      <c r="N783" s="93"/>
      <c r="O783" s="85"/>
      <c r="Q783" s="94"/>
      <c r="R783" s="93"/>
      <c r="S783" s="85"/>
      <c r="U783" s="94"/>
      <c r="V783" s="93"/>
      <c r="W783" s="85"/>
      <c r="Y783" s="94"/>
      <c r="Z783" s="93"/>
      <c r="AA783" s="85"/>
      <c r="AC783" s="94"/>
      <c r="AD783" s="93"/>
      <c r="AE783" s="85"/>
    </row>
    <row r="784" spans="7:31" ht="14.5" customHeight="1" x14ac:dyDescent="0.35">
      <c r="G784" s="85"/>
      <c r="H784" s="87"/>
      <c r="M784" s="94"/>
      <c r="N784" s="93"/>
      <c r="O784" s="85"/>
      <c r="Q784" s="94"/>
      <c r="R784" s="93"/>
      <c r="S784" s="85"/>
      <c r="U784" s="94"/>
      <c r="V784" s="93"/>
      <c r="W784" s="85"/>
      <c r="Y784" s="94"/>
      <c r="Z784" s="93"/>
      <c r="AA784" s="85"/>
      <c r="AC784" s="94"/>
      <c r="AD784" s="93"/>
      <c r="AE784" s="85"/>
    </row>
    <row r="785" spans="7:31" ht="14.5" customHeight="1" x14ac:dyDescent="0.35">
      <c r="G785" s="85"/>
      <c r="H785" s="87"/>
      <c r="M785" s="94"/>
      <c r="N785" s="93"/>
      <c r="O785" s="85"/>
      <c r="Q785" s="94"/>
      <c r="R785" s="93"/>
      <c r="S785" s="85"/>
      <c r="U785" s="94"/>
      <c r="V785" s="93"/>
      <c r="W785" s="85"/>
      <c r="Y785" s="94"/>
      <c r="Z785" s="93"/>
      <c r="AA785" s="85"/>
      <c r="AC785" s="94"/>
      <c r="AD785" s="93"/>
      <c r="AE785" s="85"/>
    </row>
    <row r="786" spans="7:31" ht="14.5" customHeight="1" x14ac:dyDescent="0.35">
      <c r="G786" s="85"/>
      <c r="H786" s="87"/>
      <c r="M786" s="94"/>
      <c r="N786" s="93"/>
      <c r="O786" s="85"/>
      <c r="Q786" s="94"/>
      <c r="R786" s="93"/>
      <c r="S786" s="85"/>
      <c r="U786" s="94"/>
      <c r="V786" s="93"/>
      <c r="W786" s="85"/>
      <c r="Y786" s="94"/>
      <c r="Z786" s="93"/>
      <c r="AA786" s="85"/>
      <c r="AC786" s="94"/>
      <c r="AD786" s="93"/>
      <c r="AE786" s="85"/>
    </row>
    <row r="787" spans="7:31" ht="14.5" customHeight="1" x14ac:dyDescent="0.35">
      <c r="G787" s="85"/>
      <c r="H787" s="87"/>
      <c r="M787" s="94"/>
      <c r="N787" s="93"/>
      <c r="O787" s="85"/>
      <c r="Q787" s="94"/>
      <c r="R787" s="93"/>
      <c r="S787" s="85"/>
      <c r="U787" s="94"/>
      <c r="V787" s="93"/>
      <c r="W787" s="85"/>
      <c r="Y787" s="94"/>
      <c r="Z787" s="93"/>
      <c r="AA787" s="85"/>
      <c r="AC787" s="94"/>
      <c r="AD787" s="93"/>
      <c r="AE787" s="85"/>
    </row>
    <row r="788" spans="7:31" ht="14.5" customHeight="1" x14ac:dyDescent="0.35">
      <c r="G788" s="85"/>
      <c r="H788" s="87"/>
      <c r="M788" s="94"/>
      <c r="N788" s="93"/>
      <c r="O788" s="85"/>
      <c r="Q788" s="94"/>
      <c r="R788" s="93"/>
      <c r="S788" s="85"/>
      <c r="U788" s="94"/>
      <c r="V788" s="93"/>
      <c r="W788" s="85"/>
      <c r="Y788" s="94"/>
      <c r="Z788" s="93"/>
      <c r="AA788" s="85"/>
      <c r="AC788" s="94"/>
      <c r="AD788" s="93"/>
      <c r="AE788" s="85"/>
    </row>
    <row r="789" spans="7:31" ht="14.5" customHeight="1" x14ac:dyDescent="0.35">
      <c r="G789" s="85"/>
      <c r="H789" s="87"/>
      <c r="M789" s="94"/>
      <c r="N789" s="93"/>
      <c r="O789" s="85"/>
      <c r="Q789" s="94"/>
      <c r="R789" s="93"/>
      <c r="S789" s="85"/>
      <c r="U789" s="94"/>
      <c r="V789" s="93"/>
      <c r="W789" s="85"/>
      <c r="Y789" s="94"/>
      <c r="Z789" s="93"/>
      <c r="AA789" s="85"/>
      <c r="AC789" s="94"/>
      <c r="AD789" s="93"/>
      <c r="AE789" s="85"/>
    </row>
    <row r="790" spans="7:31" ht="14.5" customHeight="1" x14ac:dyDescent="0.35">
      <c r="G790" s="85"/>
      <c r="H790" s="87"/>
      <c r="M790" s="94"/>
      <c r="N790" s="93"/>
      <c r="O790" s="85"/>
      <c r="Q790" s="94"/>
      <c r="R790" s="93"/>
      <c r="S790" s="85"/>
      <c r="U790" s="94"/>
      <c r="V790" s="93"/>
      <c r="W790" s="85"/>
      <c r="Y790" s="94"/>
      <c r="Z790" s="93"/>
      <c r="AA790" s="85"/>
      <c r="AC790" s="94"/>
      <c r="AD790" s="93"/>
      <c r="AE790" s="85"/>
    </row>
    <row r="791" spans="7:31" ht="14.5" customHeight="1" x14ac:dyDescent="0.35">
      <c r="G791" s="85"/>
      <c r="H791" s="87"/>
      <c r="M791" s="94"/>
      <c r="N791" s="93"/>
      <c r="O791" s="85"/>
      <c r="Q791" s="94"/>
      <c r="R791" s="93"/>
      <c r="S791" s="85"/>
      <c r="U791" s="94"/>
      <c r="V791" s="93"/>
      <c r="W791" s="85"/>
      <c r="Y791" s="94"/>
      <c r="Z791" s="93"/>
      <c r="AA791" s="85"/>
      <c r="AC791" s="94"/>
      <c r="AD791" s="93"/>
      <c r="AE791" s="85"/>
    </row>
    <row r="792" spans="7:31" ht="14.5" customHeight="1" x14ac:dyDescent="0.35">
      <c r="G792" s="85"/>
      <c r="H792" s="87"/>
      <c r="M792" s="94"/>
      <c r="N792" s="93"/>
      <c r="O792" s="85"/>
      <c r="Q792" s="94"/>
      <c r="R792" s="93"/>
      <c r="S792" s="85"/>
      <c r="U792" s="94"/>
      <c r="V792" s="93"/>
      <c r="W792" s="85"/>
      <c r="Y792" s="94"/>
      <c r="Z792" s="93"/>
      <c r="AA792" s="85"/>
      <c r="AC792" s="94"/>
      <c r="AD792" s="93"/>
      <c r="AE792" s="85"/>
    </row>
    <row r="793" spans="7:31" ht="14.5" customHeight="1" x14ac:dyDescent="0.35">
      <c r="G793" s="85"/>
      <c r="H793" s="87"/>
      <c r="M793" s="94"/>
      <c r="N793" s="93"/>
      <c r="O793" s="85"/>
      <c r="Q793" s="94"/>
      <c r="R793" s="93"/>
      <c r="S793" s="85"/>
      <c r="U793" s="94"/>
      <c r="V793" s="93"/>
      <c r="W793" s="85"/>
      <c r="Y793" s="94"/>
      <c r="Z793" s="93"/>
      <c r="AA793" s="85"/>
      <c r="AC793" s="94"/>
      <c r="AD793" s="93"/>
      <c r="AE793" s="85"/>
    </row>
    <row r="794" spans="7:31" ht="14.5" customHeight="1" x14ac:dyDescent="0.35">
      <c r="G794" s="85"/>
      <c r="H794" s="87"/>
      <c r="M794" s="94"/>
      <c r="N794" s="93"/>
      <c r="O794" s="85"/>
      <c r="Q794" s="94"/>
      <c r="R794" s="93"/>
      <c r="S794" s="85"/>
      <c r="U794" s="94"/>
      <c r="V794" s="93"/>
      <c r="W794" s="85"/>
      <c r="Y794" s="94"/>
      <c r="Z794" s="93"/>
      <c r="AA794" s="85"/>
      <c r="AC794" s="94"/>
      <c r="AD794" s="93"/>
      <c r="AE794" s="85"/>
    </row>
    <row r="795" spans="7:31" ht="14.5" customHeight="1" x14ac:dyDescent="0.35">
      <c r="G795" s="85"/>
      <c r="H795" s="87"/>
      <c r="M795" s="94"/>
      <c r="N795" s="93"/>
      <c r="O795" s="85"/>
      <c r="Q795" s="94"/>
      <c r="R795" s="93"/>
      <c r="S795" s="85"/>
      <c r="U795" s="94"/>
      <c r="V795" s="93"/>
      <c r="W795" s="85"/>
      <c r="Y795" s="94"/>
      <c r="Z795" s="93"/>
      <c r="AA795" s="85"/>
      <c r="AC795" s="94"/>
      <c r="AD795" s="93"/>
      <c r="AE795" s="85"/>
    </row>
    <row r="796" spans="7:31" ht="14.5" customHeight="1" x14ac:dyDescent="0.35">
      <c r="G796" s="85"/>
      <c r="H796" s="87"/>
      <c r="M796" s="94"/>
      <c r="N796" s="93"/>
      <c r="O796" s="85"/>
      <c r="Q796" s="94"/>
      <c r="R796" s="93"/>
      <c r="S796" s="85"/>
      <c r="U796" s="94"/>
      <c r="V796" s="93"/>
      <c r="W796" s="85"/>
      <c r="Y796" s="94"/>
      <c r="Z796" s="93"/>
      <c r="AA796" s="85"/>
      <c r="AC796" s="94"/>
      <c r="AD796" s="93"/>
      <c r="AE796" s="85"/>
    </row>
    <row r="797" spans="7:31" ht="14.5" customHeight="1" x14ac:dyDescent="0.35">
      <c r="G797" s="85"/>
      <c r="H797" s="87"/>
      <c r="M797" s="94"/>
      <c r="N797" s="93"/>
      <c r="O797" s="85"/>
      <c r="Q797" s="94"/>
      <c r="R797" s="93"/>
      <c r="S797" s="85"/>
      <c r="U797" s="94"/>
      <c r="V797" s="93"/>
      <c r="W797" s="85"/>
      <c r="Y797" s="94"/>
      <c r="Z797" s="93"/>
      <c r="AA797" s="85"/>
      <c r="AC797" s="94"/>
      <c r="AD797" s="93"/>
      <c r="AE797" s="85"/>
    </row>
    <row r="798" spans="7:31" ht="14.5" customHeight="1" x14ac:dyDescent="0.35">
      <c r="G798" s="85"/>
      <c r="H798" s="87"/>
      <c r="M798" s="94"/>
      <c r="N798" s="93"/>
      <c r="O798" s="85"/>
      <c r="Q798" s="94"/>
      <c r="R798" s="93"/>
      <c r="S798" s="85"/>
      <c r="U798" s="94"/>
      <c r="V798" s="93"/>
      <c r="W798" s="85"/>
      <c r="Y798" s="94"/>
      <c r="Z798" s="93"/>
      <c r="AA798" s="85"/>
      <c r="AC798" s="94"/>
      <c r="AD798" s="93"/>
      <c r="AE798" s="85"/>
    </row>
    <row r="799" spans="7:31" ht="14.5" customHeight="1" x14ac:dyDescent="0.35">
      <c r="G799" s="85"/>
      <c r="H799" s="87"/>
      <c r="M799" s="94"/>
      <c r="N799" s="93"/>
      <c r="O799" s="85"/>
      <c r="Q799" s="94"/>
      <c r="R799" s="93"/>
      <c r="S799" s="85"/>
      <c r="U799" s="94"/>
      <c r="V799" s="93"/>
      <c r="W799" s="85"/>
      <c r="Y799" s="94"/>
      <c r="Z799" s="93"/>
      <c r="AA799" s="85"/>
      <c r="AC799" s="94"/>
      <c r="AD799" s="93"/>
      <c r="AE799" s="85"/>
    </row>
    <row r="800" spans="7:31" ht="14.5" customHeight="1" x14ac:dyDescent="0.35">
      <c r="G800" s="85"/>
      <c r="H800" s="87"/>
      <c r="M800" s="94"/>
      <c r="N800" s="93"/>
      <c r="O800" s="85"/>
      <c r="Q800" s="94"/>
      <c r="R800" s="93"/>
      <c r="S800" s="85"/>
      <c r="U800" s="94"/>
      <c r="V800" s="93"/>
      <c r="W800" s="85"/>
      <c r="Y800" s="94"/>
      <c r="Z800" s="93"/>
      <c r="AA800" s="85"/>
      <c r="AC800" s="94"/>
      <c r="AD800" s="93"/>
      <c r="AE800" s="85"/>
    </row>
    <row r="801" spans="7:31" ht="14.5" customHeight="1" x14ac:dyDescent="0.35">
      <c r="G801" s="85"/>
      <c r="H801" s="87"/>
      <c r="M801" s="94"/>
      <c r="N801" s="93"/>
      <c r="O801" s="85"/>
      <c r="Q801" s="94"/>
      <c r="R801" s="93"/>
      <c r="S801" s="85"/>
      <c r="U801" s="94"/>
      <c r="V801" s="93"/>
      <c r="W801" s="85"/>
      <c r="Y801" s="94"/>
      <c r="Z801" s="93"/>
      <c r="AA801" s="85"/>
      <c r="AC801" s="94"/>
      <c r="AD801" s="93"/>
      <c r="AE801" s="85"/>
    </row>
    <row r="802" spans="7:31" ht="14.5" customHeight="1" x14ac:dyDescent="0.35">
      <c r="G802" s="85"/>
      <c r="H802" s="87"/>
      <c r="M802" s="94"/>
      <c r="N802" s="93"/>
      <c r="O802" s="85"/>
      <c r="Q802" s="94"/>
      <c r="R802" s="93"/>
      <c r="S802" s="85"/>
      <c r="U802" s="94"/>
      <c r="V802" s="93"/>
      <c r="W802" s="85"/>
      <c r="Y802" s="94"/>
      <c r="Z802" s="93"/>
      <c r="AA802" s="85"/>
      <c r="AC802" s="94"/>
      <c r="AD802" s="93"/>
      <c r="AE802" s="85"/>
    </row>
    <row r="803" spans="7:31" ht="14.5" customHeight="1" x14ac:dyDescent="0.35">
      <c r="G803" s="85"/>
      <c r="H803" s="87"/>
      <c r="M803" s="94"/>
      <c r="N803" s="93"/>
      <c r="O803" s="85"/>
      <c r="Q803" s="94"/>
      <c r="R803" s="93"/>
      <c r="S803" s="85"/>
      <c r="U803" s="94"/>
      <c r="V803" s="93"/>
      <c r="W803" s="85"/>
      <c r="Y803" s="94"/>
      <c r="Z803" s="93"/>
      <c r="AA803" s="85"/>
      <c r="AC803" s="94"/>
      <c r="AD803" s="93"/>
      <c r="AE803" s="85"/>
    </row>
    <row r="804" spans="7:31" ht="14.5" customHeight="1" x14ac:dyDescent="0.35">
      <c r="G804" s="85"/>
      <c r="H804" s="87"/>
      <c r="M804" s="94"/>
      <c r="N804" s="93"/>
      <c r="O804" s="85"/>
      <c r="Q804" s="94"/>
      <c r="R804" s="93"/>
      <c r="S804" s="85"/>
      <c r="U804" s="94"/>
      <c r="V804" s="93"/>
      <c r="W804" s="85"/>
      <c r="Y804" s="94"/>
      <c r="Z804" s="93"/>
      <c r="AA804" s="85"/>
      <c r="AC804" s="94"/>
      <c r="AD804" s="93"/>
      <c r="AE804" s="85"/>
    </row>
    <row r="805" spans="7:31" ht="14.5" customHeight="1" x14ac:dyDescent="0.35">
      <c r="G805" s="85"/>
      <c r="H805" s="87"/>
      <c r="M805" s="94"/>
      <c r="N805" s="93"/>
      <c r="O805" s="85"/>
      <c r="Q805" s="94"/>
      <c r="R805" s="93"/>
      <c r="S805" s="85"/>
      <c r="U805" s="94"/>
      <c r="V805" s="93"/>
      <c r="W805" s="85"/>
      <c r="Y805" s="94"/>
      <c r="Z805" s="93"/>
      <c r="AA805" s="85"/>
      <c r="AC805" s="94"/>
      <c r="AD805" s="93"/>
      <c r="AE805" s="85"/>
    </row>
    <row r="806" spans="7:31" ht="14.5" customHeight="1" x14ac:dyDescent="0.35">
      <c r="G806" s="85"/>
      <c r="H806" s="87"/>
      <c r="M806" s="94"/>
      <c r="N806" s="93"/>
      <c r="O806" s="85"/>
      <c r="Q806" s="94"/>
      <c r="R806" s="93"/>
      <c r="S806" s="85"/>
      <c r="U806" s="94"/>
      <c r="V806" s="93"/>
      <c r="W806" s="85"/>
      <c r="Y806" s="94"/>
      <c r="Z806" s="93"/>
      <c r="AA806" s="85"/>
      <c r="AC806" s="94"/>
      <c r="AD806" s="93"/>
      <c r="AE806" s="85"/>
    </row>
    <row r="807" spans="7:31" ht="14.5" customHeight="1" x14ac:dyDescent="0.35">
      <c r="G807" s="85"/>
      <c r="H807" s="87"/>
      <c r="M807" s="94"/>
      <c r="N807" s="93"/>
      <c r="O807" s="85"/>
      <c r="Q807" s="94"/>
      <c r="R807" s="93"/>
      <c r="S807" s="85"/>
      <c r="U807" s="94"/>
      <c r="V807" s="93"/>
      <c r="W807" s="85"/>
      <c r="Y807" s="94"/>
      <c r="Z807" s="93"/>
      <c r="AA807" s="85"/>
      <c r="AC807" s="94"/>
      <c r="AD807" s="93"/>
      <c r="AE807" s="85"/>
    </row>
    <row r="808" spans="7:31" ht="14.5" customHeight="1" x14ac:dyDescent="0.35">
      <c r="G808" s="85"/>
      <c r="H808" s="87"/>
      <c r="M808" s="94"/>
      <c r="N808" s="93"/>
      <c r="O808" s="85"/>
      <c r="Q808" s="94"/>
      <c r="R808" s="93"/>
      <c r="S808" s="85"/>
      <c r="U808" s="94"/>
      <c r="V808" s="93"/>
      <c r="W808" s="85"/>
      <c r="Y808" s="94"/>
      <c r="Z808" s="93"/>
      <c r="AA808" s="85"/>
      <c r="AC808" s="94"/>
      <c r="AD808" s="93"/>
      <c r="AE808" s="85"/>
    </row>
    <row r="809" spans="7:31" ht="14.5" customHeight="1" x14ac:dyDescent="0.35">
      <c r="G809" s="85"/>
      <c r="H809" s="87"/>
      <c r="M809" s="94"/>
      <c r="N809" s="93"/>
      <c r="O809" s="85"/>
      <c r="Q809" s="94"/>
      <c r="R809" s="93"/>
      <c r="S809" s="85"/>
      <c r="U809" s="94"/>
      <c r="V809" s="93"/>
      <c r="W809" s="85"/>
      <c r="Y809" s="94"/>
      <c r="Z809" s="93"/>
      <c r="AA809" s="85"/>
      <c r="AC809" s="94"/>
      <c r="AD809" s="93"/>
      <c r="AE809" s="85"/>
    </row>
    <row r="810" spans="7:31" ht="14.5" customHeight="1" x14ac:dyDescent="0.35">
      <c r="G810" s="85"/>
      <c r="H810" s="87"/>
      <c r="M810" s="94"/>
      <c r="N810" s="93"/>
      <c r="O810" s="85"/>
      <c r="Q810" s="94"/>
      <c r="R810" s="93"/>
      <c r="S810" s="85"/>
      <c r="U810" s="94"/>
      <c r="V810" s="93"/>
      <c r="W810" s="85"/>
      <c r="Y810" s="94"/>
      <c r="Z810" s="93"/>
      <c r="AA810" s="85"/>
      <c r="AC810" s="94"/>
      <c r="AD810" s="93"/>
      <c r="AE810" s="85"/>
    </row>
    <row r="811" spans="7:31" ht="14.5" customHeight="1" x14ac:dyDescent="0.35">
      <c r="G811" s="85"/>
      <c r="H811" s="87"/>
      <c r="M811" s="94"/>
      <c r="N811" s="93"/>
      <c r="O811" s="85"/>
      <c r="Q811" s="94"/>
      <c r="R811" s="93"/>
      <c r="S811" s="85"/>
      <c r="U811" s="94"/>
      <c r="V811" s="93"/>
      <c r="W811" s="85"/>
      <c r="Y811" s="94"/>
      <c r="Z811" s="93"/>
      <c r="AA811" s="85"/>
      <c r="AC811" s="94"/>
      <c r="AD811" s="93"/>
      <c r="AE811" s="85"/>
    </row>
    <row r="812" spans="7:31" ht="14.5" customHeight="1" x14ac:dyDescent="0.35">
      <c r="G812" s="85"/>
      <c r="H812" s="87"/>
      <c r="M812" s="94"/>
      <c r="N812" s="93"/>
      <c r="O812" s="85"/>
      <c r="Q812" s="94"/>
      <c r="R812" s="93"/>
      <c r="S812" s="85"/>
      <c r="U812" s="94"/>
      <c r="V812" s="93"/>
      <c r="W812" s="85"/>
      <c r="Y812" s="94"/>
      <c r="Z812" s="93"/>
      <c r="AA812" s="85"/>
      <c r="AC812" s="94"/>
      <c r="AD812" s="93"/>
      <c r="AE812" s="85"/>
    </row>
    <row r="813" spans="7:31" ht="14.5" customHeight="1" x14ac:dyDescent="0.35">
      <c r="G813" s="85"/>
      <c r="H813" s="87"/>
      <c r="M813" s="94"/>
      <c r="N813" s="93"/>
      <c r="O813" s="85"/>
      <c r="Q813" s="94"/>
      <c r="R813" s="93"/>
      <c r="S813" s="85"/>
      <c r="U813" s="94"/>
      <c r="V813" s="93"/>
      <c r="W813" s="85"/>
      <c r="Y813" s="94"/>
      <c r="Z813" s="93"/>
      <c r="AA813" s="85"/>
      <c r="AC813" s="94"/>
      <c r="AD813" s="93"/>
      <c r="AE813" s="85"/>
    </row>
    <row r="814" spans="7:31" ht="14.5" customHeight="1" x14ac:dyDescent="0.35">
      <c r="G814" s="85"/>
      <c r="H814" s="87"/>
      <c r="M814" s="94"/>
      <c r="N814" s="93"/>
      <c r="O814" s="85"/>
      <c r="Q814" s="94"/>
      <c r="R814" s="93"/>
      <c r="S814" s="85"/>
      <c r="U814" s="94"/>
      <c r="V814" s="93"/>
      <c r="W814" s="85"/>
      <c r="Y814" s="94"/>
      <c r="Z814" s="93"/>
      <c r="AA814" s="85"/>
      <c r="AC814" s="94"/>
      <c r="AD814" s="93"/>
      <c r="AE814" s="85"/>
    </row>
    <row r="815" spans="7:31" ht="14.5" customHeight="1" x14ac:dyDescent="0.35">
      <c r="G815" s="85"/>
      <c r="H815" s="87"/>
      <c r="M815" s="94"/>
      <c r="N815" s="93"/>
      <c r="O815" s="85"/>
      <c r="Q815" s="94"/>
      <c r="R815" s="93"/>
      <c r="S815" s="85"/>
      <c r="U815" s="94"/>
      <c r="V815" s="93"/>
      <c r="W815" s="85"/>
      <c r="Y815" s="94"/>
      <c r="Z815" s="93"/>
      <c r="AA815" s="85"/>
      <c r="AC815" s="94"/>
      <c r="AD815" s="93"/>
      <c r="AE815" s="85"/>
    </row>
    <row r="816" spans="7:31" ht="14.5" customHeight="1" x14ac:dyDescent="0.35">
      <c r="G816" s="85"/>
      <c r="H816" s="87"/>
      <c r="M816" s="94"/>
      <c r="N816" s="93"/>
      <c r="O816" s="85"/>
      <c r="Q816" s="94"/>
      <c r="R816" s="93"/>
      <c r="S816" s="85"/>
      <c r="U816" s="94"/>
      <c r="V816" s="93"/>
      <c r="W816" s="85"/>
      <c r="Y816" s="94"/>
      <c r="Z816" s="93"/>
      <c r="AA816" s="85"/>
      <c r="AC816" s="94"/>
      <c r="AD816" s="93"/>
      <c r="AE816" s="85"/>
    </row>
    <row r="817" spans="7:31" ht="14.5" customHeight="1" x14ac:dyDescent="0.35">
      <c r="G817" s="85"/>
      <c r="H817" s="87"/>
      <c r="M817" s="94"/>
      <c r="N817" s="93"/>
      <c r="O817" s="85"/>
      <c r="Q817" s="94"/>
      <c r="R817" s="93"/>
      <c r="S817" s="85"/>
      <c r="U817" s="94"/>
      <c r="V817" s="93"/>
      <c r="W817" s="85"/>
      <c r="Y817" s="94"/>
      <c r="Z817" s="93"/>
      <c r="AA817" s="85"/>
      <c r="AC817" s="94"/>
      <c r="AD817" s="93"/>
      <c r="AE817" s="85"/>
    </row>
    <row r="818" spans="7:31" ht="14.5" customHeight="1" x14ac:dyDescent="0.35">
      <c r="G818" s="85"/>
      <c r="H818" s="87"/>
      <c r="M818" s="94"/>
      <c r="N818" s="93"/>
      <c r="O818" s="85"/>
      <c r="Q818" s="94"/>
      <c r="R818" s="93"/>
      <c r="S818" s="85"/>
      <c r="U818" s="94"/>
      <c r="V818" s="93"/>
      <c r="W818" s="85"/>
      <c r="Y818" s="94"/>
      <c r="Z818" s="93"/>
      <c r="AA818" s="85"/>
      <c r="AC818" s="94"/>
      <c r="AD818" s="93"/>
      <c r="AE818" s="85"/>
    </row>
    <row r="819" spans="7:31" ht="14.5" customHeight="1" x14ac:dyDescent="0.35">
      <c r="G819" s="85"/>
      <c r="H819" s="87"/>
      <c r="M819" s="94"/>
      <c r="N819" s="93"/>
      <c r="O819" s="85"/>
      <c r="Q819" s="94"/>
      <c r="R819" s="93"/>
      <c r="S819" s="85"/>
      <c r="U819" s="94"/>
      <c r="V819" s="93"/>
      <c r="W819" s="85"/>
      <c r="Y819" s="94"/>
      <c r="Z819" s="93"/>
      <c r="AA819" s="85"/>
      <c r="AC819" s="94"/>
      <c r="AD819" s="93"/>
      <c r="AE819" s="85"/>
    </row>
    <row r="820" spans="7:31" ht="14.5" customHeight="1" x14ac:dyDescent="0.35">
      <c r="G820" s="85"/>
      <c r="H820" s="87"/>
      <c r="M820" s="94"/>
      <c r="N820" s="93"/>
      <c r="O820" s="85"/>
      <c r="Q820" s="94"/>
      <c r="R820" s="93"/>
      <c r="S820" s="85"/>
      <c r="U820" s="94"/>
      <c r="V820" s="93"/>
      <c r="W820" s="85"/>
      <c r="Y820" s="94"/>
      <c r="Z820" s="93"/>
      <c r="AA820" s="85"/>
      <c r="AC820" s="94"/>
      <c r="AD820" s="93"/>
      <c r="AE820" s="85"/>
    </row>
    <row r="821" spans="7:31" ht="14.5" customHeight="1" x14ac:dyDescent="0.35">
      <c r="G821" s="85"/>
      <c r="H821" s="87"/>
      <c r="M821" s="94"/>
      <c r="N821" s="93"/>
      <c r="O821" s="85"/>
      <c r="Q821" s="94"/>
      <c r="R821" s="93"/>
      <c r="S821" s="85"/>
      <c r="U821" s="94"/>
      <c r="V821" s="93"/>
      <c r="W821" s="85"/>
      <c r="Y821" s="94"/>
      <c r="Z821" s="93"/>
      <c r="AA821" s="85"/>
      <c r="AC821" s="94"/>
      <c r="AD821" s="93"/>
      <c r="AE821" s="85"/>
    </row>
    <row r="822" spans="7:31" ht="14.5" customHeight="1" x14ac:dyDescent="0.35">
      <c r="G822" s="85"/>
      <c r="H822" s="87"/>
      <c r="M822" s="94"/>
      <c r="N822" s="93"/>
      <c r="O822" s="85"/>
      <c r="Q822" s="94"/>
      <c r="R822" s="93"/>
      <c r="S822" s="85"/>
      <c r="U822" s="94"/>
      <c r="V822" s="93"/>
      <c r="W822" s="85"/>
      <c r="Y822" s="94"/>
      <c r="Z822" s="93"/>
      <c r="AA822" s="85"/>
      <c r="AC822" s="94"/>
      <c r="AD822" s="93"/>
      <c r="AE822" s="85"/>
    </row>
    <row r="823" spans="7:31" ht="14.5" customHeight="1" x14ac:dyDescent="0.35">
      <c r="G823" s="85"/>
      <c r="H823" s="87"/>
      <c r="M823" s="94"/>
      <c r="N823" s="93"/>
      <c r="O823" s="85"/>
      <c r="Q823" s="94"/>
      <c r="R823" s="93"/>
      <c r="S823" s="85"/>
      <c r="U823" s="94"/>
      <c r="V823" s="93"/>
      <c r="W823" s="85"/>
      <c r="Y823" s="94"/>
      <c r="Z823" s="93"/>
      <c r="AA823" s="85"/>
      <c r="AC823" s="94"/>
      <c r="AD823" s="93"/>
      <c r="AE823" s="85"/>
    </row>
    <row r="824" spans="7:31" ht="14.5" customHeight="1" x14ac:dyDescent="0.35">
      <c r="G824" s="85"/>
      <c r="H824" s="87"/>
      <c r="M824" s="94"/>
      <c r="N824" s="93"/>
      <c r="O824" s="85"/>
      <c r="Q824" s="94"/>
      <c r="R824" s="93"/>
      <c r="S824" s="85"/>
      <c r="U824" s="94"/>
      <c r="V824" s="93"/>
      <c r="W824" s="85"/>
      <c r="Y824" s="94"/>
      <c r="Z824" s="93"/>
      <c r="AA824" s="85"/>
      <c r="AC824" s="94"/>
      <c r="AD824" s="93"/>
      <c r="AE824" s="85"/>
    </row>
    <row r="825" spans="7:31" ht="14.5" customHeight="1" x14ac:dyDescent="0.35">
      <c r="G825" s="85"/>
      <c r="H825" s="87"/>
      <c r="M825" s="94"/>
      <c r="N825" s="93"/>
      <c r="O825" s="85"/>
      <c r="Q825" s="94"/>
      <c r="R825" s="93"/>
      <c r="S825" s="85"/>
      <c r="U825" s="94"/>
      <c r="V825" s="93"/>
      <c r="W825" s="85"/>
      <c r="Y825" s="94"/>
      <c r="Z825" s="93"/>
      <c r="AA825" s="85"/>
      <c r="AC825" s="94"/>
      <c r="AD825" s="93"/>
      <c r="AE825" s="85"/>
    </row>
    <row r="826" spans="7:31" ht="14.5" customHeight="1" x14ac:dyDescent="0.35">
      <c r="G826" s="85"/>
      <c r="H826" s="87"/>
      <c r="M826" s="94"/>
      <c r="N826" s="93"/>
      <c r="O826" s="85"/>
      <c r="Q826" s="94"/>
      <c r="R826" s="93"/>
      <c r="S826" s="85"/>
      <c r="U826" s="94"/>
      <c r="V826" s="93"/>
      <c r="W826" s="85"/>
      <c r="Y826" s="94"/>
      <c r="Z826" s="93"/>
      <c r="AA826" s="85"/>
      <c r="AC826" s="94"/>
      <c r="AD826" s="93"/>
      <c r="AE826" s="85"/>
    </row>
    <row r="827" spans="7:31" ht="14.5" customHeight="1" x14ac:dyDescent="0.35">
      <c r="G827" s="85"/>
      <c r="H827" s="87"/>
      <c r="M827" s="94"/>
      <c r="N827" s="93"/>
      <c r="O827" s="85"/>
      <c r="Q827" s="94"/>
      <c r="R827" s="93"/>
      <c r="S827" s="85"/>
      <c r="U827" s="94"/>
      <c r="V827" s="93"/>
      <c r="W827" s="85"/>
      <c r="Y827" s="94"/>
      <c r="Z827" s="93"/>
      <c r="AA827" s="85"/>
      <c r="AC827" s="94"/>
      <c r="AD827" s="93"/>
      <c r="AE827" s="85"/>
    </row>
    <row r="828" spans="7:31" ht="14.5" customHeight="1" x14ac:dyDescent="0.35">
      <c r="G828" s="85"/>
      <c r="H828" s="87"/>
      <c r="M828" s="94"/>
      <c r="N828" s="93"/>
      <c r="O828" s="85"/>
      <c r="Q828" s="94"/>
      <c r="R828" s="93"/>
      <c r="S828" s="85"/>
      <c r="U828" s="94"/>
      <c r="V828" s="93"/>
      <c r="W828" s="85"/>
      <c r="Y828" s="94"/>
      <c r="Z828" s="93"/>
      <c r="AA828" s="85"/>
      <c r="AC828" s="94"/>
      <c r="AD828" s="93"/>
      <c r="AE828" s="85"/>
    </row>
    <row r="829" spans="7:31" ht="14.5" customHeight="1" x14ac:dyDescent="0.35">
      <c r="G829" s="85"/>
      <c r="H829" s="87"/>
      <c r="M829" s="94"/>
      <c r="N829" s="93"/>
      <c r="O829" s="85"/>
      <c r="Q829" s="94"/>
      <c r="R829" s="93"/>
      <c r="S829" s="85"/>
      <c r="U829" s="94"/>
      <c r="V829" s="93"/>
      <c r="W829" s="85"/>
      <c r="Y829" s="94"/>
      <c r="Z829" s="93"/>
      <c r="AA829" s="85"/>
      <c r="AC829" s="94"/>
      <c r="AD829" s="93"/>
      <c r="AE829" s="85"/>
    </row>
    <row r="830" spans="7:31" ht="14.5" customHeight="1" x14ac:dyDescent="0.35">
      <c r="G830" s="85"/>
      <c r="H830" s="87"/>
      <c r="M830" s="94"/>
      <c r="N830" s="93"/>
      <c r="O830" s="85"/>
      <c r="Q830" s="94"/>
      <c r="R830" s="93"/>
      <c r="S830" s="85"/>
      <c r="U830" s="94"/>
      <c r="V830" s="93"/>
      <c r="W830" s="85"/>
      <c r="Y830" s="94"/>
      <c r="Z830" s="93"/>
      <c r="AA830" s="85"/>
      <c r="AC830" s="94"/>
      <c r="AD830" s="93"/>
      <c r="AE830" s="85"/>
    </row>
    <row r="831" spans="7:31" ht="14.5" customHeight="1" x14ac:dyDescent="0.35">
      <c r="G831" s="85"/>
      <c r="H831" s="87"/>
      <c r="M831" s="94"/>
      <c r="N831" s="93"/>
      <c r="O831" s="85"/>
      <c r="Q831" s="94"/>
      <c r="R831" s="93"/>
      <c r="S831" s="85"/>
      <c r="U831" s="94"/>
      <c r="V831" s="93"/>
      <c r="W831" s="85"/>
      <c r="Y831" s="94"/>
      <c r="Z831" s="93"/>
      <c r="AA831" s="85"/>
      <c r="AC831" s="94"/>
      <c r="AD831" s="93"/>
      <c r="AE831" s="85"/>
    </row>
    <row r="832" spans="7:31" ht="14.5" customHeight="1" x14ac:dyDescent="0.35">
      <c r="G832" s="85"/>
      <c r="H832" s="87"/>
      <c r="M832" s="94"/>
      <c r="N832" s="93"/>
      <c r="O832" s="85"/>
      <c r="Q832" s="94"/>
      <c r="R832" s="93"/>
      <c r="S832" s="85"/>
      <c r="U832" s="94"/>
      <c r="V832" s="93"/>
      <c r="W832" s="85"/>
      <c r="Y832" s="94"/>
      <c r="Z832" s="93"/>
      <c r="AA832" s="85"/>
      <c r="AC832" s="94"/>
      <c r="AD832" s="93"/>
      <c r="AE832" s="85"/>
    </row>
    <row r="833" spans="7:31" ht="14.5" customHeight="1" x14ac:dyDescent="0.35">
      <c r="G833" s="85"/>
      <c r="H833" s="87"/>
      <c r="M833" s="94"/>
      <c r="N833" s="93"/>
      <c r="O833" s="85"/>
      <c r="Q833" s="94"/>
      <c r="R833" s="93"/>
      <c r="S833" s="85"/>
      <c r="U833" s="94"/>
      <c r="V833" s="93"/>
      <c r="W833" s="85"/>
      <c r="Y833" s="94"/>
      <c r="Z833" s="93"/>
      <c r="AA833" s="85"/>
      <c r="AC833" s="94"/>
      <c r="AD833" s="93"/>
      <c r="AE833" s="85"/>
    </row>
    <row r="834" spans="7:31" ht="14.5" customHeight="1" x14ac:dyDescent="0.35">
      <c r="G834" s="85"/>
      <c r="H834" s="87"/>
      <c r="M834" s="94"/>
      <c r="N834" s="93"/>
      <c r="O834" s="85"/>
      <c r="Q834" s="94"/>
      <c r="R834" s="93"/>
      <c r="S834" s="85"/>
      <c r="U834" s="94"/>
      <c r="V834" s="93"/>
      <c r="W834" s="85"/>
      <c r="Y834" s="94"/>
      <c r="Z834" s="93"/>
      <c r="AA834" s="85"/>
      <c r="AC834" s="94"/>
      <c r="AD834" s="93"/>
      <c r="AE834" s="85"/>
    </row>
    <row r="835" spans="7:31" ht="14.5" customHeight="1" x14ac:dyDescent="0.35">
      <c r="G835" s="85"/>
      <c r="H835" s="87"/>
      <c r="M835" s="94"/>
      <c r="N835" s="93"/>
      <c r="O835" s="85"/>
      <c r="Q835" s="94"/>
      <c r="R835" s="93"/>
      <c r="S835" s="85"/>
      <c r="U835" s="94"/>
      <c r="V835" s="93"/>
      <c r="W835" s="85"/>
      <c r="Y835" s="94"/>
      <c r="Z835" s="93"/>
      <c r="AA835" s="85"/>
      <c r="AC835" s="94"/>
      <c r="AD835" s="93"/>
      <c r="AE835" s="85"/>
    </row>
    <row r="836" spans="7:31" ht="14.5" customHeight="1" x14ac:dyDescent="0.35">
      <c r="G836" s="85"/>
      <c r="H836" s="87"/>
      <c r="M836" s="94"/>
      <c r="N836" s="93"/>
      <c r="O836" s="85"/>
      <c r="Q836" s="94"/>
      <c r="R836" s="93"/>
      <c r="S836" s="85"/>
      <c r="U836" s="94"/>
      <c r="V836" s="93"/>
      <c r="W836" s="85"/>
      <c r="Y836" s="94"/>
      <c r="Z836" s="93"/>
      <c r="AA836" s="85"/>
      <c r="AC836" s="94"/>
      <c r="AD836" s="93"/>
      <c r="AE836" s="85"/>
    </row>
    <row r="837" spans="7:31" ht="14.5" customHeight="1" x14ac:dyDescent="0.35">
      <c r="G837" s="85"/>
      <c r="H837" s="87"/>
      <c r="M837" s="94"/>
      <c r="N837" s="93"/>
      <c r="O837" s="85"/>
      <c r="Q837" s="94"/>
      <c r="R837" s="93"/>
      <c r="S837" s="85"/>
      <c r="U837" s="94"/>
      <c r="V837" s="93"/>
      <c r="W837" s="85"/>
      <c r="Y837" s="94"/>
      <c r="Z837" s="93"/>
      <c r="AA837" s="85"/>
      <c r="AC837" s="94"/>
      <c r="AD837" s="93"/>
      <c r="AE837" s="85"/>
    </row>
    <row r="838" spans="7:31" ht="14.5" customHeight="1" x14ac:dyDescent="0.35">
      <c r="G838" s="85"/>
      <c r="H838" s="87"/>
      <c r="M838" s="94"/>
      <c r="N838" s="93"/>
      <c r="O838" s="85"/>
      <c r="Q838" s="94"/>
      <c r="R838" s="93"/>
      <c r="S838" s="85"/>
      <c r="U838" s="94"/>
      <c r="V838" s="93"/>
      <c r="W838" s="85"/>
      <c r="Y838" s="94"/>
      <c r="Z838" s="93"/>
      <c r="AA838" s="85"/>
      <c r="AC838" s="94"/>
      <c r="AD838" s="93"/>
      <c r="AE838" s="85"/>
    </row>
    <row r="839" spans="7:31" ht="14.5" customHeight="1" x14ac:dyDescent="0.35">
      <c r="G839" s="85"/>
      <c r="H839" s="87"/>
      <c r="M839" s="94"/>
      <c r="N839" s="93"/>
      <c r="O839" s="85"/>
      <c r="Q839" s="94"/>
      <c r="R839" s="93"/>
      <c r="S839" s="85"/>
      <c r="U839" s="94"/>
      <c r="V839" s="93"/>
      <c r="W839" s="85"/>
      <c r="Y839" s="94"/>
      <c r="Z839" s="93"/>
      <c r="AA839" s="85"/>
      <c r="AC839" s="94"/>
      <c r="AD839" s="93"/>
      <c r="AE839" s="85"/>
    </row>
    <row r="840" spans="7:31" ht="14.5" customHeight="1" x14ac:dyDescent="0.35">
      <c r="G840" s="85"/>
      <c r="H840" s="87"/>
      <c r="M840" s="94"/>
      <c r="N840" s="93"/>
      <c r="O840" s="85"/>
      <c r="Q840" s="94"/>
      <c r="R840" s="93"/>
      <c r="S840" s="85"/>
      <c r="U840" s="94"/>
      <c r="V840" s="93"/>
      <c r="W840" s="85"/>
      <c r="Y840" s="94"/>
      <c r="Z840" s="93"/>
      <c r="AA840" s="85"/>
      <c r="AC840" s="94"/>
      <c r="AD840" s="93"/>
      <c r="AE840" s="85"/>
    </row>
    <row r="841" spans="7:31" ht="14.5" customHeight="1" x14ac:dyDescent="0.35">
      <c r="G841" s="85"/>
      <c r="H841" s="87"/>
      <c r="M841" s="94"/>
      <c r="N841" s="93"/>
      <c r="O841" s="85"/>
      <c r="Q841" s="94"/>
      <c r="R841" s="93"/>
      <c r="S841" s="85"/>
      <c r="U841" s="94"/>
      <c r="V841" s="93"/>
      <c r="W841" s="85"/>
      <c r="Y841" s="94"/>
      <c r="Z841" s="93"/>
      <c r="AA841" s="85"/>
      <c r="AC841" s="94"/>
      <c r="AD841" s="93"/>
      <c r="AE841" s="85"/>
    </row>
    <row r="842" spans="7:31" ht="14.5" customHeight="1" x14ac:dyDescent="0.35">
      <c r="G842" s="85"/>
      <c r="H842" s="87"/>
      <c r="M842" s="94"/>
      <c r="N842" s="93"/>
      <c r="O842" s="85"/>
      <c r="Q842" s="94"/>
      <c r="R842" s="93"/>
      <c r="S842" s="85"/>
      <c r="U842" s="94"/>
      <c r="V842" s="93"/>
      <c r="W842" s="85"/>
      <c r="Y842" s="94"/>
      <c r="Z842" s="93"/>
      <c r="AA842" s="85"/>
      <c r="AC842" s="94"/>
      <c r="AD842" s="93"/>
      <c r="AE842" s="85"/>
    </row>
    <row r="843" spans="7:31" ht="14.5" customHeight="1" x14ac:dyDescent="0.35">
      <c r="G843" s="85"/>
      <c r="H843" s="87"/>
      <c r="M843" s="94"/>
      <c r="N843" s="93"/>
      <c r="O843" s="85"/>
      <c r="Q843" s="94"/>
      <c r="R843" s="93"/>
      <c r="S843" s="85"/>
      <c r="U843" s="94"/>
      <c r="V843" s="93"/>
      <c r="W843" s="85"/>
      <c r="Y843" s="94"/>
      <c r="Z843" s="93"/>
      <c r="AA843" s="85"/>
      <c r="AC843" s="94"/>
      <c r="AD843" s="93"/>
      <c r="AE843" s="85"/>
    </row>
    <row r="844" spans="7:31" ht="14.5" customHeight="1" x14ac:dyDescent="0.35">
      <c r="G844" s="85"/>
      <c r="H844" s="87"/>
      <c r="M844" s="94"/>
      <c r="N844" s="93"/>
      <c r="O844" s="85"/>
      <c r="Q844" s="94"/>
      <c r="R844" s="93"/>
      <c r="S844" s="85"/>
      <c r="U844" s="94"/>
      <c r="V844" s="93"/>
      <c r="W844" s="85"/>
      <c r="Y844" s="94"/>
      <c r="Z844" s="93"/>
      <c r="AA844" s="85"/>
      <c r="AC844" s="94"/>
      <c r="AD844" s="93"/>
      <c r="AE844" s="85"/>
    </row>
    <row r="845" spans="7:31" ht="14.5" customHeight="1" x14ac:dyDescent="0.35">
      <c r="G845" s="85"/>
      <c r="H845" s="87"/>
      <c r="M845" s="94"/>
      <c r="N845" s="93"/>
      <c r="O845" s="85"/>
      <c r="Q845" s="94"/>
      <c r="R845" s="93"/>
      <c r="S845" s="85"/>
      <c r="U845" s="94"/>
      <c r="V845" s="93"/>
      <c r="W845" s="85"/>
      <c r="Y845" s="94"/>
      <c r="Z845" s="93"/>
      <c r="AA845" s="85"/>
      <c r="AC845" s="94"/>
      <c r="AD845" s="93"/>
      <c r="AE845" s="85"/>
    </row>
    <row r="846" spans="7:31" ht="14.5" customHeight="1" x14ac:dyDescent="0.35">
      <c r="G846" s="85"/>
      <c r="H846" s="87"/>
      <c r="M846" s="94"/>
      <c r="N846" s="93"/>
      <c r="O846" s="85"/>
      <c r="Q846" s="94"/>
      <c r="R846" s="93"/>
      <c r="S846" s="85"/>
      <c r="U846" s="94"/>
      <c r="V846" s="93"/>
      <c r="W846" s="85"/>
      <c r="Y846" s="94"/>
      <c r="Z846" s="93"/>
      <c r="AA846" s="85"/>
      <c r="AC846" s="94"/>
      <c r="AD846" s="93"/>
      <c r="AE846" s="85"/>
    </row>
    <row r="847" spans="7:31" ht="14.5" customHeight="1" x14ac:dyDescent="0.35">
      <c r="G847" s="85"/>
      <c r="H847" s="87"/>
      <c r="M847" s="94"/>
      <c r="N847" s="93"/>
      <c r="O847" s="85"/>
      <c r="Q847" s="94"/>
      <c r="R847" s="93"/>
      <c r="S847" s="85"/>
      <c r="U847" s="94"/>
      <c r="V847" s="93"/>
      <c r="W847" s="85"/>
      <c r="Y847" s="94"/>
      <c r="Z847" s="93"/>
      <c r="AA847" s="85"/>
      <c r="AC847" s="94"/>
      <c r="AD847" s="93"/>
      <c r="AE847" s="85"/>
    </row>
    <row r="848" spans="7:31" ht="14.5" customHeight="1" x14ac:dyDescent="0.35">
      <c r="G848" s="85"/>
      <c r="H848" s="87"/>
      <c r="M848" s="94"/>
      <c r="N848" s="93"/>
      <c r="O848" s="85"/>
      <c r="Q848" s="94"/>
      <c r="R848" s="93"/>
      <c r="S848" s="85"/>
      <c r="U848" s="94"/>
      <c r="V848" s="93"/>
      <c r="W848" s="85"/>
      <c r="Y848" s="94"/>
      <c r="Z848" s="93"/>
      <c r="AA848" s="85"/>
      <c r="AC848" s="94"/>
      <c r="AD848" s="93"/>
      <c r="AE848" s="85"/>
    </row>
    <row r="849" spans="7:31" ht="14.5" customHeight="1" x14ac:dyDescent="0.35">
      <c r="G849" s="85"/>
      <c r="H849" s="87"/>
      <c r="M849" s="94"/>
      <c r="N849" s="93"/>
      <c r="O849" s="85"/>
      <c r="Q849" s="94"/>
      <c r="R849" s="93"/>
      <c r="S849" s="85"/>
      <c r="U849" s="94"/>
      <c r="V849" s="93"/>
      <c r="W849" s="85"/>
      <c r="Y849" s="94"/>
      <c r="Z849" s="93"/>
      <c r="AA849" s="85"/>
      <c r="AC849" s="94"/>
      <c r="AD849" s="93"/>
      <c r="AE849" s="85"/>
    </row>
    <row r="850" spans="7:31" ht="14.5" customHeight="1" x14ac:dyDescent="0.35">
      <c r="G850" s="85"/>
      <c r="H850" s="87"/>
      <c r="M850" s="94"/>
      <c r="N850" s="93"/>
      <c r="O850" s="85"/>
      <c r="Q850" s="94"/>
      <c r="R850" s="93"/>
      <c r="S850" s="85"/>
      <c r="U850" s="94"/>
      <c r="V850" s="93"/>
      <c r="W850" s="85"/>
      <c r="Y850" s="94"/>
      <c r="Z850" s="93"/>
      <c r="AA850" s="85"/>
      <c r="AC850" s="94"/>
      <c r="AD850" s="93"/>
      <c r="AE850" s="85"/>
    </row>
    <row r="851" spans="7:31" ht="14.5" customHeight="1" x14ac:dyDescent="0.35">
      <c r="G851" s="85"/>
      <c r="H851" s="87"/>
      <c r="M851" s="94"/>
      <c r="N851" s="93"/>
      <c r="O851" s="85"/>
      <c r="Q851" s="94"/>
      <c r="R851" s="93"/>
      <c r="S851" s="85"/>
      <c r="U851" s="94"/>
      <c r="V851" s="93"/>
      <c r="W851" s="85"/>
      <c r="Y851" s="94"/>
      <c r="Z851" s="93"/>
      <c r="AA851" s="85"/>
      <c r="AC851" s="94"/>
      <c r="AD851" s="93"/>
      <c r="AE851" s="85"/>
    </row>
    <row r="852" spans="7:31" ht="14.5" customHeight="1" x14ac:dyDescent="0.35">
      <c r="G852" s="85"/>
      <c r="H852" s="87"/>
      <c r="M852" s="94"/>
      <c r="N852" s="93"/>
      <c r="O852" s="85"/>
      <c r="Q852" s="94"/>
      <c r="R852" s="93"/>
      <c r="S852" s="85"/>
      <c r="U852" s="94"/>
      <c r="V852" s="93"/>
      <c r="W852" s="85"/>
      <c r="Y852" s="94"/>
      <c r="Z852" s="93"/>
      <c r="AA852" s="85"/>
      <c r="AC852" s="94"/>
      <c r="AD852" s="93"/>
      <c r="AE852" s="85"/>
    </row>
    <row r="853" spans="7:31" ht="14.5" customHeight="1" x14ac:dyDescent="0.35">
      <c r="G853" s="85"/>
      <c r="H853" s="87"/>
      <c r="M853" s="94"/>
      <c r="N853" s="93"/>
      <c r="O853" s="85"/>
      <c r="Q853" s="94"/>
      <c r="R853" s="93"/>
      <c r="S853" s="85"/>
      <c r="U853" s="94"/>
      <c r="V853" s="93"/>
      <c r="W853" s="85"/>
      <c r="Y853" s="94"/>
      <c r="Z853" s="93"/>
      <c r="AA853" s="85"/>
      <c r="AC853" s="94"/>
      <c r="AD853" s="93"/>
      <c r="AE853" s="85"/>
    </row>
    <row r="854" spans="7:31" ht="14.5" customHeight="1" x14ac:dyDescent="0.35">
      <c r="G854" s="85"/>
      <c r="H854" s="87"/>
      <c r="M854" s="94"/>
      <c r="N854" s="93"/>
      <c r="O854" s="85"/>
      <c r="Q854" s="94"/>
      <c r="R854" s="93"/>
      <c r="S854" s="85"/>
      <c r="U854" s="94"/>
      <c r="V854" s="93"/>
      <c r="W854" s="85"/>
      <c r="Y854" s="94"/>
      <c r="Z854" s="93"/>
      <c r="AA854" s="85"/>
      <c r="AC854" s="94"/>
      <c r="AD854" s="93"/>
      <c r="AE854" s="85"/>
    </row>
    <row r="855" spans="7:31" ht="14.5" customHeight="1" x14ac:dyDescent="0.35">
      <c r="G855" s="85"/>
      <c r="H855" s="87"/>
      <c r="M855" s="94"/>
      <c r="N855" s="93"/>
      <c r="O855" s="85"/>
      <c r="Q855" s="94"/>
      <c r="R855" s="93"/>
      <c r="S855" s="85"/>
      <c r="U855" s="94"/>
      <c r="V855" s="93"/>
      <c r="W855" s="85"/>
      <c r="Y855" s="94"/>
      <c r="Z855" s="93"/>
      <c r="AA855" s="85"/>
      <c r="AC855" s="94"/>
      <c r="AD855" s="93"/>
      <c r="AE855" s="85"/>
    </row>
    <row r="856" spans="7:31" ht="14.5" customHeight="1" x14ac:dyDescent="0.35">
      <c r="G856" s="85"/>
      <c r="H856" s="87"/>
      <c r="M856" s="94"/>
      <c r="N856" s="93"/>
      <c r="O856" s="85"/>
      <c r="Q856" s="94"/>
      <c r="R856" s="93"/>
      <c r="S856" s="85"/>
      <c r="U856" s="94"/>
      <c r="V856" s="93"/>
      <c r="W856" s="85"/>
      <c r="Y856" s="94"/>
      <c r="Z856" s="93"/>
      <c r="AA856" s="85"/>
      <c r="AC856" s="94"/>
      <c r="AD856" s="93"/>
      <c r="AE856" s="85"/>
    </row>
    <row r="857" spans="7:31" ht="14.5" customHeight="1" x14ac:dyDescent="0.35">
      <c r="G857" s="85"/>
      <c r="H857" s="87"/>
      <c r="M857" s="94"/>
      <c r="N857" s="93"/>
      <c r="O857" s="85"/>
      <c r="Q857" s="94"/>
      <c r="R857" s="93"/>
      <c r="S857" s="85"/>
      <c r="U857" s="94"/>
      <c r="V857" s="93"/>
      <c r="W857" s="85"/>
      <c r="Y857" s="94"/>
      <c r="Z857" s="93"/>
      <c r="AA857" s="85"/>
      <c r="AC857" s="94"/>
      <c r="AD857" s="93"/>
      <c r="AE857" s="85"/>
    </row>
    <row r="858" spans="7:31" ht="14.5" customHeight="1" x14ac:dyDescent="0.35">
      <c r="G858" s="85"/>
      <c r="H858" s="87"/>
      <c r="M858" s="94"/>
      <c r="N858" s="93"/>
      <c r="O858" s="85"/>
      <c r="Q858" s="94"/>
      <c r="R858" s="93"/>
      <c r="S858" s="85"/>
      <c r="U858" s="94"/>
      <c r="V858" s="93"/>
      <c r="W858" s="85"/>
      <c r="Y858" s="94"/>
      <c r="Z858" s="93"/>
      <c r="AA858" s="85"/>
      <c r="AC858" s="94"/>
      <c r="AD858" s="93"/>
      <c r="AE858" s="85"/>
    </row>
    <row r="859" spans="7:31" ht="14.5" customHeight="1" x14ac:dyDescent="0.35">
      <c r="G859" s="85"/>
      <c r="H859" s="87"/>
      <c r="M859" s="94"/>
      <c r="N859" s="93"/>
      <c r="O859" s="85"/>
      <c r="Q859" s="94"/>
      <c r="R859" s="93"/>
      <c r="S859" s="85"/>
      <c r="U859" s="94"/>
      <c r="V859" s="93"/>
      <c r="W859" s="85"/>
      <c r="Y859" s="94"/>
      <c r="Z859" s="93"/>
      <c r="AA859" s="85"/>
      <c r="AC859" s="94"/>
      <c r="AD859" s="93"/>
      <c r="AE859" s="85"/>
    </row>
    <row r="860" spans="7:31" ht="14.5" customHeight="1" x14ac:dyDescent="0.35">
      <c r="G860" s="85"/>
      <c r="H860" s="87"/>
      <c r="M860" s="94"/>
      <c r="N860" s="93"/>
      <c r="O860" s="85"/>
      <c r="Q860" s="94"/>
      <c r="R860" s="93"/>
      <c r="S860" s="85"/>
      <c r="U860" s="94"/>
      <c r="V860" s="93"/>
      <c r="W860" s="85"/>
      <c r="Y860" s="94"/>
      <c r="Z860" s="93"/>
      <c r="AA860" s="85"/>
      <c r="AC860" s="94"/>
      <c r="AD860" s="93"/>
      <c r="AE860" s="85"/>
    </row>
    <row r="861" spans="7:31" ht="14.5" customHeight="1" x14ac:dyDescent="0.35">
      <c r="G861" s="85"/>
      <c r="H861" s="87"/>
      <c r="M861" s="94"/>
      <c r="N861" s="93"/>
      <c r="O861" s="85"/>
      <c r="Q861" s="94"/>
      <c r="R861" s="93"/>
      <c r="S861" s="85"/>
      <c r="U861" s="94"/>
      <c r="V861" s="93"/>
      <c r="W861" s="85"/>
      <c r="Y861" s="94"/>
      <c r="Z861" s="93"/>
      <c r="AA861" s="85"/>
      <c r="AC861" s="94"/>
      <c r="AD861" s="93"/>
      <c r="AE861" s="85"/>
    </row>
    <row r="862" spans="7:31" ht="14.5" customHeight="1" x14ac:dyDescent="0.35">
      <c r="G862" s="85"/>
      <c r="H862" s="87"/>
      <c r="M862" s="94"/>
      <c r="N862" s="93"/>
      <c r="O862" s="85"/>
      <c r="Q862" s="94"/>
      <c r="R862" s="93"/>
      <c r="S862" s="85"/>
      <c r="U862" s="94"/>
      <c r="V862" s="93"/>
      <c r="W862" s="85"/>
      <c r="Y862" s="94"/>
      <c r="Z862" s="93"/>
      <c r="AA862" s="85"/>
      <c r="AC862" s="94"/>
      <c r="AD862" s="93"/>
      <c r="AE862" s="85"/>
    </row>
    <row r="863" spans="7:31" ht="14.5" customHeight="1" x14ac:dyDescent="0.35">
      <c r="G863" s="85"/>
      <c r="H863" s="87"/>
      <c r="M863" s="94"/>
      <c r="N863" s="93"/>
      <c r="O863" s="85"/>
      <c r="Q863" s="94"/>
      <c r="R863" s="93"/>
      <c r="S863" s="85"/>
      <c r="U863" s="94"/>
      <c r="V863" s="93"/>
      <c r="W863" s="85"/>
      <c r="Y863" s="94"/>
      <c r="Z863" s="93"/>
      <c r="AA863" s="85"/>
      <c r="AC863" s="94"/>
      <c r="AD863" s="93"/>
      <c r="AE863" s="85"/>
    </row>
    <row r="864" spans="7:31" ht="14.5" customHeight="1" x14ac:dyDescent="0.35">
      <c r="G864" s="85"/>
      <c r="H864" s="87"/>
      <c r="M864" s="94"/>
      <c r="N864" s="93"/>
      <c r="O864" s="85"/>
      <c r="Q864" s="94"/>
      <c r="R864" s="93"/>
      <c r="S864" s="85"/>
      <c r="U864" s="94"/>
      <c r="V864" s="93"/>
      <c r="W864" s="85"/>
      <c r="Y864" s="94"/>
      <c r="Z864" s="93"/>
      <c r="AA864" s="85"/>
      <c r="AC864" s="94"/>
      <c r="AD864" s="93"/>
      <c r="AE864" s="85"/>
    </row>
    <row r="865" spans="7:31" ht="14.5" customHeight="1" x14ac:dyDescent="0.35">
      <c r="G865" s="85"/>
      <c r="H865" s="87"/>
      <c r="M865" s="94"/>
      <c r="N865" s="93"/>
      <c r="O865" s="85"/>
      <c r="Q865" s="94"/>
      <c r="R865" s="93"/>
      <c r="S865" s="85"/>
      <c r="U865" s="94"/>
      <c r="V865" s="93"/>
      <c r="W865" s="85"/>
      <c r="Y865" s="94"/>
      <c r="Z865" s="93"/>
      <c r="AA865" s="85"/>
      <c r="AC865" s="94"/>
      <c r="AD865" s="93"/>
      <c r="AE865" s="85"/>
    </row>
    <row r="866" spans="7:31" ht="14.5" customHeight="1" x14ac:dyDescent="0.35">
      <c r="G866" s="85"/>
      <c r="H866" s="87"/>
      <c r="M866" s="94"/>
      <c r="N866" s="93"/>
      <c r="O866" s="85"/>
      <c r="Q866" s="94"/>
      <c r="R866" s="93"/>
      <c r="S866" s="85"/>
      <c r="U866" s="94"/>
      <c r="V866" s="93"/>
      <c r="W866" s="85"/>
      <c r="Y866" s="94"/>
      <c r="Z866" s="93"/>
      <c r="AA866" s="85"/>
      <c r="AC866" s="94"/>
      <c r="AD866" s="93"/>
      <c r="AE866" s="85"/>
    </row>
    <row r="867" spans="7:31" ht="14.5" customHeight="1" x14ac:dyDescent="0.35">
      <c r="G867" s="85"/>
      <c r="H867" s="87"/>
      <c r="M867" s="94"/>
      <c r="N867" s="93"/>
      <c r="O867" s="85"/>
      <c r="Q867" s="94"/>
      <c r="R867" s="93"/>
      <c r="S867" s="85"/>
      <c r="U867" s="94"/>
      <c r="V867" s="93"/>
      <c r="W867" s="85"/>
      <c r="Y867" s="94"/>
      <c r="Z867" s="93"/>
      <c r="AA867" s="85"/>
      <c r="AC867" s="94"/>
      <c r="AD867" s="93"/>
      <c r="AE867" s="85"/>
    </row>
    <row r="868" spans="7:31" ht="14.5" customHeight="1" x14ac:dyDescent="0.35">
      <c r="G868" s="85"/>
      <c r="H868" s="87"/>
      <c r="M868" s="94"/>
      <c r="N868" s="93"/>
      <c r="O868" s="85"/>
      <c r="Q868" s="94"/>
      <c r="R868" s="93"/>
      <c r="S868" s="85"/>
      <c r="U868" s="94"/>
      <c r="V868" s="93"/>
      <c r="W868" s="85"/>
      <c r="Y868" s="94"/>
      <c r="Z868" s="93"/>
      <c r="AA868" s="85"/>
      <c r="AC868" s="94"/>
      <c r="AD868" s="93"/>
      <c r="AE868" s="85"/>
    </row>
    <row r="869" spans="7:31" ht="14.5" customHeight="1" x14ac:dyDescent="0.35">
      <c r="G869" s="85"/>
      <c r="H869" s="87"/>
      <c r="M869" s="94"/>
      <c r="N869" s="93"/>
      <c r="O869" s="85"/>
      <c r="Q869" s="94"/>
      <c r="R869" s="93"/>
      <c r="S869" s="85"/>
      <c r="U869" s="94"/>
      <c r="V869" s="93"/>
      <c r="W869" s="85"/>
      <c r="Y869" s="94"/>
      <c r="Z869" s="93"/>
      <c r="AA869" s="85"/>
      <c r="AC869" s="94"/>
      <c r="AD869" s="93"/>
      <c r="AE869" s="85"/>
    </row>
    <row r="870" spans="7:31" ht="14.5" customHeight="1" x14ac:dyDescent="0.35">
      <c r="G870" s="85"/>
      <c r="H870" s="87"/>
      <c r="M870" s="94"/>
      <c r="N870" s="93"/>
      <c r="O870" s="85"/>
      <c r="Q870" s="94"/>
      <c r="R870" s="93"/>
      <c r="S870" s="85"/>
      <c r="U870" s="94"/>
      <c r="V870" s="93"/>
      <c r="W870" s="85"/>
      <c r="Y870" s="94"/>
      <c r="Z870" s="93"/>
      <c r="AA870" s="85"/>
      <c r="AC870" s="94"/>
      <c r="AD870" s="93"/>
      <c r="AE870" s="85"/>
    </row>
    <row r="871" spans="7:31" ht="14.5" customHeight="1" x14ac:dyDescent="0.35">
      <c r="G871" s="85"/>
      <c r="H871" s="87"/>
      <c r="M871" s="94"/>
      <c r="N871" s="93"/>
      <c r="O871" s="85"/>
      <c r="Q871" s="94"/>
      <c r="R871" s="93"/>
      <c r="S871" s="85"/>
      <c r="U871" s="94"/>
      <c r="V871" s="93"/>
      <c r="W871" s="85"/>
      <c r="Y871" s="94"/>
      <c r="Z871" s="93"/>
      <c r="AA871" s="85"/>
      <c r="AC871" s="94"/>
      <c r="AD871" s="93"/>
      <c r="AE871" s="85"/>
    </row>
    <row r="872" spans="7:31" ht="14.5" customHeight="1" x14ac:dyDescent="0.35">
      <c r="G872" s="85"/>
      <c r="H872" s="87"/>
      <c r="M872" s="94"/>
      <c r="N872" s="93"/>
      <c r="O872" s="85"/>
      <c r="Q872" s="94"/>
      <c r="R872" s="93"/>
      <c r="S872" s="85"/>
      <c r="U872" s="94"/>
      <c r="V872" s="93"/>
      <c r="W872" s="85"/>
      <c r="Y872" s="94"/>
      <c r="Z872" s="93"/>
      <c r="AA872" s="85"/>
      <c r="AC872" s="94"/>
      <c r="AD872" s="93"/>
      <c r="AE872" s="85"/>
    </row>
    <row r="873" spans="7:31" ht="14.5" customHeight="1" x14ac:dyDescent="0.35">
      <c r="G873" s="85"/>
      <c r="H873" s="87"/>
      <c r="M873" s="94"/>
      <c r="N873" s="93"/>
      <c r="O873" s="85"/>
      <c r="Q873" s="94"/>
      <c r="R873" s="93"/>
      <c r="S873" s="85"/>
      <c r="U873" s="94"/>
      <c r="V873" s="93"/>
      <c r="W873" s="85"/>
      <c r="Y873" s="94"/>
      <c r="Z873" s="93"/>
      <c r="AA873" s="85"/>
      <c r="AC873" s="94"/>
      <c r="AD873" s="93"/>
      <c r="AE873" s="85"/>
    </row>
    <row r="874" spans="7:31" ht="14.5" customHeight="1" x14ac:dyDescent="0.35">
      <c r="G874" s="85"/>
      <c r="H874" s="87"/>
      <c r="M874" s="94"/>
      <c r="N874" s="93"/>
      <c r="O874" s="85"/>
      <c r="Q874" s="94"/>
      <c r="R874" s="93"/>
      <c r="S874" s="85"/>
      <c r="U874" s="94"/>
      <c r="V874" s="93"/>
      <c r="W874" s="85"/>
      <c r="Y874" s="94"/>
      <c r="Z874" s="93"/>
      <c r="AA874" s="85"/>
      <c r="AC874" s="94"/>
      <c r="AD874" s="93"/>
      <c r="AE874" s="85"/>
    </row>
    <row r="875" spans="7:31" ht="14.5" customHeight="1" x14ac:dyDescent="0.35">
      <c r="G875" s="85"/>
      <c r="H875" s="87"/>
      <c r="M875" s="94"/>
      <c r="N875" s="93"/>
      <c r="O875" s="85"/>
      <c r="Q875" s="94"/>
      <c r="R875" s="93"/>
      <c r="S875" s="85"/>
      <c r="U875" s="94"/>
      <c r="V875" s="93"/>
      <c r="W875" s="85"/>
      <c r="Y875" s="94"/>
      <c r="Z875" s="93"/>
      <c r="AA875" s="85"/>
      <c r="AC875" s="94"/>
      <c r="AD875" s="93"/>
      <c r="AE875" s="85"/>
    </row>
    <row r="876" spans="7:31" ht="14.5" customHeight="1" x14ac:dyDescent="0.35">
      <c r="G876" s="85"/>
      <c r="H876" s="87"/>
      <c r="M876" s="94"/>
      <c r="N876" s="93"/>
      <c r="O876" s="85"/>
      <c r="Q876" s="94"/>
      <c r="R876" s="93"/>
      <c r="S876" s="85"/>
      <c r="U876" s="94"/>
      <c r="V876" s="93"/>
      <c r="W876" s="85"/>
      <c r="Y876" s="94"/>
      <c r="Z876" s="93"/>
      <c r="AA876" s="85"/>
      <c r="AC876" s="94"/>
      <c r="AD876" s="93"/>
      <c r="AE876" s="85"/>
    </row>
    <row r="877" spans="7:31" ht="14.5" customHeight="1" x14ac:dyDescent="0.35">
      <c r="G877" s="85"/>
      <c r="H877" s="87"/>
      <c r="M877" s="94"/>
      <c r="N877" s="93"/>
      <c r="O877" s="85"/>
      <c r="Q877" s="94"/>
      <c r="R877" s="93"/>
      <c r="S877" s="85"/>
      <c r="U877" s="94"/>
      <c r="V877" s="93"/>
      <c r="W877" s="85"/>
      <c r="Y877" s="94"/>
      <c r="Z877" s="93"/>
      <c r="AA877" s="85"/>
      <c r="AC877" s="94"/>
      <c r="AD877" s="93"/>
      <c r="AE877" s="85"/>
    </row>
    <row r="878" spans="7:31" ht="14.5" customHeight="1" x14ac:dyDescent="0.35">
      <c r="G878" s="85"/>
      <c r="H878" s="87"/>
      <c r="M878" s="94"/>
      <c r="N878" s="93"/>
      <c r="O878" s="85"/>
      <c r="Q878" s="94"/>
      <c r="R878" s="93"/>
      <c r="S878" s="85"/>
      <c r="U878" s="94"/>
      <c r="V878" s="93"/>
      <c r="W878" s="85"/>
      <c r="Y878" s="94"/>
      <c r="Z878" s="93"/>
      <c r="AA878" s="85"/>
      <c r="AC878" s="94"/>
      <c r="AD878" s="93"/>
      <c r="AE878" s="85"/>
    </row>
    <row r="879" spans="7:31" ht="14.5" customHeight="1" x14ac:dyDescent="0.35">
      <c r="G879" s="85"/>
      <c r="H879" s="87"/>
      <c r="M879" s="94"/>
      <c r="N879" s="93"/>
      <c r="O879" s="85"/>
      <c r="Q879" s="94"/>
      <c r="R879" s="93"/>
      <c r="S879" s="85"/>
      <c r="U879" s="94"/>
      <c r="V879" s="93"/>
      <c r="W879" s="85"/>
      <c r="Y879" s="94"/>
      <c r="Z879" s="93"/>
      <c r="AA879" s="85"/>
      <c r="AC879" s="94"/>
      <c r="AD879" s="93"/>
      <c r="AE879" s="85"/>
    </row>
    <row r="880" spans="7:31" ht="14.5" customHeight="1" x14ac:dyDescent="0.35">
      <c r="G880" s="85"/>
      <c r="H880" s="87"/>
      <c r="M880" s="94"/>
      <c r="N880" s="93"/>
      <c r="O880" s="85"/>
      <c r="Q880" s="94"/>
      <c r="R880" s="93"/>
      <c r="S880" s="85"/>
      <c r="U880" s="94"/>
      <c r="V880" s="93"/>
      <c r="W880" s="85"/>
      <c r="Y880" s="94"/>
      <c r="Z880" s="93"/>
      <c r="AA880" s="85"/>
      <c r="AC880" s="94"/>
      <c r="AD880" s="93"/>
      <c r="AE880" s="85"/>
    </row>
    <row r="881" spans="7:31" ht="14.5" customHeight="1" x14ac:dyDescent="0.35">
      <c r="G881" s="85"/>
      <c r="H881" s="87"/>
      <c r="M881" s="94"/>
      <c r="N881" s="93"/>
      <c r="O881" s="85"/>
      <c r="Q881" s="94"/>
      <c r="R881" s="93"/>
      <c r="S881" s="85"/>
      <c r="U881" s="94"/>
      <c r="V881" s="93"/>
      <c r="W881" s="85"/>
      <c r="Y881" s="94"/>
      <c r="Z881" s="93"/>
      <c r="AA881" s="85"/>
      <c r="AC881" s="94"/>
      <c r="AD881" s="93"/>
      <c r="AE881" s="85"/>
    </row>
    <row r="882" spans="7:31" ht="14.5" customHeight="1" x14ac:dyDescent="0.35">
      <c r="G882" s="85"/>
      <c r="H882" s="87"/>
      <c r="M882" s="94"/>
      <c r="N882" s="93"/>
      <c r="O882" s="85"/>
      <c r="Q882" s="94"/>
      <c r="R882" s="93"/>
      <c r="S882" s="85"/>
      <c r="U882" s="94"/>
      <c r="V882" s="93"/>
      <c r="W882" s="85"/>
      <c r="Y882" s="94"/>
      <c r="Z882" s="93"/>
      <c r="AA882" s="85"/>
      <c r="AC882" s="94"/>
      <c r="AD882" s="93"/>
      <c r="AE882" s="85"/>
    </row>
    <row r="883" spans="7:31" ht="14.5" customHeight="1" x14ac:dyDescent="0.35">
      <c r="G883" s="85"/>
      <c r="H883" s="87"/>
      <c r="M883" s="94"/>
      <c r="N883" s="93"/>
      <c r="O883" s="85"/>
      <c r="Q883" s="94"/>
      <c r="R883" s="93"/>
      <c r="S883" s="85"/>
      <c r="U883" s="94"/>
      <c r="V883" s="93"/>
      <c r="W883" s="85"/>
      <c r="Y883" s="94"/>
      <c r="Z883" s="93"/>
      <c r="AA883" s="85"/>
      <c r="AC883" s="94"/>
      <c r="AD883" s="93"/>
      <c r="AE883" s="85"/>
    </row>
    <row r="884" spans="7:31" ht="14.5" customHeight="1" x14ac:dyDescent="0.35">
      <c r="G884" s="85"/>
      <c r="H884" s="87"/>
      <c r="M884" s="94"/>
      <c r="N884" s="93"/>
      <c r="O884" s="85"/>
      <c r="Q884" s="94"/>
      <c r="R884" s="93"/>
      <c r="S884" s="85"/>
      <c r="U884" s="94"/>
      <c r="V884" s="93"/>
      <c r="W884" s="85"/>
      <c r="Y884" s="94"/>
      <c r="Z884" s="93"/>
      <c r="AA884" s="85"/>
      <c r="AC884" s="94"/>
      <c r="AD884" s="93"/>
      <c r="AE884" s="85"/>
    </row>
    <row r="885" spans="7:31" ht="14.5" customHeight="1" x14ac:dyDescent="0.35">
      <c r="G885" s="85"/>
      <c r="H885" s="87"/>
      <c r="M885" s="94"/>
      <c r="N885" s="93"/>
      <c r="O885" s="85"/>
      <c r="Q885" s="94"/>
      <c r="R885" s="93"/>
      <c r="S885" s="85"/>
      <c r="U885" s="94"/>
      <c r="V885" s="93"/>
      <c r="W885" s="85"/>
      <c r="Y885" s="94"/>
      <c r="Z885" s="93"/>
      <c r="AA885" s="85"/>
      <c r="AC885" s="94"/>
      <c r="AD885" s="93"/>
      <c r="AE885" s="85"/>
    </row>
    <row r="886" spans="7:31" ht="14.5" customHeight="1" x14ac:dyDescent="0.35">
      <c r="G886" s="85"/>
      <c r="H886" s="87"/>
      <c r="M886" s="94"/>
      <c r="N886" s="93"/>
      <c r="O886" s="85"/>
      <c r="Q886" s="94"/>
      <c r="R886" s="93"/>
      <c r="S886" s="85"/>
      <c r="U886" s="94"/>
      <c r="V886" s="93"/>
      <c r="W886" s="85"/>
      <c r="Y886" s="94"/>
      <c r="Z886" s="93"/>
      <c r="AA886" s="85"/>
      <c r="AC886" s="94"/>
      <c r="AD886" s="93"/>
      <c r="AE886" s="85"/>
    </row>
    <row r="887" spans="7:31" ht="14.5" customHeight="1" x14ac:dyDescent="0.35">
      <c r="G887" s="85"/>
      <c r="H887" s="87"/>
      <c r="M887" s="94"/>
      <c r="N887" s="93"/>
      <c r="O887" s="85"/>
      <c r="Q887" s="94"/>
      <c r="R887" s="93"/>
      <c r="S887" s="85"/>
      <c r="U887" s="94"/>
      <c r="V887" s="93"/>
      <c r="W887" s="85"/>
      <c r="Y887" s="94"/>
      <c r="Z887" s="93"/>
      <c r="AA887" s="85"/>
      <c r="AC887" s="94"/>
      <c r="AD887" s="93"/>
      <c r="AE887" s="85"/>
    </row>
    <row r="888" spans="7:31" ht="14.5" customHeight="1" x14ac:dyDescent="0.35">
      <c r="G888" s="85"/>
      <c r="H888" s="87"/>
      <c r="M888" s="94"/>
      <c r="N888" s="93"/>
      <c r="O888" s="85"/>
      <c r="Q888" s="94"/>
      <c r="R888" s="93"/>
      <c r="S888" s="85"/>
      <c r="U888" s="94"/>
      <c r="V888" s="93"/>
      <c r="W888" s="85"/>
      <c r="Y888" s="94"/>
      <c r="Z888" s="93"/>
      <c r="AA888" s="85"/>
      <c r="AC888" s="94"/>
      <c r="AD888" s="93"/>
      <c r="AE888" s="85"/>
    </row>
    <row r="889" spans="7:31" ht="14.5" customHeight="1" x14ac:dyDescent="0.35">
      <c r="G889" s="85"/>
      <c r="H889" s="87"/>
      <c r="M889" s="94"/>
      <c r="N889" s="93"/>
      <c r="O889" s="85"/>
      <c r="Q889" s="94"/>
      <c r="R889" s="93"/>
      <c r="S889" s="85"/>
      <c r="U889" s="94"/>
      <c r="V889" s="93"/>
      <c r="W889" s="85"/>
      <c r="Y889" s="94"/>
      <c r="Z889" s="93"/>
      <c r="AA889" s="85"/>
      <c r="AC889" s="94"/>
      <c r="AD889" s="93"/>
      <c r="AE889" s="85"/>
    </row>
    <row r="890" spans="7:31" ht="14.5" customHeight="1" x14ac:dyDescent="0.35">
      <c r="G890" s="85"/>
      <c r="H890" s="87"/>
      <c r="M890" s="94"/>
      <c r="N890" s="93"/>
      <c r="O890" s="85"/>
      <c r="Q890" s="94"/>
      <c r="R890" s="93"/>
      <c r="S890" s="85"/>
      <c r="U890" s="94"/>
      <c r="V890" s="93"/>
      <c r="W890" s="85"/>
      <c r="Y890" s="94"/>
      <c r="Z890" s="93"/>
      <c r="AA890" s="85"/>
      <c r="AC890" s="94"/>
      <c r="AD890" s="93"/>
      <c r="AE890" s="85"/>
    </row>
    <row r="891" spans="7:31" ht="14.5" customHeight="1" x14ac:dyDescent="0.35">
      <c r="G891" s="85"/>
      <c r="H891" s="87"/>
      <c r="M891" s="94"/>
      <c r="N891" s="93"/>
      <c r="O891" s="85"/>
      <c r="Q891" s="94"/>
      <c r="R891" s="93"/>
      <c r="S891" s="85"/>
      <c r="U891" s="94"/>
      <c r="V891" s="93"/>
      <c r="W891" s="85"/>
      <c r="Y891" s="94"/>
      <c r="Z891" s="93"/>
      <c r="AA891" s="85"/>
      <c r="AC891" s="94"/>
      <c r="AD891" s="93"/>
      <c r="AE891" s="85"/>
    </row>
    <row r="892" spans="7:31" ht="14.5" customHeight="1" x14ac:dyDescent="0.35">
      <c r="G892" s="85"/>
      <c r="H892" s="87"/>
      <c r="M892" s="94"/>
      <c r="N892" s="93"/>
      <c r="O892" s="85"/>
      <c r="Q892" s="94"/>
      <c r="R892" s="93"/>
      <c r="S892" s="85"/>
      <c r="U892" s="94"/>
      <c r="V892" s="93"/>
      <c r="W892" s="85"/>
      <c r="Y892" s="94"/>
      <c r="Z892" s="93"/>
      <c r="AA892" s="85"/>
      <c r="AC892" s="94"/>
      <c r="AD892" s="93"/>
      <c r="AE892" s="85"/>
    </row>
    <row r="893" spans="7:31" ht="14.5" customHeight="1" x14ac:dyDescent="0.35">
      <c r="G893" s="85"/>
      <c r="H893" s="87"/>
      <c r="M893" s="94"/>
      <c r="N893" s="93"/>
      <c r="O893" s="85"/>
      <c r="Q893" s="94"/>
      <c r="R893" s="93"/>
      <c r="S893" s="85"/>
      <c r="U893" s="94"/>
      <c r="V893" s="93"/>
      <c r="W893" s="85"/>
      <c r="Y893" s="94"/>
      <c r="Z893" s="93"/>
      <c r="AA893" s="85"/>
      <c r="AC893" s="94"/>
      <c r="AD893" s="93"/>
      <c r="AE893" s="85"/>
    </row>
    <row r="894" spans="7:31" ht="14.5" customHeight="1" x14ac:dyDescent="0.35">
      <c r="G894" s="85"/>
      <c r="H894" s="87"/>
      <c r="M894" s="94"/>
      <c r="N894" s="93"/>
      <c r="O894" s="85"/>
      <c r="Q894" s="94"/>
      <c r="R894" s="93"/>
      <c r="S894" s="85"/>
      <c r="U894" s="94"/>
      <c r="V894" s="93"/>
      <c r="W894" s="85"/>
      <c r="Y894" s="94"/>
      <c r="Z894" s="93"/>
      <c r="AA894" s="85"/>
      <c r="AC894" s="94"/>
      <c r="AD894" s="93"/>
      <c r="AE894" s="85"/>
    </row>
    <row r="895" spans="7:31" ht="14.5" customHeight="1" x14ac:dyDescent="0.35">
      <c r="G895" s="85"/>
      <c r="H895" s="87"/>
      <c r="M895" s="94"/>
      <c r="N895" s="93"/>
      <c r="O895" s="85"/>
      <c r="Q895" s="94"/>
      <c r="R895" s="93"/>
      <c r="S895" s="85"/>
      <c r="U895" s="94"/>
      <c r="V895" s="93"/>
      <c r="W895" s="85"/>
      <c r="Y895" s="94"/>
      <c r="Z895" s="93"/>
      <c r="AA895" s="85"/>
      <c r="AC895" s="94"/>
      <c r="AD895" s="93"/>
      <c r="AE895" s="85"/>
    </row>
    <row r="896" spans="7:31" ht="14.5" customHeight="1" x14ac:dyDescent="0.35">
      <c r="G896" s="85"/>
      <c r="H896" s="87"/>
      <c r="M896" s="94"/>
      <c r="N896" s="93"/>
      <c r="O896" s="85"/>
      <c r="Q896" s="94"/>
      <c r="R896" s="93"/>
      <c r="S896" s="85"/>
      <c r="U896" s="94"/>
      <c r="V896" s="93"/>
      <c r="W896" s="85"/>
      <c r="Y896" s="94"/>
      <c r="Z896" s="93"/>
      <c r="AA896" s="85"/>
      <c r="AC896" s="94"/>
      <c r="AD896" s="93"/>
      <c r="AE896" s="85"/>
    </row>
    <row r="897" spans="7:31" ht="14.5" customHeight="1" x14ac:dyDescent="0.35">
      <c r="G897" s="85"/>
      <c r="H897" s="87"/>
      <c r="M897" s="94"/>
      <c r="N897" s="93"/>
      <c r="O897" s="85"/>
      <c r="Q897" s="94"/>
      <c r="R897" s="93"/>
      <c r="S897" s="85"/>
      <c r="U897" s="94"/>
      <c r="V897" s="93"/>
      <c r="W897" s="85"/>
      <c r="Y897" s="94"/>
      <c r="Z897" s="93"/>
      <c r="AA897" s="85"/>
      <c r="AC897" s="94"/>
      <c r="AD897" s="93"/>
      <c r="AE897" s="85"/>
    </row>
    <row r="898" spans="7:31" ht="14.5" customHeight="1" x14ac:dyDescent="0.35">
      <c r="G898" s="85"/>
      <c r="H898" s="87"/>
      <c r="M898" s="94"/>
      <c r="N898" s="93"/>
      <c r="O898" s="85"/>
      <c r="Q898" s="94"/>
      <c r="R898" s="93"/>
      <c r="S898" s="85"/>
      <c r="U898" s="94"/>
      <c r="V898" s="93"/>
      <c r="W898" s="85"/>
      <c r="Y898" s="94"/>
      <c r="Z898" s="93"/>
      <c r="AA898" s="85"/>
      <c r="AC898" s="94"/>
      <c r="AD898" s="93"/>
      <c r="AE898" s="85"/>
    </row>
    <row r="899" spans="7:31" ht="14.5" customHeight="1" x14ac:dyDescent="0.35">
      <c r="G899" s="85"/>
      <c r="H899" s="87"/>
      <c r="M899" s="94"/>
      <c r="N899" s="93"/>
      <c r="O899" s="85"/>
      <c r="Q899" s="94"/>
      <c r="R899" s="93"/>
      <c r="S899" s="85"/>
      <c r="U899" s="94"/>
      <c r="V899" s="93"/>
      <c r="W899" s="85"/>
      <c r="Y899" s="94"/>
      <c r="Z899" s="93"/>
      <c r="AA899" s="85"/>
      <c r="AC899" s="94"/>
      <c r="AD899" s="93"/>
      <c r="AE899" s="85"/>
    </row>
    <row r="900" spans="7:31" ht="14.5" customHeight="1" x14ac:dyDescent="0.35">
      <c r="G900" s="85"/>
      <c r="H900" s="87"/>
      <c r="M900" s="94"/>
      <c r="N900" s="93"/>
      <c r="O900" s="85"/>
      <c r="Q900" s="94"/>
      <c r="R900" s="93"/>
      <c r="S900" s="85"/>
      <c r="U900" s="94"/>
      <c r="V900" s="93"/>
      <c r="W900" s="85"/>
      <c r="Y900" s="94"/>
      <c r="Z900" s="93"/>
      <c r="AA900" s="85"/>
      <c r="AC900" s="94"/>
      <c r="AD900" s="93"/>
      <c r="AE900" s="85"/>
    </row>
    <row r="901" spans="7:31" ht="14.5" customHeight="1" x14ac:dyDescent="0.35">
      <c r="G901" s="85"/>
      <c r="H901" s="87"/>
      <c r="M901" s="94"/>
      <c r="N901" s="93"/>
      <c r="O901" s="85"/>
      <c r="Q901" s="94"/>
      <c r="R901" s="93"/>
      <c r="S901" s="85"/>
      <c r="U901" s="94"/>
      <c r="V901" s="93"/>
      <c r="W901" s="85"/>
      <c r="Y901" s="94"/>
      <c r="Z901" s="93"/>
      <c r="AA901" s="85"/>
      <c r="AC901" s="94"/>
      <c r="AD901" s="93"/>
      <c r="AE901" s="85"/>
    </row>
    <row r="902" spans="7:31" ht="14.5" customHeight="1" x14ac:dyDescent="0.35">
      <c r="G902" s="85"/>
      <c r="H902" s="87"/>
      <c r="M902" s="94"/>
      <c r="N902" s="93"/>
      <c r="O902" s="85"/>
      <c r="Q902" s="94"/>
      <c r="R902" s="93"/>
      <c r="S902" s="85"/>
      <c r="U902" s="94"/>
      <c r="V902" s="93"/>
      <c r="W902" s="85"/>
      <c r="Y902" s="94"/>
      <c r="Z902" s="93"/>
      <c r="AA902" s="85"/>
      <c r="AC902" s="94"/>
      <c r="AD902" s="93"/>
      <c r="AE902" s="85"/>
    </row>
    <row r="903" spans="7:31" ht="14.5" customHeight="1" x14ac:dyDescent="0.35">
      <c r="G903" s="85"/>
      <c r="H903" s="87"/>
      <c r="M903" s="94"/>
      <c r="N903" s="93"/>
      <c r="O903" s="85"/>
      <c r="Q903" s="94"/>
      <c r="R903" s="93"/>
      <c r="S903" s="85"/>
      <c r="U903" s="94"/>
      <c r="V903" s="93"/>
      <c r="W903" s="85"/>
      <c r="Y903" s="94"/>
      <c r="Z903" s="93"/>
      <c r="AA903" s="85"/>
      <c r="AC903" s="94"/>
      <c r="AD903" s="93"/>
      <c r="AE903" s="85"/>
    </row>
    <row r="904" spans="7:31" ht="14.5" customHeight="1" x14ac:dyDescent="0.35">
      <c r="G904" s="85"/>
      <c r="H904" s="87"/>
      <c r="M904" s="94"/>
      <c r="N904" s="93"/>
      <c r="O904" s="85"/>
      <c r="Q904" s="94"/>
      <c r="R904" s="93"/>
      <c r="S904" s="85"/>
      <c r="U904" s="94"/>
      <c r="V904" s="93"/>
      <c r="W904" s="85"/>
      <c r="Y904" s="94"/>
      <c r="Z904" s="93"/>
      <c r="AA904" s="85"/>
      <c r="AC904" s="94"/>
      <c r="AD904" s="93"/>
      <c r="AE904" s="85"/>
    </row>
    <row r="905" spans="7:31" ht="14.5" customHeight="1" x14ac:dyDescent="0.35">
      <c r="G905" s="85"/>
      <c r="H905" s="87"/>
      <c r="M905" s="94"/>
      <c r="N905" s="93"/>
      <c r="O905" s="85"/>
      <c r="Q905" s="94"/>
      <c r="R905" s="93"/>
      <c r="S905" s="85"/>
      <c r="U905" s="94"/>
      <c r="V905" s="93"/>
      <c r="W905" s="85"/>
      <c r="Y905" s="94"/>
      <c r="Z905" s="93"/>
      <c r="AA905" s="85"/>
      <c r="AC905" s="94"/>
      <c r="AD905" s="93"/>
      <c r="AE905" s="85"/>
    </row>
    <row r="906" spans="7:31" ht="14.5" customHeight="1" x14ac:dyDescent="0.35">
      <c r="G906" s="85"/>
      <c r="H906" s="87"/>
      <c r="M906" s="94"/>
      <c r="N906" s="93"/>
      <c r="O906" s="85"/>
      <c r="Q906" s="94"/>
      <c r="R906" s="93"/>
      <c r="S906" s="85"/>
      <c r="U906" s="94"/>
      <c r="V906" s="93"/>
      <c r="W906" s="85"/>
      <c r="Y906" s="94"/>
      <c r="Z906" s="93"/>
      <c r="AA906" s="85"/>
      <c r="AC906" s="94"/>
      <c r="AD906" s="93"/>
      <c r="AE906" s="85"/>
    </row>
    <row r="907" spans="7:31" ht="14.5" customHeight="1" x14ac:dyDescent="0.35">
      <c r="G907" s="85"/>
      <c r="H907" s="87"/>
      <c r="M907" s="94"/>
      <c r="N907" s="93"/>
      <c r="O907" s="85"/>
      <c r="Q907" s="94"/>
      <c r="R907" s="93"/>
      <c r="S907" s="85"/>
      <c r="U907" s="94"/>
      <c r="V907" s="93"/>
      <c r="W907" s="85"/>
      <c r="Y907" s="94"/>
      <c r="Z907" s="93"/>
      <c r="AA907" s="85"/>
      <c r="AC907" s="94"/>
      <c r="AD907" s="93"/>
      <c r="AE907" s="85"/>
    </row>
    <row r="908" spans="7:31" ht="14.5" customHeight="1" x14ac:dyDescent="0.35">
      <c r="G908" s="85"/>
      <c r="H908" s="87"/>
      <c r="M908" s="94"/>
      <c r="N908" s="93"/>
      <c r="O908" s="85"/>
      <c r="Q908" s="94"/>
      <c r="R908" s="93"/>
      <c r="S908" s="85"/>
      <c r="U908" s="94"/>
      <c r="V908" s="93"/>
      <c r="W908" s="85"/>
      <c r="Y908" s="94"/>
      <c r="Z908" s="93"/>
      <c r="AA908" s="85"/>
      <c r="AC908" s="94"/>
      <c r="AD908" s="93"/>
      <c r="AE908" s="85"/>
    </row>
    <row r="909" spans="7:31" ht="14.5" customHeight="1" x14ac:dyDescent="0.35">
      <c r="G909" s="85"/>
      <c r="H909" s="87"/>
      <c r="M909" s="94"/>
      <c r="N909" s="93"/>
      <c r="O909" s="85"/>
      <c r="Q909" s="94"/>
      <c r="R909" s="93"/>
      <c r="S909" s="85"/>
      <c r="U909" s="94"/>
      <c r="V909" s="93"/>
      <c r="W909" s="85"/>
      <c r="Y909" s="94"/>
      <c r="Z909" s="93"/>
      <c r="AA909" s="85"/>
      <c r="AC909" s="94"/>
      <c r="AD909" s="93"/>
      <c r="AE909" s="85"/>
    </row>
    <row r="910" spans="7:31" ht="14.5" customHeight="1" x14ac:dyDescent="0.35">
      <c r="G910" s="85"/>
      <c r="H910" s="87"/>
      <c r="M910" s="94"/>
      <c r="N910" s="93"/>
      <c r="O910" s="85"/>
      <c r="Q910" s="94"/>
      <c r="R910" s="93"/>
      <c r="S910" s="85"/>
      <c r="U910" s="94"/>
      <c r="V910" s="93"/>
      <c r="W910" s="85"/>
      <c r="Y910" s="94"/>
      <c r="Z910" s="93"/>
      <c r="AA910" s="85"/>
      <c r="AC910" s="94"/>
      <c r="AD910" s="93"/>
      <c r="AE910" s="85"/>
    </row>
    <row r="911" spans="7:31" ht="14.5" customHeight="1" x14ac:dyDescent="0.35">
      <c r="G911" s="85"/>
      <c r="H911" s="87"/>
      <c r="M911" s="94"/>
      <c r="N911" s="93"/>
      <c r="O911" s="85"/>
      <c r="Q911" s="94"/>
      <c r="R911" s="93"/>
      <c r="S911" s="85"/>
      <c r="U911" s="94"/>
      <c r="V911" s="93"/>
      <c r="W911" s="85"/>
      <c r="Y911" s="94"/>
      <c r="Z911" s="93"/>
      <c r="AA911" s="85"/>
      <c r="AC911" s="94"/>
      <c r="AD911" s="93"/>
      <c r="AE911" s="85"/>
    </row>
    <row r="912" spans="7:31" ht="14.5" customHeight="1" x14ac:dyDescent="0.35">
      <c r="G912" s="85"/>
      <c r="H912" s="87"/>
      <c r="M912" s="94"/>
      <c r="N912" s="93"/>
      <c r="O912" s="85"/>
      <c r="Q912" s="94"/>
      <c r="R912" s="93"/>
      <c r="S912" s="85"/>
      <c r="U912" s="94"/>
      <c r="V912" s="93"/>
      <c r="W912" s="85"/>
      <c r="Y912" s="94"/>
      <c r="Z912" s="93"/>
      <c r="AA912" s="85"/>
      <c r="AC912" s="94"/>
      <c r="AD912" s="93"/>
      <c r="AE912" s="85"/>
    </row>
    <row r="913" spans="7:31" ht="14.5" customHeight="1" x14ac:dyDescent="0.35">
      <c r="G913" s="85"/>
      <c r="H913" s="87"/>
      <c r="M913" s="94"/>
      <c r="N913" s="93"/>
      <c r="O913" s="85"/>
      <c r="Q913" s="94"/>
      <c r="R913" s="93"/>
      <c r="S913" s="85"/>
      <c r="U913" s="94"/>
      <c r="V913" s="93"/>
      <c r="W913" s="85"/>
      <c r="Y913" s="94"/>
      <c r="Z913" s="93"/>
      <c r="AA913" s="85"/>
      <c r="AC913" s="94"/>
      <c r="AD913" s="93"/>
      <c r="AE913" s="85"/>
    </row>
    <row r="914" spans="7:31" ht="14.5" customHeight="1" x14ac:dyDescent="0.35">
      <c r="G914" s="85"/>
      <c r="H914" s="87"/>
      <c r="M914" s="94"/>
      <c r="N914" s="93"/>
      <c r="O914" s="85"/>
      <c r="Q914" s="94"/>
      <c r="R914" s="93"/>
      <c r="S914" s="85"/>
      <c r="U914" s="94"/>
      <c r="V914" s="93"/>
      <c r="W914" s="85"/>
      <c r="Y914" s="94"/>
      <c r="Z914" s="93"/>
      <c r="AA914" s="85"/>
      <c r="AC914" s="94"/>
      <c r="AD914" s="93"/>
      <c r="AE914" s="85"/>
    </row>
    <row r="915" spans="7:31" ht="14.5" customHeight="1" x14ac:dyDescent="0.35">
      <c r="G915" s="85"/>
      <c r="H915" s="87"/>
      <c r="M915" s="94"/>
      <c r="N915" s="93"/>
      <c r="O915" s="85"/>
      <c r="Q915" s="94"/>
      <c r="R915" s="93"/>
      <c r="S915" s="85"/>
      <c r="U915" s="94"/>
      <c r="V915" s="93"/>
      <c r="W915" s="85"/>
      <c r="Y915" s="94"/>
      <c r="Z915" s="93"/>
      <c r="AA915" s="85"/>
      <c r="AC915" s="94"/>
      <c r="AD915" s="93"/>
      <c r="AE915" s="85"/>
    </row>
    <row r="916" spans="7:31" ht="14.5" customHeight="1" x14ac:dyDescent="0.35">
      <c r="G916" s="85"/>
      <c r="H916" s="87"/>
      <c r="M916" s="94"/>
      <c r="N916" s="93"/>
      <c r="O916" s="85"/>
      <c r="Q916" s="94"/>
      <c r="R916" s="93"/>
      <c r="S916" s="85"/>
      <c r="U916" s="94"/>
      <c r="V916" s="93"/>
      <c r="W916" s="85"/>
      <c r="Y916" s="94"/>
      <c r="Z916" s="93"/>
      <c r="AA916" s="85"/>
      <c r="AC916" s="94"/>
      <c r="AD916" s="93"/>
      <c r="AE916" s="85"/>
    </row>
    <row r="917" spans="7:31" ht="14.5" customHeight="1" x14ac:dyDescent="0.35">
      <c r="G917" s="85"/>
      <c r="H917" s="87"/>
      <c r="M917" s="94"/>
      <c r="N917" s="93"/>
      <c r="O917" s="85"/>
      <c r="Q917" s="94"/>
      <c r="R917" s="93"/>
      <c r="S917" s="85"/>
      <c r="U917" s="94"/>
      <c r="V917" s="93"/>
      <c r="W917" s="85"/>
      <c r="Y917" s="94"/>
      <c r="Z917" s="93"/>
      <c r="AA917" s="85"/>
      <c r="AC917" s="94"/>
      <c r="AD917" s="93"/>
      <c r="AE917" s="85"/>
    </row>
    <row r="918" spans="7:31" ht="14.5" customHeight="1" x14ac:dyDescent="0.35">
      <c r="G918" s="85"/>
      <c r="H918" s="87"/>
      <c r="M918" s="94"/>
      <c r="N918" s="93"/>
      <c r="O918" s="85"/>
      <c r="Q918" s="94"/>
      <c r="R918" s="93"/>
      <c r="S918" s="85"/>
      <c r="U918" s="94"/>
      <c r="V918" s="93"/>
      <c r="W918" s="85"/>
      <c r="Y918" s="94"/>
      <c r="Z918" s="93"/>
      <c r="AA918" s="85"/>
      <c r="AC918" s="94"/>
      <c r="AD918" s="93"/>
      <c r="AE918" s="85"/>
    </row>
    <row r="919" spans="7:31" ht="14.5" customHeight="1" x14ac:dyDescent="0.35">
      <c r="G919" s="85"/>
      <c r="H919" s="87"/>
      <c r="M919" s="94"/>
      <c r="N919" s="93"/>
      <c r="O919" s="85"/>
      <c r="Q919" s="94"/>
      <c r="R919" s="93"/>
      <c r="S919" s="85"/>
      <c r="U919" s="94"/>
      <c r="V919" s="93"/>
      <c r="W919" s="85"/>
      <c r="Y919" s="94"/>
      <c r="Z919" s="93"/>
      <c r="AA919" s="85"/>
      <c r="AC919" s="94"/>
      <c r="AD919" s="93"/>
      <c r="AE919" s="85"/>
    </row>
    <row r="920" spans="7:31" ht="14.5" customHeight="1" x14ac:dyDescent="0.35">
      <c r="G920" s="85"/>
      <c r="H920" s="87"/>
      <c r="M920" s="94"/>
      <c r="N920" s="93"/>
      <c r="O920" s="85"/>
      <c r="Q920" s="94"/>
      <c r="R920" s="93"/>
      <c r="S920" s="85"/>
      <c r="U920" s="94"/>
      <c r="V920" s="93"/>
      <c r="W920" s="85"/>
      <c r="Y920" s="94"/>
      <c r="Z920" s="93"/>
      <c r="AA920" s="85"/>
      <c r="AC920" s="94"/>
      <c r="AD920" s="93"/>
      <c r="AE920" s="85"/>
    </row>
    <row r="921" spans="7:31" ht="14.5" customHeight="1" x14ac:dyDescent="0.35">
      <c r="G921" s="85"/>
      <c r="H921" s="87"/>
      <c r="M921" s="94"/>
      <c r="N921" s="93"/>
      <c r="O921" s="85"/>
      <c r="Q921" s="94"/>
      <c r="R921" s="93"/>
      <c r="S921" s="85"/>
      <c r="U921" s="94"/>
      <c r="V921" s="93"/>
      <c r="W921" s="85"/>
      <c r="Y921" s="94"/>
      <c r="Z921" s="93"/>
      <c r="AA921" s="85"/>
      <c r="AC921" s="94"/>
      <c r="AD921" s="93"/>
      <c r="AE921" s="85"/>
    </row>
    <row r="922" spans="7:31" ht="14.5" customHeight="1" x14ac:dyDescent="0.35">
      <c r="G922" s="85"/>
      <c r="H922" s="87"/>
      <c r="M922" s="94"/>
      <c r="N922" s="93"/>
      <c r="O922" s="85"/>
      <c r="Q922" s="94"/>
      <c r="R922" s="93"/>
      <c r="S922" s="85"/>
      <c r="U922" s="94"/>
      <c r="V922" s="93"/>
      <c r="W922" s="85"/>
      <c r="Y922" s="94"/>
      <c r="Z922" s="93"/>
      <c r="AA922" s="85"/>
      <c r="AC922" s="94"/>
      <c r="AD922" s="93"/>
      <c r="AE922" s="85"/>
    </row>
    <row r="923" spans="7:31" ht="14.5" customHeight="1" x14ac:dyDescent="0.35">
      <c r="G923" s="85"/>
      <c r="H923" s="87"/>
      <c r="M923" s="94"/>
      <c r="N923" s="93"/>
      <c r="O923" s="85"/>
      <c r="Q923" s="94"/>
      <c r="R923" s="93"/>
      <c r="S923" s="85"/>
      <c r="U923" s="94"/>
      <c r="V923" s="93"/>
      <c r="W923" s="85"/>
      <c r="Y923" s="94"/>
      <c r="Z923" s="93"/>
      <c r="AA923" s="85"/>
      <c r="AC923" s="94"/>
      <c r="AD923" s="93"/>
      <c r="AE923" s="85"/>
    </row>
    <row r="924" spans="7:31" ht="14.5" customHeight="1" x14ac:dyDescent="0.35">
      <c r="G924" s="85"/>
      <c r="H924" s="87"/>
      <c r="M924" s="94"/>
      <c r="N924" s="93"/>
      <c r="O924" s="85"/>
      <c r="Q924" s="94"/>
      <c r="R924" s="93"/>
      <c r="S924" s="85"/>
      <c r="U924" s="94"/>
      <c r="V924" s="93"/>
      <c r="W924" s="85"/>
      <c r="Y924" s="94"/>
      <c r="Z924" s="93"/>
      <c r="AA924" s="85"/>
      <c r="AC924" s="94"/>
      <c r="AD924" s="93"/>
      <c r="AE924" s="85"/>
    </row>
    <row r="925" spans="7:31" ht="14.5" customHeight="1" x14ac:dyDescent="0.35">
      <c r="G925" s="85"/>
      <c r="H925" s="87"/>
      <c r="M925" s="94"/>
      <c r="N925" s="93"/>
      <c r="O925" s="85"/>
      <c r="Q925" s="94"/>
      <c r="R925" s="93"/>
      <c r="S925" s="85"/>
      <c r="U925" s="94"/>
      <c r="V925" s="93"/>
      <c r="W925" s="85"/>
      <c r="Y925" s="94"/>
      <c r="Z925" s="93"/>
      <c r="AA925" s="85"/>
      <c r="AC925" s="94"/>
      <c r="AD925" s="93"/>
      <c r="AE925" s="85"/>
    </row>
    <row r="926" spans="7:31" ht="14.5" customHeight="1" x14ac:dyDescent="0.35">
      <c r="G926" s="85"/>
      <c r="H926" s="87"/>
      <c r="M926" s="94"/>
      <c r="N926" s="93"/>
      <c r="O926" s="85"/>
      <c r="Q926" s="94"/>
      <c r="R926" s="93"/>
      <c r="S926" s="85"/>
      <c r="U926" s="94"/>
      <c r="V926" s="93"/>
      <c r="W926" s="85"/>
      <c r="Y926" s="94"/>
      <c r="Z926" s="93"/>
      <c r="AA926" s="85"/>
      <c r="AC926" s="94"/>
      <c r="AD926" s="93"/>
      <c r="AE926" s="85"/>
    </row>
    <row r="927" spans="7:31" ht="14.5" customHeight="1" x14ac:dyDescent="0.35">
      <c r="G927" s="85"/>
      <c r="H927" s="87"/>
      <c r="M927" s="94"/>
      <c r="N927" s="93"/>
      <c r="O927" s="85"/>
      <c r="Q927" s="94"/>
      <c r="R927" s="93"/>
      <c r="S927" s="85"/>
      <c r="U927" s="94"/>
      <c r="V927" s="93"/>
      <c r="W927" s="85"/>
      <c r="Y927" s="94"/>
      <c r="Z927" s="93"/>
      <c r="AA927" s="85"/>
      <c r="AC927" s="94"/>
      <c r="AD927" s="93"/>
      <c r="AE927" s="85"/>
    </row>
    <row r="928" spans="7:31" ht="14.5" customHeight="1" x14ac:dyDescent="0.35">
      <c r="G928" s="85"/>
      <c r="H928" s="87"/>
      <c r="M928" s="94"/>
      <c r="N928" s="93"/>
      <c r="O928" s="85"/>
      <c r="Q928" s="94"/>
      <c r="R928" s="93"/>
      <c r="S928" s="85"/>
      <c r="U928" s="94"/>
      <c r="V928" s="93"/>
      <c r="W928" s="85"/>
      <c r="Y928" s="94"/>
      <c r="Z928" s="93"/>
      <c r="AA928" s="85"/>
      <c r="AC928" s="94"/>
      <c r="AD928" s="93"/>
      <c r="AE928" s="85"/>
    </row>
    <row r="929" spans="7:31" ht="14.5" customHeight="1" x14ac:dyDescent="0.35">
      <c r="G929" s="85"/>
      <c r="H929" s="87"/>
      <c r="M929" s="94"/>
      <c r="N929" s="93"/>
      <c r="O929" s="85"/>
      <c r="Q929" s="94"/>
      <c r="R929" s="93"/>
      <c r="S929" s="85"/>
      <c r="U929" s="94"/>
      <c r="V929" s="93"/>
      <c r="W929" s="85"/>
      <c r="Y929" s="94"/>
      <c r="Z929" s="93"/>
      <c r="AA929" s="85"/>
      <c r="AC929" s="94"/>
      <c r="AD929" s="93"/>
      <c r="AE929" s="85"/>
    </row>
    <row r="930" spans="7:31" ht="14.5" customHeight="1" x14ac:dyDescent="0.35">
      <c r="G930" s="85"/>
      <c r="H930" s="87"/>
      <c r="M930" s="94"/>
      <c r="N930" s="93"/>
      <c r="O930" s="85"/>
      <c r="Q930" s="94"/>
      <c r="R930" s="93"/>
      <c r="S930" s="85"/>
      <c r="U930" s="94"/>
      <c r="V930" s="93"/>
      <c r="W930" s="85"/>
      <c r="Y930" s="94"/>
      <c r="Z930" s="93"/>
      <c r="AA930" s="85"/>
      <c r="AC930" s="94"/>
      <c r="AD930" s="93"/>
      <c r="AE930" s="85"/>
    </row>
    <row r="931" spans="7:31" ht="14.5" customHeight="1" x14ac:dyDescent="0.35">
      <c r="G931" s="85"/>
      <c r="H931" s="87"/>
      <c r="M931" s="94"/>
      <c r="N931" s="93"/>
      <c r="O931" s="85"/>
      <c r="Q931" s="94"/>
      <c r="R931" s="93"/>
      <c r="S931" s="85"/>
      <c r="U931" s="94"/>
      <c r="V931" s="93"/>
      <c r="W931" s="85"/>
      <c r="Y931" s="94"/>
      <c r="Z931" s="93"/>
      <c r="AA931" s="85"/>
      <c r="AC931" s="94"/>
      <c r="AD931" s="93"/>
      <c r="AE931" s="85"/>
    </row>
    <row r="932" spans="7:31" ht="14.5" customHeight="1" x14ac:dyDescent="0.35">
      <c r="G932" s="85"/>
      <c r="H932" s="87"/>
      <c r="M932" s="94"/>
      <c r="N932" s="93"/>
      <c r="O932" s="85"/>
      <c r="Q932" s="94"/>
      <c r="R932" s="93"/>
      <c r="S932" s="85"/>
      <c r="U932" s="94"/>
      <c r="V932" s="93"/>
      <c r="W932" s="85"/>
      <c r="Y932" s="94"/>
      <c r="Z932" s="93"/>
      <c r="AA932" s="85"/>
      <c r="AC932" s="94"/>
      <c r="AD932" s="93"/>
      <c r="AE932" s="85"/>
    </row>
    <row r="933" spans="7:31" ht="14.5" customHeight="1" x14ac:dyDescent="0.35">
      <c r="G933" s="85"/>
      <c r="H933" s="87"/>
      <c r="M933" s="94"/>
      <c r="N933" s="93"/>
      <c r="O933" s="85"/>
      <c r="Q933" s="94"/>
      <c r="R933" s="93"/>
      <c r="S933" s="85"/>
      <c r="U933" s="94"/>
      <c r="V933" s="93"/>
      <c r="W933" s="85"/>
      <c r="Y933" s="94"/>
      <c r="Z933" s="93"/>
      <c r="AA933" s="85"/>
      <c r="AC933" s="94"/>
      <c r="AD933" s="93"/>
      <c r="AE933" s="85"/>
    </row>
    <row r="934" spans="7:31" ht="14.5" customHeight="1" x14ac:dyDescent="0.35">
      <c r="G934" s="85"/>
      <c r="H934" s="87"/>
      <c r="M934" s="94"/>
      <c r="N934" s="93"/>
      <c r="O934" s="85"/>
      <c r="Q934" s="94"/>
      <c r="R934" s="93"/>
      <c r="S934" s="85"/>
      <c r="U934" s="94"/>
      <c r="V934" s="93"/>
      <c r="W934" s="85"/>
      <c r="Y934" s="94"/>
      <c r="Z934" s="93"/>
      <c r="AA934" s="85"/>
      <c r="AC934" s="94"/>
      <c r="AD934" s="93"/>
      <c r="AE934" s="85"/>
    </row>
    <row r="935" spans="7:31" ht="14.5" customHeight="1" x14ac:dyDescent="0.35">
      <c r="G935" s="85"/>
      <c r="H935" s="87"/>
      <c r="M935" s="94"/>
      <c r="N935" s="93"/>
      <c r="O935" s="85"/>
      <c r="Q935" s="94"/>
      <c r="R935" s="93"/>
      <c r="S935" s="85"/>
      <c r="U935" s="94"/>
      <c r="V935" s="93"/>
      <c r="W935" s="85"/>
      <c r="Y935" s="94"/>
      <c r="Z935" s="93"/>
      <c r="AA935" s="85"/>
      <c r="AC935" s="94"/>
      <c r="AD935" s="93"/>
      <c r="AE935" s="85"/>
    </row>
    <row r="936" spans="7:31" ht="14.5" customHeight="1" x14ac:dyDescent="0.35">
      <c r="G936" s="85"/>
      <c r="H936" s="87"/>
      <c r="M936" s="94"/>
      <c r="N936" s="93"/>
      <c r="O936" s="85"/>
      <c r="Q936" s="94"/>
      <c r="R936" s="93"/>
      <c r="S936" s="85"/>
      <c r="U936" s="94"/>
      <c r="V936" s="93"/>
      <c r="W936" s="85"/>
      <c r="Y936" s="94"/>
      <c r="Z936" s="93"/>
      <c r="AA936" s="85"/>
      <c r="AC936" s="94"/>
      <c r="AD936" s="93"/>
      <c r="AE936" s="85"/>
    </row>
    <row r="937" spans="7:31" ht="14.5" customHeight="1" x14ac:dyDescent="0.35">
      <c r="G937" s="85"/>
      <c r="H937" s="87"/>
      <c r="M937" s="94"/>
      <c r="N937" s="93"/>
      <c r="O937" s="85"/>
      <c r="Q937" s="94"/>
      <c r="R937" s="93"/>
      <c r="S937" s="85"/>
      <c r="U937" s="94"/>
      <c r="V937" s="93"/>
      <c r="W937" s="85"/>
      <c r="Y937" s="94"/>
      <c r="Z937" s="93"/>
      <c r="AA937" s="85"/>
      <c r="AC937" s="94"/>
      <c r="AD937" s="93"/>
      <c r="AE937" s="85"/>
    </row>
    <row r="938" spans="7:31" ht="14.5" customHeight="1" x14ac:dyDescent="0.35">
      <c r="G938" s="85"/>
      <c r="H938" s="87"/>
      <c r="M938" s="94"/>
      <c r="N938" s="93"/>
      <c r="O938" s="85"/>
      <c r="Q938" s="94"/>
      <c r="R938" s="93"/>
      <c r="S938" s="85"/>
      <c r="U938" s="94"/>
      <c r="V938" s="93"/>
      <c r="W938" s="85"/>
      <c r="Y938" s="94"/>
      <c r="Z938" s="93"/>
      <c r="AA938" s="85"/>
      <c r="AC938" s="94"/>
      <c r="AD938" s="93"/>
      <c r="AE938" s="85"/>
    </row>
    <row r="939" spans="7:31" ht="14.5" customHeight="1" x14ac:dyDescent="0.35">
      <c r="G939" s="85"/>
      <c r="H939" s="87"/>
      <c r="M939" s="94"/>
      <c r="N939" s="93"/>
      <c r="O939" s="85"/>
      <c r="Q939" s="94"/>
      <c r="R939" s="93"/>
      <c r="S939" s="85"/>
      <c r="U939" s="94"/>
      <c r="V939" s="93"/>
      <c r="W939" s="85"/>
      <c r="Y939" s="94"/>
      <c r="Z939" s="93"/>
      <c r="AA939" s="85"/>
      <c r="AC939" s="94"/>
      <c r="AD939" s="93"/>
      <c r="AE939" s="85"/>
    </row>
    <row r="940" spans="7:31" ht="14.5" customHeight="1" x14ac:dyDescent="0.35">
      <c r="G940" s="85"/>
      <c r="H940" s="87"/>
      <c r="M940" s="94"/>
      <c r="N940" s="93"/>
      <c r="O940" s="85"/>
      <c r="Q940" s="94"/>
      <c r="R940" s="93"/>
      <c r="S940" s="85"/>
      <c r="U940" s="94"/>
      <c r="V940" s="93"/>
      <c r="W940" s="85"/>
      <c r="Y940" s="94"/>
      <c r="Z940" s="93"/>
      <c r="AA940" s="85"/>
      <c r="AC940" s="94"/>
      <c r="AD940" s="93"/>
      <c r="AE940" s="85"/>
    </row>
    <row r="941" spans="7:31" ht="14.5" customHeight="1" x14ac:dyDescent="0.35">
      <c r="G941" s="85"/>
      <c r="H941" s="87"/>
      <c r="M941" s="94"/>
      <c r="N941" s="93"/>
      <c r="O941" s="85"/>
      <c r="Q941" s="94"/>
      <c r="R941" s="93"/>
      <c r="S941" s="85"/>
      <c r="U941" s="94"/>
      <c r="V941" s="93"/>
      <c r="W941" s="85"/>
      <c r="Y941" s="94"/>
      <c r="Z941" s="93"/>
      <c r="AA941" s="85"/>
      <c r="AC941" s="94"/>
      <c r="AD941" s="93"/>
      <c r="AE941" s="85"/>
    </row>
    <row r="942" spans="7:31" ht="14.5" customHeight="1" x14ac:dyDescent="0.35">
      <c r="G942" s="85"/>
      <c r="H942" s="87"/>
      <c r="M942" s="94"/>
      <c r="N942" s="93"/>
      <c r="O942" s="85"/>
      <c r="Q942" s="94"/>
      <c r="R942" s="93"/>
      <c r="S942" s="85"/>
      <c r="U942" s="94"/>
      <c r="V942" s="93"/>
      <c r="W942" s="85"/>
      <c r="Y942" s="94"/>
      <c r="Z942" s="93"/>
      <c r="AA942" s="85"/>
      <c r="AC942" s="94"/>
      <c r="AD942" s="93"/>
      <c r="AE942" s="85"/>
    </row>
    <row r="943" spans="7:31" ht="14.5" customHeight="1" x14ac:dyDescent="0.35">
      <c r="G943" s="85"/>
      <c r="H943" s="87"/>
      <c r="M943" s="94"/>
      <c r="N943" s="93"/>
      <c r="O943" s="85"/>
      <c r="Q943" s="94"/>
      <c r="R943" s="93"/>
      <c r="S943" s="85"/>
      <c r="U943" s="94"/>
      <c r="V943" s="93"/>
      <c r="W943" s="85"/>
      <c r="Y943" s="94"/>
      <c r="Z943" s="93"/>
      <c r="AA943" s="85"/>
      <c r="AC943" s="94"/>
      <c r="AD943" s="93"/>
      <c r="AE943" s="85"/>
    </row>
    <row r="944" spans="7:31" ht="14.5" customHeight="1" x14ac:dyDescent="0.35">
      <c r="G944" s="85"/>
      <c r="H944" s="87"/>
      <c r="M944" s="94"/>
      <c r="N944" s="93"/>
      <c r="O944" s="85"/>
      <c r="Q944" s="94"/>
      <c r="R944" s="93"/>
      <c r="S944" s="85"/>
      <c r="U944" s="94"/>
      <c r="V944" s="93"/>
      <c r="W944" s="85"/>
      <c r="Y944" s="94"/>
      <c r="Z944" s="93"/>
      <c r="AA944" s="85"/>
      <c r="AC944" s="94"/>
      <c r="AD944" s="93"/>
      <c r="AE944" s="85"/>
    </row>
    <row r="945" spans="7:31" ht="14.5" customHeight="1" x14ac:dyDescent="0.35">
      <c r="G945" s="85"/>
      <c r="H945" s="87"/>
      <c r="M945" s="94"/>
      <c r="N945" s="93"/>
      <c r="O945" s="85"/>
      <c r="Q945" s="94"/>
      <c r="R945" s="93"/>
      <c r="S945" s="85"/>
      <c r="U945" s="94"/>
      <c r="V945" s="93"/>
      <c r="W945" s="85"/>
      <c r="Y945" s="94"/>
      <c r="Z945" s="93"/>
      <c r="AA945" s="85"/>
      <c r="AC945" s="94"/>
      <c r="AD945" s="93"/>
      <c r="AE945" s="85"/>
    </row>
    <row r="946" spans="7:31" ht="14.5" customHeight="1" x14ac:dyDescent="0.35">
      <c r="G946" s="85"/>
      <c r="H946" s="87"/>
      <c r="M946" s="94"/>
      <c r="N946" s="93"/>
      <c r="O946" s="85"/>
      <c r="Q946" s="94"/>
      <c r="R946" s="93"/>
      <c r="S946" s="85"/>
      <c r="U946" s="94"/>
      <c r="V946" s="93"/>
      <c r="W946" s="85"/>
      <c r="Y946" s="94"/>
      <c r="Z946" s="93"/>
      <c r="AA946" s="85"/>
      <c r="AC946" s="94"/>
      <c r="AD946" s="93"/>
      <c r="AE946" s="85"/>
    </row>
    <row r="947" spans="7:31" ht="14.5" customHeight="1" x14ac:dyDescent="0.35">
      <c r="G947" s="85"/>
      <c r="H947" s="87"/>
      <c r="M947" s="94"/>
      <c r="N947" s="93"/>
      <c r="O947" s="85"/>
      <c r="Q947" s="94"/>
      <c r="R947" s="93"/>
      <c r="S947" s="85"/>
      <c r="U947" s="94"/>
      <c r="V947" s="93"/>
      <c r="W947" s="85"/>
      <c r="Y947" s="94"/>
      <c r="Z947" s="93"/>
      <c r="AA947" s="85"/>
      <c r="AC947" s="94"/>
      <c r="AD947" s="93"/>
      <c r="AE947" s="85"/>
    </row>
    <row r="948" spans="7:31" ht="14.5" customHeight="1" x14ac:dyDescent="0.35">
      <c r="G948" s="85"/>
      <c r="H948" s="87"/>
      <c r="M948" s="94"/>
      <c r="N948" s="93"/>
      <c r="O948" s="85"/>
      <c r="Q948" s="94"/>
      <c r="R948" s="93"/>
      <c r="S948" s="85"/>
      <c r="U948" s="94"/>
      <c r="V948" s="93"/>
      <c r="W948" s="85"/>
      <c r="Y948" s="94"/>
      <c r="Z948" s="93"/>
      <c r="AA948" s="85"/>
      <c r="AC948" s="94"/>
      <c r="AD948" s="93"/>
      <c r="AE948" s="85"/>
    </row>
    <row r="949" spans="7:31" ht="14.5" customHeight="1" x14ac:dyDescent="0.35">
      <c r="G949" s="85"/>
      <c r="H949" s="87"/>
      <c r="M949" s="94"/>
      <c r="N949" s="93"/>
      <c r="O949" s="85"/>
      <c r="Q949" s="94"/>
      <c r="R949" s="93"/>
      <c r="S949" s="85"/>
      <c r="U949" s="94"/>
      <c r="V949" s="93"/>
      <c r="W949" s="85"/>
      <c r="Y949" s="94"/>
      <c r="Z949" s="93"/>
      <c r="AA949" s="85"/>
      <c r="AC949" s="94"/>
      <c r="AD949" s="93"/>
      <c r="AE949" s="85"/>
    </row>
    <row r="950" spans="7:31" ht="14.5" customHeight="1" x14ac:dyDescent="0.35">
      <c r="G950" s="85"/>
      <c r="H950" s="87"/>
      <c r="M950" s="94"/>
      <c r="N950" s="93"/>
      <c r="O950" s="85"/>
      <c r="Q950" s="94"/>
      <c r="R950" s="93"/>
      <c r="S950" s="85"/>
      <c r="U950" s="94"/>
      <c r="V950" s="93"/>
      <c r="W950" s="85"/>
      <c r="Y950" s="94"/>
      <c r="Z950" s="93"/>
      <c r="AA950" s="85"/>
      <c r="AC950" s="94"/>
      <c r="AD950" s="93"/>
      <c r="AE950" s="85"/>
    </row>
    <row r="951" spans="7:31" ht="14.5" customHeight="1" x14ac:dyDescent="0.35">
      <c r="G951" s="85"/>
      <c r="H951" s="87"/>
      <c r="M951" s="94"/>
      <c r="N951" s="93"/>
      <c r="O951" s="85"/>
      <c r="Q951" s="94"/>
      <c r="R951" s="93"/>
      <c r="S951" s="85"/>
      <c r="U951" s="94"/>
      <c r="V951" s="93"/>
      <c r="W951" s="85"/>
      <c r="Y951" s="94"/>
      <c r="Z951" s="93"/>
      <c r="AA951" s="85"/>
      <c r="AC951" s="94"/>
      <c r="AD951" s="93"/>
      <c r="AE951" s="85"/>
    </row>
    <row r="952" spans="7:31" ht="14.5" customHeight="1" x14ac:dyDescent="0.35">
      <c r="G952" s="85"/>
      <c r="H952" s="87"/>
      <c r="M952" s="94"/>
      <c r="N952" s="93"/>
      <c r="O952" s="85"/>
      <c r="Q952" s="94"/>
      <c r="R952" s="93"/>
      <c r="S952" s="85"/>
      <c r="U952" s="94"/>
      <c r="V952" s="93"/>
      <c r="W952" s="85"/>
      <c r="Y952" s="94"/>
      <c r="Z952" s="93"/>
      <c r="AA952" s="85"/>
      <c r="AC952" s="94"/>
      <c r="AD952" s="93"/>
      <c r="AE952" s="85"/>
    </row>
    <row r="953" spans="7:31" ht="14.5" customHeight="1" x14ac:dyDescent="0.35">
      <c r="G953" s="85"/>
      <c r="H953" s="87"/>
      <c r="M953" s="94"/>
      <c r="N953" s="93"/>
      <c r="O953" s="85"/>
      <c r="Q953" s="94"/>
      <c r="R953" s="93"/>
      <c r="S953" s="85"/>
      <c r="U953" s="94"/>
      <c r="V953" s="93"/>
      <c r="W953" s="85"/>
      <c r="Y953" s="94"/>
      <c r="Z953" s="93"/>
      <c r="AA953" s="85"/>
      <c r="AC953" s="94"/>
      <c r="AD953" s="93"/>
      <c r="AE953" s="85"/>
    </row>
    <row r="954" spans="7:31" ht="14.5" customHeight="1" x14ac:dyDescent="0.35">
      <c r="G954" s="85"/>
      <c r="H954" s="87"/>
      <c r="M954" s="94"/>
      <c r="N954" s="93"/>
      <c r="O954" s="85"/>
      <c r="Q954" s="94"/>
      <c r="R954" s="93"/>
      <c r="S954" s="85"/>
      <c r="U954" s="94"/>
      <c r="V954" s="93"/>
      <c r="W954" s="85"/>
      <c r="Y954" s="94"/>
      <c r="Z954" s="93"/>
      <c r="AA954" s="85"/>
      <c r="AC954" s="94"/>
      <c r="AD954" s="93"/>
      <c r="AE954" s="85"/>
    </row>
    <row r="955" spans="7:31" ht="14.5" customHeight="1" x14ac:dyDescent="0.35">
      <c r="G955" s="85"/>
      <c r="H955" s="87"/>
      <c r="M955" s="94"/>
      <c r="N955" s="93"/>
      <c r="O955" s="85"/>
      <c r="Q955" s="94"/>
      <c r="R955" s="93"/>
      <c r="S955" s="85"/>
      <c r="U955" s="94"/>
      <c r="V955" s="93"/>
      <c r="W955" s="85"/>
      <c r="Y955" s="94"/>
      <c r="Z955" s="93"/>
      <c r="AA955" s="85"/>
      <c r="AC955" s="94"/>
      <c r="AD955" s="93"/>
      <c r="AE955" s="85"/>
    </row>
    <row r="956" spans="7:31" ht="14.5" customHeight="1" x14ac:dyDescent="0.35">
      <c r="G956" s="85"/>
      <c r="H956" s="87"/>
      <c r="M956" s="94"/>
      <c r="N956" s="93"/>
      <c r="O956" s="85"/>
      <c r="Q956" s="94"/>
      <c r="R956" s="93"/>
      <c r="S956" s="85"/>
      <c r="U956" s="94"/>
      <c r="V956" s="93"/>
      <c r="W956" s="85"/>
      <c r="Y956" s="94"/>
      <c r="Z956" s="93"/>
      <c r="AA956" s="85"/>
      <c r="AC956" s="94"/>
      <c r="AD956" s="93"/>
      <c r="AE956" s="85"/>
    </row>
    <row r="957" spans="7:31" ht="14.5" customHeight="1" x14ac:dyDescent="0.35">
      <c r="G957" s="85"/>
      <c r="H957" s="87"/>
      <c r="M957" s="94"/>
      <c r="N957" s="93"/>
      <c r="O957" s="85"/>
      <c r="Q957" s="94"/>
      <c r="R957" s="93"/>
      <c r="S957" s="85"/>
      <c r="U957" s="94"/>
      <c r="V957" s="93"/>
      <c r="W957" s="85"/>
      <c r="Y957" s="94"/>
      <c r="Z957" s="93"/>
      <c r="AA957" s="85"/>
      <c r="AC957" s="94"/>
      <c r="AD957" s="93"/>
      <c r="AE957" s="85"/>
    </row>
    <row r="958" spans="7:31" ht="14.5" customHeight="1" x14ac:dyDescent="0.35">
      <c r="G958" s="85"/>
      <c r="H958" s="87"/>
      <c r="M958" s="94"/>
      <c r="N958" s="93"/>
      <c r="O958" s="85"/>
      <c r="Q958" s="94"/>
      <c r="R958" s="93"/>
      <c r="S958" s="85"/>
      <c r="U958" s="94"/>
      <c r="V958" s="93"/>
      <c r="W958" s="85"/>
      <c r="Y958" s="94"/>
      <c r="Z958" s="93"/>
      <c r="AA958" s="85"/>
      <c r="AC958" s="94"/>
      <c r="AD958" s="93"/>
      <c r="AE958" s="85"/>
    </row>
    <row r="959" spans="7:31" ht="14.5" customHeight="1" x14ac:dyDescent="0.35">
      <c r="G959" s="85"/>
      <c r="H959" s="87"/>
      <c r="M959" s="94"/>
      <c r="N959" s="93"/>
      <c r="O959" s="85"/>
      <c r="Q959" s="94"/>
      <c r="R959" s="93"/>
      <c r="S959" s="85"/>
      <c r="U959" s="94"/>
      <c r="V959" s="93"/>
      <c r="W959" s="85"/>
      <c r="Y959" s="94"/>
      <c r="Z959" s="93"/>
      <c r="AA959" s="85"/>
      <c r="AC959" s="94"/>
      <c r="AD959" s="93"/>
      <c r="AE959" s="85"/>
    </row>
    <row r="960" spans="7:31" ht="14.5" customHeight="1" x14ac:dyDescent="0.35">
      <c r="G960" s="85"/>
      <c r="H960" s="87"/>
      <c r="M960" s="94"/>
      <c r="N960" s="93"/>
      <c r="O960" s="85"/>
      <c r="Q960" s="94"/>
      <c r="R960" s="93"/>
      <c r="S960" s="85"/>
      <c r="U960" s="94"/>
      <c r="V960" s="93"/>
      <c r="W960" s="85"/>
      <c r="Y960" s="94"/>
      <c r="Z960" s="93"/>
      <c r="AA960" s="85"/>
      <c r="AC960" s="94"/>
      <c r="AD960" s="93"/>
      <c r="AE960" s="85"/>
    </row>
    <row r="961" spans="7:31" ht="14.5" customHeight="1" x14ac:dyDescent="0.35">
      <c r="G961" s="85"/>
      <c r="H961" s="87"/>
      <c r="M961" s="94"/>
      <c r="N961" s="93"/>
      <c r="O961" s="85"/>
      <c r="Q961" s="94"/>
      <c r="R961" s="93"/>
      <c r="S961" s="85"/>
      <c r="U961" s="94"/>
      <c r="V961" s="93"/>
      <c r="W961" s="85"/>
      <c r="Y961" s="94"/>
      <c r="Z961" s="93"/>
      <c r="AA961" s="85"/>
      <c r="AC961" s="94"/>
      <c r="AD961" s="93"/>
      <c r="AE961" s="85"/>
    </row>
    <row r="962" spans="7:31" ht="14.5" customHeight="1" x14ac:dyDescent="0.35">
      <c r="G962" s="85"/>
      <c r="H962" s="87"/>
      <c r="M962" s="94"/>
      <c r="N962" s="93"/>
      <c r="O962" s="85"/>
      <c r="Q962" s="94"/>
      <c r="R962" s="93"/>
      <c r="S962" s="85"/>
      <c r="U962" s="94"/>
      <c r="V962" s="93"/>
      <c r="W962" s="85"/>
      <c r="Y962" s="94"/>
      <c r="Z962" s="93"/>
      <c r="AA962" s="85"/>
      <c r="AC962" s="94"/>
      <c r="AD962" s="93"/>
      <c r="AE962" s="85"/>
    </row>
    <row r="963" spans="7:31" ht="14.5" customHeight="1" x14ac:dyDescent="0.35">
      <c r="G963" s="85"/>
      <c r="H963" s="87"/>
      <c r="M963" s="94"/>
      <c r="N963" s="93"/>
      <c r="O963" s="85"/>
      <c r="Q963" s="94"/>
      <c r="R963" s="93"/>
      <c r="S963" s="85"/>
      <c r="U963" s="94"/>
      <c r="V963" s="93"/>
      <c r="W963" s="85"/>
      <c r="Y963" s="94"/>
      <c r="Z963" s="93"/>
      <c r="AA963" s="85"/>
      <c r="AC963" s="94"/>
      <c r="AD963" s="93"/>
      <c r="AE963" s="85"/>
    </row>
    <row r="964" spans="7:31" ht="14.5" customHeight="1" x14ac:dyDescent="0.35">
      <c r="G964" s="85"/>
      <c r="H964" s="87"/>
      <c r="M964" s="94"/>
      <c r="N964" s="93"/>
      <c r="O964" s="85"/>
      <c r="Q964" s="94"/>
      <c r="R964" s="93"/>
      <c r="S964" s="85"/>
      <c r="U964" s="94"/>
      <c r="V964" s="93"/>
      <c r="W964" s="85"/>
      <c r="Y964" s="94"/>
      <c r="Z964" s="93"/>
      <c r="AA964" s="85"/>
      <c r="AC964" s="94"/>
      <c r="AD964" s="93"/>
      <c r="AE964" s="85"/>
    </row>
    <row r="965" spans="7:31" ht="14.5" customHeight="1" x14ac:dyDescent="0.35">
      <c r="G965" s="85"/>
      <c r="H965" s="87"/>
      <c r="M965" s="94"/>
      <c r="N965" s="93"/>
      <c r="O965" s="85"/>
      <c r="Q965" s="94"/>
      <c r="R965" s="93"/>
      <c r="S965" s="85"/>
      <c r="U965" s="94"/>
      <c r="V965" s="93"/>
      <c r="W965" s="85"/>
      <c r="Y965" s="94"/>
      <c r="Z965" s="93"/>
      <c r="AA965" s="85"/>
      <c r="AC965" s="94"/>
      <c r="AD965" s="93"/>
      <c r="AE965" s="85"/>
    </row>
    <row r="966" spans="7:31" ht="14.5" customHeight="1" x14ac:dyDescent="0.35">
      <c r="G966" s="85"/>
      <c r="H966" s="87"/>
      <c r="M966" s="94"/>
      <c r="N966" s="93"/>
      <c r="O966" s="85"/>
      <c r="Q966" s="94"/>
      <c r="R966" s="93"/>
      <c r="S966" s="85"/>
      <c r="U966" s="94"/>
      <c r="V966" s="93"/>
      <c r="W966" s="85"/>
      <c r="Y966" s="94"/>
      <c r="Z966" s="93"/>
      <c r="AA966" s="85"/>
      <c r="AC966" s="94"/>
      <c r="AD966" s="93"/>
      <c r="AE966" s="85"/>
    </row>
    <row r="967" spans="7:31" ht="14.5" customHeight="1" x14ac:dyDescent="0.35">
      <c r="G967" s="85"/>
      <c r="H967" s="87"/>
      <c r="M967" s="94"/>
      <c r="N967" s="93"/>
      <c r="O967" s="85"/>
      <c r="Q967" s="94"/>
      <c r="R967" s="93"/>
      <c r="S967" s="85"/>
      <c r="U967" s="94"/>
      <c r="V967" s="93"/>
      <c r="W967" s="85"/>
      <c r="Y967" s="94"/>
      <c r="Z967" s="93"/>
      <c r="AA967" s="85"/>
      <c r="AC967" s="94"/>
      <c r="AD967" s="93"/>
      <c r="AE967" s="85"/>
    </row>
    <row r="968" spans="7:31" ht="14.5" customHeight="1" x14ac:dyDescent="0.35">
      <c r="G968" s="85"/>
      <c r="H968" s="87"/>
      <c r="M968" s="94"/>
      <c r="N968" s="93"/>
      <c r="O968" s="85"/>
      <c r="Q968" s="94"/>
      <c r="R968" s="93"/>
      <c r="S968" s="85"/>
      <c r="U968" s="94"/>
      <c r="V968" s="93"/>
      <c r="W968" s="85"/>
      <c r="Y968" s="94"/>
      <c r="Z968" s="93"/>
      <c r="AA968" s="85"/>
      <c r="AC968" s="94"/>
      <c r="AD968" s="93"/>
      <c r="AE968" s="85"/>
    </row>
    <row r="969" spans="7:31" ht="14.5" customHeight="1" x14ac:dyDescent="0.35">
      <c r="G969" s="85"/>
      <c r="H969" s="87"/>
      <c r="M969" s="94"/>
      <c r="N969" s="93"/>
      <c r="O969" s="85"/>
      <c r="Q969" s="94"/>
      <c r="R969" s="93"/>
      <c r="S969" s="85"/>
      <c r="U969" s="94"/>
      <c r="V969" s="93"/>
      <c r="W969" s="85"/>
      <c r="Y969" s="94"/>
      <c r="Z969" s="93"/>
      <c r="AA969" s="85"/>
      <c r="AC969" s="94"/>
      <c r="AD969" s="93"/>
      <c r="AE969" s="85"/>
    </row>
    <row r="970" spans="7:31" ht="14.5" customHeight="1" x14ac:dyDescent="0.35">
      <c r="G970" s="85"/>
      <c r="H970" s="87"/>
      <c r="M970" s="94"/>
      <c r="N970" s="93"/>
      <c r="O970" s="85"/>
      <c r="Q970" s="94"/>
      <c r="R970" s="93"/>
      <c r="S970" s="85"/>
      <c r="U970" s="94"/>
      <c r="V970" s="93"/>
      <c r="W970" s="85"/>
      <c r="Y970" s="94"/>
      <c r="Z970" s="93"/>
      <c r="AA970" s="85"/>
      <c r="AC970" s="94"/>
      <c r="AD970" s="93"/>
      <c r="AE970" s="85"/>
    </row>
    <row r="971" spans="7:31" ht="14.5" customHeight="1" x14ac:dyDescent="0.35">
      <c r="G971" s="85"/>
      <c r="H971" s="87"/>
      <c r="M971" s="94"/>
      <c r="N971" s="93"/>
      <c r="O971" s="85"/>
      <c r="Q971" s="94"/>
      <c r="R971" s="93"/>
      <c r="S971" s="85"/>
      <c r="U971" s="94"/>
      <c r="V971" s="93"/>
      <c r="W971" s="85"/>
      <c r="Y971" s="94"/>
      <c r="Z971" s="93"/>
      <c r="AA971" s="85"/>
      <c r="AC971" s="94"/>
      <c r="AD971" s="93"/>
      <c r="AE971" s="85"/>
    </row>
    <row r="972" spans="7:31" ht="14.5" customHeight="1" x14ac:dyDescent="0.35">
      <c r="G972" s="85"/>
      <c r="H972" s="87"/>
      <c r="M972" s="94"/>
      <c r="N972" s="93"/>
      <c r="O972" s="85"/>
      <c r="Q972" s="94"/>
      <c r="R972" s="93"/>
      <c r="S972" s="85"/>
      <c r="U972" s="94"/>
      <c r="V972" s="93"/>
      <c r="W972" s="85"/>
      <c r="Y972" s="94"/>
      <c r="Z972" s="93"/>
      <c r="AA972" s="85"/>
      <c r="AC972" s="94"/>
      <c r="AD972" s="93"/>
      <c r="AE972" s="85"/>
    </row>
    <row r="973" spans="7:31" ht="14.5" customHeight="1" x14ac:dyDescent="0.35">
      <c r="G973" s="85"/>
      <c r="H973" s="87"/>
      <c r="M973" s="94"/>
      <c r="N973" s="93"/>
      <c r="O973" s="85"/>
      <c r="Q973" s="94"/>
      <c r="R973" s="93"/>
      <c r="S973" s="85"/>
      <c r="U973" s="94"/>
      <c r="V973" s="93"/>
      <c r="W973" s="85"/>
      <c r="Y973" s="94"/>
      <c r="Z973" s="93"/>
      <c r="AA973" s="85"/>
      <c r="AC973" s="94"/>
      <c r="AD973" s="93"/>
      <c r="AE973" s="85"/>
    </row>
    <row r="974" spans="7:31" ht="14.5" customHeight="1" x14ac:dyDescent="0.35">
      <c r="G974" s="85"/>
      <c r="H974" s="87"/>
      <c r="M974" s="94"/>
      <c r="N974" s="93"/>
      <c r="O974" s="85"/>
      <c r="Q974" s="94"/>
      <c r="R974" s="93"/>
      <c r="S974" s="85"/>
      <c r="U974" s="94"/>
      <c r="V974" s="93"/>
      <c r="W974" s="85"/>
      <c r="Y974" s="94"/>
      <c r="Z974" s="93"/>
      <c r="AA974" s="85"/>
      <c r="AC974" s="94"/>
      <c r="AD974" s="93"/>
      <c r="AE974" s="85"/>
    </row>
    <row r="975" spans="7:31" ht="14.5" customHeight="1" x14ac:dyDescent="0.35">
      <c r="G975" s="85"/>
      <c r="H975" s="87"/>
      <c r="M975" s="94"/>
      <c r="N975" s="93"/>
      <c r="O975" s="85"/>
      <c r="Q975" s="94"/>
      <c r="R975" s="93"/>
      <c r="S975" s="85"/>
      <c r="U975" s="94"/>
      <c r="V975" s="93"/>
      <c r="W975" s="85"/>
      <c r="Y975" s="94"/>
      <c r="Z975" s="93"/>
      <c r="AA975" s="85"/>
      <c r="AC975" s="94"/>
      <c r="AD975" s="93"/>
      <c r="AE975" s="85"/>
    </row>
    <row r="976" spans="7:31" ht="14.5" customHeight="1" x14ac:dyDescent="0.35">
      <c r="G976" s="85"/>
      <c r="H976" s="87"/>
      <c r="M976" s="94"/>
      <c r="N976" s="93"/>
      <c r="O976" s="85"/>
      <c r="Q976" s="94"/>
      <c r="R976" s="93"/>
      <c r="S976" s="85"/>
      <c r="U976" s="94"/>
      <c r="V976" s="93"/>
      <c r="W976" s="85"/>
      <c r="Y976" s="94"/>
      <c r="Z976" s="93"/>
      <c r="AA976" s="85"/>
      <c r="AC976" s="94"/>
      <c r="AD976" s="93"/>
      <c r="AE976" s="85"/>
    </row>
    <row r="977" spans="7:31" ht="14.5" customHeight="1" x14ac:dyDescent="0.35">
      <c r="G977" s="85"/>
      <c r="H977" s="87"/>
      <c r="M977" s="94"/>
      <c r="N977" s="93"/>
      <c r="O977" s="85"/>
      <c r="Q977" s="94"/>
      <c r="R977" s="93"/>
      <c r="S977" s="85"/>
      <c r="U977" s="94"/>
      <c r="V977" s="93"/>
      <c r="W977" s="85"/>
      <c r="Y977" s="94"/>
      <c r="Z977" s="93"/>
      <c r="AA977" s="85"/>
      <c r="AC977" s="94"/>
      <c r="AD977" s="93"/>
      <c r="AE977" s="85"/>
    </row>
    <row r="978" spans="7:31" ht="14.5" customHeight="1" x14ac:dyDescent="0.35">
      <c r="G978" s="85"/>
      <c r="H978" s="87"/>
      <c r="M978" s="94"/>
      <c r="N978" s="93"/>
      <c r="O978" s="85"/>
      <c r="Q978" s="94"/>
      <c r="R978" s="93"/>
      <c r="S978" s="85"/>
      <c r="U978" s="94"/>
      <c r="V978" s="93"/>
      <c r="W978" s="85"/>
      <c r="Y978" s="94"/>
      <c r="Z978" s="93"/>
      <c r="AA978" s="85"/>
      <c r="AC978" s="94"/>
      <c r="AD978" s="93"/>
      <c r="AE978" s="85"/>
    </row>
    <row r="979" spans="7:31" ht="14.5" customHeight="1" x14ac:dyDescent="0.35">
      <c r="G979" s="85"/>
      <c r="H979" s="87"/>
      <c r="M979" s="94"/>
      <c r="N979" s="93"/>
      <c r="O979" s="85"/>
      <c r="Q979" s="94"/>
      <c r="R979" s="93"/>
      <c r="S979" s="85"/>
      <c r="U979" s="94"/>
      <c r="V979" s="93"/>
      <c r="W979" s="85"/>
      <c r="Y979" s="94"/>
      <c r="Z979" s="93"/>
      <c r="AA979" s="85"/>
      <c r="AC979" s="94"/>
      <c r="AD979" s="93"/>
      <c r="AE979" s="85"/>
    </row>
    <row r="980" spans="7:31" ht="14.5" customHeight="1" x14ac:dyDescent="0.35">
      <c r="G980" s="85"/>
      <c r="H980" s="87"/>
      <c r="M980" s="94"/>
      <c r="N980" s="93"/>
      <c r="O980" s="85"/>
      <c r="Q980" s="94"/>
      <c r="R980" s="93"/>
      <c r="S980" s="85"/>
      <c r="U980" s="94"/>
      <c r="V980" s="93"/>
      <c r="W980" s="85"/>
      <c r="Y980" s="94"/>
      <c r="Z980" s="93"/>
      <c r="AA980" s="85"/>
      <c r="AC980" s="94"/>
      <c r="AD980" s="93"/>
      <c r="AE980" s="85"/>
    </row>
    <row r="981" spans="7:31" ht="14.5" customHeight="1" x14ac:dyDescent="0.35">
      <c r="G981" s="85"/>
      <c r="H981" s="87"/>
      <c r="M981" s="94"/>
      <c r="N981" s="93"/>
      <c r="O981" s="85"/>
      <c r="Q981" s="94"/>
      <c r="R981" s="93"/>
      <c r="S981" s="85"/>
      <c r="U981" s="94"/>
      <c r="V981" s="93"/>
      <c r="W981" s="85"/>
      <c r="Y981" s="94"/>
      <c r="Z981" s="93"/>
      <c r="AA981" s="85"/>
      <c r="AC981" s="94"/>
      <c r="AD981" s="93"/>
      <c r="AE981" s="85"/>
    </row>
    <row r="982" spans="7:31" ht="14.5" customHeight="1" x14ac:dyDescent="0.35">
      <c r="G982" s="85"/>
      <c r="H982" s="87"/>
      <c r="M982" s="94"/>
      <c r="N982" s="93"/>
      <c r="O982" s="85"/>
      <c r="Q982" s="94"/>
      <c r="R982" s="93"/>
      <c r="S982" s="85"/>
      <c r="U982" s="94"/>
      <c r="V982" s="93"/>
      <c r="W982" s="85"/>
      <c r="Y982" s="94"/>
      <c r="Z982" s="93"/>
      <c r="AA982" s="85"/>
      <c r="AC982" s="94"/>
      <c r="AD982" s="93"/>
      <c r="AE982" s="85"/>
    </row>
    <row r="983" spans="7:31" ht="14.5" customHeight="1" x14ac:dyDescent="0.35">
      <c r="G983" s="85"/>
      <c r="H983" s="87"/>
      <c r="M983" s="94"/>
      <c r="N983" s="93"/>
      <c r="O983" s="85"/>
      <c r="Q983" s="94"/>
      <c r="R983" s="93"/>
      <c r="S983" s="85"/>
      <c r="U983" s="94"/>
      <c r="V983" s="93"/>
      <c r="W983" s="85"/>
      <c r="Y983" s="94"/>
      <c r="Z983" s="93"/>
      <c r="AA983" s="85"/>
      <c r="AC983" s="94"/>
      <c r="AD983" s="93"/>
      <c r="AE983" s="85"/>
    </row>
    <row r="984" spans="7:31" ht="14.5" customHeight="1" x14ac:dyDescent="0.35">
      <c r="G984" s="85"/>
      <c r="H984" s="87"/>
      <c r="M984" s="94"/>
      <c r="N984" s="93"/>
      <c r="O984" s="85"/>
      <c r="Q984" s="94"/>
      <c r="R984" s="93"/>
      <c r="S984" s="85"/>
      <c r="U984" s="94"/>
      <c r="V984" s="93"/>
      <c r="W984" s="85"/>
      <c r="Y984" s="94"/>
      <c r="Z984" s="93"/>
      <c r="AA984" s="85"/>
      <c r="AC984" s="94"/>
      <c r="AD984" s="93"/>
      <c r="AE984" s="85"/>
    </row>
    <row r="985" spans="7:31" ht="14.5" customHeight="1" x14ac:dyDescent="0.35">
      <c r="G985" s="85"/>
      <c r="H985" s="87"/>
      <c r="M985" s="94"/>
      <c r="N985" s="93"/>
      <c r="O985" s="85"/>
      <c r="Q985" s="94"/>
      <c r="R985" s="93"/>
      <c r="S985" s="85"/>
      <c r="U985" s="94"/>
      <c r="V985" s="93"/>
      <c r="W985" s="85"/>
      <c r="Y985" s="94"/>
      <c r="Z985" s="93"/>
      <c r="AA985" s="85"/>
      <c r="AC985" s="94"/>
      <c r="AD985" s="93"/>
      <c r="AE985" s="85"/>
    </row>
    <row r="986" spans="7:31" ht="14.5" customHeight="1" x14ac:dyDescent="0.35">
      <c r="G986" s="85"/>
      <c r="H986" s="87"/>
      <c r="M986" s="94"/>
      <c r="N986" s="93"/>
      <c r="O986" s="85"/>
      <c r="Q986" s="94"/>
      <c r="R986" s="93"/>
      <c r="S986" s="85"/>
      <c r="U986" s="94"/>
      <c r="V986" s="93"/>
      <c r="W986" s="85"/>
      <c r="Y986" s="94"/>
      <c r="Z986" s="93"/>
      <c r="AA986" s="85"/>
      <c r="AC986" s="94"/>
      <c r="AD986" s="93"/>
      <c r="AE986" s="85"/>
    </row>
    <row r="987" spans="7:31" ht="14.5" customHeight="1" x14ac:dyDescent="0.35">
      <c r="G987" s="85"/>
      <c r="H987" s="87"/>
      <c r="M987" s="94"/>
      <c r="N987" s="93"/>
      <c r="O987" s="85"/>
      <c r="Q987" s="94"/>
      <c r="R987" s="93"/>
      <c r="S987" s="85"/>
      <c r="U987" s="94"/>
      <c r="V987" s="93"/>
      <c r="W987" s="85"/>
      <c r="Y987" s="94"/>
      <c r="Z987" s="93"/>
      <c r="AA987" s="85"/>
      <c r="AC987" s="94"/>
      <c r="AD987" s="93"/>
      <c r="AE987" s="85"/>
    </row>
    <row r="988" spans="7:31" ht="14.5" customHeight="1" x14ac:dyDescent="0.35">
      <c r="G988" s="85"/>
      <c r="H988" s="87"/>
      <c r="M988" s="94"/>
      <c r="N988" s="93"/>
      <c r="O988" s="85"/>
      <c r="Q988" s="94"/>
      <c r="R988" s="93"/>
      <c r="S988" s="85"/>
      <c r="U988" s="94"/>
      <c r="V988" s="93"/>
      <c r="W988" s="85"/>
      <c r="Y988" s="94"/>
      <c r="Z988" s="93"/>
      <c r="AA988" s="85"/>
      <c r="AC988" s="94"/>
      <c r="AD988" s="93"/>
      <c r="AE988" s="85"/>
    </row>
    <row r="989" spans="7:31" ht="14.5" customHeight="1" x14ac:dyDescent="0.35">
      <c r="G989" s="85"/>
      <c r="H989" s="87"/>
      <c r="M989" s="94"/>
      <c r="N989" s="93"/>
      <c r="O989" s="85"/>
      <c r="Q989" s="94"/>
      <c r="R989" s="93"/>
      <c r="S989" s="85"/>
      <c r="U989" s="94"/>
      <c r="V989" s="93"/>
      <c r="W989" s="85"/>
      <c r="Y989" s="94"/>
      <c r="Z989" s="93"/>
      <c r="AA989" s="85"/>
      <c r="AC989" s="94"/>
      <c r="AD989" s="93"/>
      <c r="AE989" s="85"/>
    </row>
    <row r="990" spans="7:31" ht="14.5" customHeight="1" x14ac:dyDescent="0.35">
      <c r="G990" s="85"/>
      <c r="H990" s="87"/>
      <c r="M990" s="94"/>
      <c r="N990" s="93"/>
      <c r="O990" s="85"/>
      <c r="Q990" s="94"/>
      <c r="R990" s="93"/>
      <c r="S990" s="85"/>
      <c r="U990" s="94"/>
      <c r="V990" s="93"/>
      <c r="W990" s="85"/>
      <c r="Y990" s="94"/>
      <c r="Z990" s="93"/>
      <c r="AA990" s="85"/>
      <c r="AC990" s="94"/>
      <c r="AD990" s="93"/>
      <c r="AE990" s="85"/>
    </row>
    <row r="991" spans="7:31" ht="14.5" customHeight="1" x14ac:dyDescent="0.35">
      <c r="G991" s="85"/>
      <c r="H991" s="87"/>
      <c r="M991" s="94"/>
      <c r="N991" s="93"/>
      <c r="O991" s="85"/>
      <c r="Q991" s="94"/>
      <c r="R991" s="93"/>
      <c r="S991" s="85"/>
      <c r="U991" s="94"/>
      <c r="V991" s="93"/>
      <c r="W991" s="85"/>
      <c r="Y991" s="94"/>
      <c r="Z991" s="93"/>
      <c r="AA991" s="85"/>
      <c r="AC991" s="94"/>
      <c r="AD991" s="93"/>
      <c r="AE991" s="85"/>
    </row>
    <row r="992" spans="7:31" ht="14.5" customHeight="1" x14ac:dyDescent="0.35">
      <c r="G992" s="85"/>
      <c r="H992" s="87"/>
      <c r="M992" s="94"/>
      <c r="N992" s="93"/>
      <c r="O992" s="85"/>
      <c r="Q992" s="94"/>
      <c r="R992" s="93"/>
      <c r="S992" s="85"/>
      <c r="U992" s="94"/>
      <c r="V992" s="93"/>
      <c r="W992" s="85"/>
      <c r="Y992" s="94"/>
      <c r="Z992" s="93"/>
      <c r="AA992" s="85"/>
      <c r="AC992" s="94"/>
      <c r="AD992" s="93"/>
      <c r="AE992" s="85"/>
    </row>
    <row r="993" spans="7:31" ht="14.5" customHeight="1" x14ac:dyDescent="0.35">
      <c r="G993" s="85"/>
      <c r="H993" s="87"/>
      <c r="M993" s="94"/>
      <c r="N993" s="93"/>
      <c r="O993" s="85"/>
      <c r="Q993" s="94"/>
      <c r="R993" s="93"/>
      <c r="S993" s="85"/>
      <c r="U993" s="94"/>
      <c r="V993" s="93"/>
      <c r="W993" s="85"/>
      <c r="Y993" s="94"/>
      <c r="Z993" s="93"/>
      <c r="AA993" s="85"/>
      <c r="AC993" s="94"/>
      <c r="AD993" s="93"/>
      <c r="AE993" s="85"/>
    </row>
    <row r="994" spans="7:31" ht="14.5" customHeight="1" x14ac:dyDescent="0.35">
      <c r="G994" s="85"/>
      <c r="H994" s="87"/>
      <c r="M994" s="94"/>
      <c r="N994" s="93"/>
      <c r="O994" s="85"/>
      <c r="Q994" s="94"/>
      <c r="R994" s="93"/>
      <c r="S994" s="85"/>
      <c r="U994" s="94"/>
      <c r="V994" s="93"/>
      <c r="W994" s="85"/>
      <c r="Y994" s="94"/>
      <c r="Z994" s="93"/>
      <c r="AA994" s="85"/>
      <c r="AC994" s="94"/>
      <c r="AD994" s="93"/>
      <c r="AE994" s="85"/>
    </row>
    <row r="995" spans="7:31" ht="14.5" customHeight="1" x14ac:dyDescent="0.35">
      <c r="G995" s="85"/>
      <c r="H995" s="87"/>
      <c r="M995" s="94"/>
      <c r="N995" s="93"/>
      <c r="O995" s="85"/>
      <c r="Q995" s="94"/>
      <c r="R995" s="93"/>
      <c r="S995" s="85"/>
      <c r="U995" s="94"/>
      <c r="V995" s="93"/>
      <c r="W995" s="85"/>
      <c r="Y995" s="94"/>
      <c r="Z995" s="93"/>
      <c r="AA995" s="85"/>
      <c r="AC995" s="94"/>
      <c r="AD995" s="93"/>
      <c r="AE995" s="85"/>
    </row>
    <row r="996" spans="7:31" ht="14.5" customHeight="1" x14ac:dyDescent="0.35">
      <c r="G996" s="85"/>
      <c r="H996" s="87"/>
      <c r="M996" s="94"/>
      <c r="N996" s="93"/>
      <c r="O996" s="85"/>
      <c r="Q996" s="94"/>
      <c r="R996" s="93"/>
      <c r="S996" s="85"/>
      <c r="U996" s="94"/>
      <c r="V996" s="93"/>
      <c r="W996" s="85"/>
      <c r="Y996" s="94"/>
      <c r="Z996" s="93"/>
      <c r="AA996" s="85"/>
      <c r="AC996" s="94"/>
      <c r="AD996" s="93"/>
      <c r="AE996" s="85"/>
    </row>
    <row r="997" spans="7:31" ht="14.5" customHeight="1" x14ac:dyDescent="0.35">
      <c r="G997" s="85"/>
      <c r="H997" s="87"/>
      <c r="M997" s="94"/>
      <c r="N997" s="93"/>
      <c r="O997" s="85"/>
      <c r="Q997" s="94"/>
      <c r="R997" s="93"/>
      <c r="S997" s="85"/>
      <c r="U997" s="94"/>
      <c r="V997" s="93"/>
      <c r="W997" s="85"/>
      <c r="Y997" s="94"/>
      <c r="Z997" s="93"/>
      <c r="AA997" s="85"/>
      <c r="AC997" s="94"/>
      <c r="AD997" s="93"/>
      <c r="AE997" s="85"/>
    </row>
    <row r="998" spans="7:31" ht="14.5" customHeight="1" x14ac:dyDescent="0.35">
      <c r="G998" s="85"/>
      <c r="H998" s="87"/>
      <c r="M998" s="94"/>
      <c r="N998" s="93"/>
      <c r="O998" s="85"/>
      <c r="Q998" s="94"/>
      <c r="R998" s="93"/>
      <c r="S998" s="85"/>
      <c r="U998" s="94"/>
      <c r="V998" s="93"/>
      <c r="W998" s="85"/>
      <c r="Y998" s="94"/>
      <c r="Z998" s="93"/>
      <c r="AA998" s="85"/>
      <c r="AC998" s="94"/>
      <c r="AD998" s="93"/>
      <c r="AE998" s="85"/>
    </row>
    <row r="999" spans="7:31" ht="14.5" customHeight="1" x14ac:dyDescent="0.35">
      <c r="G999" s="85"/>
      <c r="H999" s="87"/>
      <c r="M999" s="94"/>
      <c r="N999" s="93"/>
      <c r="O999" s="85"/>
      <c r="Q999" s="94"/>
      <c r="R999" s="93"/>
      <c r="S999" s="85"/>
      <c r="U999" s="94"/>
      <c r="V999" s="93"/>
      <c r="W999" s="85"/>
      <c r="Y999" s="94"/>
      <c r="Z999" s="93"/>
      <c r="AA999" s="85"/>
      <c r="AC999" s="94"/>
      <c r="AD999" s="93"/>
      <c r="AE999" s="85"/>
    </row>
    <row r="1000" spans="7:31" ht="14.5" customHeight="1" x14ac:dyDescent="0.35">
      <c r="G1000" s="85"/>
      <c r="H1000" s="87"/>
      <c r="M1000" s="94"/>
      <c r="N1000" s="93"/>
      <c r="O1000" s="85"/>
      <c r="Q1000" s="94"/>
      <c r="R1000" s="93"/>
      <c r="S1000" s="85"/>
      <c r="U1000" s="94"/>
      <c r="V1000" s="93"/>
      <c r="W1000" s="85"/>
      <c r="Y1000" s="94"/>
      <c r="Z1000" s="93"/>
      <c r="AA1000" s="85"/>
      <c r="AC1000" s="94"/>
      <c r="AD1000" s="93"/>
      <c r="AE1000" s="85"/>
    </row>
    <row r="1001" spans="7:31" ht="14.5" customHeight="1" x14ac:dyDescent="0.35">
      <c r="G1001" s="85"/>
      <c r="H1001" s="87"/>
      <c r="M1001" s="94"/>
      <c r="N1001" s="93"/>
      <c r="O1001" s="85"/>
      <c r="Q1001" s="94"/>
      <c r="R1001" s="93"/>
      <c r="S1001" s="85"/>
      <c r="U1001" s="94"/>
      <c r="V1001" s="93"/>
      <c r="W1001" s="85"/>
      <c r="Y1001" s="94"/>
      <c r="Z1001" s="93"/>
      <c r="AA1001" s="85"/>
      <c r="AC1001" s="94"/>
      <c r="AD1001" s="93"/>
      <c r="AE1001" s="85"/>
    </row>
  </sheetData>
  <autoFilter ref="E17:P76" xr:uid="{99DA82AE-064B-42EE-AE87-066B96BCBD54}"/>
  <conditionalFormatting sqref="A1:AG1048576">
    <cfRule type="expression" dxfId="73" priority="1">
      <formula>$A4="Spend to Date"</formula>
    </cfRule>
    <cfRule type="expression" dxfId="72" priority="2">
      <formula>$A4="Spend to Date"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G1002"/>
  <sheetViews>
    <sheetView zoomScale="86" zoomScaleNormal="100" workbookViewId="0">
      <pane xSplit="2" ySplit="1" topLeftCell="F2" activePane="bottomRight" state="frozen"/>
      <selection pane="topRight" activeCell="C1" sqref="C1"/>
      <selection pane="bottomLeft" activeCell="A2" sqref="A2"/>
      <selection pane="bottomRight" activeCell="S29" sqref="S29"/>
    </sheetView>
  </sheetViews>
  <sheetFormatPr defaultColWidth="8.81640625" defaultRowHeight="14.5" x14ac:dyDescent="0.35"/>
  <cols>
    <col min="1" max="1" width="27" style="86" customWidth="1"/>
    <col min="2" max="2" width="5.453125" style="85" bestFit="1" customWidth="1"/>
    <col min="3" max="3" width="5.453125" style="85" customWidth="1"/>
    <col min="4" max="4" width="12" style="86" bestFit="1" customWidth="1"/>
    <col min="5" max="5" width="14.1796875" style="85" bestFit="1" customWidth="1"/>
    <col min="6" max="6" width="19.81640625" style="93" bestFit="1" customWidth="1"/>
    <col min="7" max="7" width="37.179687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21.453125" style="87" customWidth="1"/>
    <col min="13" max="13" width="25.54296875" style="89" customWidth="1"/>
    <col min="14" max="14" width="17"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70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SUM(E3:E4)</f>
        <v>22646</v>
      </c>
      <c r="F2" s="87">
        <f>SUM(F3:F3)</f>
        <v>41480.71</v>
      </c>
      <c r="I2" s="89">
        <f>SUM(I3:I4)</f>
        <v>-62975</v>
      </c>
      <c r="J2" s="87">
        <f>SUM(J3:J4)</f>
        <v>45844.04</v>
      </c>
      <c r="M2" s="89">
        <f>SUM(M3:M4)</f>
        <v>-37000</v>
      </c>
      <c r="N2" s="87">
        <f>SUM(N3:N4)</f>
        <v>8541.1500000000015</v>
      </c>
      <c r="Q2" s="89">
        <f>SUM(Q3:Q4)</f>
        <v>0</v>
      </c>
      <c r="R2" s="87">
        <f>SUM(R3:R4)</f>
        <v>0</v>
      </c>
      <c r="U2" s="89">
        <f>SUM(U3:U4)</f>
        <v>0</v>
      </c>
      <c r="V2" s="87">
        <f>SUM(V3:V4)</f>
        <v>0</v>
      </c>
      <c r="Y2" s="89">
        <f>SUM(Y3:Y4)</f>
        <v>0</v>
      </c>
      <c r="Z2" s="87">
        <f>SUM(Z3:Z4)</f>
        <v>0</v>
      </c>
      <c r="AC2" s="89">
        <f>SUM(AC3:AC4)</f>
        <v>0</v>
      </c>
      <c r="AD2" s="87">
        <f>SUM(AD3:AD4)</f>
        <v>0</v>
      </c>
    </row>
    <row r="3" spans="1:33" ht="88.5" customHeight="1" x14ac:dyDescent="0.35">
      <c r="A3" s="86" t="s">
        <v>70</v>
      </c>
      <c r="B3" s="85">
        <v>1</v>
      </c>
      <c r="D3" s="86">
        <v>153089.19</v>
      </c>
      <c r="E3" s="87">
        <f>25939-2901-392</f>
        <v>22646</v>
      </c>
      <c r="F3" s="87">
        <f>SUMIFS(H$20:H$1002,E$20:E$1002,1)</f>
        <v>41480.71</v>
      </c>
      <c r="G3" s="87">
        <f>D3+E3-F3+SUMIFS(E$7:E$14,$C$7:$C$14,$A3)-SUMIFS(F$7:F$14,$C$7:$C$14,$A3)</f>
        <v>116977.90000000001</v>
      </c>
      <c r="I3" s="91">
        <v>-62975</v>
      </c>
      <c r="J3" s="87">
        <f>SUMIFS(L$19:L$1004,I$19:I$1004,$B3)</f>
        <v>45844.04</v>
      </c>
      <c r="K3" s="87">
        <f>G3+I3-J3+SUMIFS(I$7:I$14,$C$7:$C$14,$A3)-SUMIFS(J$7:J$14,$C$7:$C$14,$A3)</f>
        <v>55367.850000000013</v>
      </c>
      <c r="L3" s="84" t="s">
        <v>71</v>
      </c>
      <c r="M3" s="89">
        <v>-37000</v>
      </c>
      <c r="N3" s="87">
        <f>SUMIFS(P$19:P$1001,M$19:M$1001,1)</f>
        <v>8541.1500000000015</v>
      </c>
      <c r="O3" s="87">
        <f>K3+M3-N3+SUMIFS(M$7:M$14,$C$7:$C$14,$A3)-SUMIFS(N$7:N$14,$C$7:$C$14,$A3)</f>
        <v>66179.580000000016</v>
      </c>
      <c r="R3" s="87">
        <f>SUMIFS(T$20:T$1002,Q$20:Q$1002,1)</f>
        <v>0</v>
      </c>
      <c r="S3" s="87">
        <f>O3+Q3-R3+SUMIFS(Q$7:Q$14,$C$7:$C$14,$A3)-SUMIFS(R$7:R$14,$C$7:$C$14,$A3)</f>
        <v>66179.580000000016</v>
      </c>
      <c r="V3" s="87">
        <f>SUMIFS(X$20:X$1002,U$20:U$1002,1)</f>
        <v>0</v>
      </c>
      <c r="W3" s="87">
        <f>S3+U3-V3+SUMIFS(U$7:U$14,$C$7:$C$14,$A3)-SUMIFS(V$7:V$14,$C$7:$C$14,$A3)</f>
        <v>66179.580000000016</v>
      </c>
      <c r="Z3" s="87">
        <f>SUMIFS(AB$20:AB$1002,Y$20:Y$1002,1)</f>
        <v>0</v>
      </c>
      <c r="AA3" s="87">
        <f>W3+Y3-Z3+SUMIFS(Y$7:Y$14,$C$7:$C$14,$A3)-SUMIFS(Z$7:Z$14,$C$7:$C$14,$A3)</f>
        <v>66179.580000000016</v>
      </c>
      <c r="AD3" s="87">
        <f>SUMIFS(AF$20:AF$1002,AC$20:AC$1002,1)</f>
        <v>0</v>
      </c>
      <c r="AE3" s="87">
        <f>AA3+AC3-AD3+SUMIFS(AC$7:AC$14,$C$7:$C$14,$A3)-SUMIFS(AD$7:AD$14,$C$7:$C$14,$A3)</f>
        <v>66179.580000000016</v>
      </c>
      <c r="AG3" s="87">
        <v>200000</v>
      </c>
    </row>
    <row r="4" spans="1:33" x14ac:dyDescent="0.35">
      <c r="A4" s="86" t="s">
        <v>72</v>
      </c>
      <c r="B4" s="85">
        <v>2</v>
      </c>
      <c r="D4" s="86">
        <v>0</v>
      </c>
      <c r="E4" s="87">
        <v>0</v>
      </c>
      <c r="F4" s="87">
        <f>SUMIFS(H$20:H$1002,E$20:E$1002,2)</f>
        <v>0</v>
      </c>
      <c r="G4" s="87">
        <f>D4+E4-F4+SUMIFS(E$7:E$14,$C$7:$C$14,$A4)-SUMIFS(F$7:F$14,$C$7:$C$14,$A4)</f>
        <v>0</v>
      </c>
      <c r="J4" s="87">
        <f>SUMIFS(L$19:L$1004,I$19:I$1004,$B4)</f>
        <v>0</v>
      </c>
      <c r="K4" s="87">
        <f>G4+I4-J4+SUMIFS(I$7:I$14,$C$7:$C$14,$A4)-SUMIFS(J$7:J$14,$C$7:$C$14,$A4)</f>
        <v>0</v>
      </c>
      <c r="L4" s="86"/>
      <c r="N4" s="87">
        <f>SUMIFS(P$19:P$1001,M$19:M$1001,2)</f>
        <v>0</v>
      </c>
      <c r="O4" s="87">
        <f>K4+M4-N4+SUMIFS(M$7:M$14,$C$7:$C$14,$A4)-SUMIFS(N$7:N$14,$C$7:$C$14,$A4)</f>
        <v>0</v>
      </c>
      <c r="R4" s="87">
        <f>SUMIFS(T$20:T$1002,Q$20:Q$1002,3)</f>
        <v>0</v>
      </c>
      <c r="S4" s="87">
        <f>O4+Q4-R4+SUMIFS(Q$7:Q$14,$C$7:$C$14,$A4)-SUMIFS(R$7:R$14,$C$7:$C$14,$A4)</f>
        <v>0</v>
      </c>
      <c r="V4" s="87">
        <f>SUMIFS(X$20:X$1002,U$20:U$1002,3)</f>
        <v>0</v>
      </c>
      <c r="W4" s="87">
        <f>S4+U4-V4+SUMIFS(U$7:U$14,$C$7:$C$14,$A4)-SUMIFS(V$7:V$14,$C$7:$C$14,$A4)</f>
        <v>0</v>
      </c>
      <c r="Z4" s="87">
        <f>SUMIFS(AB$20:AB$1002,Y$20:Y$1002,3)</f>
        <v>0</v>
      </c>
      <c r="AA4" s="87">
        <f>W4+Y4-Z4+SUMIFS(Y$7:Y$14,$C$7:$C$14,$A4)-SUMIFS(Z$7:Z$14,$C$7:$C$14,$A4)</f>
        <v>0</v>
      </c>
      <c r="AD4" s="87">
        <f>SUMIFS(AF$20:AF$1002,AC$20:AC$1002,3)</f>
        <v>0</v>
      </c>
      <c r="AE4" s="87">
        <f>AA4+AC4-AD4+SUMIFS(AC$7:AC$14,$C$7:$C$14,$A4)-SUMIFS(AD$7:AD$14,$C$7:$C$14,$A4)</f>
        <v>0</v>
      </c>
    </row>
    <row r="5" spans="1:33" x14ac:dyDescent="0.35">
      <c r="E5" s="87"/>
      <c r="F5" s="87"/>
    </row>
    <row r="6" spans="1:33" x14ac:dyDescent="0.35">
      <c r="A6" s="84" t="s">
        <v>73</v>
      </c>
      <c r="D6" s="84"/>
      <c r="E6" s="87">
        <f>SUM(E7:E14)</f>
        <v>76005</v>
      </c>
      <c r="F6" s="87">
        <f>SUM(F7:F14)</f>
        <v>93281.58</v>
      </c>
      <c r="I6" s="89">
        <f>SUM(I7:I14)</f>
        <v>62975</v>
      </c>
      <c r="J6" s="87">
        <f>SUM(J7:J14)</f>
        <v>15766.01</v>
      </c>
      <c r="M6" s="89">
        <f>SUM(M7:M14)</f>
        <v>70750</v>
      </c>
      <c r="N6" s="87">
        <f>SUM(N7:N14)</f>
        <v>14397.119999999999</v>
      </c>
      <c r="Q6" s="89">
        <f>SUM(Q7:Q14)</f>
        <v>72873</v>
      </c>
      <c r="R6" s="87">
        <f>$Q$6</f>
        <v>72873</v>
      </c>
      <c r="U6" s="89">
        <f>SUM(U7:U14)</f>
        <v>75060</v>
      </c>
      <c r="V6" s="87">
        <f>$U$6</f>
        <v>75060</v>
      </c>
      <c r="Y6" s="89">
        <f>SUM(Y7:Y14)</f>
        <v>77313</v>
      </c>
      <c r="Z6" s="87">
        <f>$Y$6</f>
        <v>77313</v>
      </c>
      <c r="AC6" s="89">
        <f>SUM(AC7:AC14)</f>
        <v>79634</v>
      </c>
      <c r="AD6" s="87">
        <f>$AC$6</f>
        <v>79634</v>
      </c>
    </row>
    <row r="7" spans="1:33" ht="14.5" customHeight="1" x14ac:dyDescent="0.35">
      <c r="A7" s="86" t="s">
        <v>74</v>
      </c>
      <c r="B7" s="85">
        <v>3</v>
      </c>
      <c r="C7" s="86" t="s">
        <v>70</v>
      </c>
      <c r="D7" s="84"/>
      <c r="E7" s="87">
        <v>35000</v>
      </c>
      <c r="F7" s="87">
        <f t="shared" ref="F7:F14" si="0">SUMIFS(H$20:H$1002,E$20:E$1002,$B7)</f>
        <v>52260.1</v>
      </c>
      <c r="I7" s="89">
        <f>ROUNDUP((E7)*RPICurrent,0)</f>
        <v>37975</v>
      </c>
      <c r="J7" s="87">
        <f t="shared" ref="J7:J14" si="1">SUMIFS(L$19:L$1004,I$19:I$1004,$B7)</f>
        <v>4770</v>
      </c>
      <c r="M7" s="89">
        <v>45000</v>
      </c>
      <c r="N7" s="87">
        <f t="shared" ref="N7:N14" si="2">SUMIFS(P$19:P$1005,M$19:M$1005,$B7)</f>
        <v>13212</v>
      </c>
      <c r="Q7" s="89">
        <f t="shared" ref="Q7:Q12" si="3">ROUNDUP((M7)*RPI,0)</f>
        <v>46350</v>
      </c>
      <c r="R7" s="87">
        <f>$Q$7</f>
        <v>46350</v>
      </c>
      <c r="U7" s="89">
        <f t="shared" ref="U7:U12" si="4">ROUNDUP((Q7)*RPI,0)</f>
        <v>47741</v>
      </c>
      <c r="V7" s="87">
        <f>$U$7</f>
        <v>47741</v>
      </c>
      <c r="Y7" s="89">
        <f t="shared" ref="Y7:Y12" si="5">ROUNDUP((U7)*RPI,0)</f>
        <v>49174</v>
      </c>
      <c r="Z7" s="87">
        <f>$Y$7</f>
        <v>49174</v>
      </c>
      <c r="AC7" s="89">
        <f t="shared" ref="AC7:AC12" si="6">ROUNDUP((Y7)*RPI,0)</f>
        <v>50650</v>
      </c>
      <c r="AD7" s="87">
        <f>$AC$7</f>
        <v>50650</v>
      </c>
    </row>
    <row r="8" spans="1:33" ht="14.5" customHeight="1" x14ac:dyDescent="0.35">
      <c r="A8" s="86" t="s">
        <v>75</v>
      </c>
      <c r="B8" s="85">
        <v>4</v>
      </c>
      <c r="C8" s="86" t="s">
        <v>72</v>
      </c>
      <c r="D8" s="84"/>
      <c r="E8" s="87">
        <v>0</v>
      </c>
      <c r="F8" s="87">
        <f t="shared" si="0"/>
        <v>0</v>
      </c>
      <c r="I8" s="89">
        <f>ROUNDUP((E8)*RPICurrent,0)</f>
        <v>0</v>
      </c>
      <c r="J8" s="87">
        <f t="shared" si="1"/>
        <v>0</v>
      </c>
      <c r="M8" s="89">
        <f>ROUNDUP((I8)*RPI,0)</f>
        <v>0</v>
      </c>
      <c r="N8" s="87">
        <f t="shared" si="2"/>
        <v>0</v>
      </c>
      <c r="Q8" s="89">
        <f t="shared" si="3"/>
        <v>0</v>
      </c>
      <c r="R8" s="87">
        <f>$Q$8</f>
        <v>0</v>
      </c>
      <c r="U8" s="89">
        <f t="shared" si="4"/>
        <v>0</v>
      </c>
      <c r="V8" s="87">
        <f>$U$8</f>
        <v>0</v>
      </c>
      <c r="Y8" s="89">
        <f t="shared" si="5"/>
        <v>0</v>
      </c>
      <c r="Z8" s="87">
        <f>$Y$8</f>
        <v>0</v>
      </c>
      <c r="AC8" s="89">
        <f t="shared" si="6"/>
        <v>0</v>
      </c>
      <c r="AD8" s="87">
        <f>$AC$8</f>
        <v>0</v>
      </c>
    </row>
    <row r="9" spans="1:33" ht="14.5" customHeight="1" x14ac:dyDescent="0.35">
      <c r="A9" s="86" t="s">
        <v>76</v>
      </c>
      <c r="B9" s="85">
        <v>5</v>
      </c>
      <c r="C9" s="86" t="s">
        <v>70</v>
      </c>
      <c r="D9" s="84"/>
      <c r="E9" s="87">
        <v>0</v>
      </c>
      <c r="F9" s="87">
        <f t="shared" si="0"/>
        <v>0</v>
      </c>
      <c r="I9" s="89">
        <v>25000</v>
      </c>
      <c r="J9" s="87">
        <f t="shared" si="1"/>
        <v>11269.5</v>
      </c>
      <c r="L9" s="87" t="s">
        <v>77</v>
      </c>
      <c r="M9" s="89">
        <f>ROUNDUP((I9)*RPI,0)</f>
        <v>25750</v>
      </c>
      <c r="N9" s="87">
        <f t="shared" si="2"/>
        <v>1185.1199999999999</v>
      </c>
      <c r="Q9" s="89">
        <f t="shared" si="3"/>
        <v>26523</v>
      </c>
      <c r="R9" s="87">
        <f>$Q$9</f>
        <v>26523</v>
      </c>
      <c r="U9" s="89">
        <f t="shared" si="4"/>
        <v>27319</v>
      </c>
      <c r="V9" s="87">
        <f>$U$9</f>
        <v>27319</v>
      </c>
      <c r="Y9" s="89">
        <f t="shared" si="5"/>
        <v>28139</v>
      </c>
      <c r="Z9" s="87">
        <f>$Y$9</f>
        <v>28139</v>
      </c>
      <c r="AC9" s="89">
        <f t="shared" si="6"/>
        <v>28984</v>
      </c>
      <c r="AD9" s="87">
        <f>$AC$9</f>
        <v>28984</v>
      </c>
    </row>
    <row r="10" spans="1:33" ht="14.5" customHeight="1" x14ac:dyDescent="0.35">
      <c r="A10" s="86" t="s">
        <v>78</v>
      </c>
      <c r="B10" s="85">
        <v>6</v>
      </c>
      <c r="C10" s="86" t="s">
        <v>70</v>
      </c>
      <c r="D10" s="84"/>
      <c r="E10" s="87">
        <v>0</v>
      </c>
      <c r="F10" s="87">
        <f t="shared" si="0"/>
        <v>0</v>
      </c>
      <c r="I10" s="89">
        <f>ROUNDUP((E10)*RPICurrent,0)</f>
        <v>0</v>
      </c>
      <c r="J10" s="87">
        <f t="shared" si="1"/>
        <v>0</v>
      </c>
      <c r="M10" s="89">
        <f>ROUNDUP((I10)*RPI,0)</f>
        <v>0</v>
      </c>
      <c r="N10" s="87">
        <f t="shared" si="2"/>
        <v>0</v>
      </c>
      <c r="Q10" s="89">
        <f t="shared" si="3"/>
        <v>0</v>
      </c>
      <c r="R10" s="87">
        <f>$Q$10</f>
        <v>0</v>
      </c>
      <c r="U10" s="89">
        <f t="shared" si="4"/>
        <v>0</v>
      </c>
      <c r="V10" s="87">
        <f>$U$10</f>
        <v>0</v>
      </c>
      <c r="Y10" s="89">
        <f t="shared" si="5"/>
        <v>0</v>
      </c>
      <c r="Z10" s="87">
        <f>$Y$10</f>
        <v>0</v>
      </c>
      <c r="AC10" s="89">
        <f t="shared" si="6"/>
        <v>0</v>
      </c>
      <c r="AD10" s="87">
        <f>$AC$10</f>
        <v>0</v>
      </c>
    </row>
    <row r="11" spans="1:33" ht="14.5" customHeight="1" x14ac:dyDescent="0.35">
      <c r="A11" s="86" t="s">
        <v>79</v>
      </c>
      <c r="B11" s="85">
        <v>7</v>
      </c>
      <c r="C11" s="86" t="s">
        <v>70</v>
      </c>
      <c r="D11" s="84"/>
      <c r="E11" s="87">
        <v>0</v>
      </c>
      <c r="F11" s="87">
        <f t="shared" si="0"/>
        <v>0</v>
      </c>
      <c r="I11" s="89">
        <f>ROUNDUP((E11)*RPICurrent,0)</f>
        <v>0</v>
      </c>
      <c r="J11" s="87">
        <f t="shared" si="1"/>
        <v>0</v>
      </c>
      <c r="M11" s="89">
        <f>ROUNDUP((I11)*RPI,0)</f>
        <v>0</v>
      </c>
      <c r="N11" s="87">
        <f t="shared" si="2"/>
        <v>0</v>
      </c>
      <c r="Q11" s="89">
        <f>ROUNDUP((M11)*RPI,0)</f>
        <v>0</v>
      </c>
      <c r="R11" s="87">
        <f>$Q$11</f>
        <v>0</v>
      </c>
      <c r="U11" s="89">
        <f>ROUNDUP((Q11)*RPI,0)</f>
        <v>0</v>
      </c>
      <c r="V11" s="87">
        <f>$U$11</f>
        <v>0</v>
      </c>
      <c r="Y11" s="89">
        <f>ROUNDUP((U11)*RPI,0)</f>
        <v>0</v>
      </c>
      <c r="Z11" s="87">
        <f>$Y$11</f>
        <v>0</v>
      </c>
      <c r="AC11" s="89">
        <f>ROUNDUP((Y11)*RPI,0)</f>
        <v>0</v>
      </c>
      <c r="AD11" s="87">
        <f>$AC$11</f>
        <v>0</v>
      </c>
    </row>
    <row r="12" spans="1:33" ht="14.5" customHeight="1" x14ac:dyDescent="0.35">
      <c r="A12" s="86" t="s">
        <v>80</v>
      </c>
      <c r="B12" s="85">
        <v>8</v>
      </c>
      <c r="C12" s="86" t="s">
        <v>70</v>
      </c>
      <c r="D12" s="84"/>
      <c r="E12" s="87">
        <f>2901+392+29712+8000</f>
        <v>41005</v>
      </c>
      <c r="F12" s="87">
        <f t="shared" si="0"/>
        <v>40432.99</v>
      </c>
      <c r="I12" s="89">
        <v>0</v>
      </c>
      <c r="J12" s="87">
        <f t="shared" si="1"/>
        <v>0</v>
      </c>
      <c r="M12" s="89">
        <f>ROUNDUP((I12)*RPI,0)</f>
        <v>0</v>
      </c>
      <c r="N12" s="87">
        <f t="shared" si="2"/>
        <v>0</v>
      </c>
      <c r="Q12" s="89">
        <f t="shared" si="3"/>
        <v>0</v>
      </c>
      <c r="R12" s="87">
        <f>$Q$12</f>
        <v>0</v>
      </c>
      <c r="U12" s="89">
        <f t="shared" si="4"/>
        <v>0</v>
      </c>
      <c r="V12" s="87">
        <f>$U$12</f>
        <v>0</v>
      </c>
      <c r="Y12" s="89">
        <f t="shared" si="5"/>
        <v>0</v>
      </c>
      <c r="Z12" s="87">
        <f>$Y$12</f>
        <v>0</v>
      </c>
      <c r="AC12" s="89">
        <f t="shared" si="6"/>
        <v>0</v>
      </c>
      <c r="AD12" s="87">
        <f>$AC$12</f>
        <v>0</v>
      </c>
    </row>
    <row r="13" spans="1:33" ht="14.5" customHeight="1" x14ac:dyDescent="0.35">
      <c r="A13" s="86" t="s">
        <v>81</v>
      </c>
      <c r="B13" s="85">
        <v>9</v>
      </c>
      <c r="C13" s="86" t="s">
        <v>82</v>
      </c>
      <c r="D13" s="84"/>
      <c r="E13" s="87">
        <v>0</v>
      </c>
      <c r="F13" s="87">
        <f t="shared" si="0"/>
        <v>0</v>
      </c>
      <c r="I13" s="89">
        <v>0</v>
      </c>
      <c r="J13" s="87">
        <f t="shared" si="1"/>
        <v>0</v>
      </c>
      <c r="M13" s="89">
        <v>0</v>
      </c>
      <c r="N13" s="87">
        <f t="shared" si="2"/>
        <v>0</v>
      </c>
      <c r="R13" s="87">
        <f>$Q$13</f>
        <v>0</v>
      </c>
      <c r="V13" s="87">
        <f>$U$13</f>
        <v>0</v>
      </c>
      <c r="Z13" s="87">
        <f>$Y$13</f>
        <v>0</v>
      </c>
      <c r="AD13" s="87">
        <f>$AC$13</f>
        <v>0</v>
      </c>
    </row>
    <row r="14" spans="1:33" ht="14.5" customHeight="1" x14ac:dyDescent="0.35">
      <c r="A14" s="86" t="s">
        <v>83</v>
      </c>
      <c r="B14" s="85">
        <v>10</v>
      </c>
      <c r="C14" s="86" t="s">
        <v>70</v>
      </c>
      <c r="D14" s="84"/>
      <c r="E14" s="87">
        <v>0</v>
      </c>
      <c r="F14" s="87">
        <f t="shared" si="0"/>
        <v>588.48999999999978</v>
      </c>
      <c r="I14" s="89">
        <v>0</v>
      </c>
      <c r="J14" s="87">
        <f t="shared" si="1"/>
        <v>-273.49</v>
      </c>
      <c r="M14" s="89">
        <v>0</v>
      </c>
      <c r="N14" s="87">
        <f t="shared" si="2"/>
        <v>0</v>
      </c>
      <c r="R14" s="87">
        <f>$Q$14</f>
        <v>0</v>
      </c>
      <c r="V14" s="87">
        <f>$U$14</f>
        <v>0</v>
      </c>
      <c r="Z14" s="87">
        <f>$Y$14</f>
        <v>0</v>
      </c>
      <c r="AD14" s="87">
        <f>$AC$14</f>
        <v>0</v>
      </c>
    </row>
    <row r="15" spans="1:33" x14ac:dyDescent="0.35">
      <c r="E15" s="87"/>
      <c r="F15" s="87"/>
    </row>
    <row r="16" spans="1:33" x14ac:dyDescent="0.35">
      <c r="E16" s="87"/>
      <c r="F16" s="87"/>
    </row>
    <row r="17" spans="1:31" x14ac:dyDescent="0.35">
      <c r="E17" s="87"/>
      <c r="F17" s="87"/>
    </row>
    <row r="18" spans="1:31" x14ac:dyDescent="0.35">
      <c r="A18" s="84" t="s">
        <v>487</v>
      </c>
      <c r="G18" s="85"/>
      <c r="H18" s="87"/>
      <c r="I18" s="94"/>
      <c r="J18" s="93"/>
      <c r="K18" s="85"/>
      <c r="M18" s="94"/>
      <c r="N18" s="93"/>
      <c r="O18" s="85"/>
      <c r="Q18" s="94"/>
      <c r="R18" s="93"/>
      <c r="S18" s="85"/>
      <c r="U18" s="94"/>
      <c r="V18" s="93"/>
      <c r="W18" s="85"/>
      <c r="Y18" s="94"/>
      <c r="Z18" s="93"/>
      <c r="AA18" s="85"/>
      <c r="AC18" s="94"/>
      <c r="AD18" s="93"/>
      <c r="AE18" s="85"/>
    </row>
    <row r="19" spans="1:3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94"/>
      <c r="R19" s="93"/>
      <c r="S19" s="85"/>
      <c r="U19" s="94"/>
      <c r="V19" s="93"/>
      <c r="W19" s="85"/>
      <c r="Y19" s="94"/>
      <c r="Z19" s="93"/>
      <c r="AA19" s="85"/>
      <c r="AC19" s="94"/>
      <c r="AD19" s="93"/>
      <c r="AE19" s="85"/>
    </row>
    <row r="20" spans="1:31" x14ac:dyDescent="0.35">
      <c r="A20" s="85"/>
      <c r="D20" s="85"/>
      <c r="E20" s="85">
        <v>8</v>
      </c>
      <c r="F20" s="93" t="s">
        <v>967</v>
      </c>
      <c r="G20" s="85" t="s">
        <v>968</v>
      </c>
      <c r="H20" s="87">
        <v>40432.99</v>
      </c>
      <c r="I20" s="85">
        <v>1</v>
      </c>
      <c r="J20" s="93">
        <v>45113</v>
      </c>
      <c r="K20" s="85" t="s">
        <v>780</v>
      </c>
      <c r="L20" s="87">
        <v>13978.5</v>
      </c>
      <c r="M20" s="85">
        <v>1</v>
      </c>
      <c r="N20" s="93" t="s">
        <v>699</v>
      </c>
      <c r="O20" s="93" t="s">
        <v>3097</v>
      </c>
      <c r="P20" s="87">
        <v>-4410.1899999999996</v>
      </c>
      <c r="Q20" s="94"/>
      <c r="R20" s="93"/>
      <c r="S20" s="85"/>
      <c r="U20" s="94"/>
      <c r="V20" s="93"/>
      <c r="W20" s="85"/>
      <c r="Y20" s="94"/>
      <c r="Z20" s="93"/>
      <c r="AA20" s="85"/>
      <c r="AC20" s="94"/>
      <c r="AD20" s="93"/>
      <c r="AE20" s="85"/>
    </row>
    <row r="21" spans="1:31" x14ac:dyDescent="0.35">
      <c r="E21" s="85">
        <v>10</v>
      </c>
      <c r="F21" s="93" t="s">
        <v>967</v>
      </c>
      <c r="G21" s="85" t="s">
        <v>969</v>
      </c>
      <c r="H21" s="87">
        <f>-2205-3505</f>
        <v>-5710</v>
      </c>
      <c r="I21" s="85" t="s">
        <v>2806</v>
      </c>
      <c r="J21" s="93" t="s">
        <v>676</v>
      </c>
      <c r="K21" s="85" t="s">
        <v>973</v>
      </c>
      <c r="L21" s="87">
        <v>20000</v>
      </c>
      <c r="M21" s="94">
        <v>1</v>
      </c>
      <c r="N21" s="93">
        <v>45397</v>
      </c>
      <c r="O21" s="85" t="s">
        <v>2798</v>
      </c>
      <c r="P21" s="148">
        <v>5000</v>
      </c>
      <c r="Q21" s="94"/>
      <c r="R21" s="93"/>
      <c r="S21" s="85"/>
      <c r="U21" s="94"/>
      <c r="V21" s="93"/>
      <c r="W21" s="85"/>
      <c r="Y21" s="94"/>
      <c r="Z21" s="93"/>
      <c r="AA21" s="85"/>
      <c r="AC21" s="94"/>
      <c r="AD21" s="93"/>
      <c r="AE21" s="85"/>
    </row>
    <row r="22" spans="1:31" x14ac:dyDescent="0.35">
      <c r="E22" s="85">
        <v>1</v>
      </c>
      <c r="F22" s="93">
        <v>44684</v>
      </c>
      <c r="G22" s="85" t="s">
        <v>971</v>
      </c>
      <c r="H22" s="87">
        <v>570</v>
      </c>
      <c r="I22" s="94">
        <v>3</v>
      </c>
      <c r="J22" s="93" t="s">
        <v>814</v>
      </c>
      <c r="K22" s="85" t="s">
        <v>975</v>
      </c>
      <c r="L22" s="87">
        <v>4000</v>
      </c>
      <c r="M22" s="94">
        <v>1</v>
      </c>
      <c r="N22" s="93">
        <v>45471</v>
      </c>
      <c r="O22" s="96" t="s">
        <v>1002</v>
      </c>
      <c r="P22" s="148">
        <v>2855.5</v>
      </c>
      <c r="Q22" s="94"/>
      <c r="R22" s="93"/>
      <c r="S22" s="85"/>
      <c r="U22" s="94"/>
      <c r="V22" s="93"/>
      <c r="W22" s="85"/>
      <c r="Y22" s="94"/>
      <c r="Z22" s="93"/>
      <c r="AA22" s="85"/>
      <c r="AC22" s="94"/>
      <c r="AD22" s="93"/>
      <c r="AE22" s="85"/>
    </row>
    <row r="23" spans="1:31" x14ac:dyDescent="0.35">
      <c r="E23" s="85">
        <v>3</v>
      </c>
      <c r="F23" s="93">
        <v>44708</v>
      </c>
      <c r="G23" s="85" t="s">
        <v>972</v>
      </c>
      <c r="H23" s="87">
        <v>1500</v>
      </c>
      <c r="I23" s="94">
        <v>5</v>
      </c>
      <c r="J23" s="93" t="s">
        <v>814</v>
      </c>
      <c r="K23" s="85" t="s">
        <v>975</v>
      </c>
      <c r="L23" s="87">
        <v>4000</v>
      </c>
      <c r="M23" s="95">
        <v>1</v>
      </c>
      <c r="N23" s="93" t="s">
        <v>676</v>
      </c>
      <c r="O23" s="85" t="s">
        <v>985</v>
      </c>
      <c r="P23" s="87">
        <v>5000</v>
      </c>
      <c r="Q23" s="94"/>
      <c r="R23" s="93"/>
      <c r="S23" s="85"/>
      <c r="U23" s="94"/>
      <c r="V23" s="93"/>
      <c r="W23" s="85"/>
      <c r="Y23" s="94"/>
      <c r="Z23" s="93"/>
      <c r="AA23" s="85"/>
      <c r="AC23" s="94"/>
      <c r="AD23" s="93"/>
      <c r="AE23" s="85"/>
    </row>
    <row r="24" spans="1:31" x14ac:dyDescent="0.35">
      <c r="E24" s="85">
        <v>3</v>
      </c>
      <c r="F24" s="93">
        <v>44713</v>
      </c>
      <c r="G24" s="85" t="s">
        <v>974</v>
      </c>
      <c r="H24" s="87">
        <v>2000</v>
      </c>
      <c r="I24" s="94">
        <v>1</v>
      </c>
      <c r="J24" s="93">
        <v>45033</v>
      </c>
      <c r="K24" s="85" t="s">
        <v>978</v>
      </c>
      <c r="L24" s="87">
        <v>1225</v>
      </c>
      <c r="M24" s="94">
        <v>3</v>
      </c>
      <c r="N24" s="93">
        <v>45383</v>
      </c>
      <c r="O24" s="87" t="s">
        <v>2825</v>
      </c>
      <c r="P24" s="148">
        <v>2690</v>
      </c>
      <c r="Q24" s="94"/>
      <c r="R24" s="93"/>
      <c r="S24" s="85"/>
      <c r="U24" s="94"/>
      <c r="V24" s="93"/>
      <c r="W24" s="85"/>
      <c r="Y24" s="94"/>
      <c r="Z24" s="93"/>
      <c r="AA24" s="85"/>
      <c r="AC24" s="94"/>
      <c r="AD24" s="93"/>
      <c r="AE24" s="85"/>
    </row>
    <row r="25" spans="1:31" x14ac:dyDescent="0.35">
      <c r="E25" s="85">
        <v>3</v>
      </c>
      <c r="F25" s="93">
        <v>44721</v>
      </c>
      <c r="G25" s="85" t="s">
        <v>976</v>
      </c>
      <c r="H25" s="87">
        <v>1493</v>
      </c>
      <c r="I25" s="94">
        <v>1</v>
      </c>
      <c r="J25" s="93">
        <v>45044</v>
      </c>
      <c r="K25" s="85" t="s">
        <v>514</v>
      </c>
      <c r="L25" s="87">
        <v>3600</v>
      </c>
      <c r="M25" s="94">
        <v>3</v>
      </c>
      <c r="N25" s="93">
        <v>45397</v>
      </c>
      <c r="O25" s="85" t="s">
        <v>2840</v>
      </c>
      <c r="P25" s="148">
        <v>4980</v>
      </c>
      <c r="Q25" s="94"/>
      <c r="R25" s="93"/>
      <c r="S25" s="85"/>
      <c r="U25" s="94"/>
      <c r="V25" s="93"/>
      <c r="W25" s="85"/>
      <c r="Y25" s="94"/>
      <c r="Z25" s="93"/>
      <c r="AA25" s="85"/>
      <c r="AC25" s="94"/>
      <c r="AD25" s="93"/>
      <c r="AE25" s="85"/>
    </row>
    <row r="26" spans="1:31" x14ac:dyDescent="0.35">
      <c r="E26" s="85">
        <v>3</v>
      </c>
      <c r="F26" s="93">
        <v>44727</v>
      </c>
      <c r="G26" s="85" t="s">
        <v>977</v>
      </c>
      <c r="H26" s="87">
        <v>7759.3</v>
      </c>
      <c r="I26" s="94">
        <v>1</v>
      </c>
      <c r="J26" s="93">
        <v>45033</v>
      </c>
      <c r="K26" s="85" t="s">
        <v>981</v>
      </c>
      <c r="L26" s="87">
        <v>875</v>
      </c>
      <c r="M26" s="94">
        <v>3</v>
      </c>
      <c r="N26" s="93">
        <v>45450</v>
      </c>
      <c r="O26" s="85" t="s">
        <v>989</v>
      </c>
      <c r="P26" s="87">
        <v>4150</v>
      </c>
      <c r="Q26" s="94"/>
      <c r="R26" s="93"/>
      <c r="S26" s="85"/>
      <c r="U26" s="94"/>
      <c r="V26" s="93"/>
      <c r="W26" s="85"/>
      <c r="Y26" s="94"/>
      <c r="Z26" s="93"/>
      <c r="AA26" s="85"/>
      <c r="AC26" s="94"/>
      <c r="AD26" s="93"/>
      <c r="AE26" s="85"/>
    </row>
    <row r="27" spans="1:31" x14ac:dyDescent="0.35">
      <c r="E27" s="85">
        <v>3</v>
      </c>
      <c r="F27" s="93">
        <v>44732</v>
      </c>
      <c r="G27" s="85" t="s">
        <v>979</v>
      </c>
      <c r="H27" s="87">
        <v>3300</v>
      </c>
      <c r="I27" s="94">
        <v>1</v>
      </c>
      <c r="J27" s="93">
        <v>45057</v>
      </c>
      <c r="K27" s="85" t="s">
        <v>983</v>
      </c>
      <c r="L27" s="87">
        <v>19480</v>
      </c>
      <c r="M27" s="94">
        <v>1</v>
      </c>
      <c r="N27" s="93">
        <v>45422</v>
      </c>
      <c r="O27" s="85" t="s">
        <v>2997</v>
      </c>
      <c r="P27" s="148">
        <v>95.84</v>
      </c>
      <c r="Q27" s="94"/>
      <c r="R27" s="93"/>
      <c r="S27" s="85"/>
      <c r="U27" s="94"/>
      <c r="V27" s="93"/>
      <c r="W27" s="85"/>
      <c r="Y27" s="94"/>
      <c r="Z27" s="93"/>
      <c r="AA27" s="85"/>
      <c r="AC27" s="94"/>
      <c r="AD27" s="93"/>
      <c r="AE27" s="85"/>
    </row>
    <row r="28" spans="1:31" x14ac:dyDescent="0.35">
      <c r="E28" s="85">
        <v>3</v>
      </c>
      <c r="F28" s="93">
        <v>44733</v>
      </c>
      <c r="G28" s="85" t="s">
        <v>980</v>
      </c>
      <c r="H28" s="87">
        <v>643.76</v>
      </c>
      <c r="I28" s="94" t="s">
        <v>23</v>
      </c>
      <c r="J28" s="93" t="s">
        <v>676</v>
      </c>
      <c r="K28" s="85" t="s">
        <v>985</v>
      </c>
      <c r="L28" s="87">
        <v>5000</v>
      </c>
      <c r="M28" s="94">
        <v>5</v>
      </c>
      <c r="N28" s="93">
        <v>45483</v>
      </c>
      <c r="O28" s="85" t="s">
        <v>3061</v>
      </c>
      <c r="P28" s="87">
        <v>225</v>
      </c>
      <c r="Q28" s="94"/>
      <c r="R28" s="93"/>
      <c r="S28" s="85"/>
      <c r="U28" s="94"/>
      <c r="V28" s="93"/>
      <c r="W28" s="85"/>
      <c r="Y28" s="94"/>
      <c r="Z28" s="93"/>
      <c r="AA28" s="85"/>
      <c r="AC28" s="94"/>
      <c r="AD28" s="93"/>
      <c r="AE28" s="85"/>
    </row>
    <row r="29" spans="1:31" x14ac:dyDescent="0.35">
      <c r="E29" s="85">
        <v>3</v>
      </c>
      <c r="F29" s="93">
        <v>44734</v>
      </c>
      <c r="G29" s="85" t="s">
        <v>982</v>
      </c>
      <c r="H29" s="87">
        <v>6695</v>
      </c>
      <c r="I29" s="94">
        <v>1</v>
      </c>
      <c r="J29" s="93">
        <v>45097</v>
      </c>
      <c r="K29" s="85" t="s">
        <v>987</v>
      </c>
      <c r="L29" s="87">
        <v>3231</v>
      </c>
      <c r="M29" s="94">
        <v>5</v>
      </c>
      <c r="N29" s="93">
        <v>45471</v>
      </c>
      <c r="O29" s="85" t="s">
        <v>3062</v>
      </c>
      <c r="P29" s="148">
        <v>564.12</v>
      </c>
      <c r="Q29" s="94"/>
      <c r="R29" s="93"/>
      <c r="S29" s="85"/>
      <c r="U29" s="94"/>
      <c r="V29" s="93"/>
      <c r="W29" s="85"/>
      <c r="Y29" s="94"/>
      <c r="Z29" s="93"/>
      <c r="AA29" s="85"/>
      <c r="AC29" s="94"/>
      <c r="AD29" s="93"/>
      <c r="AE29" s="85"/>
    </row>
    <row r="30" spans="1:31" x14ac:dyDescent="0.35">
      <c r="E30" s="85">
        <v>3</v>
      </c>
      <c r="F30" s="93">
        <v>44750</v>
      </c>
      <c r="G30" s="85" t="s">
        <v>984</v>
      </c>
      <c r="H30" s="87">
        <v>2850</v>
      </c>
      <c r="I30" s="94">
        <v>1</v>
      </c>
      <c r="J30" s="93">
        <v>45100</v>
      </c>
      <c r="K30" s="85" t="s">
        <v>989</v>
      </c>
      <c r="L30" s="87">
        <v>4697.03</v>
      </c>
      <c r="M30" s="94">
        <v>5</v>
      </c>
      <c r="N30" s="93">
        <v>45475</v>
      </c>
      <c r="O30" s="85" t="s">
        <v>3063</v>
      </c>
      <c r="P30" s="87">
        <v>396</v>
      </c>
      <c r="Q30" s="94"/>
      <c r="R30" s="93"/>
      <c r="S30" s="85"/>
      <c r="U30" s="94"/>
      <c r="V30" s="93"/>
      <c r="W30" s="85"/>
      <c r="Y30" s="94"/>
      <c r="Z30" s="93"/>
      <c r="AA30" s="85"/>
      <c r="AC30" s="94"/>
      <c r="AD30" s="93"/>
      <c r="AE30" s="85"/>
    </row>
    <row r="31" spans="1:31" x14ac:dyDescent="0.35">
      <c r="E31" s="85">
        <v>3</v>
      </c>
      <c r="F31" s="93">
        <v>44789</v>
      </c>
      <c r="G31" s="85" t="s">
        <v>986</v>
      </c>
      <c r="H31" s="87">
        <v>8002.19</v>
      </c>
      <c r="I31" s="94">
        <v>1</v>
      </c>
      <c r="J31" s="93">
        <v>45107</v>
      </c>
      <c r="K31" s="85" t="s">
        <v>991</v>
      </c>
      <c r="L31" s="87">
        <v>445.85</v>
      </c>
      <c r="M31" s="94">
        <v>3</v>
      </c>
      <c r="N31" s="93">
        <v>45498</v>
      </c>
      <c r="O31" s="85" t="s">
        <v>970</v>
      </c>
      <c r="P31" s="87">
        <v>1392</v>
      </c>
      <c r="Q31" s="94"/>
      <c r="R31" s="93"/>
      <c r="S31" s="85"/>
      <c r="U31" s="94"/>
      <c r="V31" s="93"/>
      <c r="W31" s="85"/>
      <c r="Y31" s="94"/>
      <c r="Z31" s="93"/>
      <c r="AA31" s="85"/>
      <c r="AC31" s="94"/>
      <c r="AD31" s="93"/>
      <c r="AE31" s="85"/>
    </row>
    <row r="32" spans="1:31" x14ac:dyDescent="0.35">
      <c r="E32" s="85">
        <v>1</v>
      </c>
      <c r="F32" s="93">
        <v>44797</v>
      </c>
      <c r="G32" s="85" t="s">
        <v>988</v>
      </c>
      <c r="H32" s="87">
        <v>12870</v>
      </c>
      <c r="I32" s="94">
        <v>3</v>
      </c>
      <c r="J32" s="93">
        <v>45127</v>
      </c>
      <c r="K32" s="87" t="s">
        <v>993</v>
      </c>
      <c r="L32" s="87">
        <v>770</v>
      </c>
      <c r="M32" s="94"/>
      <c r="N32" s="93"/>
      <c r="O32" s="85"/>
      <c r="Q32" s="94"/>
      <c r="R32" s="93"/>
      <c r="S32" s="85"/>
      <c r="U32" s="94"/>
      <c r="V32" s="93"/>
      <c r="W32" s="85"/>
      <c r="Y32" s="94"/>
      <c r="Z32" s="93"/>
      <c r="AA32" s="85"/>
      <c r="AC32" s="94"/>
      <c r="AD32" s="93"/>
      <c r="AE32" s="85"/>
    </row>
    <row r="33" spans="5:31" x14ac:dyDescent="0.35">
      <c r="E33" s="85">
        <v>3</v>
      </c>
      <c r="F33" s="93">
        <v>44818</v>
      </c>
      <c r="G33" s="85" t="s">
        <v>990</v>
      </c>
      <c r="H33" s="87">
        <v>6506.85</v>
      </c>
      <c r="I33" s="94"/>
      <c r="J33" s="93"/>
      <c r="K33" s="85"/>
      <c r="M33" s="94"/>
      <c r="N33" s="93"/>
      <c r="O33" s="85"/>
      <c r="Q33" s="94"/>
      <c r="R33" s="93"/>
      <c r="S33" s="85"/>
      <c r="U33" s="94"/>
      <c r="V33" s="93"/>
      <c r="W33" s="85"/>
      <c r="Y33" s="94"/>
      <c r="Z33" s="93"/>
      <c r="AA33" s="85"/>
      <c r="AC33" s="94"/>
      <c r="AD33" s="93"/>
      <c r="AE33" s="85"/>
    </row>
    <row r="34" spans="5:31" x14ac:dyDescent="0.35">
      <c r="E34" s="85">
        <v>3</v>
      </c>
      <c r="F34" s="93">
        <v>44824</v>
      </c>
      <c r="G34" s="85" t="s">
        <v>992</v>
      </c>
      <c r="H34" s="87">
        <v>3850</v>
      </c>
      <c r="I34" s="94">
        <v>1</v>
      </c>
      <c r="J34" s="93">
        <v>45198</v>
      </c>
      <c r="K34" s="85" t="s">
        <v>970</v>
      </c>
      <c r="L34" s="87">
        <v>930</v>
      </c>
      <c r="M34" s="94"/>
      <c r="N34" s="93"/>
      <c r="O34" s="85"/>
      <c r="Q34" s="94"/>
      <c r="R34" s="93"/>
      <c r="S34" s="85"/>
      <c r="U34" s="94"/>
      <c r="V34" s="93"/>
      <c r="W34" s="85"/>
      <c r="Y34" s="94"/>
      <c r="Z34" s="93"/>
      <c r="AA34" s="85"/>
      <c r="AC34" s="94"/>
      <c r="AD34" s="93"/>
      <c r="AE34" s="85"/>
    </row>
    <row r="35" spans="5:31" x14ac:dyDescent="0.35">
      <c r="E35" s="85">
        <v>3</v>
      </c>
      <c r="F35" s="93">
        <v>44824</v>
      </c>
      <c r="G35" s="85" t="s">
        <v>994</v>
      </c>
      <c r="H35" s="87">
        <v>260</v>
      </c>
      <c r="I35" s="94">
        <v>1</v>
      </c>
      <c r="J35" s="93">
        <v>45172</v>
      </c>
      <c r="K35" s="85" t="s">
        <v>997</v>
      </c>
      <c r="L35" s="87">
        <v>7000</v>
      </c>
      <c r="M35" s="94"/>
      <c r="N35" s="93"/>
      <c r="O35" s="85"/>
      <c r="Q35" s="94"/>
      <c r="R35" s="93"/>
      <c r="S35" s="85"/>
      <c r="U35" s="94"/>
      <c r="V35" s="93"/>
      <c r="W35" s="85"/>
      <c r="Y35" s="94"/>
      <c r="Z35" s="93"/>
      <c r="AA35" s="85"/>
      <c r="AC35" s="94"/>
      <c r="AD35" s="93"/>
      <c r="AE35" s="85"/>
    </row>
    <row r="36" spans="5:31" x14ac:dyDescent="0.35">
      <c r="E36" s="85">
        <v>3</v>
      </c>
      <c r="F36" s="93">
        <v>44824</v>
      </c>
      <c r="G36" s="85" t="s">
        <v>995</v>
      </c>
      <c r="H36" s="87">
        <v>7400</v>
      </c>
      <c r="I36" s="94">
        <v>10</v>
      </c>
      <c r="J36" s="93">
        <v>45037</v>
      </c>
      <c r="K36" s="85" t="s">
        <v>999</v>
      </c>
      <c r="L36" s="87">
        <v>-405</v>
      </c>
      <c r="M36" s="86"/>
      <c r="N36" s="93"/>
      <c r="O36" s="85"/>
      <c r="Q36" s="94"/>
      <c r="R36" s="93"/>
      <c r="S36" s="85"/>
      <c r="U36" s="94"/>
      <c r="V36" s="93"/>
      <c r="W36" s="85"/>
      <c r="Y36" s="94"/>
      <c r="Z36" s="93"/>
      <c r="AA36" s="85"/>
      <c r="AC36" s="94"/>
      <c r="AD36" s="93"/>
      <c r="AE36" s="85"/>
    </row>
    <row r="37" spans="5:31" x14ac:dyDescent="0.35">
      <c r="E37" s="85">
        <v>1</v>
      </c>
      <c r="F37" s="93">
        <v>44701</v>
      </c>
      <c r="G37" s="85" t="s">
        <v>996</v>
      </c>
      <c r="H37" s="87">
        <v>450</v>
      </c>
      <c r="I37" s="95">
        <v>5</v>
      </c>
      <c r="J37" s="93">
        <v>45183</v>
      </c>
      <c r="K37" s="96" t="s">
        <v>880</v>
      </c>
      <c r="L37" s="87">
        <v>7269.5</v>
      </c>
      <c r="M37" s="95"/>
      <c r="N37" s="93"/>
      <c r="O37" s="85"/>
      <c r="Q37" s="94"/>
      <c r="R37" s="93"/>
      <c r="S37" s="85"/>
      <c r="U37" s="94"/>
      <c r="V37" s="93"/>
      <c r="W37" s="85"/>
      <c r="Y37" s="94"/>
      <c r="Z37" s="93"/>
      <c r="AA37" s="85"/>
      <c r="AC37" s="94"/>
      <c r="AD37" s="93"/>
      <c r="AE37" s="85"/>
    </row>
    <row r="38" spans="5:31" x14ac:dyDescent="0.35">
      <c r="E38" s="85">
        <v>1</v>
      </c>
      <c r="F38" s="93">
        <v>44691</v>
      </c>
      <c r="G38" s="85" t="s">
        <v>998</v>
      </c>
      <c r="H38" s="87">
        <v>4033</v>
      </c>
      <c r="I38" s="95" t="s">
        <v>23</v>
      </c>
      <c r="J38" s="96" t="s">
        <v>491</v>
      </c>
      <c r="K38" s="96" t="s">
        <v>1002</v>
      </c>
      <c r="L38" s="87">
        <v>3520.2</v>
      </c>
      <c r="N38" s="96"/>
      <c r="O38" s="85"/>
      <c r="Q38" s="94"/>
      <c r="R38" s="93"/>
      <c r="S38" s="85"/>
      <c r="U38" s="94"/>
      <c r="V38" s="93"/>
      <c r="W38" s="85"/>
      <c r="Y38" s="94"/>
      <c r="Z38" s="93"/>
      <c r="AA38" s="85"/>
      <c r="AC38" s="94"/>
      <c r="AD38" s="93"/>
      <c r="AE38" s="85"/>
    </row>
    <row r="39" spans="5:31" x14ac:dyDescent="0.35">
      <c r="E39" s="85">
        <v>1</v>
      </c>
      <c r="F39" s="93">
        <v>44697</v>
      </c>
      <c r="G39" s="85" t="s">
        <v>1000</v>
      </c>
      <c r="H39" s="87">
        <v>230</v>
      </c>
      <c r="I39" s="95"/>
      <c r="J39" s="96"/>
      <c r="K39" s="96"/>
      <c r="M39" s="95"/>
      <c r="N39" s="96"/>
      <c r="O39" s="85"/>
      <c r="Q39" s="94"/>
      <c r="R39" s="93"/>
      <c r="S39" s="85"/>
      <c r="U39" s="94"/>
      <c r="V39" s="93"/>
      <c r="W39" s="85"/>
      <c r="Y39" s="94"/>
      <c r="Z39" s="93"/>
      <c r="AA39" s="85"/>
      <c r="AC39" s="94"/>
      <c r="AD39" s="93"/>
      <c r="AE39" s="85"/>
    </row>
    <row r="40" spans="5:31" x14ac:dyDescent="0.35">
      <c r="E40" s="85">
        <v>1</v>
      </c>
      <c r="F40" s="93">
        <v>44699</v>
      </c>
      <c r="G40" s="85" t="s">
        <v>1001</v>
      </c>
      <c r="H40" s="87">
        <v>215</v>
      </c>
      <c r="I40" s="95"/>
      <c r="J40" s="96"/>
      <c r="K40" s="96"/>
      <c r="M40" s="95"/>
      <c r="N40" s="96"/>
      <c r="O40" s="85"/>
      <c r="Q40" s="94"/>
      <c r="R40" s="93"/>
      <c r="S40" s="85"/>
      <c r="U40" s="94"/>
      <c r="V40" s="93"/>
      <c r="W40" s="85"/>
      <c r="Y40" s="94"/>
      <c r="Z40" s="93"/>
      <c r="AA40" s="85"/>
      <c r="AC40" s="94"/>
      <c r="AD40" s="93"/>
      <c r="AE40" s="85"/>
    </row>
    <row r="41" spans="5:31" x14ac:dyDescent="0.35">
      <c r="E41" s="85">
        <v>1</v>
      </c>
      <c r="F41" s="93">
        <v>44712</v>
      </c>
      <c r="G41" s="85" t="s">
        <v>1003</v>
      </c>
      <c r="H41" s="87">
        <v>531</v>
      </c>
      <c r="I41" s="95">
        <v>1</v>
      </c>
      <c r="J41" s="96" t="s">
        <v>814</v>
      </c>
      <c r="K41" s="96" t="s">
        <v>1006</v>
      </c>
      <c r="L41" s="87">
        <v>-10000</v>
      </c>
      <c r="M41" s="95"/>
      <c r="N41" s="96"/>
      <c r="O41" s="85"/>
      <c r="Q41" s="94"/>
      <c r="R41" s="93"/>
      <c r="S41" s="85"/>
      <c r="U41" s="94"/>
      <c r="V41" s="93"/>
      <c r="W41" s="85"/>
      <c r="Y41" s="94"/>
      <c r="Z41" s="93"/>
      <c r="AA41" s="85"/>
      <c r="AC41" s="94"/>
      <c r="AD41" s="93"/>
      <c r="AE41" s="85"/>
    </row>
    <row r="42" spans="5:31" x14ac:dyDescent="0.35">
      <c r="E42" s="85">
        <v>1</v>
      </c>
      <c r="F42" s="93">
        <v>44717</v>
      </c>
      <c r="G42" s="85" t="s">
        <v>1004</v>
      </c>
      <c r="H42" s="87">
        <f>220+300</f>
        <v>520</v>
      </c>
      <c r="I42" s="94">
        <v>1</v>
      </c>
      <c r="J42" s="93">
        <v>45264</v>
      </c>
      <c r="K42" s="96" t="s">
        <v>2274</v>
      </c>
      <c r="L42" s="87">
        <v>8.33</v>
      </c>
      <c r="M42" s="95"/>
      <c r="N42" s="96"/>
      <c r="O42" s="85"/>
      <c r="Q42" s="94"/>
      <c r="R42" s="93"/>
      <c r="S42" s="85"/>
      <c r="U42" s="94"/>
      <c r="V42" s="93"/>
      <c r="W42" s="85"/>
      <c r="Y42" s="94"/>
      <c r="Z42" s="93"/>
      <c r="AA42" s="85"/>
      <c r="AC42" s="94"/>
      <c r="AD42" s="93"/>
      <c r="AE42" s="85"/>
    </row>
    <row r="43" spans="5:31" x14ac:dyDescent="0.35">
      <c r="E43" s="85">
        <v>1</v>
      </c>
      <c r="F43" s="93">
        <v>44721</v>
      </c>
      <c r="G43" s="85" t="s">
        <v>1005</v>
      </c>
      <c r="H43" s="87">
        <v>11</v>
      </c>
      <c r="I43" s="94">
        <v>10</v>
      </c>
      <c r="J43" s="93">
        <v>45239</v>
      </c>
      <c r="K43" s="85" t="s">
        <v>2297</v>
      </c>
      <c r="L43" s="87">
        <v>131.51</v>
      </c>
      <c r="M43" s="94"/>
      <c r="N43" s="93"/>
      <c r="O43" s="85"/>
      <c r="Q43" s="94"/>
      <c r="R43" s="93"/>
      <c r="S43" s="85"/>
      <c r="U43" s="94"/>
      <c r="V43" s="93"/>
      <c r="W43" s="85"/>
      <c r="Y43" s="94"/>
      <c r="Z43" s="93"/>
      <c r="AA43" s="85"/>
      <c r="AC43" s="94"/>
      <c r="AD43" s="93"/>
      <c r="AE43" s="85"/>
    </row>
    <row r="44" spans="5:31" x14ac:dyDescent="0.35">
      <c r="E44" s="85">
        <v>1</v>
      </c>
      <c r="F44" s="93">
        <v>44733</v>
      </c>
      <c r="G44" s="85" t="s">
        <v>1007</v>
      </c>
      <c r="H44" s="87">
        <v>264</v>
      </c>
      <c r="I44" s="94">
        <v>1</v>
      </c>
      <c r="J44" s="93">
        <v>45247</v>
      </c>
      <c r="K44" s="85" t="s">
        <v>2298</v>
      </c>
      <c r="L44" s="87">
        <v>62.5</v>
      </c>
      <c r="Q44" s="94"/>
      <c r="R44" s="93"/>
      <c r="S44" s="85"/>
      <c r="U44" s="94"/>
      <c r="V44" s="93"/>
      <c r="W44" s="85"/>
      <c r="Y44" s="94"/>
      <c r="Z44" s="93"/>
      <c r="AA44" s="85"/>
      <c r="AC44" s="94"/>
      <c r="AD44" s="93"/>
      <c r="AE44" s="85"/>
    </row>
    <row r="45" spans="5:31" x14ac:dyDescent="0.35">
      <c r="E45" s="85">
        <v>1</v>
      </c>
      <c r="F45" s="93">
        <v>44734</v>
      </c>
      <c r="G45" s="85" t="s">
        <v>1008</v>
      </c>
      <c r="H45" s="87">
        <v>275</v>
      </c>
      <c r="I45" s="94">
        <v>1</v>
      </c>
      <c r="J45" s="93">
        <v>45317</v>
      </c>
      <c r="K45" s="87" t="s">
        <v>2546</v>
      </c>
      <c r="L45" s="87">
        <v>160</v>
      </c>
      <c r="Q45" s="94"/>
      <c r="R45" s="93"/>
      <c r="S45" s="85"/>
      <c r="U45" s="94"/>
      <c r="V45" s="93"/>
      <c r="W45" s="85"/>
      <c r="Y45" s="94"/>
      <c r="Z45" s="93"/>
      <c r="AA45" s="85"/>
      <c r="AC45" s="94"/>
      <c r="AD45" s="93"/>
      <c r="AE45" s="85"/>
    </row>
    <row r="46" spans="5:31" x14ac:dyDescent="0.35">
      <c r="E46" s="85">
        <v>1</v>
      </c>
      <c r="F46" s="93">
        <v>44811</v>
      </c>
      <c r="G46" s="85" t="s">
        <v>1004</v>
      </c>
      <c r="H46" s="87">
        <v>200</v>
      </c>
      <c r="I46" s="95">
        <v>1</v>
      </c>
      <c r="J46" s="93">
        <v>45347</v>
      </c>
      <c r="K46" s="85" t="s">
        <v>2274</v>
      </c>
      <c r="L46" s="87">
        <v>27.5</v>
      </c>
      <c r="Q46" s="94"/>
      <c r="R46" s="93"/>
      <c r="S46" s="85"/>
      <c r="U46" s="94"/>
      <c r="V46" s="93"/>
      <c r="W46" s="85"/>
      <c r="Y46" s="94"/>
      <c r="Z46" s="93"/>
      <c r="AA46" s="85"/>
      <c r="AC46" s="94"/>
      <c r="AD46" s="93"/>
      <c r="AE46" s="85"/>
    </row>
    <row r="47" spans="5:31" x14ac:dyDescent="0.35">
      <c r="E47" s="85" t="s">
        <v>867</v>
      </c>
      <c r="F47" s="93" t="s">
        <v>676</v>
      </c>
      <c r="G47" s="85" t="s">
        <v>970</v>
      </c>
      <c r="H47" s="87">
        <v>8500</v>
      </c>
      <c r="I47" s="95">
        <v>1</v>
      </c>
      <c r="J47" s="93">
        <v>45369</v>
      </c>
      <c r="K47" s="85" t="s">
        <v>2660</v>
      </c>
      <c r="L47" s="87">
        <v>83.33</v>
      </c>
      <c r="M47" s="94"/>
      <c r="N47" s="93"/>
      <c r="O47" s="85"/>
      <c r="Q47" s="94"/>
      <c r="R47" s="93"/>
      <c r="S47" s="85"/>
      <c r="U47" s="94"/>
      <c r="V47" s="93"/>
      <c r="W47" s="85"/>
      <c r="Y47" s="94"/>
      <c r="Z47" s="93"/>
      <c r="AA47" s="85"/>
      <c r="AC47" s="94"/>
      <c r="AD47" s="93"/>
      <c r="AE47" s="85"/>
    </row>
    <row r="48" spans="5:31" x14ac:dyDescent="0.35">
      <c r="E48" s="85" t="s">
        <v>867</v>
      </c>
      <c r="F48" s="93" t="s">
        <v>676</v>
      </c>
      <c r="G48" s="85" t="s">
        <v>514</v>
      </c>
      <c r="H48" s="87">
        <v>4000</v>
      </c>
      <c r="I48" s="95">
        <v>1</v>
      </c>
      <c r="J48" s="93">
        <v>45320</v>
      </c>
      <c r="K48" s="85" t="s">
        <v>2666</v>
      </c>
      <c r="L48" s="87">
        <v>40</v>
      </c>
      <c r="M48" s="94"/>
      <c r="N48" s="93"/>
      <c r="O48" s="85"/>
      <c r="Q48" s="94"/>
      <c r="R48" s="93"/>
      <c r="S48" s="85"/>
      <c r="U48" s="94"/>
      <c r="V48" s="93"/>
      <c r="W48" s="85"/>
      <c r="Y48" s="94"/>
      <c r="Z48" s="93"/>
      <c r="AA48" s="85"/>
      <c r="AC48" s="94"/>
      <c r="AD48" s="93"/>
      <c r="AE48" s="85"/>
    </row>
    <row r="49" spans="5:31" x14ac:dyDescent="0.35">
      <c r="E49" s="85">
        <v>1</v>
      </c>
      <c r="F49" s="93" t="s">
        <v>967</v>
      </c>
      <c r="G49" s="85" t="s">
        <v>1009</v>
      </c>
      <c r="H49" s="87">
        <v>2852</v>
      </c>
      <c r="I49" s="95"/>
      <c r="J49" s="93"/>
      <c r="K49" s="85"/>
      <c r="M49" s="94"/>
      <c r="N49" s="93"/>
      <c r="O49" s="85"/>
      <c r="Q49" s="94"/>
      <c r="R49" s="93"/>
      <c r="S49" s="85"/>
      <c r="U49" s="94"/>
      <c r="V49" s="93"/>
      <c r="W49" s="85"/>
      <c r="Y49" s="94"/>
      <c r="Z49" s="93"/>
      <c r="AA49" s="85"/>
      <c r="AC49" s="94"/>
      <c r="AD49" s="93"/>
      <c r="AE49" s="85"/>
    </row>
    <row r="50" spans="5:31" x14ac:dyDescent="0.35">
      <c r="E50" s="85">
        <v>1</v>
      </c>
      <c r="F50" s="93">
        <v>44893</v>
      </c>
      <c r="G50" s="85" t="s">
        <v>1010</v>
      </c>
      <c r="H50" s="87">
        <v>210</v>
      </c>
      <c r="I50" s="95"/>
      <c r="J50" s="93"/>
      <c r="K50" s="85"/>
      <c r="M50" s="94"/>
      <c r="N50" s="93"/>
      <c r="O50" s="85"/>
      <c r="Q50" s="94"/>
      <c r="R50" s="93"/>
      <c r="S50" s="85"/>
      <c r="U50" s="94"/>
      <c r="V50" s="93"/>
      <c r="W50" s="85"/>
      <c r="Y50" s="94"/>
      <c r="Z50" s="93"/>
      <c r="AA50" s="85"/>
      <c r="AC50" s="94"/>
      <c r="AD50" s="93"/>
      <c r="AE50" s="85"/>
    </row>
    <row r="51" spans="5:31" x14ac:dyDescent="0.35">
      <c r="E51" s="85">
        <v>1</v>
      </c>
      <c r="F51" s="93">
        <v>44870</v>
      </c>
      <c r="G51" s="85" t="s">
        <v>1011</v>
      </c>
      <c r="H51" s="87">
        <v>9800</v>
      </c>
      <c r="I51" s="95"/>
      <c r="J51" s="93"/>
      <c r="K51" s="85"/>
      <c r="M51" s="94"/>
      <c r="N51" s="93"/>
      <c r="O51" s="85"/>
      <c r="Q51" s="94"/>
      <c r="R51" s="93"/>
      <c r="S51" s="85"/>
      <c r="U51" s="94"/>
      <c r="V51" s="93"/>
      <c r="W51" s="85"/>
      <c r="Y51" s="94"/>
      <c r="Z51" s="93"/>
      <c r="AA51" s="85"/>
      <c r="AC51" s="94"/>
      <c r="AD51" s="93"/>
      <c r="AE51" s="85"/>
    </row>
    <row r="52" spans="5:31" x14ac:dyDescent="0.35">
      <c r="E52" s="85">
        <v>1</v>
      </c>
      <c r="F52" s="93">
        <v>44896</v>
      </c>
      <c r="G52" s="85" t="s">
        <v>1012</v>
      </c>
      <c r="H52" s="87">
        <v>4562</v>
      </c>
      <c r="I52" s="95"/>
      <c r="J52" s="93"/>
      <c r="K52" s="85"/>
      <c r="M52" s="94"/>
      <c r="N52" s="93"/>
      <c r="O52" s="85"/>
      <c r="Q52" s="94"/>
      <c r="R52" s="93"/>
      <c r="S52" s="85"/>
      <c r="U52" s="94"/>
      <c r="V52" s="93"/>
      <c r="W52" s="85"/>
      <c r="Y52" s="94"/>
      <c r="Z52" s="93"/>
      <c r="AA52" s="85"/>
      <c r="AC52" s="94"/>
      <c r="AD52" s="93"/>
      <c r="AE52" s="85"/>
    </row>
    <row r="53" spans="5:31" x14ac:dyDescent="0.35">
      <c r="E53" s="85">
        <v>1</v>
      </c>
      <c r="F53" s="93">
        <v>44896</v>
      </c>
      <c r="G53" s="85" t="s">
        <v>1013</v>
      </c>
      <c r="H53" s="87">
        <v>402.93</v>
      </c>
      <c r="I53" s="95"/>
      <c r="J53" s="93"/>
      <c r="K53" s="85"/>
      <c r="M53" s="94"/>
      <c r="N53" s="93"/>
      <c r="O53" s="85"/>
      <c r="Q53" s="94"/>
      <c r="R53" s="93"/>
      <c r="S53" s="85"/>
      <c r="U53" s="94"/>
      <c r="V53" s="93"/>
      <c r="W53" s="85"/>
      <c r="Y53" s="94"/>
      <c r="Z53" s="93"/>
      <c r="AA53" s="85"/>
      <c r="AC53" s="94"/>
      <c r="AD53" s="93"/>
      <c r="AE53" s="85"/>
    </row>
    <row r="54" spans="5:31" x14ac:dyDescent="0.35">
      <c r="E54" s="85">
        <v>10</v>
      </c>
      <c r="F54" s="93">
        <v>44895</v>
      </c>
      <c r="G54" s="85" t="s">
        <v>1014</v>
      </c>
      <c r="H54" s="87">
        <v>1800</v>
      </c>
      <c r="I54" s="95"/>
      <c r="J54" s="93"/>
      <c r="K54" s="85"/>
      <c r="M54" s="94"/>
      <c r="N54" s="93"/>
      <c r="O54" s="85"/>
      <c r="Q54" s="94"/>
      <c r="R54" s="93"/>
      <c r="S54" s="85"/>
      <c r="U54" s="94"/>
      <c r="V54" s="93"/>
      <c r="W54" s="85"/>
      <c r="Y54" s="94"/>
      <c r="Z54" s="93"/>
      <c r="AA54" s="85"/>
      <c r="AC54" s="94"/>
      <c r="AD54" s="93"/>
      <c r="AE54" s="85"/>
    </row>
    <row r="55" spans="5:31" x14ac:dyDescent="0.35">
      <c r="E55" s="85">
        <v>10</v>
      </c>
      <c r="F55" s="93">
        <v>44895</v>
      </c>
      <c r="G55" s="85" t="s">
        <v>1015</v>
      </c>
      <c r="H55" s="87">
        <v>1300</v>
      </c>
      <c r="I55" s="94"/>
      <c r="J55" s="93"/>
      <c r="K55" s="85"/>
      <c r="M55" s="94"/>
      <c r="N55" s="93"/>
      <c r="O55" s="85"/>
      <c r="Q55" s="94"/>
      <c r="R55" s="93"/>
      <c r="S55" s="85"/>
      <c r="U55" s="94"/>
      <c r="V55" s="93"/>
      <c r="W55" s="85"/>
      <c r="Y55" s="94"/>
      <c r="Z55" s="93"/>
      <c r="AA55" s="85"/>
      <c r="AC55" s="94"/>
      <c r="AD55" s="93"/>
      <c r="AE55" s="85"/>
    </row>
    <row r="56" spans="5:31" x14ac:dyDescent="0.35">
      <c r="E56" s="85">
        <v>10</v>
      </c>
      <c r="F56" s="93">
        <v>44893</v>
      </c>
      <c r="G56" s="85" t="s">
        <v>1016</v>
      </c>
      <c r="H56" s="87">
        <f>2667.6+65.89</f>
        <v>2733.49</v>
      </c>
      <c r="I56" s="94"/>
      <c r="J56" s="93"/>
      <c r="K56" s="85"/>
      <c r="M56" s="94"/>
      <c r="N56" s="93"/>
      <c r="O56" s="85"/>
      <c r="Q56" s="94"/>
      <c r="R56" s="93"/>
      <c r="S56" s="85"/>
      <c r="U56" s="94"/>
      <c r="V56" s="93"/>
      <c r="W56" s="85"/>
      <c r="Y56" s="94"/>
      <c r="Z56" s="93"/>
      <c r="AA56" s="85"/>
      <c r="AC56" s="94"/>
      <c r="AD56" s="93"/>
      <c r="AE56" s="85"/>
    </row>
    <row r="57" spans="5:31" x14ac:dyDescent="0.35">
      <c r="E57" s="85" t="s">
        <v>867</v>
      </c>
      <c r="F57" s="93" t="s">
        <v>491</v>
      </c>
      <c r="G57" s="85" t="s">
        <v>780</v>
      </c>
      <c r="H57" s="87">
        <v>16000</v>
      </c>
      <c r="I57" s="94"/>
      <c r="J57" s="93"/>
      <c r="K57" s="85"/>
      <c r="M57" s="94"/>
      <c r="N57" s="93"/>
      <c r="O57" s="85"/>
      <c r="Q57" s="94"/>
      <c r="R57" s="93"/>
      <c r="S57" s="85"/>
      <c r="U57" s="94"/>
      <c r="V57" s="93"/>
      <c r="W57" s="85"/>
      <c r="Y57" s="94"/>
      <c r="Z57" s="93"/>
      <c r="AA57" s="85"/>
      <c r="AC57" s="94"/>
      <c r="AD57" s="93"/>
      <c r="AE57" s="85"/>
    </row>
    <row r="58" spans="5:31" ht="72.5" x14ac:dyDescent="0.35">
      <c r="E58" s="85" t="s">
        <v>867</v>
      </c>
      <c r="F58" s="97" t="s">
        <v>491</v>
      </c>
      <c r="G58" s="98" t="s">
        <v>1017</v>
      </c>
      <c r="H58" s="90">
        <v>7600</v>
      </c>
      <c r="I58" s="94"/>
      <c r="J58" s="93"/>
      <c r="K58" s="85"/>
      <c r="M58" s="94"/>
      <c r="N58" s="93"/>
      <c r="O58" s="85"/>
      <c r="Q58" s="94"/>
      <c r="R58" s="93"/>
      <c r="S58" s="85"/>
      <c r="U58" s="94"/>
      <c r="V58" s="93"/>
      <c r="W58" s="85"/>
      <c r="Y58" s="94"/>
      <c r="Z58" s="93"/>
      <c r="AA58" s="85"/>
      <c r="AC58" s="94"/>
      <c r="AD58" s="93"/>
      <c r="AE58" s="85"/>
    </row>
    <row r="59" spans="5:31" ht="43.5" x14ac:dyDescent="0.35">
      <c r="E59" s="85" t="s">
        <v>867</v>
      </c>
      <c r="F59" s="97" t="s">
        <v>491</v>
      </c>
      <c r="G59" s="98" t="s">
        <v>973</v>
      </c>
      <c r="H59" s="90">
        <v>20000</v>
      </c>
      <c r="I59" s="94"/>
      <c r="J59" s="93"/>
      <c r="K59" s="85"/>
      <c r="M59" s="94"/>
      <c r="N59" s="93"/>
      <c r="O59" s="85"/>
      <c r="Q59" s="94"/>
      <c r="R59" s="93"/>
      <c r="S59" s="85"/>
      <c r="U59" s="94"/>
      <c r="V59" s="93"/>
      <c r="W59" s="85"/>
      <c r="Y59" s="94"/>
      <c r="Z59" s="93"/>
      <c r="AA59" s="85"/>
      <c r="AC59" s="94"/>
      <c r="AD59" s="93"/>
      <c r="AE59" s="85"/>
    </row>
    <row r="60" spans="5:31" x14ac:dyDescent="0.35">
      <c r="E60" s="92">
        <v>1</v>
      </c>
      <c r="F60" s="97" t="s">
        <v>784</v>
      </c>
      <c r="G60" s="92" t="s">
        <v>1018</v>
      </c>
      <c r="H60" s="90">
        <v>3000</v>
      </c>
      <c r="I60" s="94"/>
      <c r="J60" s="93"/>
      <c r="K60" s="85"/>
      <c r="M60" s="94"/>
      <c r="N60" s="93"/>
      <c r="O60" s="85"/>
      <c r="Q60" s="94"/>
      <c r="R60" s="93"/>
      <c r="S60" s="85"/>
      <c r="U60" s="94"/>
      <c r="V60" s="93"/>
      <c r="W60" s="85"/>
      <c r="Y60" s="94"/>
      <c r="Z60" s="93"/>
      <c r="AA60" s="85"/>
      <c r="AC60" s="94"/>
      <c r="AD60" s="93"/>
      <c r="AE60" s="85"/>
    </row>
    <row r="61" spans="5:31" x14ac:dyDescent="0.35">
      <c r="E61" s="92">
        <v>1</v>
      </c>
      <c r="F61" s="97" t="s">
        <v>784</v>
      </c>
      <c r="G61" s="92" t="s">
        <v>785</v>
      </c>
      <c r="H61" s="90">
        <v>5000</v>
      </c>
      <c r="I61" s="94"/>
      <c r="J61" s="93"/>
      <c r="K61" s="85"/>
      <c r="M61" s="94"/>
      <c r="N61" s="93"/>
      <c r="O61" s="85"/>
      <c r="Q61" s="94"/>
      <c r="R61" s="93"/>
      <c r="S61" s="85"/>
      <c r="U61" s="94"/>
      <c r="V61" s="93"/>
      <c r="W61" s="85"/>
      <c r="Y61" s="94"/>
      <c r="Z61" s="93"/>
      <c r="AA61" s="85"/>
      <c r="AC61" s="94"/>
      <c r="AD61" s="93"/>
      <c r="AE61" s="85"/>
    </row>
    <row r="62" spans="5:31" x14ac:dyDescent="0.35">
      <c r="E62" s="92">
        <v>1</v>
      </c>
      <c r="F62" s="97" t="s">
        <v>784</v>
      </c>
      <c r="G62" s="92" t="s">
        <v>1019</v>
      </c>
      <c r="H62" s="90">
        <v>-12975</v>
      </c>
      <c r="I62" s="94"/>
      <c r="J62" s="93"/>
      <c r="K62" s="85"/>
      <c r="M62" s="94"/>
      <c r="N62" s="93"/>
      <c r="O62" s="85"/>
      <c r="Q62" s="94"/>
      <c r="R62" s="93"/>
      <c r="S62" s="85"/>
      <c r="U62" s="94"/>
      <c r="V62" s="93"/>
      <c r="W62" s="85"/>
      <c r="Y62" s="94"/>
      <c r="Z62" s="93"/>
      <c r="AA62" s="85"/>
      <c r="AC62" s="94"/>
      <c r="AD62" s="93"/>
      <c r="AE62" s="85"/>
    </row>
    <row r="63" spans="5:31" x14ac:dyDescent="0.35">
      <c r="E63" s="92">
        <v>1</v>
      </c>
      <c r="F63" s="93">
        <v>45009</v>
      </c>
      <c r="G63" s="85" t="s">
        <v>1020</v>
      </c>
      <c r="H63" s="87">
        <v>8168</v>
      </c>
      <c r="I63" s="94"/>
      <c r="J63" s="93"/>
      <c r="K63" s="85"/>
      <c r="M63" s="94"/>
      <c r="N63" s="93"/>
      <c r="O63" s="85"/>
      <c r="Q63" s="94"/>
      <c r="R63" s="93"/>
      <c r="S63" s="85"/>
      <c r="U63" s="94"/>
      <c r="V63" s="93"/>
      <c r="W63" s="85"/>
      <c r="Y63" s="94"/>
      <c r="Z63" s="93"/>
      <c r="AA63" s="85"/>
      <c r="AC63" s="94"/>
      <c r="AD63" s="93"/>
      <c r="AE63" s="85"/>
    </row>
    <row r="64" spans="5:31" x14ac:dyDescent="0.35">
      <c r="E64" s="92">
        <v>1</v>
      </c>
      <c r="F64" s="93">
        <v>45009</v>
      </c>
      <c r="G64" s="85" t="s">
        <v>1021</v>
      </c>
      <c r="H64" s="87">
        <v>840</v>
      </c>
      <c r="I64" s="94"/>
      <c r="J64" s="93"/>
      <c r="K64" s="85"/>
      <c r="M64" s="94"/>
      <c r="N64" s="93"/>
      <c r="O64" s="85"/>
      <c r="Q64" s="94"/>
      <c r="R64" s="93"/>
      <c r="S64" s="85"/>
      <c r="U64" s="94"/>
      <c r="V64" s="93"/>
      <c r="W64" s="85"/>
      <c r="Y64" s="94"/>
      <c r="Z64" s="93"/>
      <c r="AA64" s="85"/>
      <c r="AC64" s="94"/>
      <c r="AD64" s="93"/>
      <c r="AE64" s="85"/>
    </row>
    <row r="65" spans="5:31" x14ac:dyDescent="0.35">
      <c r="E65" s="92">
        <v>10</v>
      </c>
      <c r="F65" s="93">
        <v>45012</v>
      </c>
      <c r="G65" s="85" t="s">
        <v>1022</v>
      </c>
      <c r="H65" s="87">
        <v>465</v>
      </c>
      <c r="I65" s="94"/>
      <c r="J65" s="93"/>
      <c r="K65" s="85"/>
      <c r="M65" s="94"/>
      <c r="N65" s="93"/>
      <c r="O65" s="85"/>
      <c r="Q65" s="94"/>
      <c r="R65" s="93"/>
      <c r="S65" s="85"/>
      <c r="U65" s="94"/>
      <c r="V65" s="93"/>
      <c r="W65" s="85"/>
      <c r="Y65" s="94"/>
      <c r="Z65" s="93"/>
      <c r="AA65" s="85"/>
      <c r="AC65" s="94"/>
      <c r="AD65" s="93"/>
      <c r="AE65" s="85"/>
    </row>
    <row r="66" spans="5:31" x14ac:dyDescent="0.35">
      <c r="E66" s="92">
        <v>1</v>
      </c>
      <c r="F66" s="93">
        <v>45009</v>
      </c>
      <c r="G66" s="85" t="s">
        <v>1023</v>
      </c>
      <c r="H66" s="87">
        <v>-548.22</v>
      </c>
      <c r="I66" s="94"/>
      <c r="J66" s="93"/>
      <c r="K66" s="85"/>
      <c r="M66" s="94"/>
      <c r="N66" s="93"/>
      <c r="O66" s="85"/>
      <c r="Q66" s="94"/>
      <c r="R66" s="93"/>
      <c r="S66" s="85"/>
      <c r="U66" s="94"/>
      <c r="V66" s="93"/>
      <c r="W66" s="85"/>
      <c r="Y66" s="94"/>
      <c r="Z66" s="93"/>
      <c r="AA66" s="85"/>
      <c r="AC66" s="94"/>
      <c r="AD66" s="93"/>
      <c r="AE66" s="85"/>
    </row>
    <row r="67" spans="5:31" x14ac:dyDescent="0.35">
      <c r="F67" s="85"/>
      <c r="G67" s="85"/>
      <c r="H67" s="85"/>
      <c r="I67" s="94"/>
      <c r="J67" s="93"/>
      <c r="K67" s="85"/>
      <c r="M67" s="94"/>
      <c r="N67" s="93"/>
      <c r="O67" s="85"/>
      <c r="Q67" s="94"/>
      <c r="R67" s="93"/>
      <c r="S67" s="85"/>
      <c r="U67" s="94"/>
      <c r="V67" s="93"/>
      <c r="W67" s="85"/>
      <c r="Y67" s="94"/>
      <c r="Z67" s="93"/>
      <c r="AA67" s="85"/>
      <c r="AC67" s="94"/>
      <c r="AD67" s="93"/>
      <c r="AE67" s="85"/>
    </row>
    <row r="68" spans="5:31" x14ac:dyDescent="0.35">
      <c r="G68" s="85"/>
      <c r="H68" s="87"/>
      <c r="I68" s="94"/>
      <c r="J68" s="93"/>
      <c r="K68" s="85"/>
      <c r="M68" s="94"/>
      <c r="N68" s="93"/>
      <c r="O68" s="85"/>
      <c r="Q68" s="94"/>
      <c r="R68" s="93"/>
      <c r="S68" s="85"/>
      <c r="U68" s="94"/>
      <c r="V68" s="93"/>
      <c r="W68" s="85"/>
      <c r="Y68" s="94"/>
      <c r="Z68" s="93"/>
      <c r="AA68" s="85"/>
      <c r="AC68" s="94"/>
      <c r="AD68" s="93"/>
      <c r="AE68" s="85"/>
    </row>
    <row r="69" spans="5:31" x14ac:dyDescent="0.35">
      <c r="G69" s="85"/>
      <c r="H69" s="87"/>
      <c r="I69" s="94"/>
      <c r="J69" s="93"/>
      <c r="K69" s="85"/>
      <c r="M69" s="94"/>
      <c r="N69" s="93"/>
      <c r="O69" s="85"/>
      <c r="Q69" s="94"/>
      <c r="R69" s="93"/>
      <c r="S69" s="85"/>
      <c r="U69" s="94"/>
      <c r="V69" s="93"/>
      <c r="W69" s="85"/>
      <c r="Y69" s="94"/>
      <c r="Z69" s="93"/>
      <c r="AA69" s="85"/>
      <c r="AC69" s="94"/>
      <c r="AD69" s="93"/>
      <c r="AE69" s="85"/>
    </row>
    <row r="70" spans="5:31" x14ac:dyDescent="0.35">
      <c r="G70" s="85"/>
      <c r="H70" s="87"/>
      <c r="I70" s="94"/>
      <c r="J70" s="93"/>
      <c r="K70" s="85"/>
      <c r="M70" s="94"/>
      <c r="N70" s="93"/>
      <c r="O70" s="85"/>
      <c r="Q70" s="94"/>
      <c r="R70" s="93"/>
      <c r="S70" s="85"/>
      <c r="U70" s="94"/>
      <c r="V70" s="93"/>
      <c r="W70" s="85"/>
      <c r="Y70" s="94"/>
      <c r="Z70" s="93"/>
      <c r="AA70" s="85"/>
      <c r="AC70" s="94"/>
      <c r="AD70" s="93"/>
      <c r="AE70" s="85"/>
    </row>
    <row r="71" spans="5:31" x14ac:dyDescent="0.35">
      <c r="G71" s="85"/>
      <c r="H71" s="87"/>
      <c r="I71" s="94"/>
      <c r="J71" s="93"/>
      <c r="K71" s="85"/>
      <c r="M71" s="94"/>
      <c r="N71" s="93"/>
      <c r="O71" s="85"/>
      <c r="Q71" s="94"/>
      <c r="R71" s="93"/>
      <c r="S71" s="85"/>
      <c r="U71" s="94"/>
      <c r="V71" s="93"/>
      <c r="W71" s="85"/>
      <c r="Y71" s="94"/>
      <c r="Z71" s="93"/>
      <c r="AA71" s="85"/>
      <c r="AC71" s="94"/>
      <c r="AD71" s="93"/>
      <c r="AE71" s="85"/>
    </row>
    <row r="72" spans="5:31" x14ac:dyDescent="0.35">
      <c r="G72" s="85"/>
      <c r="H72" s="87"/>
      <c r="I72" s="94"/>
      <c r="J72" s="93"/>
      <c r="K72" s="85"/>
      <c r="M72" s="94"/>
      <c r="N72" s="93"/>
      <c r="O72" s="85"/>
      <c r="Q72" s="94"/>
      <c r="R72" s="93"/>
      <c r="S72" s="85"/>
      <c r="U72" s="94"/>
      <c r="V72" s="93"/>
      <c r="W72" s="85"/>
      <c r="Y72" s="94"/>
      <c r="Z72" s="93"/>
      <c r="AA72" s="85"/>
      <c r="AC72" s="94"/>
      <c r="AD72" s="93"/>
      <c r="AE72" s="85"/>
    </row>
    <row r="73" spans="5:31" x14ac:dyDescent="0.35">
      <c r="G73" s="85"/>
      <c r="H73" s="87"/>
      <c r="I73" s="94"/>
      <c r="J73" s="93"/>
      <c r="K73" s="85"/>
      <c r="M73" s="94"/>
      <c r="N73" s="93"/>
      <c r="O73" s="85"/>
      <c r="Q73" s="94"/>
      <c r="R73" s="93"/>
      <c r="S73" s="85"/>
      <c r="U73" s="94"/>
      <c r="V73" s="93"/>
      <c r="W73" s="85"/>
      <c r="Y73" s="94"/>
      <c r="Z73" s="93"/>
      <c r="AA73" s="85"/>
      <c r="AC73" s="94"/>
      <c r="AD73" s="93"/>
      <c r="AE73" s="85"/>
    </row>
    <row r="74" spans="5:31" x14ac:dyDescent="0.35">
      <c r="G74" s="85"/>
      <c r="H74" s="87"/>
      <c r="I74" s="94"/>
      <c r="J74" s="93"/>
      <c r="K74" s="85"/>
      <c r="M74" s="94"/>
      <c r="N74" s="93"/>
      <c r="O74" s="85"/>
      <c r="Q74" s="94"/>
      <c r="R74" s="93"/>
      <c r="S74" s="85"/>
      <c r="U74" s="94"/>
      <c r="V74" s="93"/>
      <c r="W74" s="85"/>
      <c r="Y74" s="94"/>
      <c r="Z74" s="93"/>
      <c r="AA74" s="85"/>
      <c r="AC74" s="94"/>
      <c r="AD74" s="93"/>
      <c r="AE74" s="85"/>
    </row>
    <row r="75" spans="5:31" x14ac:dyDescent="0.35">
      <c r="G75" s="85"/>
      <c r="H75" s="87"/>
      <c r="I75" s="94"/>
      <c r="J75" s="93"/>
      <c r="K75" s="85"/>
      <c r="M75" s="94"/>
      <c r="N75" s="93"/>
      <c r="O75" s="85"/>
      <c r="Q75" s="94"/>
      <c r="R75" s="93"/>
      <c r="S75" s="85"/>
      <c r="U75" s="94"/>
      <c r="V75" s="93"/>
      <c r="W75" s="85"/>
      <c r="Y75" s="94"/>
      <c r="Z75" s="93"/>
      <c r="AA75" s="85"/>
      <c r="AC75" s="94"/>
      <c r="AD75" s="93"/>
      <c r="AE75" s="85"/>
    </row>
    <row r="76" spans="5:31" x14ac:dyDescent="0.35">
      <c r="G76" s="85"/>
      <c r="H76" s="87"/>
      <c r="I76" s="94"/>
      <c r="J76" s="93"/>
      <c r="K76" s="85"/>
      <c r="M76" s="94"/>
      <c r="N76" s="93"/>
      <c r="O76" s="85"/>
      <c r="Q76" s="94"/>
      <c r="R76" s="93"/>
      <c r="S76" s="85"/>
      <c r="U76" s="94"/>
      <c r="V76" s="93"/>
      <c r="W76" s="85"/>
      <c r="Y76" s="94"/>
      <c r="Z76" s="93"/>
      <c r="AA76" s="85"/>
      <c r="AC76" s="94"/>
      <c r="AD76" s="93"/>
      <c r="AE76" s="85"/>
    </row>
    <row r="77" spans="5:31" x14ac:dyDescent="0.35">
      <c r="G77" s="85"/>
      <c r="H77" s="87"/>
      <c r="I77" s="94"/>
      <c r="J77" s="93"/>
      <c r="K77" s="85"/>
      <c r="M77" s="94"/>
      <c r="N77" s="93"/>
      <c r="O77" s="85"/>
      <c r="Q77" s="94"/>
      <c r="R77" s="93"/>
      <c r="S77" s="85"/>
      <c r="U77" s="94"/>
      <c r="V77" s="93"/>
      <c r="W77" s="85"/>
      <c r="Y77" s="94"/>
      <c r="Z77" s="93"/>
      <c r="AA77" s="85"/>
      <c r="AC77" s="94"/>
      <c r="AD77" s="93"/>
      <c r="AE77" s="85"/>
    </row>
    <row r="78" spans="5:31" x14ac:dyDescent="0.35">
      <c r="G78" s="85"/>
      <c r="H78" s="87"/>
      <c r="I78" s="94"/>
      <c r="J78" s="93"/>
      <c r="K78" s="85"/>
      <c r="M78" s="94"/>
      <c r="N78" s="93"/>
      <c r="O78" s="85"/>
      <c r="Q78" s="94"/>
      <c r="R78" s="93"/>
      <c r="S78" s="85"/>
      <c r="U78" s="94"/>
      <c r="V78" s="93"/>
      <c r="W78" s="85"/>
      <c r="Y78" s="94"/>
      <c r="Z78" s="93"/>
      <c r="AA78" s="85"/>
      <c r="AC78" s="94"/>
      <c r="AD78" s="93"/>
      <c r="AE78" s="85"/>
    </row>
    <row r="79" spans="5:31" x14ac:dyDescent="0.35">
      <c r="G79" s="85"/>
      <c r="H79" s="87"/>
      <c r="I79" s="94"/>
      <c r="J79" s="93"/>
      <c r="K79" s="85"/>
      <c r="M79" s="94"/>
      <c r="N79" s="93"/>
      <c r="O79" s="85"/>
      <c r="Q79" s="94"/>
      <c r="R79" s="93"/>
      <c r="S79" s="85"/>
      <c r="U79" s="94"/>
      <c r="V79" s="93"/>
      <c r="W79" s="85"/>
      <c r="Y79" s="94"/>
      <c r="Z79" s="93"/>
      <c r="AA79" s="85"/>
      <c r="AC79" s="94"/>
      <c r="AD79" s="93"/>
      <c r="AE79" s="85"/>
    </row>
    <row r="80" spans="5: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Q1000" s="94"/>
      <c r="R1000" s="93"/>
      <c r="S1000" s="85"/>
      <c r="U1000" s="94"/>
      <c r="V1000" s="93"/>
      <c r="W1000" s="85"/>
      <c r="Y1000" s="94"/>
      <c r="Z1000" s="93"/>
      <c r="AA1000" s="85"/>
      <c r="AC1000" s="94"/>
      <c r="AD1000" s="93"/>
      <c r="AE1000" s="85"/>
    </row>
    <row r="1001" spans="7:31" x14ac:dyDescent="0.35">
      <c r="I1001" s="94"/>
      <c r="J1001" s="93"/>
      <c r="K1001" s="85"/>
    </row>
    <row r="1002" spans="7:31" x14ac:dyDescent="0.35">
      <c r="I1002" s="94"/>
      <c r="J1002" s="93"/>
      <c r="K1002" s="85"/>
    </row>
  </sheetData>
  <conditionalFormatting sqref="A1:AG19 A20:L1048576 Q20:AG1048576 M20:P20">
    <cfRule type="expression" dxfId="71" priority="1">
      <formula>$A4="Spend to Date"</formula>
    </cfRule>
    <cfRule type="expression" dxfId="70" priority="2">
      <formula>$A4="Spend to Date"</formula>
    </cfRule>
  </conditionalFormatting>
  <conditionalFormatting sqref="M21:P1048576">
    <cfRule type="expression" dxfId="69" priority="45">
      <formula>$A23="Spend to Date"</formula>
    </cfRule>
    <cfRule type="expression" dxfId="68" priority="46">
      <formula>$A23="Spend to Date"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3F3C-F813-4D02-A25F-A889D7774931}">
  <sheetPr codeName="Sheet9"/>
  <dimension ref="A1:AG1000"/>
  <sheetViews>
    <sheetView zoomScaleNormal="100" workbookViewId="0">
      <pane xSplit="2" ySplit="1" topLeftCell="J15" activePane="bottomRight" state="frozen"/>
      <selection pane="topRight" activeCell="C1" sqref="C1"/>
      <selection pane="bottomLeft" activeCell="A2" sqref="A2"/>
      <selection pane="bottomRight" activeCell="Q31" sqref="Q31"/>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30.54296875" style="87" bestFit="1" customWidth="1"/>
    <col min="8" max="8" width="12.7265625" style="88" bestFit="1" customWidth="1"/>
    <col min="9" max="9" width="13.81640625" style="94" bestFit="1" customWidth="1"/>
    <col min="10" max="10" width="19.54296875" style="87" bestFit="1" customWidth="1"/>
    <col min="11" max="11" width="11" style="87" bestFit="1" customWidth="1"/>
    <col min="12" max="12" width="37.453125" style="87" customWidth="1"/>
    <col min="13" max="13" width="13.81640625" style="94" bestFit="1" customWidth="1"/>
    <col min="14" max="14" width="13.81640625" style="87" customWidth="1"/>
    <col min="15" max="15" width="11.54296875" style="87" bestFit="1" customWidth="1"/>
    <col min="16" max="16" width="31.816406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97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0</v>
      </c>
      <c r="F2" s="87">
        <f>SUM(F3:F3)</f>
        <v>10580</v>
      </c>
      <c r="I2" s="89">
        <f>SUM(I3:I4)</f>
        <v>-36451</v>
      </c>
      <c r="J2" s="87">
        <f>SUM(J3:J4)</f>
        <v>0</v>
      </c>
      <c r="M2" s="89">
        <f>SUM(M3:M4)</f>
        <v>-40800</v>
      </c>
      <c r="N2" s="87">
        <f>SUM(N3:N4)</f>
        <v>0</v>
      </c>
      <c r="Q2" s="89">
        <f>SUM(Q3:Q4)</f>
        <v>0</v>
      </c>
      <c r="R2" s="87">
        <f>SUM(R3:R4)</f>
        <v>0</v>
      </c>
      <c r="U2" s="89">
        <f>SUM(U3:U4)</f>
        <v>0</v>
      </c>
      <c r="V2" s="87">
        <f>SUM(V3:V4)</f>
        <v>0</v>
      </c>
      <c r="Y2" s="89">
        <f>SUM(Y3:Y4)</f>
        <v>0</v>
      </c>
      <c r="Z2" s="87">
        <f>SUM(Z3:Z4)</f>
        <v>0</v>
      </c>
      <c r="AC2" s="89">
        <f>SUM(AC3:AC4)</f>
        <v>0</v>
      </c>
      <c r="AD2" s="87">
        <f>SUM(AD3:AD4)</f>
        <v>0</v>
      </c>
    </row>
    <row r="3" spans="1:33" ht="29" x14ac:dyDescent="0.35">
      <c r="A3" s="86" t="s">
        <v>97</v>
      </c>
      <c r="B3" s="85">
        <v>1</v>
      </c>
      <c r="D3" s="86">
        <v>27871</v>
      </c>
      <c r="E3" s="87">
        <v>0</v>
      </c>
      <c r="F3" s="87">
        <f>SUMIFS(H$21:H$1007,E$21:E$1007,1)</f>
        <v>10580</v>
      </c>
      <c r="G3" s="87">
        <f>D3+E3-F3+SUMIFS(E$7:E$15,$C$7:$C$15,$A3)-SUMIFS(F$7:F$15,$C$7:$C$15,$A3)</f>
        <v>17291</v>
      </c>
      <c r="I3" s="89">
        <v>-18924</v>
      </c>
      <c r="J3" s="87">
        <f>SUMIFS(L$21:L$1006,I$21:I$1006,1)</f>
        <v>0</v>
      </c>
      <c r="K3" s="87">
        <f>G3+I3-J3+SUMIFS(I$7:I$15,$C$7:$C$15,$A3)-SUMIFS(J$7:J$15,$C$7:$C$15,$A3)</f>
        <v>43910.29</v>
      </c>
      <c r="L3" s="84" t="s">
        <v>98</v>
      </c>
      <c r="M3" s="89">
        <f>-40800-M4</f>
        <v>-38170</v>
      </c>
      <c r="N3" s="87">
        <f>SUMIFS(P$21:P$1007,M$21:M$1007,1)</f>
        <v>650</v>
      </c>
      <c r="O3" s="87">
        <f>K3+M3-N3+SUMIFS(M$7:M$15,$C$7:$C$15,$A3)-SUMIFS(N$7:N$15,$C$7:$C$15,$A3)</f>
        <v>45890.29</v>
      </c>
      <c r="R3" s="87">
        <f>SUMIFS(T$21:T$1007,Q$21:Q$1007,1)</f>
        <v>0</v>
      </c>
      <c r="S3" s="87">
        <f>O3+Q3-R3+SUMIFS(Q$7:Q$15,$C$7:$C$15,$A3)-SUMIFS(R$7:R$15,$C$7:$C$15,$A3)</f>
        <v>45890.290000000008</v>
      </c>
      <c r="V3" s="87">
        <f>SUMIFS(X$21:X$1007,U$21:U$1007,1)</f>
        <v>0</v>
      </c>
      <c r="W3" s="87">
        <f>S3+U3-V3+SUMIFS(U$7:U$15,$C$7:$C$15,$A3)-SUMIFS(V$7:V$15,$C$7:$C$15,$A3)</f>
        <v>45890.290000000008</v>
      </c>
      <c r="Z3" s="87">
        <f>SUMIFS(AB$21:AB$1007,Y$21:Y$1007,1)</f>
        <v>0</v>
      </c>
      <c r="AA3" s="87">
        <f>W3+Y3-Z3+SUMIFS(Y$7:Y$15,$C$7:$C$15,$A3)-SUMIFS(Z$7:Z$15,$C$7:$C$15,$A3)</f>
        <v>45890.290000000008</v>
      </c>
      <c r="AD3" s="87">
        <f>SUMIFS(AF$21:AF$1007,AC$21:AC$1007,1)</f>
        <v>0</v>
      </c>
      <c r="AE3" s="87">
        <f>AA3+AC3-AD3+SUMIFS(AC$7:AC$15,$C$7:$C$15,$A3)-SUMIFS(AD$7:AD$15,$C$7:$C$15,$A3)</f>
        <v>45890.290000000008</v>
      </c>
      <c r="AG3" s="87">
        <v>75000</v>
      </c>
    </row>
    <row r="4" spans="1:33" x14ac:dyDescent="0.35">
      <c r="A4" s="86" t="s">
        <v>99</v>
      </c>
      <c r="B4" s="85">
        <v>2</v>
      </c>
      <c r="D4" s="86">
        <v>17527</v>
      </c>
      <c r="E4" s="87">
        <v>0</v>
      </c>
      <c r="F4" s="87">
        <f>SUMIFS(H$21:H$1007,E$21:E$1007,2)</f>
        <v>17527</v>
      </c>
      <c r="G4" s="87">
        <f>D4+E4-F4+SUMIFS(E$7:E$15,$C$7:$C$15,$A4)-SUMIFS(F$7:F$15,$C$7:$C$15,$A4)</f>
        <v>0</v>
      </c>
      <c r="I4" s="89">
        <v>-17527</v>
      </c>
      <c r="J4" s="87">
        <f>SUMIFS(L$21:L$1006,I$21:I$1006,2)</f>
        <v>0</v>
      </c>
      <c r="K4" s="87">
        <f>G4+I4-J4+SUMIFS(I$7:I$15,$C$7:$C$15,$A4)-SUMIFS(J$7:J$15,$C$7:$C$15,$A4)</f>
        <v>1980</v>
      </c>
      <c r="L4" s="84" t="s">
        <v>100</v>
      </c>
      <c r="M4" s="89">
        <v>-2630</v>
      </c>
      <c r="N4" s="87">
        <f>SUMIFS(P$21:P$1007,M$21:M$1007,2)</f>
        <v>-650</v>
      </c>
      <c r="O4" s="87">
        <f>K4+M4-N4+SUMIFS(M$7:M$15,$C$7:$C$15,$A4)-SUMIFS(N$7:N$15,$C$7:$C$15,$A4)</f>
        <v>0</v>
      </c>
      <c r="R4" s="87">
        <f>SUMIFS(T$21:T$1007,Q$21:Q$1007,2)</f>
        <v>0</v>
      </c>
      <c r="S4" s="87">
        <f>O4+Q4-R4+SUMIFS(Q$7:Q$15,$C$7:$C$15,$A4)-SUMIFS(R$7:R$15,$C$7:$C$15,$A4)</f>
        <v>0</v>
      </c>
      <c r="V4" s="87">
        <f>SUMIFS(X$21:X$1007,U$21:U$1007,2)</f>
        <v>0</v>
      </c>
      <c r="W4" s="87">
        <f>S4+U4-V4+SUMIFS(U$7:U$15,$C$7:$C$15,$A4)-SUMIFS(V$7:V$15,$C$7:$C$15,$A4)</f>
        <v>0</v>
      </c>
      <c r="Z4" s="87">
        <f>SUMIFS(AB$21:AB$1007,Y$21:Y$1007,2)</f>
        <v>0</v>
      </c>
      <c r="AA4" s="87">
        <f>W4+Y4-Z4+SUMIFS(Y$7:Y$15,$C$7:$C$15,$A4)-SUMIFS(Z$7:Z$15,$C$7:$C$15,$A4)</f>
        <v>0</v>
      </c>
      <c r="AD4" s="87">
        <f>SUMIFS(AF$21:AF$1007,AC$21:AC$1007,2)</f>
        <v>0</v>
      </c>
      <c r="AE4" s="87">
        <f>AA4+AC4-AD4+SUMIFS(AC$7:AC$15,$C$7:$C$15,$A4)-SUMIFS(AD$7:AD$15,$C$7:$C$15,$A4)</f>
        <v>0</v>
      </c>
    </row>
    <row r="5" spans="1:33" ht="14.5" customHeight="1" x14ac:dyDescent="0.35">
      <c r="E5" s="87"/>
      <c r="I5" s="89"/>
      <c r="M5" s="89"/>
    </row>
    <row r="6" spans="1:33" ht="14.5" customHeight="1" x14ac:dyDescent="0.35">
      <c r="A6" s="84" t="s">
        <v>101</v>
      </c>
      <c r="D6" s="84"/>
      <c r="E6" s="87">
        <f>SUM(E7:E15)</f>
        <v>20000</v>
      </c>
      <c r="F6" s="87">
        <f>SUM(F7:F15)</f>
        <v>20000</v>
      </c>
      <c r="I6" s="89">
        <f>SUM(I7:I15)</f>
        <v>75000</v>
      </c>
      <c r="J6" s="87">
        <f>SUM(J7:J15)</f>
        <v>9949.7099999999991</v>
      </c>
      <c r="M6" s="89">
        <f>SUM(M7:M15)</f>
        <v>40800</v>
      </c>
      <c r="N6" s="87">
        <f>SUM(N7:N15)</f>
        <v>0</v>
      </c>
      <c r="Q6" s="89">
        <f>SUM(Q7:Q15)</f>
        <v>53199</v>
      </c>
      <c r="R6" s="87">
        <f>$Q$6</f>
        <v>53199</v>
      </c>
      <c r="U6" s="89">
        <f>SUM(U7:U15)</f>
        <v>52656</v>
      </c>
      <c r="V6" s="87">
        <f>$U$6</f>
        <v>52656</v>
      </c>
      <c r="Y6" s="89">
        <f>SUM(Y7:Y15)</f>
        <v>54237</v>
      </c>
      <c r="Z6" s="87">
        <f>$Y$6</f>
        <v>54237</v>
      </c>
      <c r="AC6" s="89">
        <f>SUM(AC7:AC15)</f>
        <v>55865</v>
      </c>
      <c r="AD6" s="87">
        <f>$AC$6</f>
        <v>55865</v>
      </c>
    </row>
    <row r="7" spans="1:33" ht="14.5" customHeight="1" x14ac:dyDescent="0.35">
      <c r="A7" s="86" t="s">
        <v>101</v>
      </c>
      <c r="B7" s="85">
        <v>3</v>
      </c>
      <c r="C7" s="86" t="s">
        <v>97</v>
      </c>
      <c r="D7" s="84"/>
      <c r="E7" s="87">
        <v>20000</v>
      </c>
      <c r="F7" s="87">
        <f>SUMIFS(H$21:H$1007,E$21:E$1007,$B7)</f>
        <v>20000</v>
      </c>
      <c r="I7" s="91">
        <v>0</v>
      </c>
      <c r="J7" s="90">
        <f t="shared" ref="J7:J15" si="0">SUMIFS(L$21:L$1006,I$21:I$1006,$B7)</f>
        <v>0</v>
      </c>
      <c r="M7" s="89">
        <f t="shared" ref="M7:M13" si="1">ROUNDUP((I7)*RPI,0)</f>
        <v>0</v>
      </c>
      <c r="N7" s="87">
        <f t="shared" ref="N7:N15" si="2">SUMIFS(P$21:P$1006,M$21:M$1006,$B7)</f>
        <v>0</v>
      </c>
      <c r="Q7" s="89">
        <f t="shared" ref="Q7:Q14" si="3">ROUNDUP((M7)*RPI,0)</f>
        <v>0</v>
      </c>
      <c r="R7" s="87">
        <f>$Q$7</f>
        <v>0</v>
      </c>
      <c r="U7" s="89">
        <f t="shared" ref="U7:U14" si="4">ROUNDUP((Q7)*RPI,0)</f>
        <v>0</v>
      </c>
      <c r="V7" s="87">
        <f>$U$7</f>
        <v>0</v>
      </c>
      <c r="Y7" s="89">
        <f t="shared" ref="Y7:Y15" si="5">ROUNDUP((U7)*RPI,0)</f>
        <v>0</v>
      </c>
      <c r="Z7" s="87">
        <f>$Y$7</f>
        <v>0</v>
      </c>
      <c r="AC7" s="89">
        <f t="shared" ref="AC7:AC15" si="6">ROUNDUP((Y7)*RPI,0)</f>
        <v>0</v>
      </c>
      <c r="AD7" s="87">
        <f>$AC$7</f>
        <v>0</v>
      </c>
    </row>
    <row r="8" spans="1:33" ht="14.5" customHeight="1" x14ac:dyDescent="0.35">
      <c r="A8" s="86" t="s">
        <v>102</v>
      </c>
      <c r="B8" s="92">
        <v>4</v>
      </c>
      <c r="C8" s="84" t="s">
        <v>97</v>
      </c>
      <c r="D8" s="84"/>
      <c r="E8" s="90">
        <v>0</v>
      </c>
      <c r="F8" s="90">
        <v>0</v>
      </c>
      <c r="I8" s="89">
        <v>5000</v>
      </c>
      <c r="J8" s="87">
        <f t="shared" si="0"/>
        <v>2162.06</v>
      </c>
      <c r="L8" s="87" t="s">
        <v>1090</v>
      </c>
      <c r="M8" s="89">
        <v>5000</v>
      </c>
      <c r="N8" s="87">
        <f t="shared" si="2"/>
        <v>0</v>
      </c>
      <c r="Q8" s="91">
        <f t="shared" si="3"/>
        <v>5150</v>
      </c>
      <c r="R8" s="90">
        <f>$Q$8</f>
        <v>5150</v>
      </c>
      <c r="U8" s="91">
        <f t="shared" si="4"/>
        <v>5305</v>
      </c>
      <c r="V8" s="90">
        <f>$U$8</f>
        <v>5305</v>
      </c>
      <c r="Y8" s="91">
        <f t="shared" si="5"/>
        <v>5465</v>
      </c>
      <c r="Z8" s="90">
        <f>$Y$8</f>
        <v>5465</v>
      </c>
      <c r="AC8" s="91">
        <f t="shared" si="6"/>
        <v>5629</v>
      </c>
      <c r="AD8" s="90">
        <f>$AC$8</f>
        <v>5629</v>
      </c>
    </row>
    <row r="9" spans="1:33" ht="14.5" customHeight="1" x14ac:dyDescent="0.35">
      <c r="A9" s="86" t="s">
        <v>103</v>
      </c>
      <c r="B9" s="92">
        <v>5</v>
      </c>
      <c r="C9" s="86" t="s">
        <v>97</v>
      </c>
      <c r="D9" s="84"/>
      <c r="E9" s="87">
        <v>0</v>
      </c>
      <c r="F9" s="87">
        <f t="shared" ref="F9:F15" si="7">SUMIFS(H$21:H$1007,E$21:E$1007,$B9)</f>
        <v>0</v>
      </c>
      <c r="I9" s="89">
        <v>45000</v>
      </c>
      <c r="J9" s="87">
        <f t="shared" si="0"/>
        <v>2294.65</v>
      </c>
      <c r="L9" s="87" t="s">
        <v>1090</v>
      </c>
      <c r="M9" s="89">
        <v>0</v>
      </c>
      <c r="N9" s="87">
        <f t="shared" si="2"/>
        <v>0</v>
      </c>
      <c r="Q9" s="89">
        <f t="shared" si="3"/>
        <v>0</v>
      </c>
      <c r="R9" s="87">
        <f>$Q$9</f>
        <v>0</v>
      </c>
      <c r="U9" s="89">
        <f t="shared" si="4"/>
        <v>0</v>
      </c>
      <c r="V9" s="87">
        <f>$U$9</f>
        <v>0</v>
      </c>
      <c r="Y9" s="89">
        <f t="shared" si="5"/>
        <v>0</v>
      </c>
      <c r="Z9" s="87">
        <f>$Y$9</f>
        <v>0</v>
      </c>
      <c r="AC9" s="89">
        <f t="shared" si="6"/>
        <v>0</v>
      </c>
      <c r="AD9" s="87">
        <f>$AC$9</f>
        <v>0</v>
      </c>
    </row>
    <row r="10" spans="1:33" ht="14.5" customHeight="1" x14ac:dyDescent="0.35">
      <c r="A10" s="86" t="s">
        <v>104</v>
      </c>
      <c r="B10" s="92">
        <v>6</v>
      </c>
      <c r="C10" s="86" t="s">
        <v>99</v>
      </c>
      <c r="D10" s="84"/>
      <c r="E10" s="87">
        <v>0</v>
      </c>
      <c r="F10" s="87">
        <f t="shared" si="7"/>
        <v>0</v>
      </c>
      <c r="I10" s="91">
        <v>25000</v>
      </c>
      <c r="J10" s="90">
        <f t="shared" si="0"/>
        <v>5493</v>
      </c>
      <c r="L10" s="87" t="s">
        <v>1090</v>
      </c>
      <c r="M10" s="89">
        <v>0</v>
      </c>
      <c r="N10" s="87">
        <f t="shared" si="2"/>
        <v>0</v>
      </c>
      <c r="Q10" s="89">
        <f t="shared" si="3"/>
        <v>0</v>
      </c>
      <c r="R10" s="87">
        <f>$Q$10</f>
        <v>0</v>
      </c>
      <c r="U10" s="89">
        <f t="shared" si="4"/>
        <v>0</v>
      </c>
      <c r="V10" s="87">
        <f>$U$10</f>
        <v>0</v>
      </c>
      <c r="Y10" s="89">
        <f t="shared" si="5"/>
        <v>0</v>
      </c>
      <c r="Z10" s="87">
        <f>$Y$10</f>
        <v>0</v>
      </c>
      <c r="AC10" s="89">
        <f t="shared" si="6"/>
        <v>0</v>
      </c>
      <c r="AD10" s="87">
        <f>$AC$10</f>
        <v>0</v>
      </c>
    </row>
    <row r="11" spans="1:33" ht="14.5" customHeight="1" x14ac:dyDescent="0.35">
      <c r="A11" s="86" t="s">
        <v>105</v>
      </c>
      <c r="B11" s="92">
        <v>7</v>
      </c>
      <c r="C11" s="86" t="s">
        <v>97</v>
      </c>
      <c r="D11" s="84"/>
      <c r="E11" s="87">
        <v>0</v>
      </c>
      <c r="F11" s="87">
        <f t="shared" si="7"/>
        <v>0</v>
      </c>
      <c r="I11" s="89">
        <f>ROUNDUP((E11)*RPICurrent,0)</f>
        <v>0</v>
      </c>
      <c r="J11" s="87">
        <f t="shared" si="0"/>
        <v>0</v>
      </c>
      <c r="M11" s="89">
        <f t="shared" si="1"/>
        <v>0</v>
      </c>
      <c r="N11" s="87">
        <f t="shared" si="2"/>
        <v>0</v>
      </c>
      <c r="Q11" s="89">
        <f t="shared" si="3"/>
        <v>0</v>
      </c>
      <c r="R11" s="87">
        <f>$Q$11</f>
        <v>0</v>
      </c>
      <c r="U11" s="89">
        <f t="shared" si="4"/>
        <v>0</v>
      </c>
      <c r="V11" s="87">
        <f>$U$11</f>
        <v>0</v>
      </c>
      <c r="Y11" s="89">
        <f t="shared" si="5"/>
        <v>0</v>
      </c>
      <c r="Z11" s="87">
        <f>$Y$11</f>
        <v>0</v>
      </c>
      <c r="AC11" s="89">
        <f t="shared" si="6"/>
        <v>0</v>
      </c>
      <c r="AD11" s="87">
        <f>$AC$11</f>
        <v>0</v>
      </c>
    </row>
    <row r="12" spans="1:33" ht="14.5" customHeight="1" x14ac:dyDescent="0.35">
      <c r="A12" s="86" t="s">
        <v>106</v>
      </c>
      <c r="B12" s="92">
        <v>8</v>
      </c>
      <c r="C12" s="86" t="s">
        <v>97</v>
      </c>
      <c r="D12" s="84"/>
      <c r="E12" s="87">
        <v>0</v>
      </c>
      <c r="F12" s="87">
        <f t="shared" si="7"/>
        <v>0</v>
      </c>
      <c r="I12" s="89">
        <f>ROUNDUP((E12)*RPICurrent,0)</f>
        <v>0</v>
      </c>
      <c r="J12" s="87">
        <f t="shared" si="0"/>
        <v>0</v>
      </c>
      <c r="M12" s="89">
        <f t="shared" si="1"/>
        <v>0</v>
      </c>
      <c r="N12" s="87">
        <f t="shared" si="2"/>
        <v>0</v>
      </c>
      <c r="Q12" s="89">
        <f t="shared" si="3"/>
        <v>0</v>
      </c>
      <c r="R12" s="87">
        <f>$Q$12</f>
        <v>0</v>
      </c>
      <c r="U12" s="89">
        <f t="shared" si="4"/>
        <v>0</v>
      </c>
      <c r="V12" s="87">
        <f>$U$12</f>
        <v>0</v>
      </c>
      <c r="Y12" s="89">
        <f t="shared" si="5"/>
        <v>0</v>
      </c>
      <c r="Z12" s="87">
        <f>$Y$12</f>
        <v>0</v>
      </c>
      <c r="AC12" s="89">
        <f t="shared" si="6"/>
        <v>0</v>
      </c>
      <c r="AD12" s="87">
        <f>$AC$12</f>
        <v>0</v>
      </c>
    </row>
    <row r="13" spans="1:33" ht="14.5" customHeight="1" x14ac:dyDescent="0.35">
      <c r="A13" s="86" t="s">
        <v>107</v>
      </c>
      <c r="B13" s="92">
        <v>9</v>
      </c>
      <c r="C13" s="86" t="s">
        <v>97</v>
      </c>
      <c r="D13" s="84"/>
      <c r="E13" s="87">
        <v>0</v>
      </c>
      <c r="F13" s="87">
        <f t="shared" si="7"/>
        <v>0</v>
      </c>
      <c r="I13" s="89">
        <f>ROUNDUP((E13)*RPICurrent,0)</f>
        <v>0</v>
      </c>
      <c r="J13" s="87">
        <f t="shared" si="0"/>
        <v>0</v>
      </c>
      <c r="M13" s="89">
        <f t="shared" si="1"/>
        <v>0</v>
      </c>
      <c r="N13" s="87">
        <f t="shared" si="2"/>
        <v>0</v>
      </c>
      <c r="Q13" s="89">
        <f t="shared" si="3"/>
        <v>0</v>
      </c>
      <c r="R13" s="87">
        <f>$Q$13</f>
        <v>0</v>
      </c>
      <c r="U13" s="89">
        <f t="shared" si="4"/>
        <v>0</v>
      </c>
      <c r="V13" s="87">
        <f>$U$13</f>
        <v>0</v>
      </c>
      <c r="Y13" s="89">
        <f t="shared" si="5"/>
        <v>0</v>
      </c>
      <c r="Z13" s="87">
        <f>$Y$13</f>
        <v>0</v>
      </c>
      <c r="AC13" s="89">
        <f t="shared" si="6"/>
        <v>0</v>
      </c>
      <c r="AD13" s="87">
        <f>$AC$13</f>
        <v>0</v>
      </c>
    </row>
    <row r="14" spans="1:33" ht="14.5" customHeight="1" x14ac:dyDescent="0.35">
      <c r="A14" s="86" t="s">
        <v>108</v>
      </c>
      <c r="B14" s="92">
        <v>10</v>
      </c>
      <c r="C14" s="86" t="s">
        <v>97</v>
      </c>
      <c r="D14" s="84"/>
      <c r="E14" s="87">
        <v>0</v>
      </c>
      <c r="F14" s="87">
        <f t="shared" si="7"/>
        <v>0</v>
      </c>
      <c r="I14" s="89">
        <f>ROUNDUP((E14)*RPICurrent,0)</f>
        <v>0</v>
      </c>
      <c r="J14" s="87">
        <f t="shared" si="0"/>
        <v>0</v>
      </c>
      <c r="M14" s="89">
        <f>1800+7970</f>
        <v>9770</v>
      </c>
      <c r="N14" s="87">
        <f t="shared" si="2"/>
        <v>0</v>
      </c>
      <c r="Q14" s="89">
        <f t="shared" si="3"/>
        <v>10064</v>
      </c>
      <c r="R14" s="87">
        <f>$Q$14</f>
        <v>10064</v>
      </c>
      <c r="U14" s="89">
        <f t="shared" si="4"/>
        <v>10366</v>
      </c>
      <c r="V14" s="87">
        <f>$U$14</f>
        <v>10366</v>
      </c>
      <c r="Y14" s="89">
        <f t="shared" si="5"/>
        <v>10677</v>
      </c>
      <c r="Z14" s="87">
        <f>$Y$14</f>
        <v>10677</v>
      </c>
      <c r="AC14" s="89">
        <f t="shared" si="6"/>
        <v>10998</v>
      </c>
      <c r="AD14" s="87">
        <f>$AC$14</f>
        <v>10998</v>
      </c>
    </row>
    <row r="15" spans="1:33" ht="58.5" customHeight="1" x14ac:dyDescent="0.35">
      <c r="A15" s="86" t="s">
        <v>109</v>
      </c>
      <c r="B15" s="92">
        <v>11</v>
      </c>
      <c r="C15" s="86" t="s">
        <v>97</v>
      </c>
      <c r="D15" s="84"/>
      <c r="E15" s="87">
        <v>0</v>
      </c>
      <c r="F15" s="87">
        <f t="shared" si="7"/>
        <v>0</v>
      </c>
      <c r="I15" s="89">
        <f>ROUNDUP((E15)*RPICurrent,0)</f>
        <v>0</v>
      </c>
      <c r="J15" s="87">
        <f t="shared" si="0"/>
        <v>0</v>
      </c>
      <c r="M15" s="89">
        <f>34000-7970</f>
        <v>26030</v>
      </c>
      <c r="N15" s="87">
        <f t="shared" si="2"/>
        <v>0</v>
      </c>
      <c r="P15" s="86" t="s">
        <v>1116</v>
      </c>
      <c r="Q15" s="89">
        <f>34000+7970/2</f>
        <v>37985</v>
      </c>
      <c r="R15" s="87">
        <f>$Q$15</f>
        <v>37985</v>
      </c>
      <c r="U15" s="89">
        <f>33000+7970/2</f>
        <v>36985</v>
      </c>
      <c r="V15" s="87">
        <f>$U$15</f>
        <v>36985</v>
      </c>
      <c r="Y15" s="89">
        <f t="shared" si="5"/>
        <v>38095</v>
      </c>
      <c r="Z15" s="87">
        <f>$Y$15</f>
        <v>38095</v>
      </c>
      <c r="AC15" s="89">
        <f t="shared" si="6"/>
        <v>39238</v>
      </c>
      <c r="AD15" s="87">
        <f>$AC$15</f>
        <v>39238</v>
      </c>
    </row>
    <row r="16" spans="1:33" ht="14.5" customHeight="1" x14ac:dyDescent="0.35">
      <c r="E16" s="87"/>
      <c r="I16" s="89"/>
      <c r="M16" s="89"/>
    </row>
    <row r="17" spans="1:31" ht="14.5" customHeight="1" x14ac:dyDescent="0.35">
      <c r="E17" s="87"/>
      <c r="I17" s="89"/>
      <c r="M17" s="89"/>
    </row>
    <row r="18" spans="1:31" ht="14.5" customHeight="1" x14ac:dyDescent="0.35">
      <c r="E18" s="87"/>
      <c r="I18" s="89"/>
      <c r="M18" s="89"/>
    </row>
    <row r="19" spans="1:31" ht="14.5" customHeight="1" x14ac:dyDescent="0.35">
      <c r="A19" s="84" t="s">
        <v>487</v>
      </c>
      <c r="F19" s="93"/>
      <c r="G19" s="85"/>
      <c r="H19" s="87"/>
      <c r="J19" s="93"/>
      <c r="K19" s="85"/>
      <c r="N19" s="93"/>
      <c r="O19" s="85"/>
      <c r="Q19" s="94"/>
      <c r="R19" s="93"/>
      <c r="S19" s="85"/>
      <c r="U19" s="94"/>
      <c r="V19" s="93"/>
      <c r="W19" s="85"/>
      <c r="Y19" s="94"/>
      <c r="Z19" s="93"/>
      <c r="AA19" s="85"/>
      <c r="AC19" s="94"/>
      <c r="AD19" s="93"/>
      <c r="AE19" s="85"/>
    </row>
    <row r="20" spans="1:31" ht="14.5" customHeight="1" x14ac:dyDescent="0.35">
      <c r="E20" s="85" t="s">
        <v>484</v>
      </c>
      <c r="F20" s="93" t="s">
        <v>488</v>
      </c>
      <c r="G20" s="85" t="s">
        <v>489</v>
      </c>
      <c r="H20" s="87" t="s">
        <v>475</v>
      </c>
      <c r="I20" s="94" t="s">
        <v>484</v>
      </c>
      <c r="J20" s="93" t="s">
        <v>488</v>
      </c>
      <c r="K20" s="85" t="s">
        <v>489</v>
      </c>
      <c r="L20" s="87" t="s">
        <v>475</v>
      </c>
      <c r="M20" s="85" t="s">
        <v>484</v>
      </c>
      <c r="N20" s="93" t="s">
        <v>488</v>
      </c>
      <c r="O20" s="85" t="s">
        <v>489</v>
      </c>
      <c r="P20" s="87" t="s">
        <v>475</v>
      </c>
      <c r="Q20" s="94"/>
      <c r="R20" s="93"/>
      <c r="S20" s="85"/>
      <c r="U20" s="94"/>
      <c r="V20" s="93"/>
      <c r="W20" s="85"/>
      <c r="Y20" s="94"/>
      <c r="Z20" s="93"/>
      <c r="AA20" s="85"/>
      <c r="AC20" s="94"/>
      <c r="AD20" s="93"/>
      <c r="AE20" s="85"/>
    </row>
    <row r="21" spans="1:31" ht="14.5" customHeight="1" x14ac:dyDescent="0.35">
      <c r="A21" s="85"/>
      <c r="D21" s="85"/>
      <c r="E21" s="92">
        <v>3</v>
      </c>
      <c r="F21" s="97">
        <v>44896</v>
      </c>
      <c r="G21" s="92" t="s">
        <v>1117</v>
      </c>
      <c r="H21" s="90">
        <v>20000</v>
      </c>
      <c r="I21" s="117">
        <v>4</v>
      </c>
      <c r="J21" s="93">
        <v>45093</v>
      </c>
      <c r="K21" s="93" t="s">
        <v>1118</v>
      </c>
      <c r="L21" s="87">
        <v>1591.28</v>
      </c>
      <c r="M21" s="94">
        <v>1</v>
      </c>
      <c r="N21" s="87" t="s">
        <v>699</v>
      </c>
      <c r="O21" s="87" t="s">
        <v>699</v>
      </c>
      <c r="P21" s="87">
        <v>650</v>
      </c>
      <c r="Q21" s="94"/>
      <c r="R21" s="93"/>
      <c r="S21" s="85"/>
      <c r="U21" s="94"/>
      <c r="V21" s="93"/>
      <c r="W21" s="85"/>
      <c r="Y21" s="94"/>
      <c r="Z21" s="93"/>
      <c r="AA21" s="85"/>
      <c r="AC21" s="94"/>
      <c r="AD21" s="93"/>
      <c r="AE21" s="85"/>
    </row>
    <row r="22" spans="1:31" ht="14.5" customHeight="1" x14ac:dyDescent="0.35">
      <c r="E22" s="92">
        <v>1</v>
      </c>
      <c r="F22" s="97">
        <v>44896</v>
      </c>
      <c r="G22" s="92" t="s">
        <v>1117</v>
      </c>
      <c r="H22" s="90">
        <v>8946.16</v>
      </c>
      <c r="I22" s="94">
        <v>6</v>
      </c>
      <c r="J22" s="93">
        <v>45351</v>
      </c>
      <c r="K22" s="85" t="s">
        <v>1120</v>
      </c>
      <c r="L22" s="87">
        <v>5493</v>
      </c>
      <c r="M22" s="94">
        <v>2</v>
      </c>
      <c r="N22" s="87" t="s">
        <v>699</v>
      </c>
      <c r="O22" s="87" t="s">
        <v>699</v>
      </c>
      <c r="P22" s="87">
        <v>-650</v>
      </c>
      <c r="Q22" s="94"/>
      <c r="R22" s="93"/>
      <c r="S22" s="85"/>
      <c r="U22" s="94"/>
      <c r="V22" s="93"/>
      <c r="W22" s="85"/>
      <c r="Y22" s="94"/>
      <c r="Z22" s="93"/>
      <c r="AA22" s="85"/>
      <c r="AC22" s="94"/>
      <c r="AD22" s="93"/>
      <c r="AE22" s="85"/>
    </row>
    <row r="23" spans="1:31" ht="14.5" customHeight="1" x14ac:dyDescent="0.35">
      <c r="E23" s="85">
        <v>2</v>
      </c>
      <c r="F23" s="97">
        <v>45001</v>
      </c>
      <c r="G23" s="85" t="s">
        <v>1119</v>
      </c>
      <c r="H23" s="87">
        <v>17527</v>
      </c>
      <c r="I23" s="94">
        <v>5</v>
      </c>
      <c r="J23" s="93">
        <v>45145</v>
      </c>
      <c r="K23" s="85" t="s">
        <v>1121</v>
      </c>
      <c r="L23" s="87">
        <v>1735</v>
      </c>
      <c r="N23" s="94" t="s">
        <v>202</v>
      </c>
      <c r="O23" s="93"/>
      <c r="P23" s="85">
        <v>10000</v>
      </c>
      <c r="Q23" s="94"/>
      <c r="R23" s="93"/>
      <c r="S23" s="85"/>
      <c r="U23" s="94"/>
      <c r="V23" s="93"/>
      <c r="W23" s="85"/>
      <c r="Y23" s="94"/>
      <c r="Z23" s="93"/>
      <c r="AA23" s="85"/>
      <c r="AC23" s="94"/>
      <c r="AD23" s="93"/>
      <c r="AE23" s="85"/>
    </row>
    <row r="24" spans="1:31" ht="14.5" customHeight="1" x14ac:dyDescent="0.35">
      <c r="E24" s="85">
        <v>1</v>
      </c>
      <c r="F24" s="97">
        <v>45001</v>
      </c>
      <c r="G24" s="85" t="s">
        <v>1119</v>
      </c>
      <c r="H24" s="87">
        <v>1633.84</v>
      </c>
      <c r="I24" s="94">
        <v>4</v>
      </c>
      <c r="J24" s="93">
        <v>45188</v>
      </c>
      <c r="K24" s="85" t="s">
        <v>1122</v>
      </c>
      <c r="L24" s="87">
        <v>570.78</v>
      </c>
      <c r="N24" s="94" t="s">
        <v>2119</v>
      </c>
      <c r="O24" s="93"/>
      <c r="P24" s="85">
        <v>2500</v>
      </c>
      <c r="Q24" s="94"/>
      <c r="R24" s="93"/>
      <c r="S24" s="85"/>
      <c r="U24" s="94"/>
      <c r="V24" s="93"/>
      <c r="W24" s="85"/>
      <c r="Y24" s="94"/>
      <c r="Z24" s="93"/>
      <c r="AA24" s="85"/>
      <c r="AC24" s="94"/>
      <c r="AD24" s="93"/>
      <c r="AE24" s="85"/>
    </row>
    <row r="25" spans="1:31" ht="14.5" customHeight="1" x14ac:dyDescent="0.35">
      <c r="F25" s="93"/>
      <c r="G25" s="85"/>
      <c r="H25" s="87"/>
      <c r="I25" s="94">
        <v>5</v>
      </c>
      <c r="J25" s="93">
        <v>45321</v>
      </c>
      <c r="K25" s="85" t="s">
        <v>2634</v>
      </c>
      <c r="L25" s="87">
        <v>534.25</v>
      </c>
      <c r="N25" s="94" t="s">
        <v>2120</v>
      </c>
      <c r="O25" s="93"/>
      <c r="P25" s="85">
        <v>5000</v>
      </c>
      <c r="Q25" s="94"/>
      <c r="R25" s="93"/>
      <c r="S25" s="85"/>
      <c r="U25" s="94"/>
      <c r="V25" s="93"/>
      <c r="W25" s="85"/>
      <c r="Y25" s="94"/>
      <c r="Z25" s="93"/>
      <c r="AA25" s="85"/>
      <c r="AC25" s="94"/>
      <c r="AD25" s="93"/>
      <c r="AE25" s="85"/>
    </row>
    <row r="26" spans="1:31" ht="14.5" customHeight="1" x14ac:dyDescent="0.35">
      <c r="F26" s="93"/>
      <c r="G26" s="85"/>
      <c r="H26" s="87"/>
      <c r="I26" s="94">
        <v>5</v>
      </c>
      <c r="J26" s="93">
        <v>45301</v>
      </c>
      <c r="K26" s="85" t="s">
        <v>2633</v>
      </c>
      <c r="L26" s="87">
        <v>25.4</v>
      </c>
      <c r="N26" s="89" t="s">
        <v>2121</v>
      </c>
      <c r="P26" s="85">
        <v>5000</v>
      </c>
      <c r="Q26" s="94"/>
      <c r="R26" s="93"/>
      <c r="S26" s="85"/>
      <c r="U26" s="94"/>
      <c r="V26" s="93"/>
      <c r="W26" s="85"/>
      <c r="Y26" s="94"/>
      <c r="Z26" s="93"/>
      <c r="AA26" s="85"/>
      <c r="AC26" s="94"/>
      <c r="AD26" s="93"/>
      <c r="AE26" s="85"/>
    </row>
    <row r="27" spans="1:31" ht="14.5" customHeight="1" x14ac:dyDescent="0.35">
      <c r="F27" s="93"/>
      <c r="G27" s="85"/>
      <c r="H27" s="87"/>
      <c r="J27" s="93"/>
      <c r="K27" s="85"/>
      <c r="N27" s="93"/>
      <c r="O27" s="85"/>
      <c r="Q27" s="94"/>
      <c r="R27" s="93"/>
      <c r="S27" s="85"/>
      <c r="U27" s="94"/>
      <c r="V27" s="93"/>
      <c r="W27" s="85"/>
      <c r="Y27" s="94"/>
      <c r="Z27" s="93"/>
      <c r="AA27" s="85"/>
      <c r="AC27" s="94"/>
      <c r="AD27" s="93"/>
      <c r="AE27" s="85"/>
    </row>
    <row r="28" spans="1:31" ht="14.5" customHeight="1" x14ac:dyDescent="0.35">
      <c r="F28" s="93"/>
      <c r="G28" s="85"/>
      <c r="H28" s="87"/>
      <c r="J28" s="93"/>
      <c r="K28" s="85"/>
      <c r="N28" s="93"/>
      <c r="O28" s="85"/>
      <c r="Q28" s="94"/>
      <c r="R28" s="93"/>
      <c r="S28" s="85"/>
      <c r="U28" s="94"/>
      <c r="V28" s="93"/>
      <c r="W28" s="85"/>
      <c r="Y28" s="94"/>
      <c r="Z28" s="93"/>
      <c r="AA28" s="85"/>
      <c r="AC28" s="94"/>
      <c r="AD28" s="93"/>
      <c r="AE28" s="85"/>
    </row>
    <row r="29" spans="1:31" ht="14.5" customHeight="1" x14ac:dyDescent="0.35">
      <c r="F29" s="93"/>
      <c r="G29" s="85"/>
      <c r="H29" s="87"/>
      <c r="J29" s="93"/>
      <c r="K29" s="85"/>
      <c r="N29" s="93"/>
      <c r="O29" s="85"/>
      <c r="Q29" s="94"/>
      <c r="R29" s="93"/>
      <c r="S29" s="85"/>
      <c r="U29" s="94"/>
      <c r="V29" s="93"/>
      <c r="W29" s="85"/>
      <c r="Y29" s="94"/>
      <c r="Z29" s="93"/>
      <c r="AA29" s="85"/>
      <c r="AC29" s="94"/>
      <c r="AD29" s="93"/>
      <c r="AE29" s="85"/>
    </row>
    <row r="30" spans="1:31" ht="14.5" customHeight="1" x14ac:dyDescent="0.35">
      <c r="F30" s="93"/>
      <c r="G30" s="85"/>
      <c r="H30" s="87"/>
      <c r="J30" s="93"/>
      <c r="K30" s="85"/>
      <c r="N30" s="93"/>
      <c r="O30" s="85"/>
      <c r="Q30" s="94"/>
      <c r="R30" s="93"/>
      <c r="S30" s="85"/>
      <c r="U30" s="94"/>
      <c r="V30" s="93"/>
      <c r="W30" s="85"/>
      <c r="Y30" s="94"/>
      <c r="Z30" s="93"/>
      <c r="AA30" s="85"/>
      <c r="AC30" s="94"/>
      <c r="AD30" s="93"/>
      <c r="AE30" s="85"/>
    </row>
    <row r="31" spans="1:31" ht="14.5" customHeight="1" x14ac:dyDescent="0.35">
      <c r="F31" s="93"/>
      <c r="G31" s="85"/>
      <c r="H31" s="87"/>
      <c r="J31" s="93"/>
      <c r="K31" s="85"/>
      <c r="N31" s="93"/>
      <c r="O31" s="85"/>
      <c r="Q31" s="94"/>
      <c r="R31" s="93"/>
      <c r="S31" s="85"/>
      <c r="U31" s="94"/>
      <c r="V31" s="93"/>
      <c r="W31" s="85"/>
      <c r="Y31" s="94"/>
      <c r="Z31" s="93"/>
      <c r="AA31" s="85"/>
      <c r="AC31" s="94"/>
      <c r="AD31" s="93"/>
      <c r="AE31" s="85"/>
    </row>
    <row r="32" spans="1:31" ht="14.5" customHeight="1" x14ac:dyDescent="0.35">
      <c r="F32" s="93"/>
      <c r="G32" s="85"/>
      <c r="H32" s="87"/>
      <c r="J32" s="93"/>
      <c r="K32" s="85"/>
      <c r="N32" s="93"/>
      <c r="O32" s="85"/>
      <c r="Q32" s="94"/>
      <c r="R32" s="93"/>
      <c r="S32" s="85"/>
      <c r="U32" s="94"/>
      <c r="V32" s="93"/>
      <c r="W32" s="85"/>
      <c r="Y32" s="94"/>
      <c r="Z32" s="93"/>
      <c r="AA32" s="85"/>
      <c r="AC32" s="94"/>
      <c r="AD32" s="93"/>
      <c r="AE32" s="85"/>
    </row>
    <row r="33" spans="6:31" ht="14.5" customHeight="1" x14ac:dyDescent="0.35">
      <c r="F33" s="93"/>
      <c r="G33" s="85"/>
      <c r="H33" s="87"/>
      <c r="J33" s="93"/>
      <c r="K33" s="85"/>
      <c r="N33" s="93"/>
      <c r="O33" s="85"/>
      <c r="Q33" s="94"/>
      <c r="R33" s="93"/>
      <c r="S33" s="85"/>
      <c r="U33" s="94"/>
      <c r="V33" s="93"/>
      <c r="W33" s="85"/>
      <c r="Y33" s="94"/>
      <c r="Z33" s="93"/>
      <c r="AA33" s="85"/>
      <c r="AC33" s="94"/>
      <c r="AD33" s="93"/>
      <c r="AE33" s="85"/>
    </row>
    <row r="34" spans="6:31" ht="14.5" customHeight="1" x14ac:dyDescent="0.35">
      <c r="F34" s="93"/>
      <c r="G34" s="85"/>
      <c r="H34" s="87"/>
      <c r="J34" s="93"/>
      <c r="K34" s="85"/>
      <c r="N34" s="93"/>
      <c r="O34" s="85"/>
      <c r="Q34" s="94"/>
      <c r="R34" s="93"/>
      <c r="S34" s="85"/>
      <c r="U34" s="94"/>
      <c r="V34" s="93"/>
      <c r="W34" s="85"/>
      <c r="Y34" s="94"/>
      <c r="Z34" s="93"/>
      <c r="AA34" s="85"/>
      <c r="AC34" s="94"/>
      <c r="AD34" s="93"/>
      <c r="AE34" s="85"/>
    </row>
    <row r="35" spans="6:31" ht="14.5" customHeight="1" x14ac:dyDescent="0.35">
      <c r="F35" s="93"/>
      <c r="G35" s="85"/>
      <c r="H35" s="87"/>
      <c r="J35" s="93"/>
      <c r="K35" s="85"/>
      <c r="N35" s="93"/>
      <c r="O35" s="85"/>
      <c r="Q35" s="94"/>
      <c r="R35" s="93"/>
      <c r="S35" s="85"/>
      <c r="U35" s="94"/>
      <c r="V35" s="93"/>
      <c r="W35" s="85"/>
      <c r="Y35" s="94"/>
      <c r="Z35" s="93"/>
      <c r="AA35" s="85"/>
      <c r="AC35" s="94"/>
      <c r="AD35" s="93"/>
      <c r="AE35" s="85"/>
    </row>
    <row r="36" spans="6:31" ht="14.5" customHeight="1" x14ac:dyDescent="0.35">
      <c r="F36" s="93"/>
      <c r="G36" s="85"/>
      <c r="H36" s="87"/>
      <c r="J36" s="93"/>
      <c r="K36" s="85"/>
      <c r="N36" s="93"/>
      <c r="O36" s="85"/>
      <c r="Q36" s="94"/>
      <c r="R36" s="93"/>
      <c r="S36" s="85"/>
      <c r="U36" s="94"/>
      <c r="V36" s="93"/>
      <c r="W36" s="85"/>
      <c r="Y36" s="94"/>
      <c r="Z36" s="93"/>
      <c r="AA36" s="85"/>
      <c r="AC36" s="94"/>
      <c r="AD36" s="93"/>
      <c r="AE36" s="85"/>
    </row>
    <row r="37" spans="6:31" ht="14.5" customHeight="1" x14ac:dyDescent="0.35">
      <c r="F37" s="93"/>
      <c r="G37" s="85"/>
      <c r="H37" s="87"/>
      <c r="J37" s="93"/>
      <c r="K37" s="85"/>
      <c r="N37" s="93"/>
      <c r="O37" s="85"/>
      <c r="Q37" s="94"/>
      <c r="R37" s="93"/>
      <c r="S37" s="85"/>
      <c r="U37" s="94"/>
      <c r="V37" s="93"/>
      <c r="W37" s="85"/>
      <c r="Y37" s="94"/>
      <c r="Z37" s="93"/>
      <c r="AA37" s="85"/>
      <c r="AC37" s="94"/>
      <c r="AD37" s="93"/>
      <c r="AE37" s="85"/>
    </row>
    <row r="38" spans="6:31" ht="14.5" customHeight="1" x14ac:dyDescent="0.35">
      <c r="F38" s="93"/>
      <c r="G38" s="85"/>
      <c r="H38" s="87"/>
      <c r="J38" s="93"/>
      <c r="K38" s="85"/>
      <c r="N38" s="93"/>
      <c r="O38" s="85"/>
      <c r="Q38" s="94"/>
      <c r="R38" s="93"/>
      <c r="S38" s="85"/>
      <c r="U38" s="94"/>
      <c r="V38" s="93"/>
      <c r="W38" s="85"/>
      <c r="Y38" s="94"/>
      <c r="Z38" s="93"/>
      <c r="AA38" s="85"/>
      <c r="AC38" s="94"/>
      <c r="AD38" s="93"/>
      <c r="AE38" s="85"/>
    </row>
    <row r="39" spans="6:31" ht="14.5" customHeight="1" x14ac:dyDescent="0.35">
      <c r="F39" s="93"/>
      <c r="G39" s="85"/>
      <c r="H39" s="87"/>
      <c r="J39" s="93"/>
      <c r="K39" s="85"/>
      <c r="N39" s="93"/>
      <c r="O39" s="85"/>
      <c r="Q39" s="94"/>
      <c r="R39" s="93"/>
      <c r="S39" s="85"/>
      <c r="U39" s="94"/>
      <c r="V39" s="93"/>
      <c r="W39" s="85"/>
      <c r="Y39" s="94"/>
      <c r="Z39" s="93"/>
      <c r="AA39" s="85"/>
      <c r="AC39" s="94"/>
      <c r="AD39" s="93"/>
      <c r="AE39" s="85"/>
    </row>
    <row r="40" spans="6:31" ht="14.5" customHeight="1" x14ac:dyDescent="0.35">
      <c r="F40" s="93"/>
      <c r="G40" s="85"/>
      <c r="H40" s="87"/>
      <c r="J40" s="93"/>
      <c r="K40" s="85"/>
      <c r="N40" s="93"/>
      <c r="O40" s="85"/>
      <c r="Q40" s="94"/>
      <c r="R40" s="93"/>
      <c r="S40" s="85"/>
      <c r="U40" s="94"/>
      <c r="V40" s="93"/>
      <c r="W40" s="85"/>
      <c r="Y40" s="94"/>
      <c r="Z40" s="93"/>
      <c r="AA40" s="85"/>
      <c r="AC40" s="94"/>
      <c r="AD40" s="93"/>
      <c r="AE40" s="85"/>
    </row>
    <row r="41" spans="6:31" ht="14.5" customHeight="1" x14ac:dyDescent="0.35">
      <c r="F41" s="93"/>
      <c r="G41" s="85"/>
      <c r="H41" s="87"/>
      <c r="J41" s="93"/>
      <c r="K41" s="85"/>
      <c r="N41" s="93"/>
      <c r="O41" s="85"/>
      <c r="Q41" s="94"/>
      <c r="R41" s="93"/>
      <c r="S41" s="85"/>
      <c r="U41" s="94"/>
      <c r="V41" s="93"/>
      <c r="W41" s="85"/>
      <c r="Y41" s="94"/>
      <c r="Z41" s="93"/>
      <c r="AA41" s="85"/>
      <c r="AC41" s="94"/>
      <c r="AD41" s="93"/>
      <c r="AE41" s="85"/>
    </row>
    <row r="42" spans="6:31" ht="14.5" customHeight="1" x14ac:dyDescent="0.35">
      <c r="F42" s="93"/>
      <c r="G42" s="85"/>
      <c r="H42" s="87"/>
      <c r="J42" s="93"/>
      <c r="K42" s="85"/>
      <c r="N42" s="93"/>
      <c r="O42" s="85"/>
      <c r="Q42" s="94"/>
      <c r="R42" s="93"/>
      <c r="S42" s="85"/>
      <c r="U42" s="94"/>
      <c r="V42" s="93"/>
      <c r="W42" s="85"/>
      <c r="Y42" s="94"/>
      <c r="Z42" s="93"/>
      <c r="AA42" s="85"/>
      <c r="AC42" s="94"/>
      <c r="AD42" s="93"/>
      <c r="AE42" s="85"/>
    </row>
    <row r="43" spans="6:31" ht="14.5" customHeight="1" x14ac:dyDescent="0.35">
      <c r="F43" s="93"/>
      <c r="G43" s="85"/>
      <c r="H43" s="87"/>
      <c r="J43" s="93"/>
      <c r="K43" s="85"/>
      <c r="N43" s="93"/>
      <c r="O43" s="85"/>
      <c r="Q43" s="94"/>
      <c r="R43" s="93"/>
      <c r="S43" s="85"/>
      <c r="U43" s="94"/>
      <c r="V43" s="93"/>
      <c r="W43" s="85"/>
      <c r="Y43" s="94"/>
      <c r="Z43" s="93"/>
      <c r="AA43" s="85"/>
      <c r="AC43" s="94"/>
      <c r="AD43" s="93"/>
      <c r="AE43" s="85"/>
    </row>
    <row r="44" spans="6:31" ht="14.5" customHeight="1" x14ac:dyDescent="0.35">
      <c r="F44" s="93"/>
      <c r="G44" s="85"/>
      <c r="H44" s="87"/>
      <c r="J44" s="93"/>
      <c r="K44" s="85"/>
      <c r="N44" s="93"/>
      <c r="O44" s="85"/>
      <c r="Q44" s="94"/>
      <c r="R44" s="93"/>
      <c r="S44" s="85"/>
      <c r="U44" s="94"/>
      <c r="V44" s="93"/>
      <c r="W44" s="85"/>
      <c r="Y44" s="94"/>
      <c r="Z44" s="93"/>
      <c r="AA44" s="85"/>
      <c r="AC44" s="94"/>
      <c r="AD44" s="93"/>
      <c r="AE44" s="85"/>
    </row>
    <row r="45" spans="6:31" ht="14.5" customHeight="1" x14ac:dyDescent="0.35">
      <c r="F45" s="93"/>
      <c r="G45" s="85"/>
      <c r="H45" s="87"/>
      <c r="J45" s="93"/>
      <c r="K45" s="85"/>
      <c r="N45" s="93"/>
      <c r="O45" s="85"/>
      <c r="Q45" s="94"/>
      <c r="R45" s="93"/>
      <c r="S45" s="85"/>
      <c r="U45" s="94"/>
      <c r="V45" s="93"/>
      <c r="W45" s="85"/>
      <c r="Y45" s="94"/>
      <c r="Z45" s="93"/>
      <c r="AA45" s="85"/>
      <c r="AC45" s="94"/>
      <c r="AD45" s="93"/>
      <c r="AE45" s="85"/>
    </row>
    <row r="46" spans="6:31" ht="14.5" customHeight="1" x14ac:dyDescent="0.35">
      <c r="F46" s="93"/>
      <c r="G46" s="85"/>
      <c r="H46" s="87"/>
      <c r="J46" s="93"/>
      <c r="K46" s="85"/>
      <c r="N46" s="93"/>
      <c r="O46" s="85"/>
      <c r="Q46" s="94"/>
      <c r="R46" s="93"/>
      <c r="S46" s="85"/>
      <c r="U46" s="94"/>
      <c r="V46" s="93"/>
      <c r="W46" s="85"/>
      <c r="Y46" s="94"/>
      <c r="Z46" s="93"/>
      <c r="AA46" s="85"/>
      <c r="AC46" s="94"/>
      <c r="AD46" s="93"/>
      <c r="AE46" s="85"/>
    </row>
    <row r="47" spans="6:31" ht="14.5" customHeight="1" x14ac:dyDescent="0.35">
      <c r="F47" s="93"/>
      <c r="G47" s="85"/>
      <c r="H47" s="87"/>
      <c r="J47" s="93"/>
      <c r="K47" s="85"/>
      <c r="N47" s="93"/>
      <c r="O47" s="85"/>
      <c r="Q47" s="94"/>
      <c r="R47" s="93"/>
      <c r="S47" s="85"/>
      <c r="U47" s="94"/>
      <c r="V47" s="93"/>
      <c r="W47" s="85"/>
      <c r="Y47" s="94"/>
      <c r="Z47" s="93"/>
      <c r="AA47" s="85"/>
      <c r="AC47" s="94"/>
      <c r="AD47" s="93"/>
      <c r="AE47" s="85"/>
    </row>
    <row r="48" spans="6:31" ht="14.5" customHeight="1" x14ac:dyDescent="0.35">
      <c r="F48" s="93"/>
      <c r="G48" s="85"/>
      <c r="H48" s="87"/>
      <c r="J48" s="93"/>
      <c r="K48" s="85"/>
      <c r="N48" s="93"/>
      <c r="O48" s="85"/>
      <c r="Q48" s="94"/>
      <c r="R48" s="93"/>
      <c r="S48" s="85"/>
      <c r="U48" s="94"/>
      <c r="V48" s="93"/>
      <c r="W48" s="85"/>
      <c r="Y48" s="94"/>
      <c r="Z48" s="93"/>
      <c r="AA48" s="85"/>
      <c r="AC48" s="94"/>
      <c r="AD48" s="93"/>
      <c r="AE48" s="85"/>
    </row>
    <row r="49" spans="6:31" ht="14.5" customHeight="1" x14ac:dyDescent="0.35">
      <c r="F49" s="93"/>
      <c r="G49" s="85"/>
      <c r="H49" s="87"/>
      <c r="J49" s="93"/>
      <c r="K49" s="85"/>
      <c r="N49" s="93"/>
      <c r="O49" s="85"/>
      <c r="Q49" s="94"/>
      <c r="R49" s="93"/>
      <c r="S49" s="85"/>
      <c r="U49" s="94"/>
      <c r="V49" s="93"/>
      <c r="W49" s="85"/>
      <c r="Y49" s="94"/>
      <c r="Z49" s="93"/>
      <c r="AA49" s="85"/>
      <c r="AC49" s="94"/>
      <c r="AD49" s="93"/>
      <c r="AE49" s="85"/>
    </row>
    <row r="50" spans="6:31" ht="14.5" customHeight="1" x14ac:dyDescent="0.35">
      <c r="F50" s="93"/>
      <c r="G50" s="85"/>
      <c r="H50" s="87"/>
      <c r="J50" s="93"/>
      <c r="K50" s="85"/>
      <c r="N50" s="93"/>
      <c r="O50" s="85"/>
      <c r="Q50" s="94"/>
      <c r="R50" s="93"/>
      <c r="S50" s="85"/>
      <c r="U50" s="94"/>
      <c r="V50" s="93"/>
      <c r="W50" s="85"/>
      <c r="Y50" s="94"/>
      <c r="Z50" s="93"/>
      <c r="AA50" s="85"/>
      <c r="AC50" s="94"/>
      <c r="AD50" s="93"/>
      <c r="AE50" s="85"/>
    </row>
    <row r="51" spans="6:31" ht="14.5" customHeight="1" x14ac:dyDescent="0.35">
      <c r="F51" s="93"/>
      <c r="G51" s="85"/>
      <c r="H51" s="87"/>
      <c r="J51" s="93"/>
      <c r="K51" s="85"/>
      <c r="N51" s="93"/>
      <c r="O51" s="85"/>
      <c r="Q51" s="94"/>
      <c r="R51" s="93"/>
      <c r="S51" s="85"/>
      <c r="U51" s="94"/>
      <c r="V51" s="93"/>
      <c r="W51" s="85"/>
      <c r="Y51" s="94"/>
      <c r="Z51" s="93"/>
      <c r="AA51" s="85"/>
      <c r="AC51" s="94"/>
      <c r="AD51" s="93"/>
      <c r="AE51" s="85"/>
    </row>
    <row r="52" spans="6:31" ht="14.5" customHeight="1" x14ac:dyDescent="0.35">
      <c r="F52" s="93"/>
      <c r="G52" s="85"/>
      <c r="H52" s="87"/>
      <c r="J52" s="93"/>
      <c r="K52" s="85"/>
      <c r="N52" s="93"/>
      <c r="O52" s="85"/>
      <c r="Q52" s="94"/>
      <c r="R52" s="93"/>
      <c r="S52" s="85"/>
      <c r="U52" s="94"/>
      <c r="V52" s="93"/>
      <c r="W52" s="85"/>
      <c r="Y52" s="94"/>
      <c r="Z52" s="93"/>
      <c r="AA52" s="85"/>
      <c r="AC52" s="94"/>
      <c r="AD52" s="93"/>
      <c r="AE52" s="85"/>
    </row>
    <row r="53" spans="6:31" ht="14.5" customHeight="1" x14ac:dyDescent="0.35">
      <c r="F53" s="93"/>
      <c r="G53" s="85"/>
      <c r="H53" s="87"/>
      <c r="J53" s="93"/>
      <c r="K53" s="85"/>
      <c r="N53" s="93"/>
      <c r="O53" s="85"/>
      <c r="Q53" s="94"/>
      <c r="R53" s="93"/>
      <c r="S53" s="85"/>
      <c r="U53" s="94"/>
      <c r="V53" s="93"/>
      <c r="W53" s="85"/>
      <c r="Y53" s="94"/>
      <c r="Z53" s="93"/>
      <c r="AA53" s="85"/>
      <c r="AC53" s="94"/>
      <c r="AD53" s="93"/>
      <c r="AE53" s="85"/>
    </row>
    <row r="54" spans="6:31" ht="14.5" customHeight="1" x14ac:dyDescent="0.35">
      <c r="F54" s="93"/>
      <c r="G54" s="85"/>
      <c r="H54" s="87"/>
      <c r="J54" s="93"/>
      <c r="K54" s="85"/>
      <c r="N54" s="93"/>
      <c r="O54" s="85"/>
      <c r="Q54" s="94"/>
      <c r="R54" s="93"/>
      <c r="S54" s="85"/>
      <c r="U54" s="94"/>
      <c r="V54" s="93"/>
      <c r="W54" s="85"/>
      <c r="Y54" s="94"/>
      <c r="Z54" s="93"/>
      <c r="AA54" s="85"/>
      <c r="AC54" s="94"/>
      <c r="AD54" s="93"/>
      <c r="AE54" s="85"/>
    </row>
    <row r="55" spans="6:31" ht="14.5" customHeight="1" x14ac:dyDescent="0.35">
      <c r="F55" s="93"/>
      <c r="G55" s="85"/>
      <c r="H55" s="87"/>
      <c r="J55" s="93"/>
      <c r="K55" s="85"/>
      <c r="N55" s="93"/>
      <c r="O55" s="85"/>
      <c r="Q55" s="94"/>
      <c r="R55" s="93"/>
      <c r="S55" s="85"/>
      <c r="U55" s="94"/>
      <c r="V55" s="93"/>
      <c r="W55" s="85"/>
      <c r="Y55" s="94"/>
      <c r="Z55" s="93"/>
      <c r="AA55" s="85"/>
      <c r="AC55" s="94"/>
      <c r="AD55" s="93"/>
      <c r="AE55" s="85"/>
    </row>
    <row r="56" spans="6:31" ht="14.5" customHeight="1" x14ac:dyDescent="0.35">
      <c r="F56" s="93"/>
      <c r="G56" s="85"/>
      <c r="H56" s="87"/>
      <c r="J56" s="93"/>
      <c r="K56" s="85"/>
      <c r="N56" s="93"/>
      <c r="O56" s="85"/>
      <c r="Q56" s="94"/>
      <c r="R56" s="93"/>
      <c r="S56" s="85"/>
      <c r="U56" s="94"/>
      <c r="V56" s="93"/>
      <c r="W56" s="85"/>
      <c r="Y56" s="94"/>
      <c r="Z56" s="93"/>
      <c r="AA56" s="85"/>
      <c r="AC56" s="94"/>
      <c r="AD56" s="93"/>
      <c r="AE56" s="85"/>
    </row>
    <row r="57" spans="6:31" ht="14.5" customHeight="1" x14ac:dyDescent="0.35">
      <c r="F57" s="93"/>
      <c r="G57" s="85"/>
      <c r="H57" s="87"/>
      <c r="J57" s="93"/>
      <c r="K57" s="85"/>
      <c r="N57" s="93"/>
      <c r="O57" s="85"/>
      <c r="Q57" s="94"/>
      <c r="R57" s="93"/>
      <c r="S57" s="85"/>
      <c r="U57" s="94"/>
      <c r="V57" s="93"/>
      <c r="W57" s="85"/>
      <c r="Y57" s="94"/>
      <c r="Z57" s="93"/>
      <c r="AA57" s="85"/>
      <c r="AC57" s="94"/>
      <c r="AD57" s="93"/>
      <c r="AE57" s="85"/>
    </row>
    <row r="58" spans="6:31" ht="14.5" customHeight="1" x14ac:dyDescent="0.35">
      <c r="F58" s="93"/>
      <c r="G58" s="85"/>
      <c r="H58" s="87"/>
      <c r="J58" s="93"/>
      <c r="K58" s="85"/>
      <c r="N58" s="93"/>
      <c r="O58" s="85"/>
      <c r="Q58" s="94"/>
      <c r="R58" s="93"/>
      <c r="S58" s="85"/>
      <c r="U58" s="94"/>
      <c r="V58" s="93"/>
      <c r="W58" s="85"/>
      <c r="Y58" s="94"/>
      <c r="Z58" s="93"/>
      <c r="AA58" s="85"/>
      <c r="AC58" s="94"/>
      <c r="AD58" s="93"/>
      <c r="AE58" s="85"/>
    </row>
    <row r="59" spans="6:31" ht="14.5" customHeight="1" x14ac:dyDescent="0.35">
      <c r="F59" s="93"/>
      <c r="G59" s="85"/>
      <c r="H59" s="87"/>
      <c r="J59" s="93"/>
      <c r="K59" s="85"/>
      <c r="N59" s="93"/>
      <c r="O59" s="85"/>
      <c r="Q59" s="94"/>
      <c r="R59" s="93"/>
      <c r="S59" s="85"/>
      <c r="U59" s="94"/>
      <c r="V59" s="93"/>
      <c r="W59" s="85"/>
      <c r="Y59" s="94"/>
      <c r="Z59" s="93"/>
      <c r="AA59" s="85"/>
      <c r="AC59" s="94"/>
      <c r="AD59" s="93"/>
      <c r="AE59" s="85"/>
    </row>
    <row r="60" spans="6:31" ht="14.5" customHeight="1" x14ac:dyDescent="0.35">
      <c r="F60" s="93"/>
      <c r="G60" s="85"/>
      <c r="H60" s="87"/>
      <c r="J60" s="93"/>
      <c r="K60" s="85"/>
      <c r="N60" s="93"/>
      <c r="O60" s="85"/>
      <c r="Q60" s="94"/>
      <c r="R60" s="93"/>
      <c r="S60" s="85"/>
      <c r="U60" s="94"/>
      <c r="V60" s="93"/>
      <c r="W60" s="85"/>
      <c r="Y60" s="94"/>
      <c r="Z60" s="93"/>
      <c r="AA60" s="85"/>
      <c r="AC60" s="94"/>
      <c r="AD60" s="93"/>
      <c r="AE60" s="85"/>
    </row>
    <row r="61" spans="6:31" ht="14.5" customHeight="1" x14ac:dyDescent="0.35">
      <c r="F61" s="93"/>
      <c r="G61" s="85"/>
      <c r="H61" s="87"/>
      <c r="J61" s="93"/>
      <c r="K61" s="85"/>
      <c r="N61" s="93"/>
      <c r="O61" s="85"/>
      <c r="Q61" s="94"/>
      <c r="R61" s="93"/>
      <c r="S61" s="85"/>
      <c r="U61" s="94"/>
      <c r="V61" s="93"/>
      <c r="W61" s="85"/>
      <c r="Y61" s="94"/>
      <c r="Z61" s="93"/>
      <c r="AA61" s="85"/>
      <c r="AC61" s="94"/>
      <c r="AD61" s="93"/>
      <c r="AE61" s="85"/>
    </row>
    <row r="62" spans="6:31" ht="14.5" customHeight="1" x14ac:dyDescent="0.35">
      <c r="F62" s="93"/>
      <c r="G62" s="85"/>
      <c r="H62" s="87"/>
      <c r="J62" s="93"/>
      <c r="K62" s="85"/>
      <c r="N62" s="93"/>
      <c r="O62" s="85"/>
      <c r="Q62" s="94"/>
      <c r="R62" s="93"/>
      <c r="S62" s="85"/>
      <c r="U62" s="94"/>
      <c r="V62" s="93"/>
      <c r="W62" s="85"/>
      <c r="Y62" s="94"/>
      <c r="Z62" s="93"/>
      <c r="AA62" s="85"/>
      <c r="AC62" s="94"/>
      <c r="AD62" s="93"/>
      <c r="AE62" s="85"/>
    </row>
    <row r="63" spans="6:31" ht="14.5" customHeight="1" x14ac:dyDescent="0.35">
      <c r="F63" s="93"/>
      <c r="G63" s="85"/>
      <c r="H63" s="87"/>
      <c r="J63" s="93"/>
      <c r="K63" s="85"/>
      <c r="N63" s="93"/>
      <c r="O63" s="85"/>
      <c r="Q63" s="94"/>
      <c r="R63" s="93"/>
      <c r="S63" s="85"/>
      <c r="U63" s="94"/>
      <c r="V63" s="93"/>
      <c r="W63" s="85"/>
      <c r="Y63" s="94"/>
      <c r="Z63" s="93"/>
      <c r="AA63" s="85"/>
      <c r="AC63" s="94"/>
      <c r="AD63" s="93"/>
      <c r="AE63" s="85"/>
    </row>
    <row r="64" spans="6:31" ht="14.5" customHeight="1" x14ac:dyDescent="0.35">
      <c r="F64" s="93"/>
      <c r="G64" s="85"/>
      <c r="H64" s="87"/>
      <c r="J64" s="93"/>
      <c r="K64" s="85"/>
      <c r="N64" s="93"/>
      <c r="O64" s="85"/>
      <c r="Q64" s="94"/>
      <c r="R64" s="93"/>
      <c r="S64" s="85"/>
      <c r="U64" s="94"/>
      <c r="V64" s="93"/>
      <c r="W64" s="85"/>
      <c r="Y64" s="94"/>
      <c r="Z64" s="93"/>
      <c r="AA64" s="85"/>
      <c r="AC64" s="94"/>
      <c r="AD64" s="93"/>
      <c r="AE64" s="85"/>
    </row>
    <row r="65" spans="6:31" ht="14.5" customHeight="1" x14ac:dyDescent="0.35">
      <c r="F65" s="93"/>
      <c r="G65" s="85"/>
      <c r="H65" s="87"/>
      <c r="J65" s="93"/>
      <c r="K65" s="85"/>
      <c r="N65" s="93"/>
      <c r="O65" s="85"/>
      <c r="Q65" s="94"/>
      <c r="R65" s="93"/>
      <c r="S65" s="85"/>
      <c r="U65" s="94"/>
      <c r="V65" s="93"/>
      <c r="W65" s="85"/>
      <c r="Y65" s="94"/>
      <c r="Z65" s="93"/>
      <c r="AA65" s="85"/>
      <c r="AC65" s="94"/>
      <c r="AD65" s="93"/>
      <c r="AE65" s="85"/>
    </row>
    <row r="66" spans="6:31" ht="14.5" customHeight="1" x14ac:dyDescent="0.35">
      <c r="F66" s="93"/>
      <c r="G66" s="85"/>
      <c r="H66" s="87"/>
      <c r="J66" s="93"/>
      <c r="K66" s="85"/>
      <c r="N66" s="93"/>
      <c r="O66" s="85"/>
      <c r="Q66" s="94"/>
      <c r="R66" s="93"/>
      <c r="S66" s="85"/>
      <c r="U66" s="94"/>
      <c r="V66" s="93"/>
      <c r="W66" s="85"/>
      <c r="Y66" s="94"/>
      <c r="Z66" s="93"/>
      <c r="AA66" s="85"/>
      <c r="AC66" s="94"/>
      <c r="AD66" s="93"/>
      <c r="AE66" s="85"/>
    </row>
    <row r="67" spans="6:31" ht="14.5" customHeight="1" x14ac:dyDescent="0.35">
      <c r="F67" s="93"/>
      <c r="G67" s="85"/>
      <c r="H67" s="87"/>
      <c r="J67" s="93"/>
      <c r="K67" s="85"/>
      <c r="N67" s="93"/>
      <c r="O67" s="85"/>
      <c r="Q67" s="94"/>
      <c r="R67" s="93"/>
      <c r="S67" s="85"/>
      <c r="U67" s="94"/>
      <c r="V67" s="93"/>
      <c r="W67" s="85"/>
      <c r="Y67" s="94"/>
      <c r="Z67" s="93"/>
      <c r="AA67" s="85"/>
      <c r="AC67" s="94"/>
      <c r="AD67" s="93"/>
      <c r="AE67" s="85"/>
    </row>
    <row r="68" spans="6:31" ht="14.5" customHeight="1" x14ac:dyDescent="0.35">
      <c r="F68" s="93"/>
      <c r="G68" s="85"/>
      <c r="H68" s="87"/>
      <c r="J68" s="93"/>
      <c r="K68" s="85"/>
      <c r="N68" s="93"/>
      <c r="O68" s="85"/>
      <c r="Q68" s="94"/>
      <c r="R68" s="93"/>
      <c r="S68" s="85"/>
      <c r="U68" s="94"/>
      <c r="V68" s="93"/>
      <c r="W68" s="85"/>
      <c r="Y68" s="94"/>
      <c r="Z68" s="93"/>
      <c r="AA68" s="85"/>
      <c r="AC68" s="94"/>
      <c r="AD68" s="93"/>
      <c r="AE68" s="85"/>
    </row>
    <row r="69" spans="6:31" ht="14.5" customHeight="1" x14ac:dyDescent="0.35">
      <c r="F69" s="93"/>
      <c r="G69" s="85"/>
      <c r="H69" s="87"/>
      <c r="J69" s="93"/>
      <c r="K69" s="85"/>
      <c r="N69" s="93"/>
      <c r="O69" s="85"/>
      <c r="Q69" s="94"/>
      <c r="R69" s="93"/>
      <c r="S69" s="85"/>
      <c r="U69" s="94"/>
      <c r="V69" s="93"/>
      <c r="W69" s="85"/>
      <c r="Y69" s="94"/>
      <c r="Z69" s="93"/>
      <c r="AA69" s="85"/>
      <c r="AC69" s="94"/>
      <c r="AD69" s="93"/>
      <c r="AE69" s="85"/>
    </row>
    <row r="70" spans="6:31" ht="14.5" customHeight="1" x14ac:dyDescent="0.35">
      <c r="F70" s="93"/>
      <c r="G70" s="85"/>
      <c r="H70" s="87"/>
      <c r="J70" s="93"/>
      <c r="K70" s="85"/>
      <c r="N70" s="93"/>
      <c r="O70" s="85"/>
      <c r="Q70" s="94"/>
      <c r="R70" s="93"/>
      <c r="S70" s="85"/>
      <c r="U70" s="94"/>
      <c r="V70" s="93"/>
      <c r="W70" s="85"/>
      <c r="Y70" s="94"/>
      <c r="Z70" s="93"/>
      <c r="AA70" s="85"/>
      <c r="AC70" s="94"/>
      <c r="AD70" s="93"/>
      <c r="AE70" s="85"/>
    </row>
    <row r="71" spans="6:31" ht="14.5" customHeight="1" x14ac:dyDescent="0.35">
      <c r="F71" s="93"/>
      <c r="G71" s="85"/>
      <c r="H71" s="87"/>
      <c r="J71" s="93"/>
      <c r="K71" s="85"/>
      <c r="N71" s="93"/>
      <c r="O71" s="85"/>
      <c r="Q71" s="94"/>
      <c r="R71" s="93"/>
      <c r="S71" s="85"/>
      <c r="U71" s="94"/>
      <c r="V71" s="93"/>
      <c r="W71" s="85"/>
      <c r="Y71" s="94"/>
      <c r="Z71" s="93"/>
      <c r="AA71" s="85"/>
      <c r="AC71" s="94"/>
      <c r="AD71" s="93"/>
      <c r="AE71" s="85"/>
    </row>
    <row r="72" spans="6:31" ht="14.5" customHeight="1" x14ac:dyDescent="0.35">
      <c r="F72" s="93"/>
      <c r="G72" s="85"/>
      <c r="H72" s="87"/>
      <c r="J72" s="93"/>
      <c r="K72" s="85"/>
      <c r="N72" s="93"/>
      <c r="O72" s="85"/>
      <c r="Q72" s="94"/>
      <c r="R72" s="93"/>
      <c r="S72" s="85"/>
      <c r="U72" s="94"/>
      <c r="V72" s="93"/>
      <c r="W72" s="85"/>
      <c r="Y72" s="94"/>
      <c r="Z72" s="93"/>
      <c r="AA72" s="85"/>
      <c r="AC72" s="94"/>
      <c r="AD72" s="93"/>
      <c r="AE72" s="85"/>
    </row>
    <row r="73" spans="6:31" ht="14.5" customHeight="1" x14ac:dyDescent="0.35">
      <c r="F73" s="93"/>
      <c r="G73" s="85"/>
      <c r="H73" s="87"/>
      <c r="J73" s="93"/>
      <c r="K73" s="85"/>
      <c r="N73" s="93"/>
      <c r="O73" s="85"/>
      <c r="Q73" s="94"/>
      <c r="R73" s="93"/>
      <c r="S73" s="85"/>
      <c r="U73" s="94"/>
      <c r="V73" s="93"/>
      <c r="W73" s="85"/>
      <c r="Y73" s="94"/>
      <c r="Z73" s="93"/>
      <c r="AA73" s="85"/>
      <c r="AC73" s="94"/>
      <c r="AD73" s="93"/>
      <c r="AE73" s="85"/>
    </row>
    <row r="74" spans="6:31" ht="14.5" customHeight="1" x14ac:dyDescent="0.35">
      <c r="F74" s="93"/>
      <c r="G74" s="85"/>
      <c r="H74" s="87"/>
      <c r="J74" s="93"/>
      <c r="K74" s="85"/>
      <c r="N74" s="93"/>
      <c r="O74" s="85"/>
      <c r="Q74" s="94"/>
      <c r="R74" s="93"/>
      <c r="S74" s="85"/>
      <c r="U74" s="94"/>
      <c r="V74" s="93"/>
      <c r="W74" s="85"/>
      <c r="Y74" s="94"/>
      <c r="Z74" s="93"/>
      <c r="AA74" s="85"/>
      <c r="AC74" s="94"/>
      <c r="AD74" s="93"/>
      <c r="AE74" s="85"/>
    </row>
    <row r="75" spans="6:31" ht="14.5" customHeight="1" x14ac:dyDescent="0.35">
      <c r="F75" s="93"/>
      <c r="G75" s="85"/>
      <c r="H75" s="87"/>
      <c r="J75" s="93"/>
      <c r="K75" s="85"/>
      <c r="N75" s="93"/>
      <c r="O75" s="85"/>
      <c r="Q75" s="94"/>
      <c r="R75" s="93"/>
      <c r="S75" s="85"/>
      <c r="U75" s="94"/>
      <c r="V75" s="93"/>
      <c r="W75" s="85"/>
      <c r="Y75" s="94"/>
      <c r="Z75" s="93"/>
      <c r="AA75" s="85"/>
      <c r="AC75" s="94"/>
      <c r="AD75" s="93"/>
      <c r="AE75" s="85"/>
    </row>
    <row r="76" spans="6:31" ht="14.5" customHeight="1" x14ac:dyDescent="0.35">
      <c r="F76" s="93"/>
      <c r="G76" s="85"/>
      <c r="H76" s="87"/>
      <c r="J76" s="93"/>
      <c r="K76" s="85"/>
      <c r="N76" s="93"/>
      <c r="O76" s="85"/>
      <c r="Q76" s="94"/>
      <c r="R76" s="93"/>
      <c r="S76" s="85"/>
      <c r="U76" s="94"/>
      <c r="V76" s="93"/>
      <c r="W76" s="85"/>
      <c r="Y76" s="94"/>
      <c r="Z76" s="93"/>
      <c r="AA76" s="85"/>
      <c r="AC76" s="94"/>
      <c r="AD76" s="93"/>
      <c r="AE76" s="85"/>
    </row>
    <row r="77" spans="6:31" ht="14.5" customHeight="1" x14ac:dyDescent="0.35">
      <c r="F77" s="93"/>
      <c r="G77" s="85"/>
      <c r="H77" s="87"/>
      <c r="J77" s="93"/>
      <c r="K77" s="85"/>
      <c r="N77" s="93"/>
      <c r="O77" s="85"/>
      <c r="Q77" s="94"/>
      <c r="R77" s="93"/>
      <c r="S77" s="85"/>
      <c r="U77" s="94"/>
      <c r="V77" s="93"/>
      <c r="W77" s="85"/>
      <c r="Y77" s="94"/>
      <c r="Z77" s="93"/>
      <c r="AA77" s="85"/>
      <c r="AC77" s="94"/>
      <c r="AD77" s="93"/>
      <c r="AE77" s="85"/>
    </row>
    <row r="78" spans="6:31" ht="14.5" customHeight="1" x14ac:dyDescent="0.35">
      <c r="F78" s="93"/>
      <c r="G78" s="85"/>
      <c r="H78" s="87"/>
      <c r="J78" s="93"/>
      <c r="K78" s="85"/>
      <c r="N78" s="93"/>
      <c r="O78" s="85"/>
      <c r="Q78" s="94"/>
      <c r="R78" s="93"/>
      <c r="S78" s="85"/>
      <c r="U78" s="94"/>
      <c r="V78" s="93"/>
      <c r="W78" s="85"/>
      <c r="Y78" s="94"/>
      <c r="Z78" s="93"/>
      <c r="AA78" s="85"/>
      <c r="AC78" s="94"/>
      <c r="AD78" s="93"/>
      <c r="AE78" s="85"/>
    </row>
    <row r="79" spans="6:31" ht="14.5" customHeight="1" x14ac:dyDescent="0.35">
      <c r="F79" s="93"/>
      <c r="G79" s="85"/>
      <c r="H79" s="87"/>
      <c r="J79" s="93"/>
      <c r="K79" s="85"/>
      <c r="N79" s="93"/>
      <c r="O79" s="85"/>
      <c r="Q79" s="94"/>
      <c r="R79" s="93"/>
      <c r="S79" s="85"/>
      <c r="U79" s="94"/>
      <c r="V79" s="93"/>
      <c r="W79" s="85"/>
      <c r="Y79" s="94"/>
      <c r="Z79" s="93"/>
      <c r="AA79" s="85"/>
      <c r="AC79" s="94"/>
      <c r="AD79" s="93"/>
      <c r="AE79" s="85"/>
    </row>
    <row r="80" spans="6:31" ht="14.5" customHeight="1" x14ac:dyDescent="0.35">
      <c r="F80" s="93"/>
      <c r="G80" s="85"/>
      <c r="H80" s="87"/>
      <c r="J80" s="93"/>
      <c r="K80" s="85"/>
      <c r="N80" s="93"/>
      <c r="O80" s="85"/>
      <c r="Q80" s="94"/>
      <c r="R80" s="93"/>
      <c r="S80" s="85"/>
      <c r="U80" s="94"/>
      <c r="V80" s="93"/>
      <c r="W80" s="85"/>
      <c r="Y80" s="94"/>
      <c r="Z80" s="93"/>
      <c r="AA80" s="85"/>
      <c r="AC80" s="94"/>
      <c r="AD80" s="93"/>
      <c r="AE80" s="85"/>
    </row>
    <row r="81" spans="6:31" ht="14.5" customHeight="1" x14ac:dyDescent="0.35">
      <c r="F81" s="93"/>
      <c r="G81" s="85"/>
      <c r="H81" s="87"/>
      <c r="J81" s="93"/>
      <c r="K81" s="85"/>
      <c r="N81" s="93"/>
      <c r="O81" s="85"/>
      <c r="Q81" s="94"/>
      <c r="R81" s="93"/>
      <c r="S81" s="85"/>
      <c r="U81" s="94"/>
      <c r="V81" s="93"/>
      <c r="W81" s="85"/>
      <c r="Y81" s="94"/>
      <c r="Z81" s="93"/>
      <c r="AA81" s="85"/>
      <c r="AC81" s="94"/>
      <c r="AD81" s="93"/>
      <c r="AE81" s="85"/>
    </row>
    <row r="82" spans="6:31" ht="14.5" customHeight="1" x14ac:dyDescent="0.35">
      <c r="F82" s="93"/>
      <c r="G82" s="85"/>
      <c r="H82" s="87"/>
      <c r="J82" s="93"/>
      <c r="K82" s="85"/>
      <c r="N82" s="93"/>
      <c r="O82" s="85"/>
      <c r="Q82" s="94"/>
      <c r="R82" s="93"/>
      <c r="S82" s="85"/>
      <c r="U82" s="94"/>
      <c r="V82" s="93"/>
      <c r="W82" s="85"/>
      <c r="Y82" s="94"/>
      <c r="Z82" s="93"/>
      <c r="AA82" s="85"/>
      <c r="AC82" s="94"/>
      <c r="AD82" s="93"/>
      <c r="AE82" s="85"/>
    </row>
    <row r="83" spans="6:31" ht="14.5" customHeight="1" x14ac:dyDescent="0.35">
      <c r="F83" s="93"/>
      <c r="G83" s="85"/>
      <c r="H83" s="87"/>
      <c r="J83" s="93"/>
      <c r="K83" s="85"/>
      <c r="N83" s="93"/>
      <c r="O83" s="85"/>
      <c r="Q83" s="94"/>
      <c r="R83" s="93"/>
      <c r="S83" s="85"/>
      <c r="U83" s="94"/>
      <c r="V83" s="93"/>
      <c r="W83" s="85"/>
      <c r="Y83" s="94"/>
      <c r="Z83" s="93"/>
      <c r="AA83" s="85"/>
      <c r="AC83" s="94"/>
      <c r="AD83" s="93"/>
      <c r="AE83" s="85"/>
    </row>
    <row r="84" spans="6:31" ht="14.5" customHeight="1" x14ac:dyDescent="0.35">
      <c r="F84" s="93"/>
      <c r="G84" s="85"/>
      <c r="H84" s="87"/>
      <c r="J84" s="93"/>
      <c r="K84" s="85"/>
      <c r="N84" s="93"/>
      <c r="O84" s="85"/>
      <c r="Q84" s="94"/>
      <c r="R84" s="93"/>
      <c r="S84" s="85"/>
      <c r="U84" s="94"/>
      <c r="V84" s="93"/>
      <c r="W84" s="85"/>
      <c r="Y84" s="94"/>
      <c r="Z84" s="93"/>
      <c r="AA84" s="85"/>
      <c r="AC84" s="94"/>
      <c r="AD84" s="93"/>
      <c r="AE84" s="85"/>
    </row>
    <row r="85" spans="6:31" ht="14.5" customHeight="1" x14ac:dyDescent="0.35">
      <c r="F85" s="93"/>
      <c r="G85" s="85"/>
      <c r="H85" s="87"/>
      <c r="J85" s="93"/>
      <c r="K85" s="85"/>
      <c r="N85" s="93"/>
      <c r="O85" s="85"/>
      <c r="Q85" s="94"/>
      <c r="R85" s="93"/>
      <c r="S85" s="85"/>
      <c r="U85" s="94"/>
      <c r="V85" s="93"/>
      <c r="W85" s="85"/>
      <c r="Y85" s="94"/>
      <c r="Z85" s="93"/>
      <c r="AA85" s="85"/>
      <c r="AC85" s="94"/>
      <c r="AD85" s="93"/>
      <c r="AE85" s="85"/>
    </row>
    <row r="86" spans="6:31" ht="14.5" customHeight="1" x14ac:dyDescent="0.35">
      <c r="F86" s="93"/>
      <c r="G86" s="85"/>
      <c r="H86" s="87"/>
      <c r="J86" s="93"/>
      <c r="K86" s="85"/>
      <c r="N86" s="93"/>
      <c r="O86" s="85"/>
      <c r="Q86" s="94"/>
      <c r="R86" s="93"/>
      <c r="S86" s="85"/>
      <c r="U86" s="94"/>
      <c r="V86" s="93"/>
      <c r="W86" s="85"/>
      <c r="Y86" s="94"/>
      <c r="Z86" s="93"/>
      <c r="AA86" s="85"/>
      <c r="AC86" s="94"/>
      <c r="AD86" s="93"/>
      <c r="AE86" s="85"/>
    </row>
    <row r="87" spans="6:31" ht="14.5" customHeight="1" x14ac:dyDescent="0.35">
      <c r="F87" s="93"/>
      <c r="G87" s="85"/>
      <c r="H87" s="87"/>
      <c r="J87" s="93"/>
      <c r="K87" s="85"/>
      <c r="N87" s="93"/>
      <c r="O87" s="85"/>
      <c r="Q87" s="94"/>
      <c r="R87" s="93"/>
      <c r="S87" s="85"/>
      <c r="U87" s="94"/>
      <c r="V87" s="93"/>
      <c r="W87" s="85"/>
      <c r="Y87" s="94"/>
      <c r="Z87" s="93"/>
      <c r="AA87" s="85"/>
      <c r="AC87" s="94"/>
      <c r="AD87" s="93"/>
      <c r="AE87" s="85"/>
    </row>
    <row r="88" spans="6:31" ht="14.5" customHeight="1" x14ac:dyDescent="0.35">
      <c r="F88" s="93"/>
      <c r="G88" s="85"/>
      <c r="H88" s="87"/>
      <c r="J88" s="93"/>
      <c r="K88" s="85"/>
      <c r="N88" s="93"/>
      <c r="O88" s="85"/>
      <c r="Q88" s="94"/>
      <c r="R88" s="93"/>
      <c r="S88" s="85"/>
      <c r="U88" s="94"/>
      <c r="V88" s="93"/>
      <c r="W88" s="85"/>
      <c r="Y88" s="94"/>
      <c r="Z88" s="93"/>
      <c r="AA88" s="85"/>
      <c r="AC88" s="94"/>
      <c r="AD88" s="93"/>
      <c r="AE88" s="85"/>
    </row>
    <row r="89" spans="6:31" ht="14.5" customHeight="1" x14ac:dyDescent="0.35">
      <c r="F89" s="93"/>
      <c r="G89" s="85"/>
      <c r="H89" s="87"/>
      <c r="J89" s="93"/>
      <c r="K89" s="85"/>
      <c r="N89" s="93"/>
      <c r="O89" s="85"/>
      <c r="Q89" s="94"/>
      <c r="R89" s="93"/>
      <c r="S89" s="85"/>
      <c r="U89" s="94"/>
      <c r="V89" s="93"/>
      <c r="W89" s="85"/>
      <c r="Y89" s="94"/>
      <c r="Z89" s="93"/>
      <c r="AA89" s="85"/>
      <c r="AC89" s="94"/>
      <c r="AD89" s="93"/>
      <c r="AE89" s="85"/>
    </row>
    <row r="90" spans="6:31" ht="14.5" customHeight="1" x14ac:dyDescent="0.35">
      <c r="F90" s="93"/>
      <c r="G90" s="85"/>
      <c r="H90" s="87"/>
      <c r="J90" s="93"/>
      <c r="K90" s="85"/>
      <c r="N90" s="93"/>
      <c r="O90" s="85"/>
      <c r="Q90" s="94"/>
      <c r="R90" s="93"/>
      <c r="S90" s="85"/>
      <c r="U90" s="94"/>
      <c r="V90" s="93"/>
      <c r="W90" s="85"/>
      <c r="Y90" s="94"/>
      <c r="Z90" s="93"/>
      <c r="AA90" s="85"/>
      <c r="AC90" s="94"/>
      <c r="AD90" s="93"/>
      <c r="AE90" s="85"/>
    </row>
    <row r="91" spans="6:31" ht="14.5" customHeight="1" x14ac:dyDescent="0.35">
      <c r="F91" s="93"/>
      <c r="G91" s="85"/>
      <c r="H91" s="87"/>
      <c r="J91" s="93"/>
      <c r="K91" s="85"/>
      <c r="N91" s="93"/>
      <c r="O91" s="85"/>
      <c r="Q91" s="94"/>
      <c r="R91" s="93"/>
      <c r="S91" s="85"/>
      <c r="U91" s="94"/>
      <c r="V91" s="93"/>
      <c r="W91" s="85"/>
      <c r="Y91" s="94"/>
      <c r="Z91" s="93"/>
      <c r="AA91" s="85"/>
      <c r="AC91" s="94"/>
      <c r="AD91" s="93"/>
      <c r="AE91" s="85"/>
    </row>
    <row r="92" spans="6:31" ht="14.5" customHeight="1" x14ac:dyDescent="0.35">
      <c r="F92" s="93"/>
      <c r="G92" s="85"/>
      <c r="H92" s="87"/>
      <c r="J92" s="93"/>
      <c r="K92" s="85"/>
      <c r="N92" s="93"/>
      <c r="O92" s="85"/>
      <c r="Q92" s="94"/>
      <c r="R92" s="93"/>
      <c r="S92" s="85"/>
      <c r="U92" s="94"/>
      <c r="V92" s="93"/>
      <c r="W92" s="85"/>
      <c r="Y92" s="94"/>
      <c r="Z92" s="93"/>
      <c r="AA92" s="85"/>
      <c r="AC92" s="94"/>
      <c r="AD92" s="93"/>
      <c r="AE92" s="85"/>
    </row>
    <row r="93" spans="6:31" ht="14.5" customHeight="1" x14ac:dyDescent="0.35">
      <c r="F93" s="93"/>
      <c r="G93" s="85"/>
      <c r="H93" s="87"/>
      <c r="J93" s="93"/>
      <c r="K93" s="85"/>
      <c r="N93" s="93"/>
      <c r="O93" s="85"/>
      <c r="Q93" s="94"/>
      <c r="R93" s="93"/>
      <c r="S93" s="85"/>
      <c r="U93" s="94"/>
      <c r="V93" s="93"/>
      <c r="W93" s="85"/>
      <c r="Y93" s="94"/>
      <c r="Z93" s="93"/>
      <c r="AA93" s="85"/>
      <c r="AC93" s="94"/>
      <c r="AD93" s="93"/>
      <c r="AE93" s="85"/>
    </row>
    <row r="94" spans="6:31" ht="14.5" customHeight="1" x14ac:dyDescent="0.35">
      <c r="F94" s="93"/>
      <c r="G94" s="85"/>
      <c r="H94" s="87"/>
      <c r="J94" s="93"/>
      <c r="K94" s="85"/>
      <c r="N94" s="93"/>
      <c r="O94" s="85"/>
      <c r="Q94" s="94"/>
      <c r="R94" s="93"/>
      <c r="S94" s="85"/>
      <c r="U94" s="94"/>
      <c r="V94" s="93"/>
      <c r="W94" s="85"/>
      <c r="Y94" s="94"/>
      <c r="Z94" s="93"/>
      <c r="AA94" s="85"/>
      <c r="AC94" s="94"/>
      <c r="AD94" s="93"/>
      <c r="AE94" s="85"/>
    </row>
    <row r="95" spans="6:31" ht="14.5" customHeight="1" x14ac:dyDescent="0.35">
      <c r="F95" s="93"/>
      <c r="G95" s="85"/>
      <c r="H95" s="87"/>
      <c r="J95" s="93"/>
      <c r="K95" s="85"/>
      <c r="N95" s="93"/>
      <c r="O95" s="85"/>
      <c r="Q95" s="94"/>
      <c r="R95" s="93"/>
      <c r="S95" s="85"/>
      <c r="U95" s="94"/>
      <c r="V95" s="93"/>
      <c r="W95" s="85"/>
      <c r="Y95" s="94"/>
      <c r="Z95" s="93"/>
      <c r="AA95" s="85"/>
      <c r="AC95" s="94"/>
      <c r="AD95" s="93"/>
      <c r="AE95" s="85"/>
    </row>
    <row r="96" spans="6:31" ht="14.5" customHeight="1" x14ac:dyDescent="0.35">
      <c r="F96" s="93"/>
      <c r="G96" s="85"/>
      <c r="H96" s="87"/>
      <c r="J96" s="93"/>
      <c r="K96" s="85"/>
      <c r="N96" s="93"/>
      <c r="O96" s="85"/>
      <c r="Q96" s="94"/>
      <c r="R96" s="93"/>
      <c r="S96" s="85"/>
      <c r="U96" s="94"/>
      <c r="V96" s="93"/>
      <c r="W96" s="85"/>
      <c r="Y96" s="94"/>
      <c r="Z96" s="93"/>
      <c r="AA96" s="85"/>
      <c r="AC96" s="94"/>
      <c r="AD96" s="93"/>
      <c r="AE96" s="85"/>
    </row>
    <row r="97" spans="6:31" ht="14.5" customHeight="1" x14ac:dyDescent="0.35">
      <c r="F97" s="93"/>
      <c r="G97" s="85"/>
      <c r="H97" s="87"/>
      <c r="J97" s="93"/>
      <c r="K97" s="85"/>
      <c r="N97" s="93"/>
      <c r="O97" s="85"/>
      <c r="Q97" s="94"/>
      <c r="R97" s="93"/>
      <c r="S97" s="85"/>
      <c r="U97" s="94"/>
      <c r="V97" s="93"/>
      <c r="W97" s="85"/>
      <c r="Y97" s="94"/>
      <c r="Z97" s="93"/>
      <c r="AA97" s="85"/>
      <c r="AC97" s="94"/>
      <c r="AD97" s="93"/>
      <c r="AE97" s="85"/>
    </row>
    <row r="98" spans="6:31" ht="14.5" customHeight="1" x14ac:dyDescent="0.35">
      <c r="F98" s="93"/>
      <c r="G98" s="85"/>
      <c r="H98" s="87"/>
      <c r="J98" s="93"/>
      <c r="K98" s="85"/>
      <c r="N98" s="93"/>
      <c r="O98" s="85"/>
      <c r="Q98" s="94"/>
      <c r="R98" s="93"/>
      <c r="S98" s="85"/>
      <c r="U98" s="94"/>
      <c r="V98" s="93"/>
      <c r="W98" s="85"/>
      <c r="Y98" s="94"/>
      <c r="Z98" s="93"/>
      <c r="AA98" s="85"/>
      <c r="AC98" s="94"/>
      <c r="AD98" s="93"/>
      <c r="AE98" s="85"/>
    </row>
    <row r="99" spans="6:31" ht="14.5" customHeight="1" x14ac:dyDescent="0.35">
      <c r="F99" s="93"/>
      <c r="G99" s="85"/>
      <c r="H99" s="87"/>
      <c r="J99" s="93"/>
      <c r="K99" s="85"/>
      <c r="N99" s="93"/>
      <c r="O99" s="85"/>
      <c r="Q99" s="94"/>
      <c r="R99" s="93"/>
      <c r="S99" s="85"/>
      <c r="U99" s="94"/>
      <c r="V99" s="93"/>
      <c r="W99" s="85"/>
      <c r="Y99" s="94"/>
      <c r="Z99" s="93"/>
      <c r="AA99" s="85"/>
      <c r="AC99" s="94"/>
      <c r="AD99" s="93"/>
      <c r="AE99" s="85"/>
    </row>
    <row r="100" spans="6:31" ht="14.5" customHeight="1" x14ac:dyDescent="0.35">
      <c r="F100" s="93"/>
      <c r="G100" s="85"/>
      <c r="H100" s="87"/>
      <c r="J100" s="93"/>
      <c r="K100" s="85"/>
      <c r="N100" s="93"/>
      <c r="O100" s="85"/>
      <c r="Q100" s="94"/>
      <c r="R100" s="93"/>
      <c r="S100" s="85"/>
      <c r="U100" s="94"/>
      <c r="V100" s="93"/>
      <c r="W100" s="85"/>
      <c r="Y100" s="94"/>
      <c r="Z100" s="93"/>
      <c r="AA100" s="85"/>
      <c r="AC100" s="94"/>
      <c r="AD100" s="93"/>
      <c r="AE100" s="85"/>
    </row>
    <row r="101" spans="6:31" ht="14.5" customHeight="1" x14ac:dyDescent="0.35">
      <c r="F101" s="93"/>
      <c r="G101" s="85"/>
      <c r="H101" s="87"/>
      <c r="J101" s="93"/>
      <c r="K101" s="85"/>
      <c r="N101" s="93"/>
      <c r="O101" s="85"/>
      <c r="Q101" s="94"/>
      <c r="R101" s="93"/>
      <c r="S101" s="85"/>
      <c r="U101" s="94"/>
      <c r="V101" s="93"/>
      <c r="W101" s="85"/>
      <c r="Y101" s="94"/>
      <c r="Z101" s="93"/>
      <c r="AA101" s="85"/>
      <c r="AC101" s="94"/>
      <c r="AD101" s="93"/>
      <c r="AE101" s="85"/>
    </row>
    <row r="102" spans="6:31" ht="14.5" customHeight="1" x14ac:dyDescent="0.35">
      <c r="F102" s="93"/>
      <c r="G102" s="85"/>
      <c r="H102" s="87"/>
      <c r="J102" s="93"/>
      <c r="K102" s="85"/>
      <c r="N102" s="93"/>
      <c r="O102" s="85"/>
      <c r="Q102" s="94"/>
      <c r="R102" s="93"/>
      <c r="S102" s="85"/>
      <c r="U102" s="94"/>
      <c r="V102" s="93"/>
      <c r="W102" s="85"/>
      <c r="Y102" s="94"/>
      <c r="Z102" s="93"/>
      <c r="AA102" s="85"/>
      <c r="AC102" s="94"/>
      <c r="AD102" s="93"/>
      <c r="AE102" s="85"/>
    </row>
    <row r="103" spans="6:31" ht="14.5" customHeight="1" x14ac:dyDescent="0.35">
      <c r="F103" s="93"/>
      <c r="G103" s="85"/>
      <c r="H103" s="87"/>
      <c r="J103" s="93"/>
      <c r="K103" s="85"/>
      <c r="N103" s="93"/>
      <c r="O103" s="85"/>
      <c r="Q103" s="94"/>
      <c r="R103" s="93"/>
      <c r="S103" s="85"/>
      <c r="U103" s="94"/>
      <c r="V103" s="93"/>
      <c r="W103" s="85"/>
      <c r="Y103" s="94"/>
      <c r="Z103" s="93"/>
      <c r="AA103" s="85"/>
      <c r="AC103" s="94"/>
      <c r="AD103" s="93"/>
      <c r="AE103" s="85"/>
    </row>
    <row r="104" spans="6:31" ht="14.5" customHeight="1" x14ac:dyDescent="0.35">
      <c r="F104" s="93"/>
      <c r="G104" s="85"/>
      <c r="H104" s="87"/>
      <c r="J104" s="93"/>
      <c r="K104" s="85"/>
      <c r="N104" s="93"/>
      <c r="O104" s="85"/>
      <c r="Q104" s="94"/>
      <c r="R104" s="93"/>
      <c r="S104" s="85"/>
      <c r="U104" s="94"/>
      <c r="V104" s="93"/>
      <c r="W104" s="85"/>
      <c r="Y104" s="94"/>
      <c r="Z104" s="93"/>
      <c r="AA104" s="85"/>
      <c r="AC104" s="94"/>
      <c r="AD104" s="93"/>
      <c r="AE104" s="85"/>
    </row>
    <row r="105" spans="6:31" ht="14.5" customHeight="1" x14ac:dyDescent="0.35">
      <c r="F105" s="93"/>
      <c r="G105" s="85"/>
      <c r="H105" s="87"/>
      <c r="J105" s="93"/>
      <c r="K105" s="85"/>
      <c r="N105" s="93"/>
      <c r="O105" s="85"/>
      <c r="Q105" s="94"/>
      <c r="R105" s="93"/>
      <c r="S105" s="85"/>
      <c r="U105" s="94"/>
      <c r="V105" s="93"/>
      <c r="W105" s="85"/>
      <c r="Y105" s="94"/>
      <c r="Z105" s="93"/>
      <c r="AA105" s="85"/>
      <c r="AC105" s="94"/>
      <c r="AD105" s="93"/>
      <c r="AE105" s="85"/>
    </row>
    <row r="106" spans="6:31" ht="14.5" customHeight="1" x14ac:dyDescent="0.35">
      <c r="F106" s="93"/>
      <c r="G106" s="85"/>
      <c r="H106" s="87"/>
      <c r="J106" s="93"/>
      <c r="K106" s="85"/>
      <c r="N106" s="93"/>
      <c r="O106" s="85"/>
      <c r="Q106" s="94"/>
      <c r="R106" s="93"/>
      <c r="S106" s="85"/>
      <c r="U106" s="94"/>
      <c r="V106" s="93"/>
      <c r="W106" s="85"/>
      <c r="Y106" s="94"/>
      <c r="Z106" s="93"/>
      <c r="AA106" s="85"/>
      <c r="AC106" s="94"/>
      <c r="AD106" s="93"/>
      <c r="AE106" s="85"/>
    </row>
    <row r="107" spans="6:31" ht="14.5" customHeight="1" x14ac:dyDescent="0.35">
      <c r="F107" s="93"/>
      <c r="G107" s="85"/>
      <c r="H107" s="87"/>
      <c r="J107" s="93"/>
      <c r="K107" s="85"/>
      <c r="N107" s="93"/>
      <c r="O107" s="85"/>
      <c r="Q107" s="94"/>
      <c r="R107" s="93"/>
      <c r="S107" s="85"/>
      <c r="U107" s="94"/>
      <c r="V107" s="93"/>
      <c r="W107" s="85"/>
      <c r="Y107" s="94"/>
      <c r="Z107" s="93"/>
      <c r="AA107" s="85"/>
      <c r="AC107" s="94"/>
      <c r="AD107" s="93"/>
      <c r="AE107" s="85"/>
    </row>
    <row r="108" spans="6:31" ht="14.5" customHeight="1" x14ac:dyDescent="0.35">
      <c r="F108" s="93"/>
      <c r="G108" s="85"/>
      <c r="H108" s="87"/>
      <c r="J108" s="93"/>
      <c r="K108" s="85"/>
      <c r="N108" s="93"/>
      <c r="O108" s="85"/>
      <c r="Q108" s="94"/>
      <c r="R108" s="93"/>
      <c r="S108" s="85"/>
      <c r="U108" s="94"/>
      <c r="V108" s="93"/>
      <c r="W108" s="85"/>
      <c r="Y108" s="94"/>
      <c r="Z108" s="93"/>
      <c r="AA108" s="85"/>
      <c r="AC108" s="94"/>
      <c r="AD108" s="93"/>
      <c r="AE108" s="85"/>
    </row>
    <row r="109" spans="6:31" ht="14.5" customHeight="1" x14ac:dyDescent="0.35">
      <c r="F109" s="93"/>
      <c r="G109" s="85"/>
      <c r="H109" s="87"/>
      <c r="J109" s="93"/>
      <c r="K109" s="85"/>
      <c r="N109" s="93"/>
      <c r="O109" s="85"/>
      <c r="Q109" s="94"/>
      <c r="R109" s="93"/>
      <c r="S109" s="85"/>
      <c r="U109" s="94"/>
      <c r="V109" s="93"/>
      <c r="W109" s="85"/>
      <c r="Y109" s="94"/>
      <c r="Z109" s="93"/>
      <c r="AA109" s="85"/>
      <c r="AC109" s="94"/>
      <c r="AD109" s="93"/>
      <c r="AE109" s="85"/>
    </row>
    <row r="110" spans="6:31" ht="14.5" customHeight="1" x14ac:dyDescent="0.35">
      <c r="F110" s="93"/>
      <c r="G110" s="85"/>
      <c r="H110" s="87"/>
      <c r="J110" s="93"/>
      <c r="K110" s="85"/>
      <c r="N110" s="93"/>
      <c r="O110" s="85"/>
      <c r="Q110" s="94"/>
      <c r="R110" s="93"/>
      <c r="S110" s="85"/>
      <c r="U110" s="94"/>
      <c r="V110" s="93"/>
      <c r="W110" s="85"/>
      <c r="Y110" s="94"/>
      <c r="Z110" s="93"/>
      <c r="AA110" s="85"/>
      <c r="AC110" s="94"/>
      <c r="AD110" s="93"/>
      <c r="AE110" s="85"/>
    </row>
    <row r="111" spans="6:31" ht="14.5" customHeight="1" x14ac:dyDescent="0.35">
      <c r="F111" s="93"/>
      <c r="G111" s="85"/>
      <c r="H111" s="87"/>
      <c r="J111" s="93"/>
      <c r="K111" s="85"/>
      <c r="N111" s="93"/>
      <c r="O111" s="85"/>
      <c r="Q111" s="94"/>
      <c r="R111" s="93"/>
      <c r="S111" s="85"/>
      <c r="U111" s="94"/>
      <c r="V111" s="93"/>
      <c r="W111" s="85"/>
      <c r="Y111" s="94"/>
      <c r="Z111" s="93"/>
      <c r="AA111" s="85"/>
      <c r="AC111" s="94"/>
      <c r="AD111" s="93"/>
      <c r="AE111" s="85"/>
    </row>
    <row r="112" spans="6:31" ht="14.5" customHeight="1" x14ac:dyDescent="0.35">
      <c r="F112" s="93"/>
      <c r="G112" s="85"/>
      <c r="H112" s="87"/>
      <c r="J112" s="93"/>
      <c r="K112" s="85"/>
      <c r="N112" s="93"/>
      <c r="O112" s="85"/>
      <c r="Q112" s="94"/>
      <c r="R112" s="93"/>
      <c r="S112" s="85"/>
      <c r="U112" s="94"/>
      <c r="V112" s="93"/>
      <c r="W112" s="85"/>
      <c r="Y112" s="94"/>
      <c r="Z112" s="93"/>
      <c r="AA112" s="85"/>
      <c r="AC112" s="94"/>
      <c r="AD112" s="93"/>
      <c r="AE112" s="85"/>
    </row>
    <row r="113" spans="6:31" ht="14.5" customHeight="1" x14ac:dyDescent="0.35">
      <c r="F113" s="93"/>
      <c r="G113" s="85"/>
      <c r="H113" s="87"/>
      <c r="J113" s="93"/>
      <c r="K113" s="85"/>
      <c r="N113" s="93"/>
      <c r="O113" s="85"/>
      <c r="Q113" s="94"/>
      <c r="R113" s="93"/>
      <c r="S113" s="85"/>
      <c r="U113" s="94"/>
      <c r="V113" s="93"/>
      <c r="W113" s="85"/>
      <c r="Y113" s="94"/>
      <c r="Z113" s="93"/>
      <c r="AA113" s="85"/>
      <c r="AC113" s="94"/>
      <c r="AD113" s="93"/>
      <c r="AE113" s="85"/>
    </row>
    <row r="114" spans="6:31" ht="14.5" customHeight="1" x14ac:dyDescent="0.35">
      <c r="F114" s="93"/>
      <c r="G114" s="85"/>
      <c r="H114" s="87"/>
      <c r="J114" s="93"/>
      <c r="K114" s="85"/>
      <c r="N114" s="93"/>
      <c r="O114" s="85"/>
      <c r="Q114" s="94"/>
      <c r="R114" s="93"/>
      <c r="S114" s="85"/>
      <c r="U114" s="94"/>
      <c r="V114" s="93"/>
      <c r="W114" s="85"/>
      <c r="Y114" s="94"/>
      <c r="Z114" s="93"/>
      <c r="AA114" s="85"/>
      <c r="AC114" s="94"/>
      <c r="AD114" s="93"/>
      <c r="AE114" s="85"/>
    </row>
    <row r="115" spans="6:31" ht="14.5" customHeight="1" x14ac:dyDescent="0.35">
      <c r="F115" s="93"/>
      <c r="G115" s="85"/>
      <c r="H115" s="87"/>
      <c r="J115" s="93"/>
      <c r="K115" s="85"/>
      <c r="N115" s="93"/>
      <c r="O115" s="85"/>
      <c r="Q115" s="94"/>
      <c r="R115" s="93"/>
      <c r="S115" s="85"/>
      <c r="U115" s="94"/>
      <c r="V115" s="93"/>
      <c r="W115" s="85"/>
      <c r="Y115" s="94"/>
      <c r="Z115" s="93"/>
      <c r="AA115" s="85"/>
      <c r="AC115" s="94"/>
      <c r="AD115" s="93"/>
      <c r="AE115" s="85"/>
    </row>
    <row r="116" spans="6:31" ht="14.5" customHeight="1" x14ac:dyDescent="0.35">
      <c r="F116" s="93"/>
      <c r="G116" s="85"/>
      <c r="H116" s="87"/>
      <c r="J116" s="93"/>
      <c r="K116" s="85"/>
      <c r="N116" s="93"/>
      <c r="O116" s="85"/>
      <c r="Q116" s="94"/>
      <c r="R116" s="93"/>
      <c r="S116" s="85"/>
      <c r="U116" s="94"/>
      <c r="V116" s="93"/>
      <c r="W116" s="85"/>
      <c r="Y116" s="94"/>
      <c r="Z116" s="93"/>
      <c r="AA116" s="85"/>
      <c r="AC116" s="94"/>
      <c r="AD116" s="93"/>
      <c r="AE116" s="85"/>
    </row>
    <row r="117" spans="6:31" ht="14.5" customHeight="1" x14ac:dyDescent="0.35">
      <c r="F117" s="93"/>
      <c r="G117" s="85"/>
      <c r="H117" s="87"/>
      <c r="J117" s="93"/>
      <c r="K117" s="85"/>
      <c r="N117" s="93"/>
      <c r="O117" s="85"/>
      <c r="Q117" s="94"/>
      <c r="R117" s="93"/>
      <c r="S117" s="85"/>
      <c r="U117" s="94"/>
      <c r="V117" s="93"/>
      <c r="W117" s="85"/>
      <c r="Y117" s="94"/>
      <c r="Z117" s="93"/>
      <c r="AA117" s="85"/>
      <c r="AC117" s="94"/>
      <c r="AD117" s="93"/>
      <c r="AE117" s="85"/>
    </row>
    <row r="118" spans="6:31" ht="14.5" customHeight="1" x14ac:dyDescent="0.35">
      <c r="F118" s="93"/>
      <c r="G118" s="85"/>
      <c r="H118" s="87"/>
      <c r="J118" s="93"/>
      <c r="K118" s="85"/>
      <c r="N118" s="93"/>
      <c r="O118" s="85"/>
      <c r="Q118" s="94"/>
      <c r="R118" s="93"/>
      <c r="S118" s="85"/>
      <c r="U118" s="94"/>
      <c r="V118" s="93"/>
      <c r="W118" s="85"/>
      <c r="Y118" s="94"/>
      <c r="Z118" s="93"/>
      <c r="AA118" s="85"/>
      <c r="AC118" s="94"/>
      <c r="AD118" s="93"/>
      <c r="AE118" s="85"/>
    </row>
    <row r="119" spans="6:31" ht="14.5" customHeight="1" x14ac:dyDescent="0.35">
      <c r="F119" s="93"/>
      <c r="G119" s="85"/>
      <c r="H119" s="87"/>
      <c r="J119" s="93"/>
      <c r="K119" s="85"/>
      <c r="N119" s="93"/>
      <c r="O119" s="85"/>
      <c r="Q119" s="94"/>
      <c r="R119" s="93"/>
      <c r="S119" s="85"/>
      <c r="U119" s="94"/>
      <c r="V119" s="93"/>
      <c r="W119" s="85"/>
      <c r="Y119" s="94"/>
      <c r="Z119" s="93"/>
      <c r="AA119" s="85"/>
      <c r="AC119" s="94"/>
      <c r="AD119" s="93"/>
      <c r="AE119" s="85"/>
    </row>
    <row r="120" spans="6:31" ht="14.5" customHeight="1" x14ac:dyDescent="0.35">
      <c r="F120" s="93"/>
      <c r="G120" s="85"/>
      <c r="H120" s="87"/>
      <c r="J120" s="93"/>
      <c r="K120" s="85"/>
      <c r="N120" s="93"/>
      <c r="O120" s="85"/>
      <c r="Q120" s="94"/>
      <c r="R120" s="93"/>
      <c r="S120" s="85"/>
      <c r="U120" s="94"/>
      <c r="V120" s="93"/>
      <c r="W120" s="85"/>
      <c r="Y120" s="94"/>
      <c r="Z120" s="93"/>
      <c r="AA120" s="85"/>
      <c r="AC120" s="94"/>
      <c r="AD120" s="93"/>
      <c r="AE120" s="85"/>
    </row>
    <row r="121" spans="6:31" ht="14.5" customHeight="1" x14ac:dyDescent="0.35">
      <c r="F121" s="93"/>
      <c r="G121" s="85"/>
      <c r="H121" s="87"/>
      <c r="J121" s="93"/>
      <c r="K121" s="85"/>
      <c r="N121" s="93"/>
      <c r="O121" s="85"/>
      <c r="Q121" s="94"/>
      <c r="R121" s="93"/>
      <c r="S121" s="85"/>
      <c r="U121" s="94"/>
      <c r="V121" s="93"/>
      <c r="W121" s="85"/>
      <c r="Y121" s="94"/>
      <c r="Z121" s="93"/>
      <c r="AA121" s="85"/>
      <c r="AC121" s="94"/>
      <c r="AD121" s="93"/>
      <c r="AE121" s="85"/>
    </row>
    <row r="122" spans="6:31" ht="14.5" customHeight="1" x14ac:dyDescent="0.35">
      <c r="F122" s="93"/>
      <c r="G122" s="85"/>
      <c r="H122" s="87"/>
      <c r="J122" s="93"/>
      <c r="K122" s="85"/>
      <c r="N122" s="93"/>
      <c r="O122" s="85"/>
      <c r="Q122" s="94"/>
      <c r="R122" s="93"/>
      <c r="S122" s="85"/>
      <c r="U122" s="94"/>
      <c r="V122" s="93"/>
      <c r="W122" s="85"/>
      <c r="Y122" s="94"/>
      <c r="Z122" s="93"/>
      <c r="AA122" s="85"/>
      <c r="AC122" s="94"/>
      <c r="AD122" s="93"/>
      <c r="AE122" s="85"/>
    </row>
    <row r="123" spans="6:31" ht="14.5" customHeight="1" x14ac:dyDescent="0.35">
      <c r="F123" s="93"/>
      <c r="G123" s="85"/>
      <c r="H123" s="87"/>
      <c r="J123" s="93"/>
      <c r="K123" s="85"/>
      <c r="N123" s="93"/>
      <c r="O123" s="85"/>
      <c r="Q123" s="94"/>
      <c r="R123" s="93"/>
      <c r="S123" s="85"/>
      <c r="U123" s="94"/>
      <c r="V123" s="93"/>
      <c r="W123" s="85"/>
      <c r="Y123" s="94"/>
      <c r="Z123" s="93"/>
      <c r="AA123" s="85"/>
      <c r="AC123" s="94"/>
      <c r="AD123" s="93"/>
      <c r="AE123" s="85"/>
    </row>
    <row r="124" spans="6:31" ht="14.5" customHeight="1" x14ac:dyDescent="0.35">
      <c r="F124" s="93"/>
      <c r="G124" s="85"/>
      <c r="H124" s="87"/>
      <c r="J124" s="93"/>
      <c r="K124" s="85"/>
      <c r="N124" s="93"/>
      <c r="O124" s="85"/>
      <c r="Q124" s="94"/>
      <c r="R124" s="93"/>
      <c r="S124" s="85"/>
      <c r="U124" s="94"/>
      <c r="V124" s="93"/>
      <c r="W124" s="85"/>
      <c r="Y124" s="94"/>
      <c r="Z124" s="93"/>
      <c r="AA124" s="85"/>
      <c r="AC124" s="94"/>
      <c r="AD124" s="93"/>
      <c r="AE124" s="85"/>
    </row>
    <row r="125" spans="6:31" ht="14.5" customHeight="1" x14ac:dyDescent="0.35">
      <c r="F125" s="93"/>
      <c r="G125" s="85"/>
      <c r="H125" s="87"/>
      <c r="J125" s="93"/>
      <c r="K125" s="85"/>
      <c r="N125" s="93"/>
      <c r="O125" s="85"/>
      <c r="Q125" s="94"/>
      <c r="R125" s="93"/>
      <c r="S125" s="85"/>
      <c r="U125" s="94"/>
      <c r="V125" s="93"/>
      <c r="W125" s="85"/>
      <c r="Y125" s="94"/>
      <c r="Z125" s="93"/>
      <c r="AA125" s="85"/>
      <c r="AC125" s="94"/>
      <c r="AD125" s="93"/>
      <c r="AE125" s="85"/>
    </row>
    <row r="126" spans="6:31" ht="14.5" customHeight="1" x14ac:dyDescent="0.35">
      <c r="F126" s="93"/>
      <c r="G126" s="85"/>
      <c r="H126" s="87"/>
      <c r="J126" s="93"/>
      <c r="K126" s="85"/>
      <c r="N126" s="93"/>
      <c r="O126" s="85"/>
      <c r="Q126" s="94"/>
      <c r="R126" s="93"/>
      <c r="S126" s="85"/>
      <c r="U126" s="94"/>
      <c r="V126" s="93"/>
      <c r="W126" s="85"/>
      <c r="Y126" s="94"/>
      <c r="Z126" s="93"/>
      <c r="AA126" s="85"/>
      <c r="AC126" s="94"/>
      <c r="AD126" s="93"/>
      <c r="AE126" s="85"/>
    </row>
    <row r="127" spans="6:31" ht="14.5" customHeight="1" x14ac:dyDescent="0.35">
      <c r="F127" s="93"/>
      <c r="G127" s="85"/>
      <c r="H127" s="87"/>
      <c r="J127" s="93"/>
      <c r="K127" s="85"/>
      <c r="N127" s="93"/>
      <c r="O127" s="85"/>
      <c r="Q127" s="94"/>
      <c r="R127" s="93"/>
      <c r="S127" s="85"/>
      <c r="U127" s="94"/>
      <c r="V127" s="93"/>
      <c r="W127" s="85"/>
      <c r="Y127" s="94"/>
      <c r="Z127" s="93"/>
      <c r="AA127" s="85"/>
      <c r="AC127" s="94"/>
      <c r="AD127" s="93"/>
      <c r="AE127" s="85"/>
    </row>
    <row r="128" spans="6:31" ht="14.5" customHeight="1" x14ac:dyDescent="0.35">
      <c r="F128" s="93"/>
      <c r="G128" s="85"/>
      <c r="H128" s="87"/>
      <c r="J128" s="93"/>
      <c r="K128" s="85"/>
      <c r="N128" s="93"/>
      <c r="O128" s="85"/>
      <c r="Q128" s="94"/>
      <c r="R128" s="93"/>
      <c r="S128" s="85"/>
      <c r="U128" s="94"/>
      <c r="V128" s="93"/>
      <c r="W128" s="85"/>
      <c r="Y128" s="94"/>
      <c r="Z128" s="93"/>
      <c r="AA128" s="85"/>
      <c r="AC128" s="94"/>
      <c r="AD128" s="93"/>
      <c r="AE128" s="85"/>
    </row>
    <row r="129" spans="6:31" ht="14.5" customHeight="1" x14ac:dyDescent="0.35">
      <c r="F129" s="93"/>
      <c r="G129" s="85"/>
      <c r="H129" s="87"/>
      <c r="J129" s="93"/>
      <c r="K129" s="85"/>
      <c r="N129" s="93"/>
      <c r="O129" s="85"/>
      <c r="Q129" s="94"/>
      <c r="R129" s="93"/>
      <c r="S129" s="85"/>
      <c r="U129" s="94"/>
      <c r="V129" s="93"/>
      <c r="W129" s="85"/>
      <c r="Y129" s="94"/>
      <c r="Z129" s="93"/>
      <c r="AA129" s="85"/>
      <c r="AC129" s="94"/>
      <c r="AD129" s="93"/>
      <c r="AE129" s="85"/>
    </row>
    <row r="130" spans="6:31" ht="14.5" customHeight="1" x14ac:dyDescent="0.35">
      <c r="F130" s="93"/>
      <c r="G130" s="85"/>
      <c r="H130" s="87"/>
      <c r="J130" s="93"/>
      <c r="K130" s="85"/>
      <c r="N130" s="93"/>
      <c r="O130" s="85"/>
      <c r="Q130" s="94"/>
      <c r="R130" s="93"/>
      <c r="S130" s="85"/>
      <c r="U130" s="94"/>
      <c r="V130" s="93"/>
      <c r="W130" s="85"/>
      <c r="Y130" s="94"/>
      <c r="Z130" s="93"/>
      <c r="AA130" s="85"/>
      <c r="AC130" s="94"/>
      <c r="AD130" s="93"/>
      <c r="AE130" s="85"/>
    </row>
    <row r="131" spans="6:31" ht="14.5" customHeight="1" x14ac:dyDescent="0.35">
      <c r="F131" s="93"/>
      <c r="G131" s="85"/>
      <c r="H131" s="87"/>
      <c r="J131" s="93"/>
      <c r="K131" s="85"/>
      <c r="N131" s="93"/>
      <c r="O131" s="85"/>
      <c r="Q131" s="94"/>
      <c r="R131" s="93"/>
      <c r="S131" s="85"/>
      <c r="U131" s="94"/>
      <c r="V131" s="93"/>
      <c r="W131" s="85"/>
      <c r="Y131" s="94"/>
      <c r="Z131" s="93"/>
      <c r="AA131" s="85"/>
      <c r="AC131" s="94"/>
      <c r="AD131" s="93"/>
      <c r="AE131" s="85"/>
    </row>
    <row r="132" spans="6:31" ht="14.5" customHeight="1" x14ac:dyDescent="0.35">
      <c r="F132" s="93"/>
      <c r="G132" s="85"/>
      <c r="H132" s="87"/>
      <c r="J132" s="93"/>
      <c r="K132" s="85"/>
      <c r="N132" s="93"/>
      <c r="O132" s="85"/>
      <c r="Q132" s="94"/>
      <c r="R132" s="93"/>
      <c r="S132" s="85"/>
      <c r="U132" s="94"/>
      <c r="V132" s="93"/>
      <c r="W132" s="85"/>
      <c r="Y132" s="94"/>
      <c r="Z132" s="93"/>
      <c r="AA132" s="85"/>
      <c r="AC132" s="94"/>
      <c r="AD132" s="93"/>
      <c r="AE132" s="85"/>
    </row>
    <row r="133" spans="6:31" ht="14.5" customHeight="1" x14ac:dyDescent="0.35">
      <c r="F133" s="93"/>
      <c r="G133" s="85"/>
      <c r="H133" s="87"/>
      <c r="J133" s="93"/>
      <c r="K133" s="85"/>
      <c r="N133" s="93"/>
      <c r="O133" s="85"/>
      <c r="Q133" s="94"/>
      <c r="R133" s="93"/>
      <c r="S133" s="85"/>
      <c r="U133" s="94"/>
      <c r="V133" s="93"/>
      <c r="W133" s="85"/>
      <c r="Y133" s="94"/>
      <c r="Z133" s="93"/>
      <c r="AA133" s="85"/>
      <c r="AC133" s="94"/>
      <c r="AD133" s="93"/>
      <c r="AE133" s="85"/>
    </row>
    <row r="134" spans="6:31" ht="14.5" customHeight="1" x14ac:dyDescent="0.35">
      <c r="F134" s="93"/>
      <c r="G134" s="85"/>
      <c r="H134" s="87"/>
      <c r="J134" s="93"/>
      <c r="K134" s="85"/>
      <c r="N134" s="93"/>
      <c r="O134" s="85"/>
      <c r="Q134" s="94"/>
      <c r="R134" s="93"/>
      <c r="S134" s="85"/>
      <c r="U134" s="94"/>
      <c r="V134" s="93"/>
      <c r="W134" s="85"/>
      <c r="Y134" s="94"/>
      <c r="Z134" s="93"/>
      <c r="AA134" s="85"/>
      <c r="AC134" s="94"/>
      <c r="AD134" s="93"/>
      <c r="AE134" s="85"/>
    </row>
    <row r="135" spans="6:31" ht="14.5" customHeight="1" x14ac:dyDescent="0.35">
      <c r="F135" s="93"/>
      <c r="G135" s="85"/>
      <c r="H135" s="87"/>
      <c r="J135" s="93"/>
      <c r="K135" s="85"/>
      <c r="N135" s="93"/>
      <c r="O135" s="85"/>
      <c r="Q135" s="94"/>
      <c r="R135" s="93"/>
      <c r="S135" s="85"/>
      <c r="U135" s="94"/>
      <c r="V135" s="93"/>
      <c r="W135" s="85"/>
      <c r="Y135" s="94"/>
      <c r="Z135" s="93"/>
      <c r="AA135" s="85"/>
      <c r="AC135" s="94"/>
      <c r="AD135" s="93"/>
      <c r="AE135" s="85"/>
    </row>
    <row r="136" spans="6:31" ht="14.5" customHeight="1" x14ac:dyDescent="0.35">
      <c r="F136" s="93"/>
      <c r="G136" s="85"/>
      <c r="H136" s="87"/>
      <c r="J136" s="93"/>
      <c r="K136" s="85"/>
      <c r="N136" s="93"/>
      <c r="O136" s="85"/>
      <c r="Q136" s="94"/>
      <c r="R136" s="93"/>
      <c r="S136" s="85"/>
      <c r="U136" s="94"/>
      <c r="V136" s="93"/>
      <c r="W136" s="85"/>
      <c r="Y136" s="94"/>
      <c r="Z136" s="93"/>
      <c r="AA136" s="85"/>
      <c r="AC136" s="94"/>
      <c r="AD136" s="93"/>
      <c r="AE136" s="85"/>
    </row>
    <row r="137" spans="6:31" ht="14.5" customHeight="1" x14ac:dyDescent="0.35">
      <c r="F137" s="93"/>
      <c r="G137" s="85"/>
      <c r="H137" s="87"/>
      <c r="J137" s="93"/>
      <c r="K137" s="85"/>
      <c r="N137" s="93"/>
      <c r="O137" s="85"/>
      <c r="Q137" s="94"/>
      <c r="R137" s="93"/>
      <c r="S137" s="85"/>
      <c r="U137" s="94"/>
      <c r="V137" s="93"/>
      <c r="W137" s="85"/>
      <c r="Y137" s="94"/>
      <c r="Z137" s="93"/>
      <c r="AA137" s="85"/>
      <c r="AC137" s="94"/>
      <c r="AD137" s="93"/>
      <c r="AE137" s="85"/>
    </row>
    <row r="138" spans="6:31" ht="14.5" customHeight="1" x14ac:dyDescent="0.35">
      <c r="F138" s="93"/>
      <c r="G138" s="85"/>
      <c r="H138" s="87"/>
      <c r="J138" s="93"/>
      <c r="K138" s="85"/>
      <c r="N138" s="93"/>
      <c r="O138" s="85"/>
      <c r="Q138" s="94"/>
      <c r="R138" s="93"/>
      <c r="S138" s="85"/>
      <c r="U138" s="94"/>
      <c r="V138" s="93"/>
      <c r="W138" s="85"/>
      <c r="Y138" s="94"/>
      <c r="Z138" s="93"/>
      <c r="AA138" s="85"/>
      <c r="AC138" s="94"/>
      <c r="AD138" s="93"/>
      <c r="AE138" s="85"/>
    </row>
    <row r="139" spans="6:31" ht="14.5" customHeight="1" x14ac:dyDescent="0.35">
      <c r="F139" s="93"/>
      <c r="G139" s="85"/>
      <c r="H139" s="87"/>
      <c r="J139" s="93"/>
      <c r="K139" s="85"/>
      <c r="N139" s="93"/>
      <c r="O139" s="85"/>
      <c r="Q139" s="94"/>
      <c r="R139" s="93"/>
      <c r="S139" s="85"/>
      <c r="U139" s="94"/>
      <c r="V139" s="93"/>
      <c r="W139" s="85"/>
      <c r="Y139" s="94"/>
      <c r="Z139" s="93"/>
      <c r="AA139" s="85"/>
      <c r="AC139" s="94"/>
      <c r="AD139" s="93"/>
      <c r="AE139" s="85"/>
    </row>
    <row r="140" spans="6:31" ht="14.5" customHeight="1" x14ac:dyDescent="0.35">
      <c r="F140" s="93"/>
      <c r="G140" s="85"/>
      <c r="H140" s="87"/>
      <c r="J140" s="93"/>
      <c r="K140" s="85"/>
      <c r="N140" s="93"/>
      <c r="O140" s="85"/>
      <c r="Q140" s="94"/>
      <c r="R140" s="93"/>
      <c r="S140" s="85"/>
      <c r="U140" s="94"/>
      <c r="V140" s="93"/>
      <c r="W140" s="85"/>
      <c r="Y140" s="94"/>
      <c r="Z140" s="93"/>
      <c r="AA140" s="85"/>
      <c r="AC140" s="94"/>
      <c r="AD140" s="93"/>
      <c r="AE140" s="85"/>
    </row>
    <row r="141" spans="6:31" ht="14.5" customHeight="1" x14ac:dyDescent="0.35">
      <c r="F141" s="93"/>
      <c r="G141" s="85"/>
      <c r="H141" s="87"/>
      <c r="J141" s="93"/>
      <c r="K141" s="85"/>
      <c r="N141" s="93"/>
      <c r="O141" s="85"/>
      <c r="Q141" s="94"/>
      <c r="R141" s="93"/>
      <c r="S141" s="85"/>
      <c r="U141" s="94"/>
      <c r="V141" s="93"/>
      <c r="W141" s="85"/>
      <c r="Y141" s="94"/>
      <c r="Z141" s="93"/>
      <c r="AA141" s="85"/>
      <c r="AC141" s="94"/>
      <c r="AD141" s="93"/>
      <c r="AE141" s="85"/>
    </row>
    <row r="142" spans="6:31" ht="14.5" customHeight="1" x14ac:dyDescent="0.35">
      <c r="F142" s="93"/>
      <c r="G142" s="85"/>
      <c r="H142" s="87"/>
      <c r="J142" s="93"/>
      <c r="K142" s="85"/>
      <c r="N142" s="93"/>
      <c r="O142" s="85"/>
      <c r="Q142" s="94"/>
      <c r="R142" s="93"/>
      <c r="S142" s="85"/>
      <c r="U142" s="94"/>
      <c r="V142" s="93"/>
      <c r="W142" s="85"/>
      <c r="Y142" s="94"/>
      <c r="Z142" s="93"/>
      <c r="AA142" s="85"/>
      <c r="AC142" s="94"/>
      <c r="AD142" s="93"/>
      <c r="AE142" s="85"/>
    </row>
    <row r="143" spans="6:31" ht="14.5" customHeight="1" x14ac:dyDescent="0.35">
      <c r="F143" s="93"/>
      <c r="G143" s="85"/>
      <c r="H143" s="87"/>
      <c r="J143" s="93"/>
      <c r="K143" s="85"/>
      <c r="N143" s="93"/>
      <c r="O143" s="85"/>
      <c r="Q143" s="94"/>
      <c r="R143" s="93"/>
      <c r="S143" s="85"/>
      <c r="U143" s="94"/>
      <c r="V143" s="93"/>
      <c r="W143" s="85"/>
      <c r="Y143" s="94"/>
      <c r="Z143" s="93"/>
      <c r="AA143" s="85"/>
      <c r="AC143" s="94"/>
      <c r="AD143" s="93"/>
      <c r="AE143" s="85"/>
    </row>
    <row r="144" spans="6:31" ht="14.5" customHeight="1" x14ac:dyDescent="0.35">
      <c r="F144" s="93"/>
      <c r="G144" s="85"/>
      <c r="H144" s="87"/>
      <c r="J144" s="93"/>
      <c r="K144" s="85"/>
      <c r="N144" s="93"/>
      <c r="O144" s="85"/>
      <c r="Q144" s="94"/>
      <c r="R144" s="93"/>
      <c r="S144" s="85"/>
      <c r="U144" s="94"/>
      <c r="V144" s="93"/>
      <c r="W144" s="85"/>
      <c r="Y144" s="94"/>
      <c r="Z144" s="93"/>
      <c r="AA144" s="85"/>
      <c r="AC144" s="94"/>
      <c r="AD144" s="93"/>
      <c r="AE144" s="85"/>
    </row>
    <row r="145" spans="6:31" ht="14.5" customHeight="1" x14ac:dyDescent="0.35">
      <c r="F145" s="93"/>
      <c r="G145" s="85"/>
      <c r="H145" s="87"/>
      <c r="J145" s="93"/>
      <c r="K145" s="85"/>
      <c r="N145" s="93"/>
      <c r="O145" s="85"/>
      <c r="Q145" s="94"/>
      <c r="R145" s="93"/>
      <c r="S145" s="85"/>
      <c r="U145" s="94"/>
      <c r="V145" s="93"/>
      <c r="W145" s="85"/>
      <c r="Y145" s="94"/>
      <c r="Z145" s="93"/>
      <c r="AA145" s="85"/>
      <c r="AC145" s="94"/>
      <c r="AD145" s="93"/>
      <c r="AE145" s="85"/>
    </row>
    <row r="146" spans="6:31" ht="14.5" customHeight="1" x14ac:dyDescent="0.35">
      <c r="F146" s="93"/>
      <c r="G146" s="85"/>
      <c r="H146" s="87"/>
      <c r="J146" s="93"/>
      <c r="K146" s="85"/>
      <c r="N146" s="93"/>
      <c r="O146" s="85"/>
      <c r="Q146" s="94"/>
      <c r="R146" s="93"/>
      <c r="S146" s="85"/>
      <c r="U146" s="94"/>
      <c r="V146" s="93"/>
      <c r="W146" s="85"/>
      <c r="Y146" s="94"/>
      <c r="Z146" s="93"/>
      <c r="AA146" s="85"/>
      <c r="AC146" s="94"/>
      <c r="AD146" s="93"/>
      <c r="AE146" s="85"/>
    </row>
    <row r="147" spans="6:31" ht="14.5" customHeight="1" x14ac:dyDescent="0.35">
      <c r="F147" s="93"/>
      <c r="G147" s="85"/>
      <c r="H147" s="87"/>
      <c r="J147" s="93"/>
      <c r="K147" s="85"/>
      <c r="N147" s="93"/>
      <c r="O147" s="85"/>
      <c r="Q147" s="94"/>
      <c r="R147" s="93"/>
      <c r="S147" s="85"/>
      <c r="U147" s="94"/>
      <c r="V147" s="93"/>
      <c r="W147" s="85"/>
      <c r="Y147" s="94"/>
      <c r="Z147" s="93"/>
      <c r="AA147" s="85"/>
      <c r="AC147" s="94"/>
      <c r="AD147" s="93"/>
      <c r="AE147" s="85"/>
    </row>
    <row r="148" spans="6:31" ht="14.5" customHeight="1" x14ac:dyDescent="0.35">
      <c r="F148" s="93"/>
      <c r="G148" s="85"/>
      <c r="H148" s="87"/>
      <c r="J148" s="93"/>
      <c r="K148" s="85"/>
      <c r="N148" s="93"/>
      <c r="O148" s="85"/>
      <c r="Q148" s="94"/>
      <c r="R148" s="93"/>
      <c r="S148" s="85"/>
      <c r="U148" s="94"/>
      <c r="V148" s="93"/>
      <c r="W148" s="85"/>
      <c r="Y148" s="94"/>
      <c r="Z148" s="93"/>
      <c r="AA148" s="85"/>
      <c r="AC148" s="94"/>
      <c r="AD148" s="93"/>
      <c r="AE148" s="85"/>
    </row>
    <row r="149" spans="6:31" ht="14.5" customHeight="1" x14ac:dyDescent="0.35">
      <c r="F149" s="93"/>
      <c r="G149" s="85"/>
      <c r="H149" s="87"/>
      <c r="J149" s="93"/>
      <c r="K149" s="85"/>
      <c r="N149" s="93"/>
      <c r="O149" s="85"/>
      <c r="Q149" s="94"/>
      <c r="R149" s="93"/>
      <c r="S149" s="85"/>
      <c r="U149" s="94"/>
      <c r="V149" s="93"/>
      <c r="W149" s="85"/>
      <c r="Y149" s="94"/>
      <c r="Z149" s="93"/>
      <c r="AA149" s="85"/>
      <c r="AC149" s="94"/>
      <c r="AD149" s="93"/>
      <c r="AE149" s="85"/>
    </row>
    <row r="150" spans="6:31" ht="14.5" customHeight="1" x14ac:dyDescent="0.35">
      <c r="F150" s="93"/>
      <c r="G150" s="85"/>
      <c r="H150" s="87"/>
      <c r="J150" s="93"/>
      <c r="K150" s="85"/>
      <c r="N150" s="93"/>
      <c r="O150" s="85"/>
      <c r="Q150" s="94"/>
      <c r="R150" s="93"/>
      <c r="S150" s="85"/>
      <c r="U150" s="94"/>
      <c r="V150" s="93"/>
      <c r="W150" s="85"/>
      <c r="Y150" s="94"/>
      <c r="Z150" s="93"/>
      <c r="AA150" s="85"/>
      <c r="AC150" s="94"/>
      <c r="AD150" s="93"/>
      <c r="AE150" s="85"/>
    </row>
    <row r="151" spans="6:31" ht="14.5" customHeight="1" x14ac:dyDescent="0.35">
      <c r="F151" s="93"/>
      <c r="G151" s="85"/>
      <c r="H151" s="87"/>
      <c r="J151" s="93"/>
      <c r="K151" s="85"/>
      <c r="N151" s="93"/>
      <c r="O151" s="85"/>
      <c r="Q151" s="94"/>
      <c r="R151" s="93"/>
      <c r="S151" s="85"/>
      <c r="U151" s="94"/>
      <c r="V151" s="93"/>
      <c r="W151" s="85"/>
      <c r="Y151" s="94"/>
      <c r="Z151" s="93"/>
      <c r="AA151" s="85"/>
      <c r="AC151" s="94"/>
      <c r="AD151" s="93"/>
      <c r="AE151" s="85"/>
    </row>
    <row r="152" spans="6:31" ht="14.5" customHeight="1" x14ac:dyDescent="0.35">
      <c r="F152" s="93"/>
      <c r="G152" s="85"/>
      <c r="H152" s="87"/>
      <c r="J152" s="93"/>
      <c r="K152" s="85"/>
      <c r="N152" s="93"/>
      <c r="O152" s="85"/>
      <c r="Q152" s="94"/>
      <c r="R152" s="93"/>
      <c r="S152" s="85"/>
      <c r="U152" s="94"/>
      <c r="V152" s="93"/>
      <c r="W152" s="85"/>
      <c r="Y152" s="94"/>
      <c r="Z152" s="93"/>
      <c r="AA152" s="85"/>
      <c r="AC152" s="94"/>
      <c r="AD152" s="93"/>
      <c r="AE152" s="85"/>
    </row>
    <row r="153" spans="6:31" ht="14.5" customHeight="1" x14ac:dyDescent="0.35">
      <c r="F153" s="93"/>
      <c r="G153" s="85"/>
      <c r="H153" s="87"/>
      <c r="J153" s="93"/>
      <c r="K153" s="85"/>
      <c r="N153" s="93"/>
      <c r="O153" s="85"/>
      <c r="Q153" s="94"/>
      <c r="R153" s="93"/>
      <c r="S153" s="85"/>
      <c r="U153" s="94"/>
      <c r="V153" s="93"/>
      <c r="W153" s="85"/>
      <c r="Y153" s="94"/>
      <c r="Z153" s="93"/>
      <c r="AA153" s="85"/>
      <c r="AC153" s="94"/>
      <c r="AD153" s="93"/>
      <c r="AE153" s="85"/>
    </row>
    <row r="154" spans="6:31" ht="14.5" customHeight="1" x14ac:dyDescent="0.35">
      <c r="F154" s="93"/>
      <c r="G154" s="85"/>
      <c r="H154" s="87"/>
      <c r="J154" s="93"/>
      <c r="K154" s="85"/>
      <c r="N154" s="93"/>
      <c r="O154" s="85"/>
      <c r="Q154" s="94"/>
      <c r="R154" s="93"/>
      <c r="S154" s="85"/>
      <c r="U154" s="94"/>
      <c r="V154" s="93"/>
      <c r="W154" s="85"/>
      <c r="Y154" s="94"/>
      <c r="Z154" s="93"/>
      <c r="AA154" s="85"/>
      <c r="AC154" s="94"/>
      <c r="AD154" s="93"/>
      <c r="AE154" s="85"/>
    </row>
    <row r="155" spans="6:31" ht="14.5" customHeight="1" x14ac:dyDescent="0.35">
      <c r="F155" s="93"/>
      <c r="G155" s="85"/>
      <c r="H155" s="87"/>
      <c r="J155" s="93"/>
      <c r="K155" s="85"/>
      <c r="N155" s="93"/>
      <c r="O155" s="85"/>
      <c r="Q155" s="94"/>
      <c r="R155" s="93"/>
      <c r="S155" s="85"/>
      <c r="U155" s="94"/>
      <c r="V155" s="93"/>
      <c r="W155" s="85"/>
      <c r="Y155" s="94"/>
      <c r="Z155" s="93"/>
      <c r="AA155" s="85"/>
      <c r="AC155" s="94"/>
      <c r="AD155" s="93"/>
      <c r="AE155" s="85"/>
    </row>
    <row r="156" spans="6:31" ht="14.5" customHeight="1" x14ac:dyDescent="0.35">
      <c r="F156" s="93"/>
      <c r="G156" s="85"/>
      <c r="H156" s="87"/>
      <c r="J156" s="93"/>
      <c r="K156" s="85"/>
      <c r="N156" s="93"/>
      <c r="O156" s="85"/>
      <c r="Q156" s="94"/>
      <c r="R156" s="93"/>
      <c r="S156" s="85"/>
      <c r="U156" s="94"/>
      <c r="V156" s="93"/>
      <c r="W156" s="85"/>
      <c r="Y156" s="94"/>
      <c r="Z156" s="93"/>
      <c r="AA156" s="85"/>
      <c r="AC156" s="94"/>
      <c r="AD156" s="93"/>
      <c r="AE156" s="85"/>
    </row>
    <row r="157" spans="6:31" ht="14.5" customHeight="1" x14ac:dyDescent="0.35">
      <c r="F157" s="93"/>
      <c r="G157" s="85"/>
      <c r="H157" s="87"/>
      <c r="J157" s="93"/>
      <c r="K157" s="85"/>
      <c r="N157" s="93"/>
      <c r="O157" s="85"/>
      <c r="Q157" s="94"/>
      <c r="R157" s="93"/>
      <c r="S157" s="85"/>
      <c r="U157" s="94"/>
      <c r="V157" s="93"/>
      <c r="W157" s="85"/>
      <c r="Y157" s="94"/>
      <c r="Z157" s="93"/>
      <c r="AA157" s="85"/>
      <c r="AC157" s="94"/>
      <c r="AD157" s="93"/>
      <c r="AE157" s="85"/>
    </row>
    <row r="158" spans="6:31" ht="14.5" customHeight="1" x14ac:dyDescent="0.35">
      <c r="F158" s="93"/>
      <c r="G158" s="85"/>
      <c r="H158" s="87"/>
      <c r="J158" s="93"/>
      <c r="K158" s="85"/>
      <c r="N158" s="93"/>
      <c r="O158" s="85"/>
      <c r="Q158" s="94"/>
      <c r="R158" s="93"/>
      <c r="S158" s="85"/>
      <c r="U158" s="94"/>
      <c r="V158" s="93"/>
      <c r="W158" s="85"/>
      <c r="Y158" s="94"/>
      <c r="Z158" s="93"/>
      <c r="AA158" s="85"/>
      <c r="AC158" s="94"/>
      <c r="AD158" s="93"/>
      <c r="AE158" s="85"/>
    </row>
    <row r="159" spans="6:31" ht="14.5" customHeight="1" x14ac:dyDescent="0.35">
      <c r="F159" s="93"/>
      <c r="G159" s="85"/>
      <c r="H159" s="87"/>
      <c r="J159" s="93"/>
      <c r="K159" s="85"/>
      <c r="N159" s="93"/>
      <c r="O159" s="85"/>
      <c r="Q159" s="94"/>
      <c r="R159" s="93"/>
      <c r="S159" s="85"/>
      <c r="U159" s="94"/>
      <c r="V159" s="93"/>
      <c r="W159" s="85"/>
      <c r="Y159" s="94"/>
      <c r="Z159" s="93"/>
      <c r="AA159" s="85"/>
      <c r="AC159" s="94"/>
      <c r="AD159" s="93"/>
      <c r="AE159" s="85"/>
    </row>
    <row r="160" spans="6:31" ht="14.5" customHeight="1" x14ac:dyDescent="0.35">
      <c r="F160" s="93"/>
      <c r="G160" s="85"/>
      <c r="H160" s="87"/>
      <c r="J160" s="93"/>
      <c r="K160" s="85"/>
      <c r="N160" s="93"/>
      <c r="O160" s="85"/>
      <c r="Q160" s="94"/>
      <c r="R160" s="93"/>
      <c r="S160" s="85"/>
      <c r="U160" s="94"/>
      <c r="V160" s="93"/>
      <c r="W160" s="85"/>
      <c r="Y160" s="94"/>
      <c r="Z160" s="93"/>
      <c r="AA160" s="85"/>
      <c r="AC160" s="94"/>
      <c r="AD160" s="93"/>
      <c r="AE160" s="85"/>
    </row>
    <row r="161" spans="6:31" ht="14.5" customHeight="1" x14ac:dyDescent="0.35">
      <c r="F161" s="93"/>
      <c r="G161" s="85"/>
      <c r="H161" s="87"/>
      <c r="J161" s="93"/>
      <c r="K161" s="85"/>
      <c r="N161" s="93"/>
      <c r="O161" s="85"/>
      <c r="Q161" s="94"/>
      <c r="R161" s="93"/>
      <c r="S161" s="85"/>
      <c r="U161" s="94"/>
      <c r="V161" s="93"/>
      <c r="W161" s="85"/>
      <c r="Y161" s="94"/>
      <c r="Z161" s="93"/>
      <c r="AA161" s="85"/>
      <c r="AC161" s="94"/>
      <c r="AD161" s="93"/>
      <c r="AE161" s="85"/>
    </row>
    <row r="162" spans="6:31" ht="14.5" customHeight="1" x14ac:dyDescent="0.35">
      <c r="F162" s="93"/>
      <c r="G162" s="85"/>
      <c r="H162" s="87"/>
      <c r="J162" s="93"/>
      <c r="K162" s="85"/>
      <c r="N162" s="93"/>
      <c r="O162" s="85"/>
      <c r="Q162" s="94"/>
      <c r="R162" s="93"/>
      <c r="S162" s="85"/>
      <c r="U162" s="94"/>
      <c r="V162" s="93"/>
      <c r="W162" s="85"/>
      <c r="Y162" s="94"/>
      <c r="Z162" s="93"/>
      <c r="AA162" s="85"/>
      <c r="AC162" s="94"/>
      <c r="AD162" s="93"/>
      <c r="AE162" s="85"/>
    </row>
    <row r="163" spans="6:31" ht="14.5" customHeight="1" x14ac:dyDescent="0.35">
      <c r="F163" s="93"/>
      <c r="G163" s="85"/>
      <c r="H163" s="87"/>
      <c r="J163" s="93"/>
      <c r="K163" s="85"/>
      <c r="N163" s="93"/>
      <c r="O163" s="85"/>
      <c r="Q163" s="94"/>
      <c r="R163" s="93"/>
      <c r="S163" s="85"/>
      <c r="U163" s="94"/>
      <c r="V163" s="93"/>
      <c r="W163" s="85"/>
      <c r="Y163" s="94"/>
      <c r="Z163" s="93"/>
      <c r="AA163" s="85"/>
      <c r="AC163" s="94"/>
      <c r="AD163" s="93"/>
      <c r="AE163" s="85"/>
    </row>
    <row r="164" spans="6:31" ht="14.5" customHeight="1" x14ac:dyDescent="0.35">
      <c r="F164" s="93"/>
      <c r="G164" s="85"/>
      <c r="H164" s="87"/>
      <c r="J164" s="93"/>
      <c r="K164" s="85"/>
      <c r="N164" s="93"/>
      <c r="O164" s="85"/>
      <c r="Q164" s="94"/>
      <c r="R164" s="93"/>
      <c r="S164" s="85"/>
      <c r="U164" s="94"/>
      <c r="V164" s="93"/>
      <c r="W164" s="85"/>
      <c r="Y164" s="94"/>
      <c r="Z164" s="93"/>
      <c r="AA164" s="85"/>
      <c r="AC164" s="94"/>
      <c r="AD164" s="93"/>
      <c r="AE164" s="85"/>
    </row>
    <row r="165" spans="6:31" ht="14.5" customHeight="1" x14ac:dyDescent="0.35">
      <c r="F165" s="93"/>
      <c r="G165" s="85"/>
      <c r="H165" s="87"/>
      <c r="J165" s="93"/>
      <c r="K165" s="85"/>
      <c r="N165" s="93"/>
      <c r="O165" s="85"/>
      <c r="Q165" s="94"/>
      <c r="R165" s="93"/>
      <c r="S165" s="85"/>
      <c r="U165" s="94"/>
      <c r="V165" s="93"/>
      <c r="W165" s="85"/>
      <c r="Y165" s="94"/>
      <c r="Z165" s="93"/>
      <c r="AA165" s="85"/>
      <c r="AC165" s="94"/>
      <c r="AD165" s="93"/>
      <c r="AE165" s="85"/>
    </row>
    <row r="166" spans="6:31" ht="14.5" customHeight="1" x14ac:dyDescent="0.35">
      <c r="F166" s="93"/>
      <c r="G166" s="85"/>
      <c r="H166" s="87"/>
      <c r="J166" s="93"/>
      <c r="K166" s="85"/>
      <c r="N166" s="93"/>
      <c r="O166" s="85"/>
      <c r="Q166" s="94"/>
      <c r="R166" s="93"/>
      <c r="S166" s="85"/>
      <c r="U166" s="94"/>
      <c r="V166" s="93"/>
      <c r="W166" s="85"/>
      <c r="Y166" s="94"/>
      <c r="Z166" s="93"/>
      <c r="AA166" s="85"/>
      <c r="AC166" s="94"/>
      <c r="AD166" s="93"/>
      <c r="AE166" s="85"/>
    </row>
    <row r="167" spans="6:31" ht="14.5" customHeight="1" x14ac:dyDescent="0.35">
      <c r="F167" s="93"/>
      <c r="G167" s="85"/>
      <c r="H167" s="87"/>
      <c r="J167" s="93"/>
      <c r="K167" s="85"/>
      <c r="N167" s="93"/>
      <c r="O167" s="85"/>
      <c r="Q167" s="94"/>
      <c r="R167" s="93"/>
      <c r="S167" s="85"/>
      <c r="U167" s="94"/>
      <c r="V167" s="93"/>
      <c r="W167" s="85"/>
      <c r="Y167" s="94"/>
      <c r="Z167" s="93"/>
      <c r="AA167" s="85"/>
      <c r="AC167" s="94"/>
      <c r="AD167" s="93"/>
      <c r="AE167" s="85"/>
    </row>
    <row r="168" spans="6:31" ht="14.5" customHeight="1" x14ac:dyDescent="0.35">
      <c r="F168" s="93"/>
      <c r="G168" s="85"/>
      <c r="H168" s="87"/>
      <c r="J168" s="93"/>
      <c r="K168" s="85"/>
      <c r="N168" s="93"/>
      <c r="O168" s="85"/>
      <c r="Q168" s="94"/>
      <c r="R168" s="93"/>
      <c r="S168" s="85"/>
      <c r="U168" s="94"/>
      <c r="V168" s="93"/>
      <c r="W168" s="85"/>
      <c r="Y168" s="94"/>
      <c r="Z168" s="93"/>
      <c r="AA168" s="85"/>
      <c r="AC168" s="94"/>
      <c r="AD168" s="93"/>
      <c r="AE168" s="85"/>
    </row>
    <row r="169" spans="6:31" ht="14.5" customHeight="1" x14ac:dyDescent="0.35">
      <c r="F169" s="93"/>
      <c r="G169" s="85"/>
      <c r="H169" s="87"/>
      <c r="J169" s="93"/>
      <c r="K169" s="85"/>
      <c r="N169" s="93"/>
      <c r="O169" s="85"/>
      <c r="Q169" s="94"/>
      <c r="R169" s="93"/>
      <c r="S169" s="85"/>
      <c r="U169" s="94"/>
      <c r="V169" s="93"/>
      <c r="W169" s="85"/>
      <c r="Y169" s="94"/>
      <c r="Z169" s="93"/>
      <c r="AA169" s="85"/>
      <c r="AC169" s="94"/>
      <c r="AD169" s="93"/>
      <c r="AE169" s="85"/>
    </row>
    <row r="170" spans="6:31" ht="14.5" customHeight="1" x14ac:dyDescent="0.35">
      <c r="F170" s="93"/>
      <c r="G170" s="85"/>
      <c r="H170" s="87"/>
      <c r="J170" s="93"/>
      <c r="K170" s="85"/>
      <c r="N170" s="93"/>
      <c r="O170" s="85"/>
      <c r="Q170" s="94"/>
      <c r="R170" s="93"/>
      <c r="S170" s="85"/>
      <c r="U170" s="94"/>
      <c r="V170" s="93"/>
      <c r="W170" s="85"/>
      <c r="Y170" s="94"/>
      <c r="Z170" s="93"/>
      <c r="AA170" s="85"/>
      <c r="AC170" s="94"/>
      <c r="AD170" s="93"/>
      <c r="AE170" s="85"/>
    </row>
    <row r="171" spans="6:31" ht="14.5" customHeight="1" x14ac:dyDescent="0.35">
      <c r="F171" s="93"/>
      <c r="G171" s="85"/>
      <c r="H171" s="87"/>
      <c r="J171" s="93"/>
      <c r="K171" s="85"/>
      <c r="N171" s="93"/>
      <c r="O171" s="85"/>
      <c r="Q171" s="94"/>
      <c r="R171" s="93"/>
      <c r="S171" s="85"/>
      <c r="U171" s="94"/>
      <c r="V171" s="93"/>
      <c r="W171" s="85"/>
      <c r="Y171" s="94"/>
      <c r="Z171" s="93"/>
      <c r="AA171" s="85"/>
      <c r="AC171" s="94"/>
      <c r="AD171" s="93"/>
      <c r="AE171" s="85"/>
    </row>
    <row r="172" spans="6:31" ht="14.5" customHeight="1" x14ac:dyDescent="0.35">
      <c r="F172" s="93"/>
      <c r="G172" s="85"/>
      <c r="H172" s="87"/>
      <c r="J172" s="93"/>
      <c r="K172" s="85"/>
      <c r="N172" s="93"/>
      <c r="O172" s="85"/>
      <c r="Q172" s="94"/>
      <c r="R172" s="93"/>
      <c r="S172" s="85"/>
      <c r="U172" s="94"/>
      <c r="V172" s="93"/>
      <c r="W172" s="85"/>
      <c r="Y172" s="94"/>
      <c r="Z172" s="93"/>
      <c r="AA172" s="85"/>
      <c r="AC172" s="94"/>
      <c r="AD172" s="93"/>
      <c r="AE172" s="85"/>
    </row>
    <row r="173" spans="6:31" ht="14.5" customHeight="1" x14ac:dyDescent="0.35">
      <c r="F173" s="93"/>
      <c r="G173" s="85"/>
      <c r="H173" s="87"/>
      <c r="J173" s="93"/>
      <c r="K173" s="85"/>
      <c r="N173" s="93"/>
      <c r="O173" s="85"/>
      <c r="Q173" s="94"/>
      <c r="R173" s="93"/>
      <c r="S173" s="85"/>
      <c r="U173" s="94"/>
      <c r="V173" s="93"/>
      <c r="W173" s="85"/>
      <c r="Y173" s="94"/>
      <c r="Z173" s="93"/>
      <c r="AA173" s="85"/>
      <c r="AC173" s="94"/>
      <c r="AD173" s="93"/>
      <c r="AE173" s="85"/>
    </row>
    <row r="174" spans="6:31" ht="14.5" customHeight="1" x14ac:dyDescent="0.35">
      <c r="F174" s="93"/>
      <c r="G174" s="85"/>
      <c r="H174" s="87"/>
      <c r="J174" s="93"/>
      <c r="K174" s="85"/>
      <c r="N174" s="93"/>
      <c r="O174" s="85"/>
      <c r="Q174" s="94"/>
      <c r="R174" s="93"/>
      <c r="S174" s="85"/>
      <c r="U174" s="94"/>
      <c r="V174" s="93"/>
      <c r="W174" s="85"/>
      <c r="Y174" s="94"/>
      <c r="Z174" s="93"/>
      <c r="AA174" s="85"/>
      <c r="AC174" s="94"/>
      <c r="AD174" s="93"/>
      <c r="AE174" s="85"/>
    </row>
    <row r="175" spans="6:31" ht="14.5" customHeight="1" x14ac:dyDescent="0.35">
      <c r="F175" s="93"/>
      <c r="G175" s="85"/>
      <c r="H175" s="87"/>
      <c r="J175" s="93"/>
      <c r="K175" s="85"/>
      <c r="N175" s="93"/>
      <c r="O175" s="85"/>
      <c r="Q175" s="94"/>
      <c r="R175" s="93"/>
      <c r="S175" s="85"/>
      <c r="U175" s="94"/>
      <c r="V175" s="93"/>
      <c r="W175" s="85"/>
      <c r="Y175" s="94"/>
      <c r="Z175" s="93"/>
      <c r="AA175" s="85"/>
      <c r="AC175" s="94"/>
      <c r="AD175" s="93"/>
      <c r="AE175" s="85"/>
    </row>
    <row r="176" spans="6:31" ht="14.5" customHeight="1" x14ac:dyDescent="0.35">
      <c r="F176" s="93"/>
      <c r="G176" s="85"/>
      <c r="H176" s="87"/>
      <c r="J176" s="93"/>
      <c r="K176" s="85"/>
      <c r="N176" s="93"/>
      <c r="O176" s="85"/>
      <c r="Q176" s="94"/>
      <c r="R176" s="93"/>
      <c r="S176" s="85"/>
      <c r="U176" s="94"/>
      <c r="V176" s="93"/>
      <c r="W176" s="85"/>
      <c r="Y176" s="94"/>
      <c r="Z176" s="93"/>
      <c r="AA176" s="85"/>
      <c r="AC176" s="94"/>
      <c r="AD176" s="93"/>
      <c r="AE176" s="85"/>
    </row>
    <row r="177" spans="6:31" ht="14.5" customHeight="1" x14ac:dyDescent="0.35">
      <c r="F177" s="93"/>
      <c r="G177" s="85"/>
      <c r="H177" s="87"/>
      <c r="J177" s="93"/>
      <c r="K177" s="85"/>
      <c r="N177" s="93"/>
      <c r="O177" s="85"/>
      <c r="Q177" s="94"/>
      <c r="R177" s="93"/>
      <c r="S177" s="85"/>
      <c r="U177" s="94"/>
      <c r="V177" s="93"/>
      <c r="W177" s="85"/>
      <c r="Y177" s="94"/>
      <c r="Z177" s="93"/>
      <c r="AA177" s="85"/>
      <c r="AC177" s="94"/>
      <c r="AD177" s="93"/>
      <c r="AE177" s="85"/>
    </row>
    <row r="178" spans="6:31" ht="14.5" customHeight="1" x14ac:dyDescent="0.35">
      <c r="F178" s="93"/>
      <c r="G178" s="85"/>
      <c r="H178" s="87"/>
      <c r="J178" s="93"/>
      <c r="K178" s="85"/>
      <c r="N178" s="93"/>
      <c r="O178" s="85"/>
      <c r="Q178" s="94"/>
      <c r="R178" s="93"/>
      <c r="S178" s="85"/>
      <c r="U178" s="94"/>
      <c r="V178" s="93"/>
      <c r="W178" s="85"/>
      <c r="Y178" s="94"/>
      <c r="Z178" s="93"/>
      <c r="AA178" s="85"/>
      <c r="AC178" s="94"/>
      <c r="AD178" s="93"/>
      <c r="AE178" s="85"/>
    </row>
    <row r="179" spans="6:31" ht="14.5" customHeight="1" x14ac:dyDescent="0.35">
      <c r="F179" s="93"/>
      <c r="G179" s="85"/>
      <c r="H179" s="87"/>
      <c r="J179" s="93"/>
      <c r="K179" s="85"/>
      <c r="N179" s="93"/>
      <c r="O179" s="85"/>
      <c r="Q179" s="94"/>
      <c r="R179" s="93"/>
      <c r="S179" s="85"/>
      <c r="U179" s="94"/>
      <c r="V179" s="93"/>
      <c r="W179" s="85"/>
      <c r="Y179" s="94"/>
      <c r="Z179" s="93"/>
      <c r="AA179" s="85"/>
      <c r="AC179" s="94"/>
      <c r="AD179" s="93"/>
      <c r="AE179" s="85"/>
    </row>
    <row r="180" spans="6:31" ht="14.5" customHeight="1" x14ac:dyDescent="0.35">
      <c r="F180" s="93"/>
      <c r="G180" s="85"/>
      <c r="H180" s="87"/>
      <c r="J180" s="93"/>
      <c r="K180" s="85"/>
      <c r="N180" s="93"/>
      <c r="O180" s="85"/>
      <c r="Q180" s="94"/>
      <c r="R180" s="93"/>
      <c r="S180" s="85"/>
      <c r="U180" s="94"/>
      <c r="V180" s="93"/>
      <c r="W180" s="85"/>
      <c r="Y180" s="94"/>
      <c r="Z180" s="93"/>
      <c r="AA180" s="85"/>
      <c r="AC180" s="94"/>
      <c r="AD180" s="93"/>
      <c r="AE180" s="85"/>
    </row>
    <row r="181" spans="6:31" ht="14.5" customHeight="1" x14ac:dyDescent="0.35">
      <c r="F181" s="93"/>
      <c r="G181" s="85"/>
      <c r="H181" s="87"/>
      <c r="J181" s="93"/>
      <c r="K181" s="85"/>
      <c r="N181" s="93"/>
      <c r="O181" s="85"/>
      <c r="Q181" s="94"/>
      <c r="R181" s="93"/>
      <c r="S181" s="85"/>
      <c r="U181" s="94"/>
      <c r="V181" s="93"/>
      <c r="W181" s="85"/>
      <c r="Y181" s="94"/>
      <c r="Z181" s="93"/>
      <c r="AA181" s="85"/>
      <c r="AC181" s="94"/>
      <c r="AD181" s="93"/>
      <c r="AE181" s="85"/>
    </row>
    <row r="182" spans="6:31" ht="14.5" customHeight="1" x14ac:dyDescent="0.35">
      <c r="F182" s="93"/>
      <c r="G182" s="85"/>
      <c r="H182" s="87"/>
      <c r="J182" s="93"/>
      <c r="K182" s="85"/>
      <c r="N182" s="93"/>
      <c r="O182" s="85"/>
      <c r="Q182" s="94"/>
      <c r="R182" s="93"/>
      <c r="S182" s="85"/>
      <c r="U182" s="94"/>
      <c r="V182" s="93"/>
      <c r="W182" s="85"/>
      <c r="Y182" s="94"/>
      <c r="Z182" s="93"/>
      <c r="AA182" s="85"/>
      <c r="AC182" s="94"/>
      <c r="AD182" s="93"/>
      <c r="AE182" s="85"/>
    </row>
    <row r="183" spans="6:31" ht="14.5" customHeight="1" x14ac:dyDescent="0.35">
      <c r="F183" s="93"/>
      <c r="G183" s="85"/>
      <c r="H183" s="87"/>
      <c r="J183" s="93"/>
      <c r="K183" s="85"/>
      <c r="N183" s="93"/>
      <c r="O183" s="85"/>
      <c r="Q183" s="94"/>
      <c r="R183" s="93"/>
      <c r="S183" s="85"/>
      <c r="U183" s="94"/>
      <c r="V183" s="93"/>
      <c r="W183" s="85"/>
      <c r="Y183" s="94"/>
      <c r="Z183" s="93"/>
      <c r="AA183" s="85"/>
      <c r="AC183" s="94"/>
      <c r="AD183" s="93"/>
      <c r="AE183" s="85"/>
    </row>
    <row r="184" spans="6:31" ht="14.5" customHeight="1" x14ac:dyDescent="0.35">
      <c r="F184" s="93"/>
      <c r="G184" s="85"/>
      <c r="H184" s="87"/>
      <c r="J184" s="93"/>
      <c r="K184" s="85"/>
      <c r="N184" s="93"/>
      <c r="O184" s="85"/>
      <c r="Q184" s="94"/>
      <c r="R184" s="93"/>
      <c r="S184" s="85"/>
      <c r="U184" s="94"/>
      <c r="V184" s="93"/>
      <c r="W184" s="85"/>
      <c r="Y184" s="94"/>
      <c r="Z184" s="93"/>
      <c r="AA184" s="85"/>
      <c r="AC184" s="94"/>
      <c r="AD184" s="93"/>
      <c r="AE184" s="85"/>
    </row>
    <row r="185" spans="6:31" ht="14.5" customHeight="1" x14ac:dyDescent="0.35">
      <c r="F185" s="93"/>
      <c r="G185" s="85"/>
      <c r="H185" s="87"/>
      <c r="J185" s="93"/>
      <c r="K185" s="85"/>
      <c r="N185" s="93"/>
      <c r="O185" s="85"/>
      <c r="Q185" s="94"/>
      <c r="R185" s="93"/>
      <c r="S185" s="85"/>
      <c r="U185" s="94"/>
      <c r="V185" s="93"/>
      <c r="W185" s="85"/>
      <c r="Y185" s="94"/>
      <c r="Z185" s="93"/>
      <c r="AA185" s="85"/>
      <c r="AC185" s="94"/>
      <c r="AD185" s="93"/>
      <c r="AE185" s="85"/>
    </row>
    <row r="186" spans="6:31" ht="14.5" customHeight="1" x14ac:dyDescent="0.35">
      <c r="F186" s="93"/>
      <c r="G186" s="85"/>
      <c r="H186" s="87"/>
      <c r="J186" s="93"/>
      <c r="K186" s="85"/>
      <c r="N186" s="93"/>
      <c r="O186" s="85"/>
      <c r="Q186" s="94"/>
      <c r="R186" s="93"/>
      <c r="S186" s="85"/>
      <c r="U186" s="94"/>
      <c r="V186" s="93"/>
      <c r="W186" s="85"/>
      <c r="Y186" s="94"/>
      <c r="Z186" s="93"/>
      <c r="AA186" s="85"/>
      <c r="AC186" s="94"/>
      <c r="AD186" s="93"/>
      <c r="AE186" s="85"/>
    </row>
    <row r="187" spans="6:31" ht="14.5" customHeight="1" x14ac:dyDescent="0.35">
      <c r="F187" s="93"/>
      <c r="G187" s="85"/>
      <c r="H187" s="87"/>
      <c r="J187" s="93"/>
      <c r="K187" s="85"/>
      <c r="N187" s="93"/>
      <c r="O187" s="85"/>
      <c r="Q187" s="94"/>
      <c r="R187" s="93"/>
      <c r="S187" s="85"/>
      <c r="U187" s="94"/>
      <c r="V187" s="93"/>
      <c r="W187" s="85"/>
      <c r="Y187" s="94"/>
      <c r="Z187" s="93"/>
      <c r="AA187" s="85"/>
      <c r="AC187" s="94"/>
      <c r="AD187" s="93"/>
      <c r="AE187" s="85"/>
    </row>
    <row r="188" spans="6:31" ht="14.5" customHeight="1" x14ac:dyDescent="0.35">
      <c r="F188" s="93"/>
      <c r="G188" s="85"/>
      <c r="H188" s="87"/>
      <c r="J188" s="93"/>
      <c r="K188" s="85"/>
      <c r="N188" s="93"/>
      <c r="O188" s="85"/>
      <c r="Q188" s="94"/>
      <c r="R188" s="93"/>
      <c r="S188" s="85"/>
      <c r="U188" s="94"/>
      <c r="V188" s="93"/>
      <c r="W188" s="85"/>
      <c r="Y188" s="94"/>
      <c r="Z188" s="93"/>
      <c r="AA188" s="85"/>
      <c r="AC188" s="94"/>
      <c r="AD188" s="93"/>
      <c r="AE188" s="85"/>
    </row>
    <row r="189" spans="6:31" ht="14.5" customHeight="1" x14ac:dyDescent="0.35">
      <c r="F189" s="93"/>
      <c r="G189" s="85"/>
      <c r="H189" s="87"/>
      <c r="J189" s="93"/>
      <c r="K189" s="85"/>
      <c r="N189" s="93"/>
      <c r="O189" s="85"/>
      <c r="Q189" s="94"/>
      <c r="R189" s="93"/>
      <c r="S189" s="85"/>
      <c r="U189" s="94"/>
      <c r="V189" s="93"/>
      <c r="W189" s="85"/>
      <c r="Y189" s="94"/>
      <c r="Z189" s="93"/>
      <c r="AA189" s="85"/>
      <c r="AC189" s="94"/>
      <c r="AD189" s="93"/>
      <c r="AE189" s="85"/>
    </row>
    <row r="190" spans="6:31" ht="14.5" customHeight="1" x14ac:dyDescent="0.35">
      <c r="F190" s="93"/>
      <c r="G190" s="85"/>
      <c r="H190" s="87"/>
      <c r="J190" s="93"/>
      <c r="K190" s="85"/>
      <c r="N190" s="93"/>
      <c r="O190" s="85"/>
      <c r="Q190" s="94"/>
      <c r="R190" s="93"/>
      <c r="S190" s="85"/>
      <c r="U190" s="94"/>
      <c r="V190" s="93"/>
      <c r="W190" s="85"/>
      <c r="Y190" s="94"/>
      <c r="Z190" s="93"/>
      <c r="AA190" s="85"/>
      <c r="AC190" s="94"/>
      <c r="AD190" s="93"/>
      <c r="AE190" s="85"/>
    </row>
    <row r="191" spans="6:31" ht="14.5" customHeight="1" x14ac:dyDescent="0.35">
      <c r="F191" s="93"/>
      <c r="G191" s="85"/>
      <c r="H191" s="87"/>
      <c r="J191" s="93"/>
      <c r="K191" s="85"/>
      <c r="N191" s="93"/>
      <c r="O191" s="85"/>
      <c r="Q191" s="94"/>
      <c r="R191" s="93"/>
      <c r="S191" s="85"/>
      <c r="U191" s="94"/>
      <c r="V191" s="93"/>
      <c r="W191" s="85"/>
      <c r="Y191" s="94"/>
      <c r="Z191" s="93"/>
      <c r="AA191" s="85"/>
      <c r="AC191" s="94"/>
      <c r="AD191" s="93"/>
      <c r="AE191" s="85"/>
    </row>
    <row r="192" spans="6:31" ht="14.5" customHeight="1" x14ac:dyDescent="0.35">
      <c r="F192" s="93"/>
      <c r="G192" s="85"/>
      <c r="H192" s="87"/>
      <c r="J192" s="93"/>
      <c r="K192" s="85"/>
      <c r="N192" s="93"/>
      <c r="O192" s="85"/>
      <c r="Q192" s="94"/>
      <c r="R192" s="93"/>
      <c r="S192" s="85"/>
      <c r="U192" s="94"/>
      <c r="V192" s="93"/>
      <c r="W192" s="85"/>
      <c r="Y192" s="94"/>
      <c r="Z192" s="93"/>
      <c r="AA192" s="85"/>
      <c r="AC192" s="94"/>
      <c r="AD192" s="93"/>
      <c r="AE192" s="85"/>
    </row>
    <row r="193" spans="6:31" ht="14.5" customHeight="1" x14ac:dyDescent="0.35">
      <c r="F193" s="93"/>
      <c r="G193" s="85"/>
      <c r="H193" s="87"/>
      <c r="J193" s="93"/>
      <c r="K193" s="85"/>
      <c r="N193" s="93"/>
      <c r="O193" s="85"/>
      <c r="Q193" s="94"/>
      <c r="R193" s="93"/>
      <c r="S193" s="85"/>
      <c r="U193" s="94"/>
      <c r="V193" s="93"/>
      <c r="W193" s="85"/>
      <c r="Y193" s="94"/>
      <c r="Z193" s="93"/>
      <c r="AA193" s="85"/>
      <c r="AC193" s="94"/>
      <c r="AD193" s="93"/>
      <c r="AE193" s="85"/>
    </row>
    <row r="194" spans="6:31" ht="14.5" customHeight="1" x14ac:dyDescent="0.35">
      <c r="F194" s="93"/>
      <c r="G194" s="85"/>
      <c r="H194" s="87"/>
      <c r="J194" s="93"/>
      <c r="K194" s="85"/>
      <c r="N194" s="93"/>
      <c r="O194" s="85"/>
      <c r="Q194" s="94"/>
      <c r="R194" s="93"/>
      <c r="S194" s="85"/>
      <c r="U194" s="94"/>
      <c r="V194" s="93"/>
      <c r="W194" s="85"/>
      <c r="Y194" s="94"/>
      <c r="Z194" s="93"/>
      <c r="AA194" s="85"/>
      <c r="AC194" s="94"/>
      <c r="AD194" s="93"/>
      <c r="AE194" s="85"/>
    </row>
    <row r="195" spans="6:31" ht="14.5" customHeight="1" x14ac:dyDescent="0.35">
      <c r="F195" s="93"/>
      <c r="G195" s="85"/>
      <c r="H195" s="87"/>
      <c r="J195" s="93"/>
      <c r="K195" s="85"/>
      <c r="N195" s="93"/>
      <c r="O195" s="85"/>
      <c r="Q195" s="94"/>
      <c r="R195" s="93"/>
      <c r="S195" s="85"/>
      <c r="U195" s="94"/>
      <c r="V195" s="93"/>
      <c r="W195" s="85"/>
      <c r="Y195" s="94"/>
      <c r="Z195" s="93"/>
      <c r="AA195" s="85"/>
      <c r="AC195" s="94"/>
      <c r="AD195" s="93"/>
      <c r="AE195" s="85"/>
    </row>
    <row r="196" spans="6:31" ht="14.5" customHeight="1" x14ac:dyDescent="0.35">
      <c r="F196" s="93"/>
      <c r="G196" s="85"/>
      <c r="H196" s="87"/>
      <c r="J196" s="93"/>
      <c r="K196" s="85"/>
      <c r="N196" s="93"/>
      <c r="O196" s="85"/>
      <c r="Q196" s="94"/>
      <c r="R196" s="93"/>
      <c r="S196" s="85"/>
      <c r="U196" s="94"/>
      <c r="V196" s="93"/>
      <c r="W196" s="85"/>
      <c r="Y196" s="94"/>
      <c r="Z196" s="93"/>
      <c r="AA196" s="85"/>
      <c r="AC196" s="94"/>
      <c r="AD196" s="93"/>
      <c r="AE196" s="85"/>
    </row>
    <row r="197" spans="6:31" ht="14.5" customHeight="1" x14ac:dyDescent="0.35">
      <c r="F197" s="93"/>
      <c r="G197" s="85"/>
      <c r="H197" s="87"/>
      <c r="J197" s="93"/>
      <c r="K197" s="85"/>
      <c r="N197" s="93"/>
      <c r="O197" s="85"/>
      <c r="Q197" s="94"/>
      <c r="R197" s="93"/>
      <c r="S197" s="85"/>
      <c r="U197" s="94"/>
      <c r="V197" s="93"/>
      <c r="W197" s="85"/>
      <c r="Y197" s="94"/>
      <c r="Z197" s="93"/>
      <c r="AA197" s="85"/>
      <c r="AC197" s="94"/>
      <c r="AD197" s="93"/>
      <c r="AE197" s="85"/>
    </row>
    <row r="198" spans="6:31" ht="14.5" customHeight="1" x14ac:dyDescent="0.35">
      <c r="F198" s="93"/>
      <c r="G198" s="85"/>
      <c r="H198" s="87"/>
      <c r="J198" s="93"/>
      <c r="K198" s="85"/>
      <c r="N198" s="93"/>
      <c r="O198" s="85"/>
      <c r="Q198" s="94"/>
      <c r="R198" s="93"/>
      <c r="S198" s="85"/>
      <c r="U198" s="94"/>
      <c r="V198" s="93"/>
      <c r="W198" s="85"/>
      <c r="Y198" s="94"/>
      <c r="Z198" s="93"/>
      <c r="AA198" s="85"/>
      <c r="AC198" s="94"/>
      <c r="AD198" s="93"/>
      <c r="AE198" s="85"/>
    </row>
    <row r="199" spans="6:31" ht="14.5" customHeight="1" x14ac:dyDescent="0.35">
      <c r="F199" s="93"/>
      <c r="G199" s="85"/>
      <c r="H199" s="87"/>
      <c r="J199" s="93"/>
      <c r="K199" s="85"/>
      <c r="N199" s="93"/>
      <c r="O199" s="85"/>
      <c r="Q199" s="94"/>
      <c r="R199" s="93"/>
      <c r="S199" s="85"/>
      <c r="U199" s="94"/>
      <c r="V199" s="93"/>
      <c r="W199" s="85"/>
      <c r="Y199" s="94"/>
      <c r="Z199" s="93"/>
      <c r="AA199" s="85"/>
      <c r="AC199" s="94"/>
      <c r="AD199" s="93"/>
      <c r="AE199" s="85"/>
    </row>
    <row r="200" spans="6:31" ht="14.5" customHeight="1" x14ac:dyDescent="0.35">
      <c r="F200" s="93"/>
      <c r="G200" s="85"/>
      <c r="H200" s="87"/>
      <c r="J200" s="93"/>
      <c r="K200" s="85"/>
      <c r="N200" s="93"/>
      <c r="O200" s="85"/>
      <c r="Q200" s="94"/>
      <c r="R200" s="93"/>
      <c r="S200" s="85"/>
      <c r="U200" s="94"/>
      <c r="V200" s="93"/>
      <c r="W200" s="85"/>
      <c r="Y200" s="94"/>
      <c r="Z200" s="93"/>
      <c r="AA200" s="85"/>
      <c r="AC200" s="94"/>
      <c r="AD200" s="93"/>
      <c r="AE200" s="85"/>
    </row>
    <row r="201" spans="6:31" ht="14.5" customHeight="1" x14ac:dyDescent="0.35">
      <c r="F201" s="93"/>
      <c r="G201" s="85"/>
      <c r="H201" s="87"/>
      <c r="J201" s="93"/>
      <c r="K201" s="85"/>
      <c r="N201" s="93"/>
      <c r="O201" s="85"/>
      <c r="Q201" s="94"/>
      <c r="R201" s="93"/>
      <c r="S201" s="85"/>
      <c r="U201" s="94"/>
      <c r="V201" s="93"/>
      <c r="W201" s="85"/>
      <c r="Y201" s="94"/>
      <c r="Z201" s="93"/>
      <c r="AA201" s="85"/>
      <c r="AC201" s="94"/>
      <c r="AD201" s="93"/>
      <c r="AE201" s="85"/>
    </row>
    <row r="202" spans="6:31" ht="14.5" customHeight="1" x14ac:dyDescent="0.35">
      <c r="F202" s="93"/>
      <c r="G202" s="85"/>
      <c r="H202" s="87"/>
      <c r="J202" s="93"/>
      <c r="K202" s="85"/>
      <c r="N202" s="93"/>
      <c r="O202" s="85"/>
      <c r="Q202" s="94"/>
      <c r="R202" s="93"/>
      <c r="S202" s="85"/>
      <c r="U202" s="94"/>
      <c r="V202" s="93"/>
      <c r="W202" s="85"/>
      <c r="Y202" s="94"/>
      <c r="Z202" s="93"/>
      <c r="AA202" s="85"/>
      <c r="AC202" s="94"/>
      <c r="AD202" s="93"/>
      <c r="AE202" s="85"/>
    </row>
    <row r="203" spans="6:31" ht="14.5" customHeight="1" x14ac:dyDescent="0.35">
      <c r="F203" s="93"/>
      <c r="G203" s="85"/>
      <c r="H203" s="87"/>
      <c r="J203" s="93"/>
      <c r="K203" s="85"/>
      <c r="N203" s="93"/>
      <c r="O203" s="85"/>
      <c r="Q203" s="94"/>
      <c r="R203" s="93"/>
      <c r="S203" s="85"/>
      <c r="U203" s="94"/>
      <c r="V203" s="93"/>
      <c r="W203" s="85"/>
      <c r="Y203" s="94"/>
      <c r="Z203" s="93"/>
      <c r="AA203" s="85"/>
      <c r="AC203" s="94"/>
      <c r="AD203" s="93"/>
      <c r="AE203" s="85"/>
    </row>
    <row r="204" spans="6:31" ht="14.5" customHeight="1" x14ac:dyDescent="0.35">
      <c r="F204" s="93"/>
      <c r="G204" s="85"/>
      <c r="H204" s="87"/>
      <c r="J204" s="93"/>
      <c r="K204" s="85"/>
      <c r="N204" s="93"/>
      <c r="O204" s="85"/>
      <c r="Q204" s="94"/>
      <c r="R204" s="93"/>
      <c r="S204" s="85"/>
      <c r="U204" s="94"/>
      <c r="V204" s="93"/>
      <c r="W204" s="85"/>
      <c r="Y204" s="94"/>
      <c r="Z204" s="93"/>
      <c r="AA204" s="85"/>
      <c r="AC204" s="94"/>
      <c r="AD204" s="93"/>
      <c r="AE204" s="85"/>
    </row>
    <row r="205" spans="6:31" ht="14.5" customHeight="1" x14ac:dyDescent="0.35">
      <c r="F205" s="93"/>
      <c r="G205" s="85"/>
      <c r="H205" s="87"/>
      <c r="J205" s="93"/>
      <c r="K205" s="85"/>
      <c r="N205" s="93"/>
      <c r="O205" s="85"/>
      <c r="Q205" s="94"/>
      <c r="R205" s="93"/>
      <c r="S205" s="85"/>
      <c r="U205" s="94"/>
      <c r="V205" s="93"/>
      <c r="W205" s="85"/>
      <c r="Y205" s="94"/>
      <c r="Z205" s="93"/>
      <c r="AA205" s="85"/>
      <c r="AC205" s="94"/>
      <c r="AD205" s="93"/>
      <c r="AE205" s="85"/>
    </row>
    <row r="206" spans="6:31" ht="14.5" customHeight="1" x14ac:dyDescent="0.35">
      <c r="F206" s="93"/>
      <c r="G206" s="85"/>
      <c r="H206" s="87"/>
      <c r="J206" s="93"/>
      <c r="K206" s="85"/>
      <c r="N206" s="93"/>
      <c r="O206" s="85"/>
      <c r="Q206" s="94"/>
      <c r="R206" s="93"/>
      <c r="S206" s="85"/>
      <c r="U206" s="94"/>
      <c r="V206" s="93"/>
      <c r="W206" s="85"/>
      <c r="Y206" s="94"/>
      <c r="Z206" s="93"/>
      <c r="AA206" s="85"/>
      <c r="AC206" s="94"/>
      <c r="AD206" s="93"/>
      <c r="AE206" s="85"/>
    </row>
    <row r="207" spans="6:31" ht="14.5" customHeight="1" x14ac:dyDescent="0.35">
      <c r="F207" s="93"/>
      <c r="G207" s="85"/>
      <c r="H207" s="87"/>
      <c r="J207" s="93"/>
      <c r="K207" s="85"/>
      <c r="N207" s="93"/>
      <c r="O207" s="85"/>
      <c r="Q207" s="94"/>
      <c r="R207" s="93"/>
      <c r="S207" s="85"/>
      <c r="U207" s="94"/>
      <c r="V207" s="93"/>
      <c r="W207" s="85"/>
      <c r="Y207" s="94"/>
      <c r="Z207" s="93"/>
      <c r="AA207" s="85"/>
      <c r="AC207" s="94"/>
      <c r="AD207" s="93"/>
      <c r="AE207" s="85"/>
    </row>
    <row r="208" spans="6:31" ht="14.5" customHeight="1" x14ac:dyDescent="0.35">
      <c r="F208" s="93"/>
      <c r="G208" s="85"/>
      <c r="H208" s="87"/>
      <c r="J208" s="93"/>
      <c r="K208" s="85"/>
      <c r="N208" s="93"/>
      <c r="O208" s="85"/>
      <c r="Q208" s="94"/>
      <c r="R208" s="93"/>
      <c r="S208" s="85"/>
      <c r="U208" s="94"/>
      <c r="V208" s="93"/>
      <c r="W208" s="85"/>
      <c r="Y208" s="94"/>
      <c r="Z208" s="93"/>
      <c r="AA208" s="85"/>
      <c r="AC208" s="94"/>
      <c r="AD208" s="93"/>
      <c r="AE208" s="85"/>
    </row>
    <row r="209" spans="6:31" ht="14.5" customHeight="1" x14ac:dyDescent="0.35">
      <c r="F209" s="93"/>
      <c r="G209" s="85"/>
      <c r="H209" s="87"/>
      <c r="J209" s="93"/>
      <c r="K209" s="85"/>
      <c r="N209" s="93"/>
      <c r="O209" s="85"/>
      <c r="Q209" s="94"/>
      <c r="R209" s="93"/>
      <c r="S209" s="85"/>
      <c r="U209" s="94"/>
      <c r="V209" s="93"/>
      <c r="W209" s="85"/>
      <c r="Y209" s="94"/>
      <c r="Z209" s="93"/>
      <c r="AA209" s="85"/>
      <c r="AC209" s="94"/>
      <c r="AD209" s="93"/>
      <c r="AE209" s="85"/>
    </row>
    <row r="210" spans="6:31" ht="14.5" customHeight="1" x14ac:dyDescent="0.35">
      <c r="F210" s="93"/>
      <c r="G210" s="85"/>
      <c r="H210" s="87"/>
      <c r="J210" s="93"/>
      <c r="K210" s="85"/>
      <c r="N210" s="93"/>
      <c r="O210" s="85"/>
      <c r="Q210" s="94"/>
      <c r="R210" s="93"/>
      <c r="S210" s="85"/>
      <c r="U210" s="94"/>
      <c r="V210" s="93"/>
      <c r="W210" s="85"/>
      <c r="Y210" s="94"/>
      <c r="Z210" s="93"/>
      <c r="AA210" s="85"/>
      <c r="AC210" s="94"/>
      <c r="AD210" s="93"/>
      <c r="AE210" s="85"/>
    </row>
    <row r="211" spans="6:31" ht="14.5" customHeight="1" x14ac:dyDescent="0.35">
      <c r="F211" s="93"/>
      <c r="G211" s="85"/>
      <c r="H211" s="87"/>
      <c r="J211" s="93"/>
      <c r="K211" s="85"/>
      <c r="N211" s="93"/>
      <c r="O211" s="85"/>
      <c r="Q211" s="94"/>
      <c r="R211" s="93"/>
      <c r="S211" s="85"/>
      <c r="U211" s="94"/>
      <c r="V211" s="93"/>
      <c r="W211" s="85"/>
      <c r="Y211" s="94"/>
      <c r="Z211" s="93"/>
      <c r="AA211" s="85"/>
      <c r="AC211" s="94"/>
      <c r="AD211" s="93"/>
      <c r="AE211" s="85"/>
    </row>
    <row r="212" spans="6:31" ht="14.5" customHeight="1" x14ac:dyDescent="0.35">
      <c r="F212" s="93"/>
      <c r="G212" s="85"/>
      <c r="H212" s="87"/>
      <c r="J212" s="93"/>
      <c r="K212" s="85"/>
      <c r="N212" s="93"/>
      <c r="O212" s="85"/>
      <c r="Q212" s="94"/>
      <c r="R212" s="93"/>
      <c r="S212" s="85"/>
      <c r="U212" s="94"/>
      <c r="V212" s="93"/>
      <c r="W212" s="85"/>
      <c r="Y212" s="94"/>
      <c r="Z212" s="93"/>
      <c r="AA212" s="85"/>
      <c r="AC212" s="94"/>
      <c r="AD212" s="93"/>
      <c r="AE212" s="85"/>
    </row>
    <row r="213" spans="6:31" ht="14.5" customHeight="1" x14ac:dyDescent="0.35">
      <c r="F213" s="93"/>
      <c r="G213" s="85"/>
      <c r="H213" s="87"/>
      <c r="J213" s="93"/>
      <c r="K213" s="85"/>
      <c r="N213" s="93"/>
      <c r="O213" s="85"/>
      <c r="Q213" s="94"/>
      <c r="R213" s="93"/>
      <c r="S213" s="85"/>
      <c r="U213" s="94"/>
      <c r="V213" s="93"/>
      <c r="W213" s="85"/>
      <c r="Y213" s="94"/>
      <c r="Z213" s="93"/>
      <c r="AA213" s="85"/>
      <c r="AC213" s="94"/>
      <c r="AD213" s="93"/>
      <c r="AE213" s="85"/>
    </row>
    <row r="214" spans="6:31" ht="14.5" customHeight="1" x14ac:dyDescent="0.35">
      <c r="F214" s="93"/>
      <c r="G214" s="85"/>
      <c r="H214" s="87"/>
      <c r="J214" s="93"/>
      <c r="K214" s="85"/>
      <c r="N214" s="93"/>
      <c r="O214" s="85"/>
      <c r="Q214" s="94"/>
      <c r="R214" s="93"/>
      <c r="S214" s="85"/>
      <c r="U214" s="94"/>
      <c r="V214" s="93"/>
      <c r="W214" s="85"/>
      <c r="Y214" s="94"/>
      <c r="Z214" s="93"/>
      <c r="AA214" s="85"/>
      <c r="AC214" s="94"/>
      <c r="AD214" s="93"/>
      <c r="AE214" s="85"/>
    </row>
    <row r="215" spans="6:31" ht="14.5" customHeight="1" x14ac:dyDescent="0.35">
      <c r="F215" s="93"/>
      <c r="G215" s="85"/>
      <c r="H215" s="87"/>
      <c r="J215" s="93"/>
      <c r="K215" s="85"/>
      <c r="N215" s="93"/>
      <c r="O215" s="85"/>
      <c r="Q215" s="94"/>
      <c r="R215" s="93"/>
      <c r="S215" s="85"/>
      <c r="U215" s="94"/>
      <c r="V215" s="93"/>
      <c r="W215" s="85"/>
      <c r="Y215" s="94"/>
      <c r="Z215" s="93"/>
      <c r="AA215" s="85"/>
      <c r="AC215" s="94"/>
      <c r="AD215" s="93"/>
      <c r="AE215" s="85"/>
    </row>
    <row r="216" spans="6:31" ht="14.5" customHeight="1" x14ac:dyDescent="0.35">
      <c r="F216" s="93"/>
      <c r="G216" s="85"/>
      <c r="H216" s="87"/>
      <c r="J216" s="93"/>
      <c r="K216" s="85"/>
      <c r="N216" s="93"/>
      <c r="O216" s="85"/>
      <c r="Q216" s="94"/>
      <c r="R216" s="93"/>
      <c r="S216" s="85"/>
      <c r="U216" s="94"/>
      <c r="V216" s="93"/>
      <c r="W216" s="85"/>
      <c r="Y216" s="94"/>
      <c r="Z216" s="93"/>
      <c r="AA216" s="85"/>
      <c r="AC216" s="94"/>
      <c r="AD216" s="93"/>
      <c r="AE216" s="85"/>
    </row>
    <row r="217" spans="6:31" ht="14.5" customHeight="1" x14ac:dyDescent="0.35">
      <c r="F217" s="93"/>
      <c r="G217" s="85"/>
      <c r="H217" s="87"/>
      <c r="J217" s="93"/>
      <c r="K217" s="85"/>
      <c r="N217" s="93"/>
      <c r="O217" s="85"/>
      <c r="Q217" s="94"/>
      <c r="R217" s="93"/>
      <c r="S217" s="85"/>
      <c r="U217" s="94"/>
      <c r="V217" s="93"/>
      <c r="W217" s="85"/>
      <c r="Y217" s="94"/>
      <c r="Z217" s="93"/>
      <c r="AA217" s="85"/>
      <c r="AC217" s="94"/>
      <c r="AD217" s="93"/>
      <c r="AE217" s="85"/>
    </row>
    <row r="218" spans="6:31" ht="14.5" customHeight="1" x14ac:dyDescent="0.35">
      <c r="F218" s="93"/>
      <c r="G218" s="85"/>
      <c r="H218" s="87"/>
      <c r="J218" s="93"/>
      <c r="K218" s="85"/>
      <c r="N218" s="93"/>
      <c r="O218" s="85"/>
      <c r="Q218" s="94"/>
      <c r="R218" s="93"/>
      <c r="S218" s="85"/>
      <c r="U218" s="94"/>
      <c r="V218" s="93"/>
      <c r="W218" s="85"/>
      <c r="Y218" s="94"/>
      <c r="Z218" s="93"/>
      <c r="AA218" s="85"/>
      <c r="AC218" s="94"/>
      <c r="AD218" s="93"/>
      <c r="AE218" s="85"/>
    </row>
    <row r="219" spans="6:31" ht="14.5" customHeight="1" x14ac:dyDescent="0.35">
      <c r="F219" s="93"/>
      <c r="G219" s="85"/>
      <c r="H219" s="87"/>
      <c r="J219" s="93"/>
      <c r="K219" s="85"/>
      <c r="N219" s="93"/>
      <c r="O219" s="85"/>
      <c r="Q219" s="94"/>
      <c r="R219" s="93"/>
      <c r="S219" s="85"/>
      <c r="U219" s="94"/>
      <c r="V219" s="93"/>
      <c r="W219" s="85"/>
      <c r="Y219" s="94"/>
      <c r="Z219" s="93"/>
      <c r="AA219" s="85"/>
      <c r="AC219" s="94"/>
      <c r="AD219" s="93"/>
      <c r="AE219" s="85"/>
    </row>
    <row r="220" spans="6:31" ht="14.5" customHeight="1" x14ac:dyDescent="0.35">
      <c r="F220" s="93"/>
      <c r="G220" s="85"/>
      <c r="H220" s="87"/>
      <c r="J220" s="93"/>
      <c r="K220" s="85"/>
      <c r="N220" s="93"/>
      <c r="O220" s="85"/>
      <c r="Q220" s="94"/>
      <c r="R220" s="93"/>
      <c r="S220" s="85"/>
      <c r="U220" s="94"/>
      <c r="V220" s="93"/>
      <c r="W220" s="85"/>
      <c r="Y220" s="94"/>
      <c r="Z220" s="93"/>
      <c r="AA220" s="85"/>
      <c r="AC220" s="94"/>
      <c r="AD220" s="93"/>
      <c r="AE220" s="85"/>
    </row>
    <row r="221" spans="6:31" ht="14.5" customHeight="1" x14ac:dyDescent="0.35">
      <c r="F221" s="93"/>
      <c r="G221" s="85"/>
      <c r="H221" s="87"/>
      <c r="J221" s="93"/>
      <c r="K221" s="85"/>
      <c r="N221" s="93"/>
      <c r="O221" s="85"/>
      <c r="Q221" s="94"/>
      <c r="R221" s="93"/>
      <c r="S221" s="85"/>
      <c r="U221" s="94"/>
      <c r="V221" s="93"/>
      <c r="W221" s="85"/>
      <c r="Y221" s="94"/>
      <c r="Z221" s="93"/>
      <c r="AA221" s="85"/>
      <c r="AC221" s="94"/>
      <c r="AD221" s="93"/>
      <c r="AE221" s="85"/>
    </row>
    <row r="222" spans="6:31" ht="14.5" customHeight="1" x14ac:dyDescent="0.35">
      <c r="F222" s="93"/>
      <c r="G222" s="85"/>
      <c r="H222" s="87"/>
      <c r="J222" s="93"/>
      <c r="K222" s="85"/>
      <c r="N222" s="93"/>
      <c r="O222" s="85"/>
      <c r="Q222" s="94"/>
      <c r="R222" s="93"/>
      <c r="S222" s="85"/>
      <c r="U222" s="94"/>
      <c r="V222" s="93"/>
      <c r="W222" s="85"/>
      <c r="Y222" s="94"/>
      <c r="Z222" s="93"/>
      <c r="AA222" s="85"/>
      <c r="AC222" s="94"/>
      <c r="AD222" s="93"/>
      <c r="AE222" s="85"/>
    </row>
    <row r="223" spans="6:31" ht="14.5" customHeight="1" x14ac:dyDescent="0.35">
      <c r="F223" s="93"/>
      <c r="G223" s="85"/>
      <c r="H223" s="87"/>
      <c r="J223" s="93"/>
      <c r="K223" s="85"/>
      <c r="N223" s="93"/>
      <c r="O223" s="85"/>
      <c r="Q223" s="94"/>
      <c r="R223" s="93"/>
      <c r="S223" s="85"/>
      <c r="U223" s="94"/>
      <c r="V223" s="93"/>
      <c r="W223" s="85"/>
      <c r="Y223" s="94"/>
      <c r="Z223" s="93"/>
      <c r="AA223" s="85"/>
      <c r="AC223" s="94"/>
      <c r="AD223" s="93"/>
      <c r="AE223" s="85"/>
    </row>
    <row r="224" spans="6:31" ht="14.5" customHeight="1" x14ac:dyDescent="0.35">
      <c r="F224" s="93"/>
      <c r="G224" s="85"/>
      <c r="H224" s="87"/>
      <c r="J224" s="93"/>
      <c r="K224" s="85"/>
      <c r="N224" s="93"/>
      <c r="O224" s="85"/>
      <c r="Q224" s="94"/>
      <c r="R224" s="93"/>
      <c r="S224" s="85"/>
      <c r="U224" s="94"/>
      <c r="V224" s="93"/>
      <c r="W224" s="85"/>
      <c r="Y224" s="94"/>
      <c r="Z224" s="93"/>
      <c r="AA224" s="85"/>
      <c r="AC224" s="94"/>
      <c r="AD224" s="93"/>
      <c r="AE224" s="85"/>
    </row>
    <row r="225" spans="6:31" ht="14.5" customHeight="1" x14ac:dyDescent="0.35">
      <c r="F225" s="93"/>
      <c r="G225" s="85"/>
      <c r="H225" s="87"/>
      <c r="J225" s="93"/>
      <c r="K225" s="85"/>
      <c r="N225" s="93"/>
      <c r="O225" s="85"/>
      <c r="Q225" s="94"/>
      <c r="R225" s="93"/>
      <c r="S225" s="85"/>
      <c r="U225" s="94"/>
      <c r="V225" s="93"/>
      <c r="W225" s="85"/>
      <c r="Y225" s="94"/>
      <c r="Z225" s="93"/>
      <c r="AA225" s="85"/>
      <c r="AC225" s="94"/>
      <c r="AD225" s="93"/>
      <c r="AE225" s="85"/>
    </row>
    <row r="226" spans="6:31" ht="14.5" customHeight="1" x14ac:dyDescent="0.35">
      <c r="F226" s="93"/>
      <c r="G226" s="85"/>
      <c r="H226" s="87"/>
      <c r="J226" s="93"/>
      <c r="K226" s="85"/>
      <c r="N226" s="93"/>
      <c r="O226" s="85"/>
      <c r="Q226" s="94"/>
      <c r="R226" s="93"/>
      <c r="S226" s="85"/>
      <c r="U226" s="94"/>
      <c r="V226" s="93"/>
      <c r="W226" s="85"/>
      <c r="Y226" s="94"/>
      <c r="Z226" s="93"/>
      <c r="AA226" s="85"/>
      <c r="AC226" s="94"/>
      <c r="AD226" s="93"/>
      <c r="AE226" s="85"/>
    </row>
    <row r="227" spans="6:31" ht="14.5" customHeight="1" x14ac:dyDescent="0.35">
      <c r="F227" s="93"/>
      <c r="G227" s="85"/>
      <c r="H227" s="87"/>
      <c r="J227" s="93"/>
      <c r="K227" s="85"/>
      <c r="N227" s="93"/>
      <c r="O227" s="85"/>
      <c r="Q227" s="94"/>
      <c r="R227" s="93"/>
      <c r="S227" s="85"/>
      <c r="U227" s="94"/>
      <c r="V227" s="93"/>
      <c r="W227" s="85"/>
      <c r="Y227" s="94"/>
      <c r="Z227" s="93"/>
      <c r="AA227" s="85"/>
      <c r="AC227" s="94"/>
      <c r="AD227" s="93"/>
      <c r="AE227" s="85"/>
    </row>
    <row r="228" spans="6:31" ht="14.5" customHeight="1" x14ac:dyDescent="0.35">
      <c r="F228" s="93"/>
      <c r="G228" s="85"/>
      <c r="H228" s="87"/>
      <c r="J228" s="93"/>
      <c r="K228" s="85"/>
      <c r="N228" s="93"/>
      <c r="O228" s="85"/>
      <c r="Q228" s="94"/>
      <c r="R228" s="93"/>
      <c r="S228" s="85"/>
      <c r="U228" s="94"/>
      <c r="V228" s="93"/>
      <c r="W228" s="85"/>
      <c r="Y228" s="94"/>
      <c r="Z228" s="93"/>
      <c r="AA228" s="85"/>
      <c r="AC228" s="94"/>
      <c r="AD228" s="93"/>
      <c r="AE228" s="85"/>
    </row>
    <row r="229" spans="6:31" ht="14.5" customHeight="1" x14ac:dyDescent="0.35">
      <c r="F229" s="93"/>
      <c r="G229" s="85"/>
      <c r="H229" s="87"/>
      <c r="J229" s="93"/>
      <c r="K229" s="85"/>
      <c r="N229" s="93"/>
      <c r="O229" s="85"/>
      <c r="Q229" s="94"/>
      <c r="R229" s="93"/>
      <c r="S229" s="85"/>
      <c r="U229" s="94"/>
      <c r="V229" s="93"/>
      <c r="W229" s="85"/>
      <c r="Y229" s="94"/>
      <c r="Z229" s="93"/>
      <c r="AA229" s="85"/>
      <c r="AC229" s="94"/>
      <c r="AD229" s="93"/>
      <c r="AE229" s="85"/>
    </row>
    <row r="230" spans="6:31" ht="14.5" customHeight="1" x14ac:dyDescent="0.35">
      <c r="F230" s="93"/>
      <c r="G230" s="85"/>
      <c r="H230" s="87"/>
      <c r="J230" s="93"/>
      <c r="K230" s="85"/>
      <c r="N230" s="93"/>
      <c r="O230" s="85"/>
      <c r="Q230" s="94"/>
      <c r="R230" s="93"/>
      <c r="S230" s="85"/>
      <c r="U230" s="94"/>
      <c r="V230" s="93"/>
      <c r="W230" s="85"/>
      <c r="Y230" s="94"/>
      <c r="Z230" s="93"/>
      <c r="AA230" s="85"/>
      <c r="AC230" s="94"/>
      <c r="AD230" s="93"/>
      <c r="AE230" s="85"/>
    </row>
    <row r="231" spans="6:31" ht="14.5" customHeight="1" x14ac:dyDescent="0.35">
      <c r="F231" s="93"/>
      <c r="G231" s="85"/>
      <c r="H231" s="87"/>
      <c r="J231" s="93"/>
      <c r="K231" s="85"/>
      <c r="N231" s="93"/>
      <c r="O231" s="85"/>
      <c r="Q231" s="94"/>
      <c r="R231" s="93"/>
      <c r="S231" s="85"/>
      <c r="U231" s="94"/>
      <c r="V231" s="93"/>
      <c r="W231" s="85"/>
      <c r="Y231" s="94"/>
      <c r="Z231" s="93"/>
      <c r="AA231" s="85"/>
      <c r="AC231" s="94"/>
      <c r="AD231" s="93"/>
      <c r="AE231" s="85"/>
    </row>
    <row r="232" spans="6:31" ht="14.5" customHeight="1" x14ac:dyDescent="0.35">
      <c r="F232" s="93"/>
      <c r="G232" s="85"/>
      <c r="H232" s="87"/>
      <c r="J232" s="93"/>
      <c r="K232" s="85"/>
      <c r="N232" s="93"/>
      <c r="O232" s="85"/>
      <c r="Q232" s="94"/>
      <c r="R232" s="93"/>
      <c r="S232" s="85"/>
      <c r="U232" s="94"/>
      <c r="V232" s="93"/>
      <c r="W232" s="85"/>
      <c r="Y232" s="94"/>
      <c r="Z232" s="93"/>
      <c r="AA232" s="85"/>
      <c r="AC232" s="94"/>
      <c r="AD232" s="93"/>
      <c r="AE232" s="85"/>
    </row>
    <row r="233" spans="6:31" ht="14.5" customHeight="1" x14ac:dyDescent="0.35">
      <c r="F233" s="93"/>
      <c r="G233" s="85"/>
      <c r="H233" s="87"/>
      <c r="J233" s="93"/>
      <c r="K233" s="85"/>
      <c r="N233" s="93"/>
      <c r="O233" s="85"/>
      <c r="Q233" s="94"/>
      <c r="R233" s="93"/>
      <c r="S233" s="85"/>
      <c r="U233" s="94"/>
      <c r="V233" s="93"/>
      <c r="W233" s="85"/>
      <c r="Y233" s="94"/>
      <c r="Z233" s="93"/>
      <c r="AA233" s="85"/>
      <c r="AC233" s="94"/>
      <c r="AD233" s="93"/>
      <c r="AE233" s="85"/>
    </row>
    <row r="234" spans="6:31" ht="14.5" customHeight="1" x14ac:dyDescent="0.35">
      <c r="F234" s="93"/>
      <c r="G234" s="85"/>
      <c r="H234" s="87"/>
      <c r="J234" s="93"/>
      <c r="K234" s="85"/>
      <c r="N234" s="93"/>
      <c r="O234" s="85"/>
      <c r="Q234" s="94"/>
      <c r="R234" s="93"/>
      <c r="S234" s="85"/>
      <c r="U234" s="94"/>
      <c r="V234" s="93"/>
      <c r="W234" s="85"/>
      <c r="Y234" s="94"/>
      <c r="Z234" s="93"/>
      <c r="AA234" s="85"/>
      <c r="AC234" s="94"/>
      <c r="AD234" s="93"/>
      <c r="AE234" s="85"/>
    </row>
    <row r="235" spans="6:31" ht="14.5" customHeight="1" x14ac:dyDescent="0.35">
      <c r="F235" s="93"/>
      <c r="G235" s="85"/>
      <c r="H235" s="87"/>
      <c r="J235" s="93"/>
      <c r="K235" s="85"/>
      <c r="N235" s="93"/>
      <c r="O235" s="85"/>
      <c r="Q235" s="94"/>
      <c r="R235" s="93"/>
      <c r="S235" s="85"/>
      <c r="U235" s="94"/>
      <c r="V235" s="93"/>
      <c r="W235" s="85"/>
      <c r="Y235" s="94"/>
      <c r="Z235" s="93"/>
      <c r="AA235" s="85"/>
      <c r="AC235" s="94"/>
      <c r="AD235" s="93"/>
      <c r="AE235" s="85"/>
    </row>
    <row r="236" spans="6:31" ht="14.5" customHeight="1" x14ac:dyDescent="0.35">
      <c r="F236" s="93"/>
      <c r="G236" s="85"/>
      <c r="H236" s="87"/>
      <c r="J236" s="93"/>
      <c r="K236" s="85"/>
      <c r="N236" s="93"/>
      <c r="O236" s="85"/>
      <c r="Q236" s="94"/>
      <c r="R236" s="93"/>
      <c r="S236" s="85"/>
      <c r="U236" s="94"/>
      <c r="V236" s="93"/>
      <c r="W236" s="85"/>
      <c r="Y236" s="94"/>
      <c r="Z236" s="93"/>
      <c r="AA236" s="85"/>
      <c r="AC236" s="94"/>
      <c r="AD236" s="93"/>
      <c r="AE236" s="85"/>
    </row>
    <row r="237" spans="6:31" ht="14.5" customHeight="1" x14ac:dyDescent="0.35">
      <c r="F237" s="93"/>
      <c r="G237" s="85"/>
      <c r="H237" s="87"/>
      <c r="J237" s="93"/>
      <c r="K237" s="85"/>
      <c r="N237" s="93"/>
      <c r="O237" s="85"/>
      <c r="Q237" s="94"/>
      <c r="R237" s="93"/>
      <c r="S237" s="85"/>
      <c r="U237" s="94"/>
      <c r="V237" s="93"/>
      <c r="W237" s="85"/>
      <c r="Y237" s="94"/>
      <c r="Z237" s="93"/>
      <c r="AA237" s="85"/>
      <c r="AC237" s="94"/>
      <c r="AD237" s="93"/>
      <c r="AE237" s="85"/>
    </row>
    <row r="238" spans="6:31" ht="14.5" customHeight="1" x14ac:dyDescent="0.35">
      <c r="F238" s="93"/>
      <c r="G238" s="85"/>
      <c r="H238" s="87"/>
      <c r="J238" s="93"/>
      <c r="K238" s="85"/>
      <c r="N238" s="93"/>
      <c r="O238" s="85"/>
      <c r="Q238" s="94"/>
      <c r="R238" s="93"/>
      <c r="S238" s="85"/>
      <c r="U238" s="94"/>
      <c r="V238" s="93"/>
      <c r="W238" s="85"/>
      <c r="Y238" s="94"/>
      <c r="Z238" s="93"/>
      <c r="AA238" s="85"/>
      <c r="AC238" s="94"/>
      <c r="AD238" s="93"/>
      <c r="AE238" s="85"/>
    </row>
    <row r="239" spans="6:31" ht="14.5" customHeight="1" x14ac:dyDescent="0.35">
      <c r="F239" s="93"/>
      <c r="G239" s="85"/>
      <c r="H239" s="87"/>
      <c r="J239" s="93"/>
      <c r="K239" s="85"/>
      <c r="N239" s="93"/>
      <c r="O239" s="85"/>
      <c r="Q239" s="94"/>
      <c r="R239" s="93"/>
      <c r="S239" s="85"/>
      <c r="U239" s="94"/>
      <c r="V239" s="93"/>
      <c r="W239" s="85"/>
      <c r="Y239" s="94"/>
      <c r="Z239" s="93"/>
      <c r="AA239" s="85"/>
      <c r="AC239" s="94"/>
      <c r="AD239" s="93"/>
      <c r="AE239" s="85"/>
    </row>
    <row r="240" spans="6:31" ht="14.5" customHeight="1" x14ac:dyDescent="0.35">
      <c r="F240" s="93"/>
      <c r="G240" s="85"/>
      <c r="H240" s="87"/>
      <c r="J240" s="93"/>
      <c r="K240" s="85"/>
      <c r="N240" s="93"/>
      <c r="O240" s="85"/>
      <c r="Q240" s="94"/>
      <c r="R240" s="93"/>
      <c r="S240" s="85"/>
      <c r="U240" s="94"/>
      <c r="V240" s="93"/>
      <c r="W240" s="85"/>
      <c r="Y240" s="94"/>
      <c r="Z240" s="93"/>
      <c r="AA240" s="85"/>
      <c r="AC240" s="94"/>
      <c r="AD240" s="93"/>
      <c r="AE240" s="85"/>
    </row>
    <row r="241" spans="6:31" ht="14.5" customHeight="1" x14ac:dyDescent="0.35">
      <c r="F241" s="93"/>
      <c r="G241" s="85"/>
      <c r="H241" s="87"/>
      <c r="J241" s="93"/>
      <c r="K241" s="85"/>
      <c r="N241" s="93"/>
      <c r="O241" s="85"/>
      <c r="Q241" s="94"/>
      <c r="R241" s="93"/>
      <c r="S241" s="85"/>
      <c r="U241" s="94"/>
      <c r="V241" s="93"/>
      <c r="W241" s="85"/>
      <c r="Y241" s="94"/>
      <c r="Z241" s="93"/>
      <c r="AA241" s="85"/>
      <c r="AC241" s="94"/>
      <c r="AD241" s="93"/>
      <c r="AE241" s="85"/>
    </row>
    <row r="242" spans="6:31" ht="14.5" customHeight="1" x14ac:dyDescent="0.35">
      <c r="F242" s="93"/>
      <c r="G242" s="85"/>
      <c r="H242" s="87"/>
      <c r="J242" s="93"/>
      <c r="K242" s="85"/>
      <c r="N242" s="93"/>
      <c r="O242" s="85"/>
      <c r="Q242" s="94"/>
      <c r="R242" s="93"/>
      <c r="S242" s="85"/>
      <c r="U242" s="94"/>
      <c r="V242" s="93"/>
      <c r="W242" s="85"/>
      <c r="Y242" s="94"/>
      <c r="Z242" s="93"/>
      <c r="AA242" s="85"/>
      <c r="AC242" s="94"/>
      <c r="AD242" s="93"/>
      <c r="AE242" s="85"/>
    </row>
    <row r="243" spans="6:31" ht="14.5" customHeight="1" x14ac:dyDescent="0.35">
      <c r="F243" s="93"/>
      <c r="G243" s="85"/>
      <c r="H243" s="87"/>
      <c r="J243" s="93"/>
      <c r="K243" s="85"/>
      <c r="N243" s="93"/>
      <c r="O243" s="85"/>
      <c r="Q243" s="94"/>
      <c r="R243" s="93"/>
      <c r="S243" s="85"/>
      <c r="U243" s="94"/>
      <c r="V243" s="93"/>
      <c r="W243" s="85"/>
      <c r="Y243" s="94"/>
      <c r="Z243" s="93"/>
      <c r="AA243" s="85"/>
      <c r="AC243" s="94"/>
      <c r="AD243" s="93"/>
      <c r="AE243" s="85"/>
    </row>
    <row r="244" spans="6:31" ht="14.5" customHeight="1" x14ac:dyDescent="0.35">
      <c r="F244" s="93"/>
      <c r="G244" s="85"/>
      <c r="H244" s="87"/>
      <c r="J244" s="93"/>
      <c r="K244" s="85"/>
      <c r="N244" s="93"/>
      <c r="O244" s="85"/>
      <c r="Q244" s="94"/>
      <c r="R244" s="93"/>
      <c r="S244" s="85"/>
      <c r="U244" s="94"/>
      <c r="V244" s="93"/>
      <c r="W244" s="85"/>
      <c r="Y244" s="94"/>
      <c r="Z244" s="93"/>
      <c r="AA244" s="85"/>
      <c r="AC244" s="94"/>
      <c r="AD244" s="93"/>
      <c r="AE244" s="85"/>
    </row>
    <row r="245" spans="6:31" ht="14.5" customHeight="1" x14ac:dyDescent="0.35">
      <c r="F245" s="93"/>
      <c r="G245" s="85"/>
      <c r="H245" s="87"/>
      <c r="J245" s="93"/>
      <c r="K245" s="85"/>
      <c r="N245" s="93"/>
      <c r="O245" s="85"/>
      <c r="Q245" s="94"/>
      <c r="R245" s="93"/>
      <c r="S245" s="85"/>
      <c r="U245" s="94"/>
      <c r="V245" s="93"/>
      <c r="W245" s="85"/>
      <c r="Y245" s="94"/>
      <c r="Z245" s="93"/>
      <c r="AA245" s="85"/>
      <c r="AC245" s="94"/>
      <c r="AD245" s="93"/>
      <c r="AE245" s="85"/>
    </row>
    <row r="246" spans="6:31" ht="14.5" customHeight="1" x14ac:dyDescent="0.35">
      <c r="F246" s="93"/>
      <c r="G246" s="85"/>
      <c r="H246" s="87"/>
      <c r="J246" s="93"/>
      <c r="K246" s="85"/>
      <c r="N246" s="93"/>
      <c r="O246" s="85"/>
      <c r="Q246" s="94"/>
      <c r="R246" s="93"/>
      <c r="S246" s="85"/>
      <c r="U246" s="94"/>
      <c r="V246" s="93"/>
      <c r="W246" s="85"/>
      <c r="Y246" s="94"/>
      <c r="Z246" s="93"/>
      <c r="AA246" s="85"/>
      <c r="AC246" s="94"/>
      <c r="AD246" s="93"/>
      <c r="AE246" s="85"/>
    </row>
    <row r="247" spans="6:31" ht="14.5" customHeight="1" x14ac:dyDescent="0.35">
      <c r="F247" s="93"/>
      <c r="G247" s="85"/>
      <c r="H247" s="87"/>
      <c r="J247" s="93"/>
      <c r="K247" s="85"/>
      <c r="N247" s="93"/>
      <c r="O247" s="85"/>
      <c r="Q247" s="94"/>
      <c r="R247" s="93"/>
      <c r="S247" s="85"/>
      <c r="U247" s="94"/>
      <c r="V247" s="93"/>
      <c r="W247" s="85"/>
      <c r="Y247" s="94"/>
      <c r="Z247" s="93"/>
      <c r="AA247" s="85"/>
      <c r="AC247" s="94"/>
      <c r="AD247" s="93"/>
      <c r="AE247" s="85"/>
    </row>
    <row r="248" spans="6:31" ht="14.5" customHeight="1" x14ac:dyDescent="0.35">
      <c r="F248" s="93"/>
      <c r="G248" s="85"/>
      <c r="H248" s="87"/>
      <c r="J248" s="93"/>
      <c r="K248" s="85"/>
      <c r="N248" s="93"/>
      <c r="O248" s="85"/>
      <c r="Q248" s="94"/>
      <c r="R248" s="93"/>
      <c r="S248" s="85"/>
      <c r="U248" s="94"/>
      <c r="V248" s="93"/>
      <c r="W248" s="85"/>
      <c r="Y248" s="94"/>
      <c r="Z248" s="93"/>
      <c r="AA248" s="85"/>
      <c r="AC248" s="94"/>
      <c r="AD248" s="93"/>
      <c r="AE248" s="85"/>
    </row>
    <row r="249" spans="6:31" ht="14.5" customHeight="1" x14ac:dyDescent="0.35">
      <c r="F249" s="93"/>
      <c r="G249" s="85"/>
      <c r="H249" s="87"/>
      <c r="J249" s="93"/>
      <c r="K249" s="85"/>
      <c r="N249" s="93"/>
      <c r="O249" s="85"/>
      <c r="Q249" s="94"/>
      <c r="R249" s="93"/>
      <c r="S249" s="85"/>
      <c r="U249" s="94"/>
      <c r="V249" s="93"/>
      <c r="W249" s="85"/>
      <c r="Y249" s="94"/>
      <c r="Z249" s="93"/>
      <c r="AA249" s="85"/>
      <c r="AC249" s="94"/>
      <c r="AD249" s="93"/>
      <c r="AE249" s="85"/>
    </row>
    <row r="250" spans="6:31" ht="14.5" customHeight="1" x14ac:dyDescent="0.35">
      <c r="F250" s="93"/>
      <c r="G250" s="85"/>
      <c r="H250" s="87"/>
      <c r="J250" s="93"/>
      <c r="K250" s="85"/>
      <c r="N250" s="93"/>
      <c r="O250" s="85"/>
      <c r="Q250" s="94"/>
      <c r="R250" s="93"/>
      <c r="S250" s="85"/>
      <c r="U250" s="94"/>
      <c r="V250" s="93"/>
      <c r="W250" s="85"/>
      <c r="Y250" s="94"/>
      <c r="Z250" s="93"/>
      <c r="AA250" s="85"/>
      <c r="AC250" s="94"/>
      <c r="AD250" s="93"/>
      <c r="AE250" s="85"/>
    </row>
    <row r="251" spans="6:31" ht="14.5" customHeight="1" x14ac:dyDescent="0.35">
      <c r="F251" s="93"/>
      <c r="G251" s="85"/>
      <c r="H251" s="87"/>
      <c r="J251" s="93"/>
      <c r="K251" s="85"/>
      <c r="N251" s="93"/>
      <c r="O251" s="85"/>
      <c r="Q251" s="94"/>
      <c r="R251" s="93"/>
      <c r="S251" s="85"/>
      <c r="U251" s="94"/>
      <c r="V251" s="93"/>
      <c r="W251" s="85"/>
      <c r="Y251" s="94"/>
      <c r="Z251" s="93"/>
      <c r="AA251" s="85"/>
      <c r="AC251" s="94"/>
      <c r="AD251" s="93"/>
      <c r="AE251" s="85"/>
    </row>
    <row r="252" spans="6:31" ht="14.5" customHeight="1" x14ac:dyDescent="0.35">
      <c r="F252" s="93"/>
      <c r="G252" s="85"/>
      <c r="H252" s="87"/>
      <c r="J252" s="93"/>
      <c r="K252" s="85"/>
      <c r="N252" s="93"/>
      <c r="O252" s="85"/>
      <c r="Q252" s="94"/>
      <c r="R252" s="93"/>
      <c r="S252" s="85"/>
      <c r="U252" s="94"/>
      <c r="V252" s="93"/>
      <c r="W252" s="85"/>
      <c r="Y252" s="94"/>
      <c r="Z252" s="93"/>
      <c r="AA252" s="85"/>
      <c r="AC252" s="94"/>
      <c r="AD252" s="93"/>
      <c r="AE252" s="85"/>
    </row>
    <row r="253" spans="6:31" ht="14.5" customHeight="1" x14ac:dyDescent="0.35">
      <c r="F253" s="93"/>
      <c r="G253" s="85"/>
      <c r="H253" s="87"/>
      <c r="J253" s="93"/>
      <c r="K253" s="85"/>
      <c r="N253" s="93"/>
      <c r="O253" s="85"/>
      <c r="Q253" s="94"/>
      <c r="R253" s="93"/>
      <c r="S253" s="85"/>
      <c r="U253" s="94"/>
      <c r="V253" s="93"/>
      <c r="W253" s="85"/>
      <c r="Y253" s="94"/>
      <c r="Z253" s="93"/>
      <c r="AA253" s="85"/>
      <c r="AC253" s="94"/>
      <c r="AD253" s="93"/>
      <c r="AE253" s="85"/>
    </row>
    <row r="254" spans="6:31" ht="14.5" customHeight="1" x14ac:dyDescent="0.35">
      <c r="F254" s="93"/>
      <c r="G254" s="85"/>
      <c r="H254" s="87"/>
      <c r="J254" s="93"/>
      <c r="K254" s="85"/>
      <c r="N254" s="93"/>
      <c r="O254" s="85"/>
      <c r="Q254" s="94"/>
      <c r="R254" s="93"/>
      <c r="S254" s="85"/>
      <c r="U254" s="94"/>
      <c r="V254" s="93"/>
      <c r="W254" s="85"/>
      <c r="Y254" s="94"/>
      <c r="Z254" s="93"/>
      <c r="AA254" s="85"/>
      <c r="AC254" s="94"/>
      <c r="AD254" s="93"/>
      <c r="AE254" s="85"/>
    </row>
    <row r="255" spans="6:31" ht="14.5" customHeight="1" x14ac:dyDescent="0.35">
      <c r="F255" s="93"/>
      <c r="G255" s="85"/>
      <c r="H255" s="87"/>
      <c r="J255" s="93"/>
      <c r="K255" s="85"/>
      <c r="N255" s="93"/>
      <c r="O255" s="85"/>
      <c r="Q255" s="94"/>
      <c r="R255" s="93"/>
      <c r="S255" s="85"/>
      <c r="U255" s="94"/>
      <c r="V255" s="93"/>
      <c r="W255" s="85"/>
      <c r="Y255" s="94"/>
      <c r="Z255" s="93"/>
      <c r="AA255" s="85"/>
      <c r="AC255" s="94"/>
      <c r="AD255" s="93"/>
      <c r="AE255" s="85"/>
    </row>
    <row r="256" spans="6:31" ht="14.5" customHeight="1" x14ac:dyDescent="0.35">
      <c r="F256" s="93"/>
      <c r="G256" s="85"/>
      <c r="H256" s="87"/>
      <c r="J256" s="93"/>
      <c r="K256" s="85"/>
      <c r="N256" s="93"/>
      <c r="O256" s="85"/>
      <c r="Q256" s="94"/>
      <c r="R256" s="93"/>
      <c r="S256" s="85"/>
      <c r="U256" s="94"/>
      <c r="V256" s="93"/>
      <c r="W256" s="85"/>
      <c r="Y256" s="94"/>
      <c r="Z256" s="93"/>
      <c r="AA256" s="85"/>
      <c r="AC256" s="94"/>
      <c r="AD256" s="93"/>
      <c r="AE256" s="85"/>
    </row>
    <row r="257" spans="6:31" ht="14.5" customHeight="1" x14ac:dyDescent="0.35">
      <c r="F257" s="93"/>
      <c r="G257" s="85"/>
      <c r="H257" s="87"/>
      <c r="J257" s="93"/>
      <c r="K257" s="85"/>
      <c r="N257" s="93"/>
      <c r="O257" s="85"/>
      <c r="Q257" s="94"/>
      <c r="R257" s="93"/>
      <c r="S257" s="85"/>
      <c r="U257" s="94"/>
      <c r="V257" s="93"/>
      <c r="W257" s="85"/>
      <c r="Y257" s="94"/>
      <c r="Z257" s="93"/>
      <c r="AA257" s="85"/>
      <c r="AC257" s="94"/>
      <c r="AD257" s="93"/>
      <c r="AE257" s="85"/>
    </row>
    <row r="258" spans="6:31" ht="14.5" customHeight="1" x14ac:dyDescent="0.35">
      <c r="F258" s="93"/>
      <c r="G258" s="85"/>
      <c r="H258" s="87"/>
      <c r="J258" s="93"/>
      <c r="K258" s="85"/>
      <c r="N258" s="93"/>
      <c r="O258" s="85"/>
      <c r="Q258" s="94"/>
      <c r="R258" s="93"/>
      <c r="S258" s="85"/>
      <c r="U258" s="94"/>
      <c r="V258" s="93"/>
      <c r="W258" s="85"/>
      <c r="Y258" s="94"/>
      <c r="Z258" s="93"/>
      <c r="AA258" s="85"/>
      <c r="AC258" s="94"/>
      <c r="AD258" s="93"/>
      <c r="AE258" s="85"/>
    </row>
    <row r="259" spans="6:31" ht="14.5" customHeight="1" x14ac:dyDescent="0.35">
      <c r="F259" s="93"/>
      <c r="G259" s="85"/>
      <c r="H259" s="87"/>
      <c r="J259" s="93"/>
      <c r="K259" s="85"/>
      <c r="N259" s="93"/>
      <c r="O259" s="85"/>
      <c r="Q259" s="94"/>
      <c r="R259" s="93"/>
      <c r="S259" s="85"/>
      <c r="U259" s="94"/>
      <c r="V259" s="93"/>
      <c r="W259" s="85"/>
      <c r="Y259" s="94"/>
      <c r="Z259" s="93"/>
      <c r="AA259" s="85"/>
      <c r="AC259" s="94"/>
      <c r="AD259" s="93"/>
      <c r="AE259" s="85"/>
    </row>
    <row r="260" spans="6:31" ht="14.5" customHeight="1" x14ac:dyDescent="0.35">
      <c r="F260" s="93"/>
      <c r="G260" s="85"/>
      <c r="H260" s="87"/>
      <c r="J260" s="93"/>
      <c r="K260" s="85"/>
      <c r="N260" s="93"/>
      <c r="O260" s="85"/>
      <c r="Q260" s="94"/>
      <c r="R260" s="93"/>
      <c r="S260" s="85"/>
      <c r="U260" s="94"/>
      <c r="V260" s="93"/>
      <c r="W260" s="85"/>
      <c r="Y260" s="94"/>
      <c r="Z260" s="93"/>
      <c r="AA260" s="85"/>
      <c r="AC260" s="94"/>
      <c r="AD260" s="93"/>
      <c r="AE260" s="85"/>
    </row>
    <row r="261" spans="6:31" ht="14.5" customHeight="1" x14ac:dyDescent="0.35">
      <c r="F261" s="93"/>
      <c r="G261" s="85"/>
      <c r="H261" s="87"/>
      <c r="J261" s="93"/>
      <c r="K261" s="85"/>
      <c r="N261" s="93"/>
      <c r="O261" s="85"/>
      <c r="Q261" s="94"/>
      <c r="R261" s="93"/>
      <c r="S261" s="85"/>
      <c r="U261" s="94"/>
      <c r="V261" s="93"/>
      <c r="W261" s="85"/>
      <c r="Y261" s="94"/>
      <c r="Z261" s="93"/>
      <c r="AA261" s="85"/>
      <c r="AC261" s="94"/>
      <c r="AD261" s="93"/>
      <c r="AE261" s="85"/>
    </row>
    <row r="262" spans="6:31" ht="14.5" customHeight="1" x14ac:dyDescent="0.35">
      <c r="F262" s="93"/>
      <c r="G262" s="85"/>
      <c r="H262" s="87"/>
      <c r="J262" s="93"/>
      <c r="K262" s="85"/>
      <c r="N262" s="93"/>
      <c r="O262" s="85"/>
      <c r="Q262" s="94"/>
      <c r="R262" s="93"/>
      <c r="S262" s="85"/>
      <c r="U262" s="94"/>
      <c r="V262" s="93"/>
      <c r="W262" s="85"/>
      <c r="Y262" s="94"/>
      <c r="Z262" s="93"/>
      <c r="AA262" s="85"/>
      <c r="AC262" s="94"/>
      <c r="AD262" s="93"/>
      <c r="AE262" s="85"/>
    </row>
    <row r="263" spans="6:31" ht="14.5" customHeight="1" x14ac:dyDescent="0.35">
      <c r="F263" s="93"/>
      <c r="G263" s="85"/>
      <c r="H263" s="87"/>
      <c r="J263" s="93"/>
      <c r="K263" s="85"/>
      <c r="N263" s="93"/>
      <c r="O263" s="85"/>
      <c r="Q263" s="94"/>
      <c r="R263" s="93"/>
      <c r="S263" s="85"/>
      <c r="U263" s="94"/>
      <c r="V263" s="93"/>
      <c r="W263" s="85"/>
      <c r="Y263" s="94"/>
      <c r="Z263" s="93"/>
      <c r="AA263" s="85"/>
      <c r="AC263" s="94"/>
      <c r="AD263" s="93"/>
      <c r="AE263" s="85"/>
    </row>
    <row r="264" spans="6:31" ht="14.5" customHeight="1" x14ac:dyDescent="0.35">
      <c r="F264" s="93"/>
      <c r="G264" s="85"/>
      <c r="H264" s="87"/>
      <c r="J264" s="93"/>
      <c r="K264" s="85"/>
      <c r="N264" s="93"/>
      <c r="O264" s="85"/>
      <c r="Q264" s="94"/>
      <c r="R264" s="93"/>
      <c r="S264" s="85"/>
      <c r="U264" s="94"/>
      <c r="V264" s="93"/>
      <c r="W264" s="85"/>
      <c r="Y264" s="94"/>
      <c r="Z264" s="93"/>
      <c r="AA264" s="85"/>
      <c r="AC264" s="94"/>
      <c r="AD264" s="93"/>
      <c r="AE264" s="85"/>
    </row>
    <row r="265" spans="6:31" ht="14.5" customHeight="1" x14ac:dyDescent="0.35">
      <c r="F265" s="93"/>
      <c r="G265" s="85"/>
      <c r="H265" s="87"/>
      <c r="J265" s="93"/>
      <c r="K265" s="85"/>
      <c r="N265" s="93"/>
      <c r="O265" s="85"/>
      <c r="Q265" s="94"/>
      <c r="R265" s="93"/>
      <c r="S265" s="85"/>
      <c r="U265" s="94"/>
      <c r="V265" s="93"/>
      <c r="W265" s="85"/>
      <c r="Y265" s="94"/>
      <c r="Z265" s="93"/>
      <c r="AA265" s="85"/>
      <c r="AC265" s="94"/>
      <c r="AD265" s="93"/>
      <c r="AE265" s="85"/>
    </row>
    <row r="266" spans="6:31" ht="14.5" customHeight="1" x14ac:dyDescent="0.35">
      <c r="F266" s="93"/>
      <c r="G266" s="85"/>
      <c r="H266" s="87"/>
      <c r="J266" s="93"/>
      <c r="K266" s="85"/>
      <c r="N266" s="93"/>
      <c r="O266" s="85"/>
      <c r="Q266" s="94"/>
      <c r="R266" s="93"/>
      <c r="S266" s="85"/>
      <c r="U266" s="94"/>
      <c r="V266" s="93"/>
      <c r="W266" s="85"/>
      <c r="Y266" s="94"/>
      <c r="Z266" s="93"/>
      <c r="AA266" s="85"/>
      <c r="AC266" s="94"/>
      <c r="AD266" s="93"/>
      <c r="AE266" s="85"/>
    </row>
    <row r="267" spans="6:31" ht="14.5" customHeight="1" x14ac:dyDescent="0.35">
      <c r="F267" s="93"/>
      <c r="G267" s="85"/>
      <c r="H267" s="87"/>
      <c r="J267" s="93"/>
      <c r="K267" s="85"/>
      <c r="N267" s="93"/>
      <c r="O267" s="85"/>
      <c r="Q267" s="94"/>
      <c r="R267" s="93"/>
      <c r="S267" s="85"/>
      <c r="U267" s="94"/>
      <c r="V267" s="93"/>
      <c r="W267" s="85"/>
      <c r="Y267" s="94"/>
      <c r="Z267" s="93"/>
      <c r="AA267" s="85"/>
      <c r="AC267" s="94"/>
      <c r="AD267" s="93"/>
      <c r="AE267" s="85"/>
    </row>
    <row r="268" spans="6:31" ht="14.5" customHeight="1" x14ac:dyDescent="0.35">
      <c r="F268" s="93"/>
      <c r="G268" s="85"/>
      <c r="H268" s="87"/>
      <c r="J268" s="93"/>
      <c r="K268" s="85"/>
      <c r="N268" s="93"/>
      <c r="O268" s="85"/>
      <c r="Q268" s="94"/>
      <c r="R268" s="93"/>
      <c r="S268" s="85"/>
      <c r="U268" s="94"/>
      <c r="V268" s="93"/>
      <c r="W268" s="85"/>
      <c r="Y268" s="94"/>
      <c r="Z268" s="93"/>
      <c r="AA268" s="85"/>
      <c r="AC268" s="94"/>
      <c r="AD268" s="93"/>
      <c r="AE268" s="85"/>
    </row>
    <row r="269" spans="6:31" ht="14.5" customHeight="1" x14ac:dyDescent="0.35">
      <c r="F269" s="93"/>
      <c r="G269" s="85"/>
      <c r="H269" s="87"/>
      <c r="J269" s="93"/>
      <c r="K269" s="85"/>
      <c r="N269" s="93"/>
      <c r="O269" s="85"/>
      <c r="Q269" s="94"/>
      <c r="R269" s="93"/>
      <c r="S269" s="85"/>
      <c r="U269" s="94"/>
      <c r="V269" s="93"/>
      <c r="W269" s="85"/>
      <c r="Y269" s="94"/>
      <c r="Z269" s="93"/>
      <c r="AA269" s="85"/>
      <c r="AC269" s="94"/>
      <c r="AD269" s="93"/>
      <c r="AE269" s="85"/>
    </row>
    <row r="270" spans="6:31" ht="14.5" customHeight="1" x14ac:dyDescent="0.35">
      <c r="F270" s="93"/>
      <c r="G270" s="85"/>
      <c r="H270" s="87"/>
      <c r="J270" s="93"/>
      <c r="K270" s="85"/>
      <c r="N270" s="93"/>
      <c r="O270" s="85"/>
      <c r="Q270" s="94"/>
      <c r="R270" s="93"/>
      <c r="S270" s="85"/>
      <c r="U270" s="94"/>
      <c r="V270" s="93"/>
      <c r="W270" s="85"/>
      <c r="Y270" s="94"/>
      <c r="Z270" s="93"/>
      <c r="AA270" s="85"/>
      <c r="AC270" s="94"/>
      <c r="AD270" s="93"/>
      <c r="AE270" s="85"/>
    </row>
    <row r="271" spans="6:31" ht="14.5" customHeight="1" x14ac:dyDescent="0.35">
      <c r="F271" s="93"/>
      <c r="G271" s="85"/>
      <c r="H271" s="87"/>
      <c r="J271" s="93"/>
      <c r="K271" s="85"/>
      <c r="N271" s="93"/>
      <c r="O271" s="85"/>
      <c r="Q271" s="94"/>
      <c r="R271" s="93"/>
      <c r="S271" s="85"/>
      <c r="U271" s="94"/>
      <c r="V271" s="93"/>
      <c r="W271" s="85"/>
      <c r="Y271" s="94"/>
      <c r="Z271" s="93"/>
      <c r="AA271" s="85"/>
      <c r="AC271" s="94"/>
      <c r="AD271" s="93"/>
      <c r="AE271" s="85"/>
    </row>
    <row r="272" spans="6:31" ht="14.5" customHeight="1" x14ac:dyDescent="0.35">
      <c r="F272" s="93"/>
      <c r="G272" s="85"/>
      <c r="H272" s="87"/>
      <c r="J272" s="93"/>
      <c r="K272" s="85"/>
      <c r="N272" s="93"/>
      <c r="O272" s="85"/>
      <c r="Q272" s="94"/>
      <c r="R272" s="93"/>
      <c r="S272" s="85"/>
      <c r="U272" s="94"/>
      <c r="V272" s="93"/>
      <c r="W272" s="85"/>
      <c r="Y272" s="94"/>
      <c r="Z272" s="93"/>
      <c r="AA272" s="85"/>
      <c r="AC272" s="94"/>
      <c r="AD272" s="93"/>
      <c r="AE272" s="85"/>
    </row>
    <row r="273" spans="6:31" ht="14.5" customHeight="1" x14ac:dyDescent="0.35">
      <c r="F273" s="93"/>
      <c r="G273" s="85"/>
      <c r="H273" s="87"/>
      <c r="J273" s="93"/>
      <c r="K273" s="85"/>
      <c r="N273" s="93"/>
      <c r="O273" s="85"/>
      <c r="Q273" s="94"/>
      <c r="R273" s="93"/>
      <c r="S273" s="85"/>
      <c r="U273" s="94"/>
      <c r="V273" s="93"/>
      <c r="W273" s="85"/>
      <c r="Y273" s="94"/>
      <c r="Z273" s="93"/>
      <c r="AA273" s="85"/>
      <c r="AC273" s="94"/>
      <c r="AD273" s="93"/>
      <c r="AE273" s="85"/>
    </row>
    <row r="274" spans="6:31" ht="14.5" customHeight="1" x14ac:dyDescent="0.35">
      <c r="F274" s="93"/>
      <c r="G274" s="85"/>
      <c r="H274" s="87"/>
      <c r="J274" s="93"/>
      <c r="K274" s="85"/>
      <c r="N274" s="93"/>
      <c r="O274" s="85"/>
      <c r="Q274" s="94"/>
      <c r="R274" s="93"/>
      <c r="S274" s="85"/>
      <c r="U274" s="94"/>
      <c r="V274" s="93"/>
      <c r="W274" s="85"/>
      <c r="Y274" s="94"/>
      <c r="Z274" s="93"/>
      <c r="AA274" s="85"/>
      <c r="AC274" s="94"/>
      <c r="AD274" s="93"/>
      <c r="AE274" s="85"/>
    </row>
    <row r="275" spans="6:31" ht="14.5" customHeight="1" x14ac:dyDescent="0.35">
      <c r="F275" s="93"/>
      <c r="G275" s="85"/>
      <c r="H275" s="87"/>
      <c r="J275" s="93"/>
      <c r="K275" s="85"/>
      <c r="N275" s="93"/>
      <c r="O275" s="85"/>
      <c r="Q275" s="94"/>
      <c r="R275" s="93"/>
      <c r="S275" s="85"/>
      <c r="U275" s="94"/>
      <c r="V275" s="93"/>
      <c r="W275" s="85"/>
      <c r="Y275" s="94"/>
      <c r="Z275" s="93"/>
      <c r="AA275" s="85"/>
      <c r="AC275" s="94"/>
      <c r="AD275" s="93"/>
      <c r="AE275" s="85"/>
    </row>
    <row r="276" spans="6:31" ht="14.5" customHeight="1" x14ac:dyDescent="0.35">
      <c r="F276" s="93"/>
      <c r="G276" s="85"/>
      <c r="H276" s="87"/>
      <c r="J276" s="93"/>
      <c r="K276" s="85"/>
      <c r="N276" s="93"/>
      <c r="O276" s="85"/>
      <c r="Q276" s="94"/>
      <c r="R276" s="93"/>
      <c r="S276" s="85"/>
      <c r="U276" s="94"/>
      <c r="V276" s="93"/>
      <c r="W276" s="85"/>
      <c r="Y276" s="94"/>
      <c r="Z276" s="93"/>
      <c r="AA276" s="85"/>
      <c r="AC276" s="94"/>
      <c r="AD276" s="93"/>
      <c r="AE276" s="85"/>
    </row>
    <row r="277" spans="6:31" ht="14.5" customHeight="1" x14ac:dyDescent="0.35">
      <c r="F277" s="93"/>
      <c r="G277" s="85"/>
      <c r="H277" s="87"/>
      <c r="J277" s="93"/>
      <c r="K277" s="85"/>
      <c r="N277" s="93"/>
      <c r="O277" s="85"/>
      <c r="Q277" s="94"/>
      <c r="R277" s="93"/>
      <c r="S277" s="85"/>
      <c r="U277" s="94"/>
      <c r="V277" s="93"/>
      <c r="W277" s="85"/>
      <c r="Y277" s="94"/>
      <c r="Z277" s="93"/>
      <c r="AA277" s="85"/>
      <c r="AC277" s="94"/>
      <c r="AD277" s="93"/>
      <c r="AE277" s="85"/>
    </row>
    <row r="278" spans="6:31" ht="14.5" customHeight="1" x14ac:dyDescent="0.35">
      <c r="F278" s="93"/>
      <c r="G278" s="85"/>
      <c r="H278" s="87"/>
      <c r="J278" s="93"/>
      <c r="K278" s="85"/>
      <c r="N278" s="93"/>
      <c r="O278" s="85"/>
      <c r="Q278" s="94"/>
      <c r="R278" s="93"/>
      <c r="S278" s="85"/>
      <c r="U278" s="94"/>
      <c r="V278" s="93"/>
      <c r="W278" s="85"/>
      <c r="Y278" s="94"/>
      <c r="Z278" s="93"/>
      <c r="AA278" s="85"/>
      <c r="AC278" s="94"/>
      <c r="AD278" s="93"/>
      <c r="AE278" s="85"/>
    </row>
    <row r="279" spans="6:31" ht="14.5" customHeight="1" x14ac:dyDescent="0.35">
      <c r="F279" s="93"/>
      <c r="G279" s="85"/>
      <c r="H279" s="87"/>
      <c r="J279" s="93"/>
      <c r="K279" s="85"/>
      <c r="N279" s="93"/>
      <c r="O279" s="85"/>
      <c r="Q279" s="94"/>
      <c r="R279" s="93"/>
      <c r="S279" s="85"/>
      <c r="U279" s="94"/>
      <c r="V279" s="93"/>
      <c r="W279" s="85"/>
      <c r="Y279" s="94"/>
      <c r="Z279" s="93"/>
      <c r="AA279" s="85"/>
      <c r="AC279" s="94"/>
      <c r="AD279" s="93"/>
      <c r="AE279" s="85"/>
    </row>
    <row r="280" spans="6:31" ht="14.5" customHeight="1" x14ac:dyDescent="0.35">
      <c r="F280" s="93"/>
      <c r="G280" s="85"/>
      <c r="H280" s="87"/>
      <c r="J280" s="93"/>
      <c r="K280" s="85"/>
      <c r="N280" s="93"/>
      <c r="O280" s="85"/>
      <c r="Q280" s="94"/>
      <c r="R280" s="93"/>
      <c r="S280" s="85"/>
      <c r="U280" s="94"/>
      <c r="V280" s="93"/>
      <c r="W280" s="85"/>
      <c r="Y280" s="94"/>
      <c r="Z280" s="93"/>
      <c r="AA280" s="85"/>
      <c r="AC280" s="94"/>
      <c r="AD280" s="93"/>
      <c r="AE280" s="85"/>
    </row>
    <row r="281" spans="6:31" ht="14.5" customHeight="1" x14ac:dyDescent="0.35">
      <c r="F281" s="93"/>
      <c r="G281" s="85"/>
      <c r="H281" s="87"/>
      <c r="J281" s="93"/>
      <c r="K281" s="85"/>
      <c r="N281" s="93"/>
      <c r="O281" s="85"/>
      <c r="Q281" s="94"/>
      <c r="R281" s="93"/>
      <c r="S281" s="85"/>
      <c r="U281" s="94"/>
      <c r="V281" s="93"/>
      <c r="W281" s="85"/>
      <c r="Y281" s="94"/>
      <c r="Z281" s="93"/>
      <c r="AA281" s="85"/>
      <c r="AC281" s="94"/>
      <c r="AD281" s="93"/>
      <c r="AE281" s="85"/>
    </row>
    <row r="282" spans="6:31" ht="14.5" customHeight="1" x14ac:dyDescent="0.35">
      <c r="F282" s="93"/>
      <c r="G282" s="85"/>
      <c r="H282" s="87"/>
      <c r="J282" s="93"/>
      <c r="K282" s="85"/>
      <c r="N282" s="93"/>
      <c r="O282" s="85"/>
      <c r="Q282" s="94"/>
      <c r="R282" s="93"/>
      <c r="S282" s="85"/>
      <c r="U282" s="94"/>
      <c r="V282" s="93"/>
      <c r="W282" s="85"/>
      <c r="Y282" s="94"/>
      <c r="Z282" s="93"/>
      <c r="AA282" s="85"/>
      <c r="AC282" s="94"/>
      <c r="AD282" s="93"/>
      <c r="AE282" s="85"/>
    </row>
    <row r="283" spans="6:31" ht="14.5" customHeight="1" x14ac:dyDescent="0.35">
      <c r="F283" s="93"/>
      <c r="G283" s="85"/>
      <c r="H283" s="87"/>
      <c r="J283" s="93"/>
      <c r="K283" s="85"/>
      <c r="N283" s="93"/>
      <c r="O283" s="85"/>
      <c r="Q283" s="94"/>
      <c r="R283" s="93"/>
      <c r="S283" s="85"/>
      <c r="U283" s="94"/>
      <c r="V283" s="93"/>
      <c r="W283" s="85"/>
      <c r="Y283" s="94"/>
      <c r="Z283" s="93"/>
      <c r="AA283" s="85"/>
      <c r="AC283" s="94"/>
      <c r="AD283" s="93"/>
      <c r="AE283" s="85"/>
    </row>
    <row r="284" spans="6:31" ht="14.5" customHeight="1" x14ac:dyDescent="0.35">
      <c r="F284" s="93"/>
      <c r="G284" s="85"/>
      <c r="H284" s="87"/>
      <c r="J284" s="93"/>
      <c r="K284" s="85"/>
      <c r="N284" s="93"/>
      <c r="O284" s="85"/>
      <c r="Q284" s="94"/>
      <c r="R284" s="93"/>
      <c r="S284" s="85"/>
      <c r="U284" s="94"/>
      <c r="V284" s="93"/>
      <c r="W284" s="85"/>
      <c r="Y284" s="94"/>
      <c r="Z284" s="93"/>
      <c r="AA284" s="85"/>
      <c r="AC284" s="94"/>
      <c r="AD284" s="93"/>
      <c r="AE284" s="85"/>
    </row>
    <row r="285" spans="6:31" ht="14.5" customHeight="1" x14ac:dyDescent="0.35">
      <c r="F285" s="93"/>
      <c r="G285" s="85"/>
      <c r="H285" s="87"/>
      <c r="J285" s="93"/>
      <c r="K285" s="85"/>
      <c r="N285" s="93"/>
      <c r="O285" s="85"/>
      <c r="Q285" s="94"/>
      <c r="R285" s="93"/>
      <c r="S285" s="85"/>
      <c r="U285" s="94"/>
      <c r="V285" s="93"/>
      <c r="W285" s="85"/>
      <c r="Y285" s="94"/>
      <c r="Z285" s="93"/>
      <c r="AA285" s="85"/>
      <c r="AC285" s="94"/>
      <c r="AD285" s="93"/>
      <c r="AE285" s="85"/>
    </row>
    <row r="286" spans="6:31" ht="14.5" customHeight="1" x14ac:dyDescent="0.35">
      <c r="F286" s="93"/>
      <c r="G286" s="85"/>
      <c r="H286" s="87"/>
      <c r="J286" s="93"/>
      <c r="K286" s="85"/>
      <c r="N286" s="93"/>
      <c r="O286" s="85"/>
      <c r="Q286" s="94"/>
      <c r="R286" s="93"/>
      <c r="S286" s="85"/>
      <c r="U286" s="94"/>
      <c r="V286" s="93"/>
      <c r="W286" s="85"/>
      <c r="Y286" s="94"/>
      <c r="Z286" s="93"/>
      <c r="AA286" s="85"/>
      <c r="AC286" s="94"/>
      <c r="AD286" s="93"/>
      <c r="AE286" s="85"/>
    </row>
    <row r="287" spans="6:31" ht="14.5" customHeight="1" x14ac:dyDescent="0.35">
      <c r="F287" s="93"/>
      <c r="G287" s="85"/>
      <c r="H287" s="87"/>
      <c r="J287" s="93"/>
      <c r="K287" s="85"/>
      <c r="N287" s="93"/>
      <c r="O287" s="85"/>
      <c r="Q287" s="94"/>
      <c r="R287" s="93"/>
      <c r="S287" s="85"/>
      <c r="U287" s="94"/>
      <c r="V287" s="93"/>
      <c r="W287" s="85"/>
      <c r="Y287" s="94"/>
      <c r="Z287" s="93"/>
      <c r="AA287" s="85"/>
      <c r="AC287" s="94"/>
      <c r="AD287" s="93"/>
      <c r="AE287" s="85"/>
    </row>
    <row r="288" spans="6:31" ht="14.5" customHeight="1" x14ac:dyDescent="0.35">
      <c r="F288" s="93"/>
      <c r="G288" s="85"/>
      <c r="H288" s="87"/>
      <c r="J288" s="93"/>
      <c r="K288" s="85"/>
      <c r="N288" s="93"/>
      <c r="O288" s="85"/>
      <c r="Q288" s="94"/>
      <c r="R288" s="93"/>
      <c r="S288" s="85"/>
      <c r="U288" s="94"/>
      <c r="V288" s="93"/>
      <c r="W288" s="85"/>
      <c r="Y288" s="94"/>
      <c r="Z288" s="93"/>
      <c r="AA288" s="85"/>
      <c r="AC288" s="94"/>
      <c r="AD288" s="93"/>
      <c r="AE288" s="85"/>
    </row>
    <row r="289" spans="6:31" ht="14.5" customHeight="1" x14ac:dyDescent="0.35">
      <c r="F289" s="93"/>
      <c r="G289" s="85"/>
      <c r="H289" s="87"/>
      <c r="J289" s="93"/>
      <c r="K289" s="85"/>
      <c r="N289" s="93"/>
      <c r="O289" s="85"/>
      <c r="Q289" s="94"/>
      <c r="R289" s="93"/>
      <c r="S289" s="85"/>
      <c r="U289" s="94"/>
      <c r="V289" s="93"/>
      <c r="W289" s="85"/>
      <c r="Y289" s="94"/>
      <c r="Z289" s="93"/>
      <c r="AA289" s="85"/>
      <c r="AC289" s="94"/>
      <c r="AD289" s="93"/>
      <c r="AE289" s="85"/>
    </row>
    <row r="290" spans="6:31" ht="14.5" customHeight="1" x14ac:dyDescent="0.35">
      <c r="F290" s="93"/>
      <c r="G290" s="85"/>
      <c r="H290" s="87"/>
      <c r="J290" s="93"/>
      <c r="K290" s="85"/>
      <c r="N290" s="93"/>
      <c r="O290" s="85"/>
      <c r="Q290" s="94"/>
      <c r="R290" s="93"/>
      <c r="S290" s="85"/>
      <c r="U290" s="94"/>
      <c r="V290" s="93"/>
      <c r="W290" s="85"/>
      <c r="Y290" s="94"/>
      <c r="Z290" s="93"/>
      <c r="AA290" s="85"/>
      <c r="AC290" s="94"/>
      <c r="AD290" s="93"/>
      <c r="AE290" s="85"/>
    </row>
    <row r="291" spans="6:31" ht="14.5" customHeight="1" x14ac:dyDescent="0.35">
      <c r="F291" s="93"/>
      <c r="G291" s="85"/>
      <c r="H291" s="87"/>
      <c r="J291" s="93"/>
      <c r="K291" s="85"/>
      <c r="N291" s="93"/>
      <c r="O291" s="85"/>
      <c r="Q291" s="94"/>
      <c r="R291" s="93"/>
      <c r="S291" s="85"/>
      <c r="U291" s="94"/>
      <c r="V291" s="93"/>
      <c r="W291" s="85"/>
      <c r="Y291" s="94"/>
      <c r="Z291" s="93"/>
      <c r="AA291" s="85"/>
      <c r="AC291" s="94"/>
      <c r="AD291" s="93"/>
      <c r="AE291" s="85"/>
    </row>
    <row r="292" spans="6:31" ht="14.5" customHeight="1" x14ac:dyDescent="0.35">
      <c r="F292" s="93"/>
      <c r="G292" s="85"/>
      <c r="H292" s="87"/>
      <c r="J292" s="93"/>
      <c r="K292" s="85"/>
      <c r="N292" s="93"/>
      <c r="O292" s="85"/>
      <c r="Q292" s="94"/>
      <c r="R292" s="93"/>
      <c r="S292" s="85"/>
      <c r="U292" s="94"/>
      <c r="V292" s="93"/>
      <c r="W292" s="85"/>
      <c r="Y292" s="94"/>
      <c r="Z292" s="93"/>
      <c r="AA292" s="85"/>
      <c r="AC292" s="94"/>
      <c r="AD292" s="93"/>
      <c r="AE292" s="85"/>
    </row>
    <row r="293" spans="6:31" ht="14.5" customHeight="1" x14ac:dyDescent="0.35">
      <c r="F293" s="93"/>
      <c r="G293" s="85"/>
      <c r="H293" s="87"/>
      <c r="J293" s="93"/>
      <c r="K293" s="85"/>
      <c r="N293" s="93"/>
      <c r="O293" s="85"/>
      <c r="Q293" s="94"/>
      <c r="R293" s="93"/>
      <c r="S293" s="85"/>
      <c r="U293" s="94"/>
      <c r="V293" s="93"/>
      <c r="W293" s="85"/>
      <c r="Y293" s="94"/>
      <c r="Z293" s="93"/>
      <c r="AA293" s="85"/>
      <c r="AC293" s="94"/>
      <c r="AD293" s="93"/>
      <c r="AE293" s="85"/>
    </row>
    <row r="294" spans="6:31" ht="14.5" customHeight="1" x14ac:dyDescent="0.35">
      <c r="F294" s="93"/>
      <c r="G294" s="85"/>
      <c r="H294" s="87"/>
      <c r="J294" s="93"/>
      <c r="K294" s="85"/>
      <c r="N294" s="93"/>
      <c r="O294" s="85"/>
      <c r="Q294" s="94"/>
      <c r="R294" s="93"/>
      <c r="S294" s="85"/>
      <c r="U294" s="94"/>
      <c r="V294" s="93"/>
      <c r="W294" s="85"/>
      <c r="Y294" s="94"/>
      <c r="Z294" s="93"/>
      <c r="AA294" s="85"/>
      <c r="AC294" s="94"/>
      <c r="AD294" s="93"/>
      <c r="AE294" s="85"/>
    </row>
    <row r="295" spans="6:31" ht="14.5" customHeight="1" x14ac:dyDescent="0.35">
      <c r="F295" s="93"/>
      <c r="G295" s="85"/>
      <c r="H295" s="87"/>
      <c r="J295" s="93"/>
      <c r="K295" s="85"/>
      <c r="N295" s="93"/>
      <c r="O295" s="85"/>
      <c r="Q295" s="94"/>
      <c r="R295" s="93"/>
      <c r="S295" s="85"/>
      <c r="U295" s="94"/>
      <c r="V295" s="93"/>
      <c r="W295" s="85"/>
      <c r="Y295" s="94"/>
      <c r="Z295" s="93"/>
      <c r="AA295" s="85"/>
      <c r="AC295" s="94"/>
      <c r="AD295" s="93"/>
      <c r="AE295" s="85"/>
    </row>
    <row r="296" spans="6:31" ht="14.5" customHeight="1" x14ac:dyDescent="0.35">
      <c r="F296" s="93"/>
      <c r="G296" s="85"/>
      <c r="H296" s="87"/>
      <c r="J296" s="93"/>
      <c r="K296" s="85"/>
      <c r="N296" s="93"/>
      <c r="O296" s="85"/>
      <c r="Q296" s="94"/>
      <c r="R296" s="93"/>
      <c r="S296" s="85"/>
      <c r="U296" s="94"/>
      <c r="V296" s="93"/>
      <c r="W296" s="85"/>
      <c r="Y296" s="94"/>
      <c r="Z296" s="93"/>
      <c r="AA296" s="85"/>
      <c r="AC296" s="94"/>
      <c r="AD296" s="93"/>
      <c r="AE296" s="85"/>
    </row>
    <row r="297" spans="6:31" ht="14.5" customHeight="1" x14ac:dyDescent="0.35">
      <c r="F297" s="93"/>
      <c r="G297" s="85"/>
      <c r="H297" s="87"/>
      <c r="J297" s="93"/>
      <c r="K297" s="85"/>
      <c r="N297" s="93"/>
      <c r="O297" s="85"/>
      <c r="Q297" s="94"/>
      <c r="R297" s="93"/>
      <c r="S297" s="85"/>
      <c r="U297" s="94"/>
      <c r="V297" s="93"/>
      <c r="W297" s="85"/>
      <c r="Y297" s="94"/>
      <c r="Z297" s="93"/>
      <c r="AA297" s="85"/>
      <c r="AC297" s="94"/>
      <c r="AD297" s="93"/>
      <c r="AE297" s="85"/>
    </row>
    <row r="298" spans="6:31" ht="14.5" customHeight="1" x14ac:dyDescent="0.35">
      <c r="F298" s="93"/>
      <c r="G298" s="85"/>
      <c r="H298" s="87"/>
      <c r="J298" s="93"/>
      <c r="K298" s="85"/>
      <c r="N298" s="93"/>
      <c r="O298" s="85"/>
      <c r="Q298" s="94"/>
      <c r="R298" s="93"/>
      <c r="S298" s="85"/>
      <c r="U298" s="94"/>
      <c r="V298" s="93"/>
      <c r="W298" s="85"/>
      <c r="Y298" s="94"/>
      <c r="Z298" s="93"/>
      <c r="AA298" s="85"/>
      <c r="AC298" s="94"/>
      <c r="AD298" s="93"/>
      <c r="AE298" s="85"/>
    </row>
    <row r="299" spans="6:31" ht="14.5" customHeight="1" x14ac:dyDescent="0.35">
      <c r="F299" s="93"/>
      <c r="G299" s="85"/>
      <c r="H299" s="87"/>
      <c r="J299" s="93"/>
      <c r="K299" s="85"/>
      <c r="N299" s="93"/>
      <c r="O299" s="85"/>
      <c r="Q299" s="94"/>
      <c r="R299" s="93"/>
      <c r="S299" s="85"/>
      <c r="U299" s="94"/>
      <c r="V299" s="93"/>
      <c r="W299" s="85"/>
      <c r="Y299" s="94"/>
      <c r="Z299" s="93"/>
      <c r="AA299" s="85"/>
      <c r="AC299" s="94"/>
      <c r="AD299" s="93"/>
      <c r="AE299" s="85"/>
    </row>
    <row r="300" spans="6:31" ht="14.5" customHeight="1" x14ac:dyDescent="0.35">
      <c r="F300" s="93"/>
      <c r="G300" s="85"/>
      <c r="H300" s="87"/>
      <c r="J300" s="93"/>
      <c r="K300" s="85"/>
      <c r="N300" s="93"/>
      <c r="O300" s="85"/>
      <c r="Q300" s="94"/>
      <c r="R300" s="93"/>
      <c r="S300" s="85"/>
      <c r="U300" s="94"/>
      <c r="V300" s="93"/>
      <c r="W300" s="85"/>
      <c r="Y300" s="94"/>
      <c r="Z300" s="93"/>
      <c r="AA300" s="85"/>
      <c r="AC300" s="94"/>
      <c r="AD300" s="93"/>
      <c r="AE300" s="85"/>
    </row>
    <row r="301" spans="6:31" ht="14.5" customHeight="1" x14ac:dyDescent="0.35">
      <c r="F301" s="93"/>
      <c r="G301" s="85"/>
      <c r="H301" s="87"/>
      <c r="J301" s="93"/>
      <c r="K301" s="85"/>
      <c r="N301" s="93"/>
      <c r="O301" s="85"/>
      <c r="Q301" s="94"/>
      <c r="R301" s="93"/>
      <c r="S301" s="85"/>
      <c r="U301" s="94"/>
      <c r="V301" s="93"/>
      <c r="W301" s="85"/>
      <c r="Y301" s="94"/>
      <c r="Z301" s="93"/>
      <c r="AA301" s="85"/>
      <c r="AC301" s="94"/>
      <c r="AD301" s="93"/>
      <c r="AE301" s="85"/>
    </row>
    <row r="302" spans="6:31" ht="14.5" customHeight="1" x14ac:dyDescent="0.35">
      <c r="F302" s="93"/>
      <c r="G302" s="85"/>
      <c r="H302" s="87"/>
      <c r="J302" s="93"/>
      <c r="K302" s="85"/>
      <c r="N302" s="93"/>
      <c r="O302" s="85"/>
      <c r="Q302" s="94"/>
      <c r="R302" s="93"/>
      <c r="S302" s="85"/>
      <c r="U302" s="94"/>
      <c r="V302" s="93"/>
      <c r="W302" s="85"/>
      <c r="Y302" s="94"/>
      <c r="Z302" s="93"/>
      <c r="AA302" s="85"/>
      <c r="AC302" s="94"/>
      <c r="AD302" s="93"/>
      <c r="AE302" s="85"/>
    </row>
    <row r="303" spans="6:31" ht="14.5" customHeight="1" x14ac:dyDescent="0.35">
      <c r="F303" s="93"/>
      <c r="G303" s="85"/>
      <c r="H303" s="87"/>
      <c r="J303" s="93"/>
      <c r="K303" s="85"/>
      <c r="N303" s="93"/>
      <c r="O303" s="85"/>
      <c r="Q303" s="94"/>
      <c r="R303" s="93"/>
      <c r="S303" s="85"/>
      <c r="U303" s="94"/>
      <c r="V303" s="93"/>
      <c r="W303" s="85"/>
      <c r="Y303" s="94"/>
      <c r="Z303" s="93"/>
      <c r="AA303" s="85"/>
      <c r="AC303" s="94"/>
      <c r="AD303" s="93"/>
      <c r="AE303" s="85"/>
    </row>
    <row r="304" spans="6:31" ht="14.5" customHeight="1" x14ac:dyDescent="0.35">
      <c r="F304" s="93"/>
      <c r="G304" s="85"/>
      <c r="H304" s="87"/>
      <c r="J304" s="93"/>
      <c r="K304" s="85"/>
      <c r="N304" s="93"/>
      <c r="O304" s="85"/>
      <c r="Q304" s="94"/>
      <c r="R304" s="93"/>
      <c r="S304" s="85"/>
      <c r="U304" s="94"/>
      <c r="V304" s="93"/>
      <c r="W304" s="85"/>
      <c r="Y304" s="94"/>
      <c r="Z304" s="93"/>
      <c r="AA304" s="85"/>
      <c r="AC304" s="94"/>
      <c r="AD304" s="93"/>
      <c r="AE304" s="85"/>
    </row>
    <row r="305" spans="6:31" ht="14.5" customHeight="1" x14ac:dyDescent="0.35">
      <c r="F305" s="93"/>
      <c r="G305" s="85"/>
      <c r="H305" s="87"/>
      <c r="J305" s="93"/>
      <c r="K305" s="85"/>
      <c r="N305" s="93"/>
      <c r="O305" s="85"/>
      <c r="Q305" s="94"/>
      <c r="R305" s="93"/>
      <c r="S305" s="85"/>
      <c r="U305" s="94"/>
      <c r="V305" s="93"/>
      <c r="W305" s="85"/>
      <c r="Y305" s="94"/>
      <c r="Z305" s="93"/>
      <c r="AA305" s="85"/>
      <c r="AC305" s="94"/>
      <c r="AD305" s="93"/>
      <c r="AE305" s="85"/>
    </row>
    <row r="306" spans="6:31" ht="14.5" customHeight="1" x14ac:dyDescent="0.35">
      <c r="F306" s="93"/>
      <c r="G306" s="85"/>
      <c r="H306" s="87"/>
      <c r="J306" s="93"/>
      <c r="K306" s="85"/>
      <c r="N306" s="93"/>
      <c r="O306" s="85"/>
      <c r="Q306" s="94"/>
      <c r="R306" s="93"/>
      <c r="S306" s="85"/>
      <c r="U306" s="94"/>
      <c r="V306" s="93"/>
      <c r="W306" s="85"/>
      <c r="Y306" s="94"/>
      <c r="Z306" s="93"/>
      <c r="AA306" s="85"/>
      <c r="AC306" s="94"/>
      <c r="AD306" s="93"/>
      <c r="AE306" s="85"/>
    </row>
    <row r="307" spans="6:31" ht="14.5" customHeight="1" x14ac:dyDescent="0.35">
      <c r="F307" s="93"/>
      <c r="G307" s="85"/>
      <c r="H307" s="87"/>
      <c r="J307" s="93"/>
      <c r="K307" s="85"/>
      <c r="N307" s="93"/>
      <c r="O307" s="85"/>
      <c r="Q307" s="94"/>
      <c r="R307" s="93"/>
      <c r="S307" s="85"/>
      <c r="U307" s="94"/>
      <c r="V307" s="93"/>
      <c r="W307" s="85"/>
      <c r="Y307" s="94"/>
      <c r="Z307" s="93"/>
      <c r="AA307" s="85"/>
      <c r="AC307" s="94"/>
      <c r="AD307" s="93"/>
      <c r="AE307" s="85"/>
    </row>
    <row r="308" spans="6:31" ht="14.5" customHeight="1" x14ac:dyDescent="0.35">
      <c r="F308" s="93"/>
      <c r="G308" s="85"/>
      <c r="H308" s="87"/>
      <c r="J308" s="93"/>
      <c r="K308" s="85"/>
      <c r="N308" s="93"/>
      <c r="O308" s="85"/>
      <c r="Q308" s="94"/>
      <c r="R308" s="93"/>
      <c r="S308" s="85"/>
      <c r="U308" s="94"/>
      <c r="V308" s="93"/>
      <c r="W308" s="85"/>
      <c r="Y308" s="94"/>
      <c r="Z308" s="93"/>
      <c r="AA308" s="85"/>
      <c r="AC308" s="94"/>
      <c r="AD308" s="93"/>
      <c r="AE308" s="85"/>
    </row>
    <row r="309" spans="6:31" ht="14.5" customHeight="1" x14ac:dyDescent="0.35">
      <c r="F309" s="93"/>
      <c r="G309" s="85"/>
      <c r="H309" s="87"/>
      <c r="J309" s="93"/>
      <c r="K309" s="85"/>
      <c r="N309" s="93"/>
      <c r="O309" s="85"/>
      <c r="Q309" s="94"/>
      <c r="R309" s="93"/>
      <c r="S309" s="85"/>
      <c r="U309" s="94"/>
      <c r="V309" s="93"/>
      <c r="W309" s="85"/>
      <c r="Y309" s="94"/>
      <c r="Z309" s="93"/>
      <c r="AA309" s="85"/>
      <c r="AC309" s="94"/>
      <c r="AD309" s="93"/>
      <c r="AE309" s="85"/>
    </row>
    <row r="310" spans="6:31" ht="14.5" customHeight="1" x14ac:dyDescent="0.35">
      <c r="F310" s="93"/>
      <c r="G310" s="85"/>
      <c r="H310" s="87"/>
      <c r="J310" s="93"/>
      <c r="K310" s="85"/>
      <c r="N310" s="93"/>
      <c r="O310" s="85"/>
      <c r="Q310" s="94"/>
      <c r="R310" s="93"/>
      <c r="S310" s="85"/>
      <c r="U310" s="94"/>
      <c r="V310" s="93"/>
      <c r="W310" s="85"/>
      <c r="Y310" s="94"/>
      <c r="Z310" s="93"/>
      <c r="AA310" s="85"/>
      <c r="AC310" s="94"/>
      <c r="AD310" s="93"/>
      <c r="AE310" s="85"/>
    </row>
    <row r="311" spans="6:31" ht="14.5" customHeight="1" x14ac:dyDescent="0.35">
      <c r="F311" s="93"/>
      <c r="G311" s="85"/>
      <c r="H311" s="87"/>
      <c r="J311" s="93"/>
      <c r="K311" s="85"/>
      <c r="N311" s="93"/>
      <c r="O311" s="85"/>
      <c r="Q311" s="94"/>
      <c r="R311" s="93"/>
      <c r="S311" s="85"/>
      <c r="U311" s="94"/>
      <c r="V311" s="93"/>
      <c r="W311" s="85"/>
      <c r="Y311" s="94"/>
      <c r="Z311" s="93"/>
      <c r="AA311" s="85"/>
      <c r="AC311" s="94"/>
      <c r="AD311" s="93"/>
      <c r="AE311" s="85"/>
    </row>
    <row r="312" spans="6:31" ht="14.5" customHeight="1" x14ac:dyDescent="0.35">
      <c r="F312" s="93"/>
      <c r="G312" s="85"/>
      <c r="H312" s="87"/>
      <c r="J312" s="93"/>
      <c r="K312" s="85"/>
      <c r="N312" s="93"/>
      <c r="O312" s="85"/>
      <c r="Q312" s="94"/>
      <c r="R312" s="93"/>
      <c r="S312" s="85"/>
      <c r="U312" s="94"/>
      <c r="V312" s="93"/>
      <c r="W312" s="85"/>
      <c r="Y312" s="94"/>
      <c r="Z312" s="93"/>
      <c r="AA312" s="85"/>
      <c r="AC312" s="94"/>
      <c r="AD312" s="93"/>
      <c r="AE312" s="85"/>
    </row>
    <row r="313" spans="6:31" ht="14.5" customHeight="1" x14ac:dyDescent="0.35">
      <c r="F313" s="93"/>
      <c r="G313" s="85"/>
      <c r="H313" s="87"/>
      <c r="J313" s="93"/>
      <c r="K313" s="85"/>
      <c r="N313" s="93"/>
      <c r="O313" s="85"/>
      <c r="Q313" s="94"/>
      <c r="R313" s="93"/>
      <c r="S313" s="85"/>
      <c r="U313" s="94"/>
      <c r="V313" s="93"/>
      <c r="W313" s="85"/>
      <c r="Y313" s="94"/>
      <c r="Z313" s="93"/>
      <c r="AA313" s="85"/>
      <c r="AC313" s="94"/>
      <c r="AD313" s="93"/>
      <c r="AE313" s="85"/>
    </row>
    <row r="314" spans="6:31" ht="14.5" customHeight="1" x14ac:dyDescent="0.35">
      <c r="F314" s="93"/>
      <c r="G314" s="85"/>
      <c r="H314" s="87"/>
      <c r="J314" s="93"/>
      <c r="K314" s="85"/>
      <c r="N314" s="93"/>
      <c r="O314" s="85"/>
      <c r="Q314" s="94"/>
      <c r="R314" s="93"/>
      <c r="S314" s="85"/>
      <c r="U314" s="94"/>
      <c r="V314" s="93"/>
      <c r="W314" s="85"/>
      <c r="Y314" s="94"/>
      <c r="Z314" s="93"/>
      <c r="AA314" s="85"/>
      <c r="AC314" s="94"/>
      <c r="AD314" s="93"/>
      <c r="AE314" s="85"/>
    </row>
    <row r="315" spans="6:31" ht="14.5" customHeight="1" x14ac:dyDescent="0.35">
      <c r="F315" s="93"/>
      <c r="G315" s="85"/>
      <c r="H315" s="87"/>
      <c r="J315" s="93"/>
      <c r="K315" s="85"/>
      <c r="N315" s="93"/>
      <c r="O315" s="85"/>
      <c r="Q315" s="94"/>
      <c r="R315" s="93"/>
      <c r="S315" s="85"/>
      <c r="U315" s="94"/>
      <c r="V315" s="93"/>
      <c r="W315" s="85"/>
      <c r="Y315" s="94"/>
      <c r="Z315" s="93"/>
      <c r="AA315" s="85"/>
      <c r="AC315" s="94"/>
      <c r="AD315" s="93"/>
      <c r="AE315" s="85"/>
    </row>
    <row r="316" spans="6:31" ht="14.5" customHeight="1" x14ac:dyDescent="0.35">
      <c r="F316" s="93"/>
      <c r="G316" s="85"/>
      <c r="H316" s="87"/>
      <c r="J316" s="93"/>
      <c r="K316" s="85"/>
      <c r="N316" s="93"/>
      <c r="O316" s="85"/>
      <c r="Q316" s="94"/>
      <c r="R316" s="93"/>
      <c r="S316" s="85"/>
      <c r="U316" s="94"/>
      <c r="V316" s="93"/>
      <c r="W316" s="85"/>
      <c r="Y316" s="94"/>
      <c r="Z316" s="93"/>
      <c r="AA316" s="85"/>
      <c r="AC316" s="94"/>
      <c r="AD316" s="93"/>
      <c r="AE316" s="85"/>
    </row>
    <row r="317" spans="6:31" ht="14.5" customHeight="1" x14ac:dyDescent="0.35">
      <c r="F317" s="93"/>
      <c r="G317" s="85"/>
      <c r="H317" s="87"/>
      <c r="J317" s="93"/>
      <c r="K317" s="85"/>
      <c r="N317" s="93"/>
      <c r="O317" s="85"/>
      <c r="Q317" s="94"/>
      <c r="R317" s="93"/>
      <c r="S317" s="85"/>
      <c r="U317" s="94"/>
      <c r="V317" s="93"/>
      <c r="W317" s="85"/>
      <c r="Y317" s="94"/>
      <c r="Z317" s="93"/>
      <c r="AA317" s="85"/>
      <c r="AC317" s="94"/>
      <c r="AD317" s="93"/>
      <c r="AE317" s="85"/>
    </row>
    <row r="318" spans="6:31" ht="14.5" customHeight="1" x14ac:dyDescent="0.35">
      <c r="F318" s="93"/>
      <c r="G318" s="85"/>
      <c r="H318" s="87"/>
      <c r="J318" s="93"/>
      <c r="K318" s="85"/>
      <c r="N318" s="93"/>
      <c r="O318" s="85"/>
      <c r="Q318" s="94"/>
      <c r="R318" s="93"/>
      <c r="S318" s="85"/>
      <c r="U318" s="94"/>
      <c r="V318" s="93"/>
      <c r="W318" s="85"/>
      <c r="Y318" s="94"/>
      <c r="Z318" s="93"/>
      <c r="AA318" s="85"/>
      <c r="AC318" s="94"/>
      <c r="AD318" s="93"/>
      <c r="AE318" s="85"/>
    </row>
    <row r="319" spans="6:31" ht="14.5" customHeight="1" x14ac:dyDescent="0.35">
      <c r="F319" s="93"/>
      <c r="G319" s="85"/>
      <c r="H319" s="87"/>
      <c r="J319" s="93"/>
      <c r="K319" s="85"/>
      <c r="N319" s="93"/>
      <c r="O319" s="85"/>
      <c r="Q319" s="94"/>
      <c r="R319" s="93"/>
      <c r="S319" s="85"/>
      <c r="U319" s="94"/>
      <c r="V319" s="93"/>
      <c r="W319" s="85"/>
      <c r="Y319" s="94"/>
      <c r="Z319" s="93"/>
      <c r="AA319" s="85"/>
      <c r="AC319" s="94"/>
      <c r="AD319" s="93"/>
      <c r="AE319" s="85"/>
    </row>
    <row r="320" spans="6:31" ht="14.5" customHeight="1" x14ac:dyDescent="0.35">
      <c r="F320" s="93"/>
      <c r="G320" s="85"/>
      <c r="H320" s="87"/>
      <c r="J320" s="93"/>
      <c r="K320" s="85"/>
      <c r="N320" s="93"/>
      <c r="O320" s="85"/>
      <c r="Q320" s="94"/>
      <c r="R320" s="93"/>
      <c r="S320" s="85"/>
      <c r="U320" s="94"/>
      <c r="V320" s="93"/>
      <c r="W320" s="85"/>
      <c r="Y320" s="94"/>
      <c r="Z320" s="93"/>
      <c r="AA320" s="85"/>
      <c r="AC320" s="94"/>
      <c r="AD320" s="93"/>
      <c r="AE320" s="85"/>
    </row>
    <row r="321" spans="6:31" ht="14.5" customHeight="1" x14ac:dyDescent="0.35">
      <c r="F321" s="93"/>
      <c r="G321" s="85"/>
      <c r="H321" s="87"/>
      <c r="J321" s="93"/>
      <c r="K321" s="85"/>
      <c r="N321" s="93"/>
      <c r="O321" s="85"/>
      <c r="Q321" s="94"/>
      <c r="R321" s="93"/>
      <c r="S321" s="85"/>
      <c r="U321" s="94"/>
      <c r="V321" s="93"/>
      <c r="W321" s="85"/>
      <c r="Y321" s="94"/>
      <c r="Z321" s="93"/>
      <c r="AA321" s="85"/>
      <c r="AC321" s="94"/>
      <c r="AD321" s="93"/>
      <c r="AE321" s="85"/>
    </row>
    <row r="322" spans="6:31" ht="14.5" customHeight="1" x14ac:dyDescent="0.35">
      <c r="F322" s="93"/>
      <c r="G322" s="85"/>
      <c r="H322" s="87"/>
      <c r="J322" s="93"/>
      <c r="K322" s="85"/>
      <c r="N322" s="93"/>
      <c r="O322" s="85"/>
      <c r="Q322" s="94"/>
      <c r="R322" s="93"/>
      <c r="S322" s="85"/>
      <c r="U322" s="94"/>
      <c r="V322" s="93"/>
      <c r="W322" s="85"/>
      <c r="Y322" s="94"/>
      <c r="Z322" s="93"/>
      <c r="AA322" s="85"/>
      <c r="AC322" s="94"/>
      <c r="AD322" s="93"/>
      <c r="AE322" s="85"/>
    </row>
    <row r="323" spans="6:31" ht="14.5" customHeight="1" x14ac:dyDescent="0.35">
      <c r="F323" s="93"/>
      <c r="G323" s="85"/>
      <c r="H323" s="87"/>
      <c r="J323" s="93"/>
      <c r="K323" s="85"/>
      <c r="N323" s="93"/>
      <c r="O323" s="85"/>
      <c r="Q323" s="94"/>
      <c r="R323" s="93"/>
      <c r="S323" s="85"/>
      <c r="U323" s="94"/>
      <c r="V323" s="93"/>
      <c r="W323" s="85"/>
      <c r="Y323" s="94"/>
      <c r="Z323" s="93"/>
      <c r="AA323" s="85"/>
      <c r="AC323" s="94"/>
      <c r="AD323" s="93"/>
      <c r="AE323" s="85"/>
    </row>
    <row r="324" spans="6:31" ht="14.5" customHeight="1" x14ac:dyDescent="0.35">
      <c r="F324" s="93"/>
      <c r="G324" s="85"/>
      <c r="H324" s="87"/>
      <c r="J324" s="93"/>
      <c r="K324" s="85"/>
      <c r="N324" s="93"/>
      <c r="O324" s="85"/>
      <c r="Q324" s="94"/>
      <c r="R324" s="93"/>
      <c r="S324" s="85"/>
      <c r="U324" s="94"/>
      <c r="V324" s="93"/>
      <c r="W324" s="85"/>
      <c r="Y324" s="94"/>
      <c r="Z324" s="93"/>
      <c r="AA324" s="85"/>
      <c r="AC324" s="94"/>
      <c r="AD324" s="93"/>
      <c r="AE324" s="85"/>
    </row>
    <row r="325" spans="6:31" ht="14.5" customHeight="1" x14ac:dyDescent="0.35">
      <c r="F325" s="93"/>
      <c r="G325" s="85"/>
      <c r="H325" s="87"/>
      <c r="J325" s="93"/>
      <c r="K325" s="85"/>
      <c r="N325" s="93"/>
      <c r="O325" s="85"/>
      <c r="Q325" s="94"/>
      <c r="R325" s="93"/>
      <c r="S325" s="85"/>
      <c r="U325" s="94"/>
      <c r="V325" s="93"/>
      <c r="W325" s="85"/>
      <c r="Y325" s="94"/>
      <c r="Z325" s="93"/>
      <c r="AA325" s="85"/>
      <c r="AC325" s="94"/>
      <c r="AD325" s="93"/>
      <c r="AE325" s="85"/>
    </row>
    <row r="326" spans="6:31" ht="14.5" customHeight="1" x14ac:dyDescent="0.35">
      <c r="F326" s="93"/>
      <c r="G326" s="85"/>
      <c r="H326" s="87"/>
      <c r="J326" s="93"/>
      <c r="K326" s="85"/>
      <c r="N326" s="93"/>
      <c r="O326" s="85"/>
      <c r="Q326" s="94"/>
      <c r="R326" s="93"/>
      <c r="S326" s="85"/>
      <c r="U326" s="94"/>
      <c r="V326" s="93"/>
      <c r="W326" s="85"/>
      <c r="Y326" s="94"/>
      <c r="Z326" s="93"/>
      <c r="AA326" s="85"/>
      <c r="AC326" s="94"/>
      <c r="AD326" s="93"/>
      <c r="AE326" s="85"/>
    </row>
    <row r="327" spans="6:31" ht="14.5" customHeight="1" x14ac:dyDescent="0.35">
      <c r="F327" s="93"/>
      <c r="G327" s="85"/>
      <c r="H327" s="87"/>
      <c r="J327" s="93"/>
      <c r="K327" s="85"/>
      <c r="N327" s="93"/>
      <c r="O327" s="85"/>
      <c r="Q327" s="94"/>
      <c r="R327" s="93"/>
      <c r="S327" s="85"/>
      <c r="U327" s="94"/>
      <c r="V327" s="93"/>
      <c r="W327" s="85"/>
      <c r="Y327" s="94"/>
      <c r="Z327" s="93"/>
      <c r="AA327" s="85"/>
      <c r="AC327" s="94"/>
      <c r="AD327" s="93"/>
      <c r="AE327" s="85"/>
    </row>
    <row r="328" spans="6:31" ht="14.5" customHeight="1" x14ac:dyDescent="0.35">
      <c r="F328" s="93"/>
      <c r="G328" s="85"/>
      <c r="H328" s="87"/>
      <c r="J328" s="93"/>
      <c r="K328" s="85"/>
      <c r="N328" s="93"/>
      <c r="O328" s="85"/>
      <c r="Q328" s="94"/>
      <c r="R328" s="93"/>
      <c r="S328" s="85"/>
      <c r="U328" s="94"/>
      <c r="V328" s="93"/>
      <c r="W328" s="85"/>
      <c r="Y328" s="94"/>
      <c r="Z328" s="93"/>
      <c r="AA328" s="85"/>
      <c r="AC328" s="94"/>
      <c r="AD328" s="93"/>
      <c r="AE328" s="85"/>
    </row>
    <row r="329" spans="6:31" ht="14.5" customHeight="1" x14ac:dyDescent="0.35">
      <c r="F329" s="93"/>
      <c r="G329" s="85"/>
      <c r="H329" s="87"/>
      <c r="J329" s="93"/>
      <c r="K329" s="85"/>
      <c r="N329" s="93"/>
      <c r="O329" s="85"/>
      <c r="Q329" s="94"/>
      <c r="R329" s="93"/>
      <c r="S329" s="85"/>
      <c r="U329" s="94"/>
      <c r="V329" s="93"/>
      <c r="W329" s="85"/>
      <c r="Y329" s="94"/>
      <c r="Z329" s="93"/>
      <c r="AA329" s="85"/>
      <c r="AC329" s="94"/>
      <c r="AD329" s="93"/>
      <c r="AE329" s="85"/>
    </row>
    <row r="330" spans="6:31" ht="14.5" customHeight="1" x14ac:dyDescent="0.35">
      <c r="F330" s="93"/>
      <c r="G330" s="85"/>
      <c r="H330" s="87"/>
      <c r="J330" s="93"/>
      <c r="K330" s="85"/>
      <c r="N330" s="93"/>
      <c r="O330" s="85"/>
      <c r="Q330" s="94"/>
      <c r="R330" s="93"/>
      <c r="S330" s="85"/>
      <c r="U330" s="94"/>
      <c r="V330" s="93"/>
      <c r="W330" s="85"/>
      <c r="Y330" s="94"/>
      <c r="Z330" s="93"/>
      <c r="AA330" s="85"/>
      <c r="AC330" s="94"/>
      <c r="AD330" s="93"/>
      <c r="AE330" s="85"/>
    </row>
    <row r="331" spans="6:31" ht="14.5" customHeight="1" x14ac:dyDescent="0.35">
      <c r="F331" s="93"/>
      <c r="G331" s="85"/>
      <c r="H331" s="87"/>
      <c r="J331" s="93"/>
      <c r="K331" s="85"/>
      <c r="N331" s="93"/>
      <c r="O331" s="85"/>
      <c r="Q331" s="94"/>
      <c r="R331" s="93"/>
      <c r="S331" s="85"/>
      <c r="U331" s="94"/>
      <c r="V331" s="93"/>
      <c r="W331" s="85"/>
      <c r="Y331" s="94"/>
      <c r="Z331" s="93"/>
      <c r="AA331" s="85"/>
      <c r="AC331" s="94"/>
      <c r="AD331" s="93"/>
      <c r="AE331" s="85"/>
    </row>
    <row r="332" spans="6:31" ht="14.5" customHeight="1" x14ac:dyDescent="0.35">
      <c r="F332" s="93"/>
      <c r="G332" s="85"/>
      <c r="H332" s="87"/>
      <c r="J332" s="93"/>
      <c r="K332" s="85"/>
      <c r="N332" s="93"/>
      <c r="O332" s="85"/>
      <c r="Q332" s="94"/>
      <c r="R332" s="93"/>
      <c r="S332" s="85"/>
      <c r="U332" s="94"/>
      <c r="V332" s="93"/>
      <c r="W332" s="85"/>
      <c r="Y332" s="94"/>
      <c r="Z332" s="93"/>
      <c r="AA332" s="85"/>
      <c r="AC332" s="94"/>
      <c r="AD332" s="93"/>
      <c r="AE332" s="85"/>
    </row>
    <row r="333" spans="6:31" ht="14.5" customHeight="1" x14ac:dyDescent="0.35">
      <c r="F333" s="93"/>
      <c r="G333" s="85"/>
      <c r="H333" s="87"/>
      <c r="J333" s="93"/>
      <c r="K333" s="85"/>
      <c r="N333" s="93"/>
      <c r="O333" s="85"/>
      <c r="Q333" s="94"/>
      <c r="R333" s="93"/>
      <c r="S333" s="85"/>
      <c r="U333" s="94"/>
      <c r="V333" s="93"/>
      <c r="W333" s="85"/>
      <c r="Y333" s="94"/>
      <c r="Z333" s="93"/>
      <c r="AA333" s="85"/>
      <c r="AC333" s="94"/>
      <c r="AD333" s="93"/>
      <c r="AE333" s="85"/>
    </row>
    <row r="334" spans="6:31" ht="14.5" customHeight="1" x14ac:dyDescent="0.35">
      <c r="F334" s="93"/>
      <c r="G334" s="85"/>
      <c r="H334" s="87"/>
      <c r="J334" s="93"/>
      <c r="K334" s="85"/>
      <c r="N334" s="93"/>
      <c r="O334" s="85"/>
      <c r="Q334" s="94"/>
      <c r="R334" s="93"/>
      <c r="S334" s="85"/>
      <c r="U334" s="94"/>
      <c r="V334" s="93"/>
      <c r="W334" s="85"/>
      <c r="Y334" s="94"/>
      <c r="Z334" s="93"/>
      <c r="AA334" s="85"/>
      <c r="AC334" s="94"/>
      <c r="AD334" s="93"/>
      <c r="AE334" s="85"/>
    </row>
    <row r="335" spans="6:31" ht="14.5" customHeight="1" x14ac:dyDescent="0.35">
      <c r="F335" s="93"/>
      <c r="G335" s="85"/>
      <c r="H335" s="87"/>
      <c r="J335" s="93"/>
      <c r="K335" s="85"/>
      <c r="N335" s="93"/>
      <c r="O335" s="85"/>
      <c r="Q335" s="94"/>
      <c r="R335" s="93"/>
      <c r="S335" s="85"/>
      <c r="U335" s="94"/>
      <c r="V335" s="93"/>
      <c r="W335" s="85"/>
      <c r="Y335" s="94"/>
      <c r="Z335" s="93"/>
      <c r="AA335" s="85"/>
      <c r="AC335" s="94"/>
      <c r="AD335" s="93"/>
      <c r="AE335" s="85"/>
    </row>
    <row r="336" spans="6:31" ht="14.5" customHeight="1" x14ac:dyDescent="0.35">
      <c r="F336" s="93"/>
      <c r="G336" s="85"/>
      <c r="H336" s="87"/>
      <c r="J336" s="93"/>
      <c r="K336" s="85"/>
      <c r="N336" s="93"/>
      <c r="O336" s="85"/>
      <c r="Q336" s="94"/>
      <c r="R336" s="93"/>
      <c r="S336" s="85"/>
      <c r="U336" s="94"/>
      <c r="V336" s="93"/>
      <c r="W336" s="85"/>
      <c r="Y336" s="94"/>
      <c r="Z336" s="93"/>
      <c r="AA336" s="85"/>
      <c r="AC336" s="94"/>
      <c r="AD336" s="93"/>
      <c r="AE336" s="85"/>
    </row>
    <row r="337" spans="6:31" ht="14.5" customHeight="1" x14ac:dyDescent="0.35">
      <c r="F337" s="93"/>
      <c r="G337" s="85"/>
      <c r="H337" s="87"/>
      <c r="J337" s="93"/>
      <c r="K337" s="85"/>
      <c r="N337" s="93"/>
      <c r="O337" s="85"/>
      <c r="Q337" s="94"/>
      <c r="R337" s="93"/>
      <c r="S337" s="85"/>
      <c r="U337" s="94"/>
      <c r="V337" s="93"/>
      <c r="W337" s="85"/>
      <c r="Y337" s="94"/>
      <c r="Z337" s="93"/>
      <c r="AA337" s="85"/>
      <c r="AC337" s="94"/>
      <c r="AD337" s="93"/>
      <c r="AE337" s="85"/>
    </row>
    <row r="338" spans="6:31" ht="14.5" customHeight="1" x14ac:dyDescent="0.35">
      <c r="F338" s="93"/>
      <c r="G338" s="85"/>
      <c r="H338" s="87"/>
      <c r="J338" s="93"/>
      <c r="K338" s="85"/>
      <c r="N338" s="93"/>
      <c r="O338" s="85"/>
      <c r="Q338" s="94"/>
      <c r="R338" s="93"/>
      <c r="S338" s="85"/>
      <c r="U338" s="94"/>
      <c r="V338" s="93"/>
      <c r="W338" s="85"/>
      <c r="Y338" s="94"/>
      <c r="Z338" s="93"/>
      <c r="AA338" s="85"/>
      <c r="AC338" s="94"/>
      <c r="AD338" s="93"/>
      <c r="AE338" s="85"/>
    </row>
    <row r="339" spans="6:31" ht="14.5" customHeight="1" x14ac:dyDescent="0.35">
      <c r="F339" s="93"/>
      <c r="G339" s="85"/>
      <c r="H339" s="87"/>
      <c r="J339" s="93"/>
      <c r="K339" s="85"/>
      <c r="N339" s="93"/>
      <c r="O339" s="85"/>
      <c r="Q339" s="94"/>
      <c r="R339" s="93"/>
      <c r="S339" s="85"/>
      <c r="U339" s="94"/>
      <c r="V339" s="93"/>
      <c r="W339" s="85"/>
      <c r="Y339" s="94"/>
      <c r="Z339" s="93"/>
      <c r="AA339" s="85"/>
      <c r="AC339" s="94"/>
      <c r="AD339" s="93"/>
      <c r="AE339" s="85"/>
    </row>
    <row r="340" spans="6:31" ht="14.5" customHeight="1" x14ac:dyDescent="0.35">
      <c r="F340" s="93"/>
      <c r="G340" s="85"/>
      <c r="H340" s="87"/>
      <c r="J340" s="93"/>
      <c r="K340" s="85"/>
      <c r="N340" s="93"/>
      <c r="O340" s="85"/>
      <c r="Q340" s="94"/>
      <c r="R340" s="93"/>
      <c r="S340" s="85"/>
      <c r="U340" s="94"/>
      <c r="V340" s="93"/>
      <c r="W340" s="85"/>
      <c r="Y340" s="94"/>
      <c r="Z340" s="93"/>
      <c r="AA340" s="85"/>
      <c r="AC340" s="94"/>
      <c r="AD340" s="93"/>
      <c r="AE340" s="85"/>
    </row>
    <row r="341" spans="6:31" ht="14.5" customHeight="1" x14ac:dyDescent="0.35">
      <c r="F341" s="93"/>
      <c r="G341" s="85"/>
      <c r="H341" s="87"/>
      <c r="J341" s="93"/>
      <c r="K341" s="85"/>
      <c r="N341" s="93"/>
      <c r="O341" s="85"/>
      <c r="Q341" s="94"/>
      <c r="R341" s="93"/>
      <c r="S341" s="85"/>
      <c r="U341" s="94"/>
      <c r="V341" s="93"/>
      <c r="W341" s="85"/>
      <c r="Y341" s="94"/>
      <c r="Z341" s="93"/>
      <c r="AA341" s="85"/>
      <c r="AC341" s="94"/>
      <c r="AD341" s="93"/>
      <c r="AE341" s="85"/>
    </row>
    <row r="342" spans="6:31" ht="14.5" customHeight="1" x14ac:dyDescent="0.35">
      <c r="F342" s="93"/>
      <c r="G342" s="85"/>
      <c r="H342" s="87"/>
      <c r="J342" s="93"/>
      <c r="K342" s="85"/>
      <c r="N342" s="93"/>
      <c r="O342" s="85"/>
      <c r="Q342" s="94"/>
      <c r="R342" s="93"/>
      <c r="S342" s="85"/>
      <c r="U342" s="94"/>
      <c r="V342" s="93"/>
      <c r="W342" s="85"/>
      <c r="Y342" s="94"/>
      <c r="Z342" s="93"/>
      <c r="AA342" s="85"/>
      <c r="AC342" s="94"/>
      <c r="AD342" s="93"/>
      <c r="AE342" s="85"/>
    </row>
    <row r="343" spans="6:31" ht="14.5" customHeight="1" x14ac:dyDescent="0.35">
      <c r="F343" s="93"/>
      <c r="G343" s="85"/>
      <c r="H343" s="87"/>
      <c r="J343" s="93"/>
      <c r="K343" s="85"/>
      <c r="N343" s="93"/>
      <c r="O343" s="85"/>
      <c r="Q343" s="94"/>
      <c r="R343" s="93"/>
      <c r="S343" s="85"/>
      <c r="U343" s="94"/>
      <c r="V343" s="93"/>
      <c r="W343" s="85"/>
      <c r="Y343" s="94"/>
      <c r="Z343" s="93"/>
      <c r="AA343" s="85"/>
      <c r="AC343" s="94"/>
      <c r="AD343" s="93"/>
      <c r="AE343" s="85"/>
    </row>
    <row r="344" spans="6:31" ht="14.5" customHeight="1" x14ac:dyDescent="0.35">
      <c r="F344" s="93"/>
      <c r="G344" s="85"/>
      <c r="H344" s="87"/>
      <c r="J344" s="93"/>
      <c r="K344" s="85"/>
      <c r="N344" s="93"/>
      <c r="O344" s="85"/>
      <c r="Q344" s="94"/>
      <c r="R344" s="93"/>
      <c r="S344" s="85"/>
      <c r="U344" s="94"/>
      <c r="V344" s="93"/>
      <c r="W344" s="85"/>
      <c r="Y344" s="94"/>
      <c r="Z344" s="93"/>
      <c r="AA344" s="85"/>
      <c r="AC344" s="94"/>
      <c r="AD344" s="93"/>
      <c r="AE344" s="85"/>
    </row>
    <row r="345" spans="6:31" ht="14.5" customHeight="1" x14ac:dyDescent="0.35">
      <c r="F345" s="93"/>
      <c r="G345" s="85"/>
      <c r="H345" s="87"/>
      <c r="J345" s="93"/>
      <c r="K345" s="85"/>
      <c r="N345" s="93"/>
      <c r="O345" s="85"/>
      <c r="Q345" s="94"/>
      <c r="R345" s="93"/>
      <c r="S345" s="85"/>
      <c r="U345" s="94"/>
      <c r="V345" s="93"/>
      <c r="W345" s="85"/>
      <c r="Y345" s="94"/>
      <c r="Z345" s="93"/>
      <c r="AA345" s="85"/>
      <c r="AC345" s="94"/>
      <c r="AD345" s="93"/>
      <c r="AE345" s="85"/>
    </row>
    <row r="346" spans="6:31" ht="14.5" customHeight="1" x14ac:dyDescent="0.35">
      <c r="F346" s="93"/>
      <c r="G346" s="85"/>
      <c r="H346" s="87"/>
      <c r="J346" s="93"/>
      <c r="K346" s="85"/>
      <c r="N346" s="93"/>
      <c r="O346" s="85"/>
      <c r="Q346" s="94"/>
      <c r="R346" s="93"/>
      <c r="S346" s="85"/>
      <c r="U346" s="94"/>
      <c r="V346" s="93"/>
      <c r="W346" s="85"/>
      <c r="Y346" s="94"/>
      <c r="Z346" s="93"/>
      <c r="AA346" s="85"/>
      <c r="AC346" s="94"/>
      <c r="AD346" s="93"/>
      <c r="AE346" s="85"/>
    </row>
    <row r="347" spans="6:31" ht="14.5" customHeight="1" x14ac:dyDescent="0.35">
      <c r="F347" s="93"/>
      <c r="G347" s="85"/>
      <c r="H347" s="87"/>
      <c r="J347" s="93"/>
      <c r="K347" s="85"/>
      <c r="N347" s="93"/>
      <c r="O347" s="85"/>
      <c r="Q347" s="94"/>
      <c r="R347" s="93"/>
      <c r="S347" s="85"/>
      <c r="U347" s="94"/>
      <c r="V347" s="93"/>
      <c r="W347" s="85"/>
      <c r="Y347" s="94"/>
      <c r="Z347" s="93"/>
      <c r="AA347" s="85"/>
      <c r="AC347" s="94"/>
      <c r="AD347" s="93"/>
      <c r="AE347" s="85"/>
    </row>
    <row r="348" spans="6:31" ht="14.5" customHeight="1" x14ac:dyDescent="0.35">
      <c r="F348" s="93"/>
      <c r="G348" s="85"/>
      <c r="H348" s="87"/>
      <c r="J348" s="93"/>
      <c r="K348" s="85"/>
      <c r="N348" s="93"/>
      <c r="O348" s="85"/>
      <c r="Q348" s="94"/>
      <c r="R348" s="93"/>
      <c r="S348" s="85"/>
      <c r="U348" s="94"/>
      <c r="V348" s="93"/>
      <c r="W348" s="85"/>
      <c r="Y348" s="94"/>
      <c r="Z348" s="93"/>
      <c r="AA348" s="85"/>
      <c r="AC348" s="94"/>
      <c r="AD348" s="93"/>
      <c r="AE348" s="85"/>
    </row>
    <row r="349" spans="6:31" ht="14.5" customHeight="1" x14ac:dyDescent="0.35">
      <c r="F349" s="93"/>
      <c r="G349" s="85"/>
      <c r="H349" s="87"/>
      <c r="J349" s="93"/>
      <c r="K349" s="85"/>
      <c r="N349" s="93"/>
      <c r="O349" s="85"/>
      <c r="Q349" s="94"/>
      <c r="R349" s="93"/>
      <c r="S349" s="85"/>
      <c r="U349" s="94"/>
      <c r="V349" s="93"/>
      <c r="W349" s="85"/>
      <c r="Y349" s="94"/>
      <c r="Z349" s="93"/>
      <c r="AA349" s="85"/>
      <c r="AC349" s="94"/>
      <c r="AD349" s="93"/>
      <c r="AE349" s="85"/>
    </row>
    <row r="350" spans="6:31" ht="14.5" customHeight="1" x14ac:dyDescent="0.35">
      <c r="F350" s="93"/>
      <c r="G350" s="85"/>
      <c r="H350" s="87"/>
      <c r="J350" s="93"/>
      <c r="K350" s="85"/>
      <c r="N350" s="93"/>
      <c r="O350" s="85"/>
      <c r="Q350" s="94"/>
      <c r="R350" s="93"/>
      <c r="S350" s="85"/>
      <c r="U350" s="94"/>
      <c r="V350" s="93"/>
      <c r="W350" s="85"/>
      <c r="Y350" s="94"/>
      <c r="Z350" s="93"/>
      <c r="AA350" s="85"/>
      <c r="AC350" s="94"/>
      <c r="AD350" s="93"/>
      <c r="AE350" s="85"/>
    </row>
    <row r="351" spans="6:31" ht="14.5" customHeight="1" x14ac:dyDescent="0.35">
      <c r="F351" s="93"/>
      <c r="G351" s="85"/>
      <c r="H351" s="87"/>
      <c r="J351" s="93"/>
      <c r="K351" s="85"/>
      <c r="N351" s="93"/>
      <c r="O351" s="85"/>
      <c r="Q351" s="94"/>
      <c r="R351" s="93"/>
      <c r="S351" s="85"/>
      <c r="U351" s="94"/>
      <c r="V351" s="93"/>
      <c r="W351" s="85"/>
      <c r="Y351" s="94"/>
      <c r="Z351" s="93"/>
      <c r="AA351" s="85"/>
      <c r="AC351" s="94"/>
      <c r="AD351" s="93"/>
      <c r="AE351" s="85"/>
    </row>
    <row r="352" spans="6:31" ht="14.5" customHeight="1" x14ac:dyDescent="0.35">
      <c r="F352" s="93"/>
      <c r="G352" s="85"/>
      <c r="H352" s="87"/>
      <c r="J352" s="93"/>
      <c r="K352" s="85"/>
      <c r="N352" s="93"/>
      <c r="O352" s="85"/>
      <c r="Q352" s="94"/>
      <c r="R352" s="93"/>
      <c r="S352" s="85"/>
      <c r="U352" s="94"/>
      <c r="V352" s="93"/>
      <c r="W352" s="85"/>
      <c r="Y352" s="94"/>
      <c r="Z352" s="93"/>
      <c r="AA352" s="85"/>
      <c r="AC352" s="94"/>
      <c r="AD352" s="93"/>
      <c r="AE352" s="85"/>
    </row>
    <row r="353" spans="6:31" ht="14.5" customHeight="1" x14ac:dyDescent="0.35">
      <c r="F353" s="93"/>
      <c r="G353" s="85"/>
      <c r="H353" s="87"/>
      <c r="J353" s="93"/>
      <c r="K353" s="85"/>
      <c r="N353" s="93"/>
      <c r="O353" s="85"/>
      <c r="Q353" s="94"/>
      <c r="R353" s="93"/>
      <c r="S353" s="85"/>
      <c r="U353" s="94"/>
      <c r="V353" s="93"/>
      <c r="W353" s="85"/>
      <c r="Y353" s="94"/>
      <c r="Z353" s="93"/>
      <c r="AA353" s="85"/>
      <c r="AC353" s="94"/>
      <c r="AD353" s="93"/>
      <c r="AE353" s="85"/>
    </row>
    <row r="354" spans="6:31" ht="14.5" customHeight="1" x14ac:dyDescent="0.35">
      <c r="F354" s="93"/>
      <c r="G354" s="85"/>
      <c r="H354" s="87"/>
      <c r="J354" s="93"/>
      <c r="K354" s="85"/>
      <c r="N354" s="93"/>
      <c r="O354" s="85"/>
      <c r="Q354" s="94"/>
      <c r="R354" s="93"/>
      <c r="S354" s="85"/>
      <c r="U354" s="94"/>
      <c r="V354" s="93"/>
      <c r="W354" s="85"/>
      <c r="Y354" s="94"/>
      <c r="Z354" s="93"/>
      <c r="AA354" s="85"/>
      <c r="AC354" s="94"/>
      <c r="AD354" s="93"/>
      <c r="AE354" s="85"/>
    </row>
    <row r="355" spans="6:31" ht="14.5" customHeight="1" x14ac:dyDescent="0.35">
      <c r="F355" s="93"/>
      <c r="G355" s="85"/>
      <c r="H355" s="87"/>
      <c r="J355" s="93"/>
      <c r="K355" s="85"/>
      <c r="N355" s="93"/>
      <c r="O355" s="85"/>
      <c r="Q355" s="94"/>
      <c r="R355" s="93"/>
      <c r="S355" s="85"/>
      <c r="U355" s="94"/>
      <c r="V355" s="93"/>
      <c r="W355" s="85"/>
      <c r="Y355" s="94"/>
      <c r="Z355" s="93"/>
      <c r="AA355" s="85"/>
      <c r="AC355" s="94"/>
      <c r="AD355" s="93"/>
      <c r="AE355" s="85"/>
    </row>
    <row r="356" spans="6:31" ht="14.5" customHeight="1" x14ac:dyDescent="0.35">
      <c r="F356" s="93"/>
      <c r="G356" s="85"/>
      <c r="H356" s="87"/>
      <c r="J356" s="93"/>
      <c r="K356" s="85"/>
      <c r="N356" s="93"/>
      <c r="O356" s="85"/>
      <c r="Q356" s="94"/>
      <c r="R356" s="93"/>
      <c r="S356" s="85"/>
      <c r="U356" s="94"/>
      <c r="V356" s="93"/>
      <c r="W356" s="85"/>
      <c r="Y356" s="94"/>
      <c r="Z356" s="93"/>
      <c r="AA356" s="85"/>
      <c r="AC356" s="94"/>
      <c r="AD356" s="93"/>
      <c r="AE356" s="85"/>
    </row>
    <row r="357" spans="6:31" ht="14.5" customHeight="1" x14ac:dyDescent="0.35">
      <c r="F357" s="93"/>
      <c r="G357" s="85"/>
      <c r="H357" s="87"/>
      <c r="J357" s="93"/>
      <c r="K357" s="85"/>
      <c r="N357" s="93"/>
      <c r="O357" s="85"/>
      <c r="Q357" s="94"/>
      <c r="R357" s="93"/>
      <c r="S357" s="85"/>
      <c r="U357" s="94"/>
      <c r="V357" s="93"/>
      <c r="W357" s="85"/>
      <c r="Y357" s="94"/>
      <c r="Z357" s="93"/>
      <c r="AA357" s="85"/>
      <c r="AC357" s="94"/>
      <c r="AD357" s="93"/>
      <c r="AE357" s="85"/>
    </row>
    <row r="358" spans="6:31" ht="14.5" customHeight="1" x14ac:dyDescent="0.35">
      <c r="F358" s="93"/>
      <c r="G358" s="85"/>
      <c r="H358" s="87"/>
      <c r="J358" s="93"/>
      <c r="K358" s="85"/>
      <c r="N358" s="93"/>
      <c r="O358" s="85"/>
      <c r="Q358" s="94"/>
      <c r="R358" s="93"/>
      <c r="S358" s="85"/>
      <c r="U358" s="94"/>
      <c r="V358" s="93"/>
      <c r="W358" s="85"/>
      <c r="Y358" s="94"/>
      <c r="Z358" s="93"/>
      <c r="AA358" s="85"/>
      <c r="AC358" s="94"/>
      <c r="AD358" s="93"/>
      <c r="AE358" s="85"/>
    </row>
    <row r="359" spans="6:31" ht="14.5" customHeight="1" x14ac:dyDescent="0.35">
      <c r="F359" s="93"/>
      <c r="G359" s="85"/>
      <c r="H359" s="87"/>
      <c r="J359" s="93"/>
      <c r="K359" s="85"/>
      <c r="N359" s="93"/>
      <c r="O359" s="85"/>
      <c r="Q359" s="94"/>
      <c r="R359" s="93"/>
      <c r="S359" s="85"/>
      <c r="U359" s="94"/>
      <c r="V359" s="93"/>
      <c r="W359" s="85"/>
      <c r="Y359" s="94"/>
      <c r="Z359" s="93"/>
      <c r="AA359" s="85"/>
      <c r="AC359" s="94"/>
      <c r="AD359" s="93"/>
      <c r="AE359" s="85"/>
    </row>
    <row r="360" spans="6:31" ht="14.5" customHeight="1" x14ac:dyDescent="0.35">
      <c r="F360" s="93"/>
      <c r="G360" s="85"/>
      <c r="H360" s="87"/>
      <c r="J360" s="93"/>
      <c r="K360" s="85"/>
      <c r="N360" s="93"/>
      <c r="O360" s="85"/>
      <c r="Q360" s="94"/>
      <c r="R360" s="93"/>
      <c r="S360" s="85"/>
      <c r="U360" s="94"/>
      <c r="V360" s="93"/>
      <c r="W360" s="85"/>
      <c r="Y360" s="94"/>
      <c r="Z360" s="93"/>
      <c r="AA360" s="85"/>
      <c r="AC360" s="94"/>
      <c r="AD360" s="93"/>
      <c r="AE360" s="85"/>
    </row>
    <row r="361" spans="6:31" ht="14.5" customHeight="1" x14ac:dyDescent="0.35">
      <c r="F361" s="93"/>
      <c r="G361" s="85"/>
      <c r="H361" s="87"/>
      <c r="J361" s="93"/>
      <c r="K361" s="85"/>
      <c r="N361" s="93"/>
      <c r="O361" s="85"/>
      <c r="Q361" s="94"/>
      <c r="R361" s="93"/>
      <c r="S361" s="85"/>
      <c r="U361" s="94"/>
      <c r="V361" s="93"/>
      <c r="W361" s="85"/>
      <c r="Y361" s="94"/>
      <c r="Z361" s="93"/>
      <c r="AA361" s="85"/>
      <c r="AC361" s="94"/>
      <c r="AD361" s="93"/>
      <c r="AE361" s="85"/>
    </row>
    <row r="362" spans="6:31" ht="14.5" customHeight="1" x14ac:dyDescent="0.35">
      <c r="F362" s="93"/>
      <c r="G362" s="85"/>
      <c r="H362" s="87"/>
      <c r="J362" s="93"/>
      <c r="K362" s="85"/>
      <c r="N362" s="93"/>
      <c r="O362" s="85"/>
      <c r="Q362" s="94"/>
      <c r="R362" s="93"/>
      <c r="S362" s="85"/>
      <c r="U362" s="94"/>
      <c r="V362" s="93"/>
      <c r="W362" s="85"/>
      <c r="Y362" s="94"/>
      <c r="Z362" s="93"/>
      <c r="AA362" s="85"/>
      <c r="AC362" s="94"/>
      <c r="AD362" s="93"/>
      <c r="AE362" s="85"/>
    </row>
    <row r="363" spans="6:31" ht="14.5" customHeight="1" x14ac:dyDescent="0.35">
      <c r="F363" s="93"/>
      <c r="G363" s="85"/>
      <c r="H363" s="87"/>
      <c r="J363" s="93"/>
      <c r="K363" s="85"/>
      <c r="N363" s="93"/>
      <c r="O363" s="85"/>
      <c r="Q363" s="94"/>
      <c r="R363" s="93"/>
      <c r="S363" s="85"/>
      <c r="U363" s="94"/>
      <c r="V363" s="93"/>
      <c r="W363" s="85"/>
      <c r="Y363" s="94"/>
      <c r="Z363" s="93"/>
      <c r="AA363" s="85"/>
      <c r="AC363" s="94"/>
      <c r="AD363" s="93"/>
      <c r="AE363" s="85"/>
    </row>
    <row r="364" spans="6:31" ht="14.5" customHeight="1" x14ac:dyDescent="0.35">
      <c r="F364" s="93"/>
      <c r="G364" s="85"/>
      <c r="H364" s="87"/>
      <c r="J364" s="93"/>
      <c r="K364" s="85"/>
      <c r="N364" s="93"/>
      <c r="O364" s="85"/>
      <c r="Q364" s="94"/>
      <c r="R364" s="93"/>
      <c r="S364" s="85"/>
      <c r="U364" s="94"/>
      <c r="V364" s="93"/>
      <c r="W364" s="85"/>
      <c r="Y364" s="94"/>
      <c r="Z364" s="93"/>
      <c r="AA364" s="85"/>
      <c r="AC364" s="94"/>
      <c r="AD364" s="93"/>
      <c r="AE364" s="85"/>
    </row>
    <row r="365" spans="6:31" ht="14.5" customHeight="1" x14ac:dyDescent="0.35">
      <c r="F365" s="93"/>
      <c r="G365" s="85"/>
      <c r="H365" s="87"/>
      <c r="J365" s="93"/>
      <c r="K365" s="85"/>
      <c r="N365" s="93"/>
      <c r="O365" s="85"/>
      <c r="Q365" s="94"/>
      <c r="R365" s="93"/>
      <c r="S365" s="85"/>
      <c r="U365" s="94"/>
      <c r="V365" s="93"/>
      <c r="W365" s="85"/>
      <c r="Y365" s="94"/>
      <c r="Z365" s="93"/>
      <c r="AA365" s="85"/>
      <c r="AC365" s="94"/>
      <c r="AD365" s="93"/>
      <c r="AE365" s="85"/>
    </row>
    <row r="366" spans="6:31" ht="14.5" customHeight="1" x14ac:dyDescent="0.35">
      <c r="F366" s="93"/>
      <c r="G366" s="85"/>
      <c r="H366" s="87"/>
      <c r="J366" s="93"/>
      <c r="K366" s="85"/>
      <c r="N366" s="93"/>
      <c r="O366" s="85"/>
      <c r="Q366" s="94"/>
      <c r="R366" s="93"/>
      <c r="S366" s="85"/>
      <c r="U366" s="94"/>
      <c r="V366" s="93"/>
      <c r="W366" s="85"/>
      <c r="Y366" s="94"/>
      <c r="Z366" s="93"/>
      <c r="AA366" s="85"/>
      <c r="AC366" s="94"/>
      <c r="AD366" s="93"/>
      <c r="AE366" s="85"/>
    </row>
    <row r="367" spans="6:31" ht="14.5" customHeight="1" x14ac:dyDescent="0.35">
      <c r="F367" s="93"/>
      <c r="G367" s="85"/>
      <c r="H367" s="87"/>
      <c r="J367" s="93"/>
      <c r="K367" s="85"/>
      <c r="N367" s="93"/>
      <c r="O367" s="85"/>
      <c r="Q367" s="94"/>
      <c r="R367" s="93"/>
      <c r="S367" s="85"/>
      <c r="U367" s="94"/>
      <c r="V367" s="93"/>
      <c r="W367" s="85"/>
      <c r="Y367" s="94"/>
      <c r="Z367" s="93"/>
      <c r="AA367" s="85"/>
      <c r="AC367" s="94"/>
      <c r="AD367" s="93"/>
      <c r="AE367" s="85"/>
    </row>
    <row r="368" spans="6:31" ht="14.5" customHeight="1" x14ac:dyDescent="0.35">
      <c r="F368" s="93"/>
      <c r="G368" s="85"/>
      <c r="H368" s="87"/>
      <c r="J368" s="93"/>
      <c r="K368" s="85"/>
      <c r="N368" s="93"/>
      <c r="O368" s="85"/>
      <c r="Q368" s="94"/>
      <c r="R368" s="93"/>
      <c r="S368" s="85"/>
      <c r="U368" s="94"/>
      <c r="V368" s="93"/>
      <c r="W368" s="85"/>
      <c r="Y368" s="94"/>
      <c r="Z368" s="93"/>
      <c r="AA368" s="85"/>
      <c r="AC368" s="94"/>
      <c r="AD368" s="93"/>
      <c r="AE368" s="85"/>
    </row>
    <row r="369" spans="6:31" ht="14.5" customHeight="1" x14ac:dyDescent="0.35">
      <c r="F369" s="93"/>
      <c r="G369" s="85"/>
      <c r="H369" s="87"/>
      <c r="J369" s="93"/>
      <c r="K369" s="85"/>
      <c r="N369" s="93"/>
      <c r="O369" s="85"/>
      <c r="Q369" s="94"/>
      <c r="R369" s="93"/>
      <c r="S369" s="85"/>
      <c r="U369" s="94"/>
      <c r="V369" s="93"/>
      <c r="W369" s="85"/>
      <c r="Y369" s="94"/>
      <c r="Z369" s="93"/>
      <c r="AA369" s="85"/>
      <c r="AC369" s="94"/>
      <c r="AD369" s="93"/>
      <c r="AE369" s="85"/>
    </row>
    <row r="370" spans="6:31" ht="14.5" customHeight="1" x14ac:dyDescent="0.35">
      <c r="F370" s="93"/>
      <c r="G370" s="85"/>
      <c r="H370" s="87"/>
      <c r="J370" s="93"/>
      <c r="K370" s="85"/>
      <c r="N370" s="93"/>
      <c r="O370" s="85"/>
      <c r="Q370" s="94"/>
      <c r="R370" s="93"/>
      <c r="S370" s="85"/>
      <c r="U370" s="94"/>
      <c r="V370" s="93"/>
      <c r="W370" s="85"/>
      <c r="Y370" s="94"/>
      <c r="Z370" s="93"/>
      <c r="AA370" s="85"/>
      <c r="AC370" s="94"/>
      <c r="AD370" s="93"/>
      <c r="AE370" s="85"/>
    </row>
    <row r="371" spans="6:31" ht="14.5" customHeight="1" x14ac:dyDescent="0.35">
      <c r="F371" s="93"/>
      <c r="G371" s="85"/>
      <c r="H371" s="87"/>
      <c r="J371" s="93"/>
      <c r="K371" s="85"/>
      <c r="N371" s="93"/>
      <c r="O371" s="85"/>
      <c r="Q371" s="94"/>
      <c r="R371" s="93"/>
      <c r="S371" s="85"/>
      <c r="U371" s="94"/>
      <c r="V371" s="93"/>
      <c r="W371" s="85"/>
      <c r="Y371" s="94"/>
      <c r="Z371" s="93"/>
      <c r="AA371" s="85"/>
      <c r="AC371" s="94"/>
      <c r="AD371" s="93"/>
      <c r="AE371" s="85"/>
    </row>
    <row r="372" spans="6:31" ht="14.5" customHeight="1" x14ac:dyDescent="0.35">
      <c r="F372" s="93"/>
      <c r="G372" s="85"/>
      <c r="H372" s="87"/>
      <c r="J372" s="93"/>
      <c r="K372" s="85"/>
      <c r="N372" s="93"/>
      <c r="O372" s="85"/>
      <c r="Q372" s="94"/>
      <c r="R372" s="93"/>
      <c r="S372" s="85"/>
      <c r="U372" s="94"/>
      <c r="V372" s="93"/>
      <c r="W372" s="85"/>
      <c r="Y372" s="94"/>
      <c r="Z372" s="93"/>
      <c r="AA372" s="85"/>
      <c r="AC372" s="94"/>
      <c r="AD372" s="93"/>
      <c r="AE372" s="85"/>
    </row>
    <row r="373" spans="6:31" ht="14.5" customHeight="1" x14ac:dyDescent="0.35">
      <c r="F373" s="93"/>
      <c r="G373" s="85"/>
      <c r="H373" s="87"/>
      <c r="J373" s="93"/>
      <c r="K373" s="85"/>
      <c r="N373" s="93"/>
      <c r="O373" s="85"/>
      <c r="Q373" s="94"/>
      <c r="R373" s="93"/>
      <c r="S373" s="85"/>
      <c r="U373" s="94"/>
      <c r="V373" s="93"/>
      <c r="W373" s="85"/>
      <c r="Y373" s="94"/>
      <c r="Z373" s="93"/>
      <c r="AA373" s="85"/>
      <c r="AC373" s="94"/>
      <c r="AD373" s="93"/>
      <c r="AE373" s="85"/>
    </row>
    <row r="374" spans="6:31" ht="14.5" customHeight="1" x14ac:dyDescent="0.35">
      <c r="F374" s="93"/>
      <c r="G374" s="85"/>
      <c r="H374" s="87"/>
      <c r="J374" s="93"/>
      <c r="K374" s="85"/>
      <c r="N374" s="93"/>
      <c r="O374" s="85"/>
      <c r="Q374" s="94"/>
      <c r="R374" s="93"/>
      <c r="S374" s="85"/>
      <c r="U374" s="94"/>
      <c r="V374" s="93"/>
      <c r="W374" s="85"/>
      <c r="Y374" s="94"/>
      <c r="Z374" s="93"/>
      <c r="AA374" s="85"/>
      <c r="AC374" s="94"/>
      <c r="AD374" s="93"/>
      <c r="AE374" s="85"/>
    </row>
    <row r="375" spans="6:31" ht="14.5" customHeight="1" x14ac:dyDescent="0.35">
      <c r="F375" s="93"/>
      <c r="G375" s="85"/>
      <c r="H375" s="87"/>
      <c r="J375" s="93"/>
      <c r="K375" s="85"/>
      <c r="N375" s="93"/>
      <c r="O375" s="85"/>
      <c r="Q375" s="94"/>
      <c r="R375" s="93"/>
      <c r="S375" s="85"/>
      <c r="U375" s="94"/>
      <c r="V375" s="93"/>
      <c r="W375" s="85"/>
      <c r="Y375" s="94"/>
      <c r="Z375" s="93"/>
      <c r="AA375" s="85"/>
      <c r="AC375" s="94"/>
      <c r="AD375" s="93"/>
      <c r="AE375" s="85"/>
    </row>
    <row r="376" spans="6:31" ht="14.5" customHeight="1" x14ac:dyDescent="0.35">
      <c r="F376" s="93"/>
      <c r="G376" s="85"/>
      <c r="H376" s="87"/>
      <c r="J376" s="93"/>
      <c r="K376" s="85"/>
      <c r="N376" s="93"/>
      <c r="O376" s="85"/>
      <c r="Q376" s="94"/>
      <c r="R376" s="93"/>
      <c r="S376" s="85"/>
      <c r="U376" s="94"/>
      <c r="V376" s="93"/>
      <c r="W376" s="85"/>
      <c r="Y376" s="94"/>
      <c r="Z376" s="93"/>
      <c r="AA376" s="85"/>
      <c r="AC376" s="94"/>
      <c r="AD376" s="93"/>
      <c r="AE376" s="85"/>
    </row>
    <row r="377" spans="6:31" ht="14.5" customHeight="1" x14ac:dyDescent="0.35">
      <c r="F377" s="93"/>
      <c r="G377" s="85"/>
      <c r="H377" s="87"/>
      <c r="J377" s="93"/>
      <c r="K377" s="85"/>
      <c r="N377" s="93"/>
      <c r="O377" s="85"/>
      <c r="Q377" s="94"/>
      <c r="R377" s="93"/>
      <c r="S377" s="85"/>
      <c r="U377" s="94"/>
      <c r="V377" s="93"/>
      <c r="W377" s="85"/>
      <c r="Y377" s="94"/>
      <c r="Z377" s="93"/>
      <c r="AA377" s="85"/>
      <c r="AC377" s="94"/>
      <c r="AD377" s="93"/>
      <c r="AE377" s="85"/>
    </row>
    <row r="378" spans="6:31" ht="14.5" customHeight="1" x14ac:dyDescent="0.35">
      <c r="F378" s="93"/>
      <c r="G378" s="85"/>
      <c r="H378" s="87"/>
      <c r="J378" s="93"/>
      <c r="K378" s="85"/>
      <c r="N378" s="93"/>
      <c r="O378" s="85"/>
      <c r="Q378" s="94"/>
      <c r="R378" s="93"/>
      <c r="S378" s="85"/>
      <c r="U378" s="94"/>
      <c r="V378" s="93"/>
      <c r="W378" s="85"/>
      <c r="Y378" s="94"/>
      <c r="Z378" s="93"/>
      <c r="AA378" s="85"/>
      <c r="AC378" s="94"/>
      <c r="AD378" s="93"/>
      <c r="AE378" s="85"/>
    </row>
    <row r="379" spans="6:31" ht="14.5" customHeight="1" x14ac:dyDescent="0.35">
      <c r="F379" s="93"/>
      <c r="G379" s="85"/>
      <c r="H379" s="87"/>
      <c r="J379" s="93"/>
      <c r="K379" s="85"/>
      <c r="N379" s="93"/>
      <c r="O379" s="85"/>
      <c r="Q379" s="94"/>
      <c r="R379" s="93"/>
      <c r="S379" s="85"/>
      <c r="U379" s="94"/>
      <c r="V379" s="93"/>
      <c r="W379" s="85"/>
      <c r="Y379" s="94"/>
      <c r="Z379" s="93"/>
      <c r="AA379" s="85"/>
      <c r="AC379" s="94"/>
      <c r="AD379" s="93"/>
      <c r="AE379" s="85"/>
    </row>
    <row r="380" spans="6:31" ht="14.5" customHeight="1" x14ac:dyDescent="0.35">
      <c r="F380" s="93"/>
      <c r="G380" s="85"/>
      <c r="H380" s="87"/>
      <c r="J380" s="93"/>
      <c r="K380" s="85"/>
      <c r="N380" s="93"/>
      <c r="O380" s="85"/>
      <c r="Q380" s="94"/>
      <c r="R380" s="93"/>
      <c r="S380" s="85"/>
      <c r="U380" s="94"/>
      <c r="V380" s="93"/>
      <c r="W380" s="85"/>
      <c r="Y380" s="94"/>
      <c r="Z380" s="93"/>
      <c r="AA380" s="85"/>
      <c r="AC380" s="94"/>
      <c r="AD380" s="93"/>
      <c r="AE380" s="85"/>
    </row>
    <row r="381" spans="6:31" ht="14.5" customHeight="1" x14ac:dyDescent="0.35">
      <c r="F381" s="93"/>
      <c r="G381" s="85"/>
      <c r="H381" s="87"/>
      <c r="J381" s="93"/>
      <c r="K381" s="85"/>
      <c r="N381" s="93"/>
      <c r="O381" s="85"/>
      <c r="Q381" s="94"/>
      <c r="R381" s="93"/>
      <c r="S381" s="85"/>
      <c r="U381" s="94"/>
      <c r="V381" s="93"/>
      <c r="W381" s="85"/>
      <c r="Y381" s="94"/>
      <c r="Z381" s="93"/>
      <c r="AA381" s="85"/>
      <c r="AC381" s="94"/>
      <c r="AD381" s="93"/>
      <c r="AE381" s="85"/>
    </row>
    <row r="382" spans="6:31" ht="14.5" customHeight="1" x14ac:dyDescent="0.35">
      <c r="F382" s="93"/>
      <c r="G382" s="85"/>
      <c r="H382" s="87"/>
      <c r="J382" s="93"/>
      <c r="K382" s="85"/>
      <c r="N382" s="93"/>
      <c r="O382" s="85"/>
      <c r="Q382" s="94"/>
      <c r="R382" s="93"/>
      <c r="S382" s="85"/>
      <c r="U382" s="94"/>
      <c r="V382" s="93"/>
      <c r="W382" s="85"/>
      <c r="Y382" s="94"/>
      <c r="Z382" s="93"/>
      <c r="AA382" s="85"/>
      <c r="AC382" s="94"/>
      <c r="AD382" s="93"/>
      <c r="AE382" s="85"/>
    </row>
    <row r="383" spans="6:31" ht="14.5" customHeight="1" x14ac:dyDescent="0.35">
      <c r="F383" s="93"/>
      <c r="G383" s="85"/>
      <c r="H383" s="87"/>
      <c r="J383" s="93"/>
      <c r="K383" s="85"/>
      <c r="N383" s="93"/>
      <c r="O383" s="85"/>
      <c r="Q383" s="94"/>
      <c r="R383" s="93"/>
      <c r="S383" s="85"/>
      <c r="U383" s="94"/>
      <c r="V383" s="93"/>
      <c r="W383" s="85"/>
      <c r="Y383" s="94"/>
      <c r="Z383" s="93"/>
      <c r="AA383" s="85"/>
      <c r="AC383" s="94"/>
      <c r="AD383" s="93"/>
      <c r="AE383" s="85"/>
    </row>
    <row r="384" spans="6:31" ht="14.5" customHeight="1" x14ac:dyDescent="0.35">
      <c r="F384" s="93"/>
      <c r="G384" s="85"/>
      <c r="H384" s="87"/>
      <c r="J384" s="93"/>
      <c r="K384" s="85"/>
      <c r="N384" s="93"/>
      <c r="O384" s="85"/>
      <c r="Q384" s="94"/>
      <c r="R384" s="93"/>
      <c r="S384" s="85"/>
      <c r="U384" s="94"/>
      <c r="V384" s="93"/>
      <c r="W384" s="85"/>
      <c r="Y384" s="94"/>
      <c r="Z384" s="93"/>
      <c r="AA384" s="85"/>
      <c r="AC384" s="94"/>
      <c r="AD384" s="93"/>
      <c r="AE384" s="85"/>
    </row>
    <row r="385" spans="6:31" ht="14.5" customHeight="1" x14ac:dyDescent="0.35">
      <c r="F385" s="93"/>
      <c r="G385" s="85"/>
      <c r="H385" s="87"/>
      <c r="J385" s="93"/>
      <c r="K385" s="85"/>
      <c r="N385" s="93"/>
      <c r="O385" s="85"/>
      <c r="Q385" s="94"/>
      <c r="R385" s="93"/>
      <c r="S385" s="85"/>
      <c r="U385" s="94"/>
      <c r="V385" s="93"/>
      <c r="W385" s="85"/>
      <c r="Y385" s="94"/>
      <c r="Z385" s="93"/>
      <c r="AA385" s="85"/>
      <c r="AC385" s="94"/>
      <c r="AD385" s="93"/>
      <c r="AE385" s="85"/>
    </row>
    <row r="386" spans="6:31" ht="14.5" customHeight="1" x14ac:dyDescent="0.35">
      <c r="F386" s="93"/>
      <c r="G386" s="85"/>
      <c r="H386" s="87"/>
      <c r="J386" s="93"/>
      <c r="K386" s="85"/>
      <c r="N386" s="93"/>
      <c r="O386" s="85"/>
      <c r="Q386" s="94"/>
      <c r="R386" s="93"/>
      <c r="S386" s="85"/>
      <c r="U386" s="94"/>
      <c r="V386" s="93"/>
      <c r="W386" s="85"/>
      <c r="Y386" s="94"/>
      <c r="Z386" s="93"/>
      <c r="AA386" s="85"/>
      <c r="AC386" s="94"/>
      <c r="AD386" s="93"/>
      <c r="AE386" s="85"/>
    </row>
    <row r="387" spans="6:31" ht="14.5" customHeight="1" x14ac:dyDescent="0.35">
      <c r="F387" s="93"/>
      <c r="G387" s="85"/>
      <c r="H387" s="87"/>
      <c r="J387" s="93"/>
      <c r="K387" s="85"/>
      <c r="N387" s="93"/>
      <c r="O387" s="85"/>
      <c r="Q387" s="94"/>
      <c r="R387" s="93"/>
      <c r="S387" s="85"/>
      <c r="U387" s="94"/>
      <c r="V387" s="93"/>
      <c r="W387" s="85"/>
      <c r="Y387" s="94"/>
      <c r="Z387" s="93"/>
      <c r="AA387" s="85"/>
      <c r="AC387" s="94"/>
      <c r="AD387" s="93"/>
      <c r="AE387" s="85"/>
    </row>
    <row r="388" spans="6:31" ht="14.5" customHeight="1" x14ac:dyDescent="0.35">
      <c r="F388" s="93"/>
      <c r="G388" s="85"/>
      <c r="H388" s="87"/>
      <c r="J388" s="93"/>
      <c r="K388" s="85"/>
      <c r="N388" s="93"/>
      <c r="O388" s="85"/>
      <c r="Q388" s="94"/>
      <c r="R388" s="93"/>
      <c r="S388" s="85"/>
      <c r="U388" s="94"/>
      <c r="V388" s="93"/>
      <c r="W388" s="85"/>
      <c r="Y388" s="94"/>
      <c r="Z388" s="93"/>
      <c r="AA388" s="85"/>
      <c r="AC388" s="94"/>
      <c r="AD388" s="93"/>
      <c r="AE388" s="85"/>
    </row>
    <row r="389" spans="6:31" ht="14.5" customHeight="1" x14ac:dyDescent="0.35">
      <c r="F389" s="93"/>
      <c r="G389" s="85"/>
      <c r="H389" s="87"/>
      <c r="J389" s="93"/>
      <c r="K389" s="85"/>
      <c r="N389" s="93"/>
      <c r="O389" s="85"/>
      <c r="Q389" s="94"/>
      <c r="R389" s="93"/>
      <c r="S389" s="85"/>
      <c r="U389" s="94"/>
      <c r="V389" s="93"/>
      <c r="W389" s="85"/>
      <c r="Y389" s="94"/>
      <c r="Z389" s="93"/>
      <c r="AA389" s="85"/>
      <c r="AC389" s="94"/>
      <c r="AD389" s="93"/>
      <c r="AE389" s="85"/>
    </row>
    <row r="390" spans="6:31" ht="14.5" customHeight="1" x14ac:dyDescent="0.35">
      <c r="F390" s="93"/>
      <c r="G390" s="85"/>
      <c r="H390" s="87"/>
      <c r="J390" s="93"/>
      <c r="K390" s="85"/>
      <c r="N390" s="93"/>
      <c r="O390" s="85"/>
      <c r="Q390" s="94"/>
      <c r="R390" s="93"/>
      <c r="S390" s="85"/>
      <c r="U390" s="94"/>
      <c r="V390" s="93"/>
      <c r="W390" s="85"/>
      <c r="Y390" s="94"/>
      <c r="Z390" s="93"/>
      <c r="AA390" s="85"/>
      <c r="AC390" s="94"/>
      <c r="AD390" s="93"/>
      <c r="AE390" s="85"/>
    </row>
    <row r="391" spans="6:31" ht="14.5" customHeight="1" x14ac:dyDescent="0.35">
      <c r="F391" s="93"/>
      <c r="G391" s="85"/>
      <c r="H391" s="87"/>
      <c r="J391" s="93"/>
      <c r="K391" s="85"/>
      <c r="N391" s="93"/>
      <c r="O391" s="85"/>
      <c r="Q391" s="94"/>
      <c r="R391" s="93"/>
      <c r="S391" s="85"/>
      <c r="U391" s="94"/>
      <c r="V391" s="93"/>
      <c r="W391" s="85"/>
      <c r="Y391" s="94"/>
      <c r="Z391" s="93"/>
      <c r="AA391" s="85"/>
      <c r="AC391" s="94"/>
      <c r="AD391" s="93"/>
      <c r="AE391" s="85"/>
    </row>
    <row r="392" spans="6:31" ht="14.5" customHeight="1" x14ac:dyDescent="0.35">
      <c r="F392" s="93"/>
      <c r="G392" s="85"/>
      <c r="H392" s="87"/>
      <c r="J392" s="93"/>
      <c r="K392" s="85"/>
      <c r="N392" s="93"/>
      <c r="O392" s="85"/>
      <c r="Q392" s="94"/>
      <c r="R392" s="93"/>
      <c r="S392" s="85"/>
      <c r="U392" s="94"/>
      <c r="V392" s="93"/>
      <c r="W392" s="85"/>
      <c r="Y392" s="94"/>
      <c r="Z392" s="93"/>
      <c r="AA392" s="85"/>
      <c r="AC392" s="94"/>
      <c r="AD392" s="93"/>
      <c r="AE392" s="85"/>
    </row>
    <row r="393" spans="6:31" ht="14.5" customHeight="1" x14ac:dyDescent="0.35">
      <c r="F393" s="93"/>
      <c r="G393" s="85"/>
      <c r="H393" s="87"/>
      <c r="J393" s="93"/>
      <c r="K393" s="85"/>
      <c r="N393" s="93"/>
      <c r="O393" s="85"/>
      <c r="Q393" s="94"/>
      <c r="R393" s="93"/>
      <c r="S393" s="85"/>
      <c r="U393" s="94"/>
      <c r="V393" s="93"/>
      <c r="W393" s="85"/>
      <c r="Y393" s="94"/>
      <c r="Z393" s="93"/>
      <c r="AA393" s="85"/>
      <c r="AC393" s="94"/>
      <c r="AD393" s="93"/>
      <c r="AE393" s="85"/>
    </row>
    <row r="394" spans="6:31" ht="14.5" customHeight="1" x14ac:dyDescent="0.35">
      <c r="F394" s="93"/>
      <c r="G394" s="85"/>
      <c r="H394" s="87"/>
      <c r="J394" s="93"/>
      <c r="K394" s="85"/>
      <c r="N394" s="93"/>
      <c r="O394" s="85"/>
      <c r="Q394" s="94"/>
      <c r="R394" s="93"/>
      <c r="S394" s="85"/>
      <c r="U394" s="94"/>
      <c r="V394" s="93"/>
      <c r="W394" s="85"/>
      <c r="Y394" s="94"/>
      <c r="Z394" s="93"/>
      <c r="AA394" s="85"/>
      <c r="AC394" s="94"/>
      <c r="AD394" s="93"/>
      <c r="AE394" s="85"/>
    </row>
    <row r="395" spans="6:31" ht="14.5" customHeight="1" x14ac:dyDescent="0.35">
      <c r="F395" s="93"/>
      <c r="G395" s="85"/>
      <c r="H395" s="87"/>
      <c r="J395" s="93"/>
      <c r="K395" s="85"/>
      <c r="N395" s="93"/>
      <c r="O395" s="85"/>
      <c r="Q395" s="94"/>
      <c r="R395" s="93"/>
      <c r="S395" s="85"/>
      <c r="U395" s="94"/>
      <c r="V395" s="93"/>
      <c r="W395" s="85"/>
      <c r="Y395" s="94"/>
      <c r="Z395" s="93"/>
      <c r="AA395" s="85"/>
      <c r="AC395" s="94"/>
      <c r="AD395" s="93"/>
      <c r="AE395" s="85"/>
    </row>
    <row r="396" spans="6:31" ht="14.5" customHeight="1" x14ac:dyDescent="0.35">
      <c r="F396" s="93"/>
      <c r="G396" s="85"/>
      <c r="H396" s="87"/>
      <c r="J396" s="93"/>
      <c r="K396" s="85"/>
      <c r="N396" s="93"/>
      <c r="O396" s="85"/>
      <c r="Q396" s="94"/>
      <c r="R396" s="93"/>
      <c r="S396" s="85"/>
      <c r="U396" s="94"/>
      <c r="V396" s="93"/>
      <c r="W396" s="85"/>
      <c r="Y396" s="94"/>
      <c r="Z396" s="93"/>
      <c r="AA396" s="85"/>
      <c r="AC396" s="94"/>
      <c r="AD396" s="93"/>
      <c r="AE396" s="85"/>
    </row>
    <row r="397" spans="6:31" ht="14.5" customHeight="1" x14ac:dyDescent="0.35">
      <c r="F397" s="93"/>
      <c r="G397" s="85"/>
      <c r="H397" s="87"/>
      <c r="J397" s="93"/>
      <c r="K397" s="85"/>
      <c r="N397" s="93"/>
      <c r="O397" s="85"/>
      <c r="Q397" s="94"/>
      <c r="R397" s="93"/>
      <c r="S397" s="85"/>
      <c r="U397" s="94"/>
      <c r="V397" s="93"/>
      <c r="W397" s="85"/>
      <c r="Y397" s="94"/>
      <c r="Z397" s="93"/>
      <c r="AA397" s="85"/>
      <c r="AC397" s="94"/>
      <c r="AD397" s="93"/>
      <c r="AE397" s="85"/>
    </row>
    <row r="398" spans="6:31" ht="14.5" customHeight="1" x14ac:dyDescent="0.35">
      <c r="F398" s="93"/>
      <c r="G398" s="85"/>
      <c r="H398" s="87"/>
      <c r="J398" s="93"/>
      <c r="K398" s="85"/>
      <c r="N398" s="93"/>
      <c r="O398" s="85"/>
      <c r="Q398" s="94"/>
      <c r="R398" s="93"/>
      <c r="S398" s="85"/>
      <c r="U398" s="94"/>
      <c r="V398" s="93"/>
      <c r="W398" s="85"/>
      <c r="Y398" s="94"/>
      <c r="Z398" s="93"/>
      <c r="AA398" s="85"/>
      <c r="AC398" s="94"/>
      <c r="AD398" s="93"/>
      <c r="AE398" s="85"/>
    </row>
    <row r="399" spans="6:31" ht="14.5" customHeight="1" x14ac:dyDescent="0.35">
      <c r="F399" s="93"/>
      <c r="G399" s="85"/>
      <c r="H399" s="87"/>
      <c r="J399" s="93"/>
      <c r="K399" s="85"/>
      <c r="N399" s="93"/>
      <c r="O399" s="85"/>
      <c r="Q399" s="94"/>
      <c r="R399" s="93"/>
      <c r="S399" s="85"/>
      <c r="U399" s="94"/>
      <c r="V399" s="93"/>
      <c r="W399" s="85"/>
      <c r="Y399" s="94"/>
      <c r="Z399" s="93"/>
      <c r="AA399" s="85"/>
      <c r="AC399" s="94"/>
      <c r="AD399" s="93"/>
      <c r="AE399" s="85"/>
    </row>
    <row r="400" spans="6:31" ht="14.5" customHeight="1" x14ac:dyDescent="0.35">
      <c r="F400" s="93"/>
      <c r="G400" s="85"/>
      <c r="H400" s="87"/>
      <c r="J400" s="93"/>
      <c r="K400" s="85"/>
      <c r="N400" s="93"/>
      <c r="O400" s="85"/>
      <c r="Q400" s="94"/>
      <c r="R400" s="93"/>
      <c r="S400" s="85"/>
      <c r="U400" s="94"/>
      <c r="V400" s="93"/>
      <c r="W400" s="85"/>
      <c r="Y400" s="94"/>
      <c r="Z400" s="93"/>
      <c r="AA400" s="85"/>
      <c r="AC400" s="94"/>
      <c r="AD400" s="93"/>
      <c r="AE400" s="85"/>
    </row>
    <row r="401" spans="6:31" ht="14.5" customHeight="1" x14ac:dyDescent="0.35">
      <c r="F401" s="93"/>
      <c r="G401" s="85"/>
      <c r="H401" s="87"/>
      <c r="J401" s="93"/>
      <c r="K401" s="85"/>
      <c r="N401" s="93"/>
      <c r="O401" s="85"/>
      <c r="Q401" s="94"/>
      <c r="R401" s="93"/>
      <c r="S401" s="85"/>
      <c r="U401" s="94"/>
      <c r="V401" s="93"/>
      <c r="W401" s="85"/>
      <c r="Y401" s="94"/>
      <c r="Z401" s="93"/>
      <c r="AA401" s="85"/>
      <c r="AC401" s="94"/>
      <c r="AD401" s="93"/>
      <c r="AE401" s="85"/>
    </row>
    <row r="402" spans="6:31" ht="14.5" customHeight="1" x14ac:dyDescent="0.35">
      <c r="F402" s="93"/>
      <c r="G402" s="85"/>
      <c r="H402" s="87"/>
      <c r="J402" s="93"/>
      <c r="K402" s="85"/>
      <c r="N402" s="93"/>
      <c r="O402" s="85"/>
      <c r="Q402" s="94"/>
      <c r="R402" s="93"/>
      <c r="S402" s="85"/>
      <c r="U402" s="94"/>
      <c r="V402" s="93"/>
      <c r="W402" s="85"/>
      <c r="Y402" s="94"/>
      <c r="Z402" s="93"/>
      <c r="AA402" s="85"/>
      <c r="AC402" s="94"/>
      <c r="AD402" s="93"/>
      <c r="AE402" s="85"/>
    </row>
    <row r="403" spans="6:31" ht="14.5" customHeight="1" x14ac:dyDescent="0.35">
      <c r="F403" s="93"/>
      <c r="G403" s="85"/>
      <c r="H403" s="87"/>
      <c r="J403" s="93"/>
      <c r="K403" s="85"/>
      <c r="N403" s="93"/>
      <c r="O403" s="85"/>
      <c r="Q403" s="94"/>
      <c r="R403" s="93"/>
      <c r="S403" s="85"/>
      <c r="U403" s="94"/>
      <c r="V403" s="93"/>
      <c r="W403" s="85"/>
      <c r="Y403" s="94"/>
      <c r="Z403" s="93"/>
      <c r="AA403" s="85"/>
      <c r="AC403" s="94"/>
      <c r="AD403" s="93"/>
      <c r="AE403" s="85"/>
    </row>
    <row r="404" spans="6:31" ht="14.5" customHeight="1" x14ac:dyDescent="0.35">
      <c r="F404" s="93"/>
      <c r="G404" s="85"/>
      <c r="H404" s="87"/>
      <c r="J404" s="93"/>
      <c r="K404" s="85"/>
      <c r="N404" s="93"/>
      <c r="O404" s="85"/>
      <c r="Q404" s="94"/>
      <c r="R404" s="93"/>
      <c r="S404" s="85"/>
      <c r="U404" s="94"/>
      <c r="V404" s="93"/>
      <c r="W404" s="85"/>
      <c r="Y404" s="94"/>
      <c r="Z404" s="93"/>
      <c r="AA404" s="85"/>
      <c r="AC404" s="94"/>
      <c r="AD404" s="93"/>
      <c r="AE404" s="85"/>
    </row>
    <row r="405" spans="6:31" ht="14.5" customHeight="1" x14ac:dyDescent="0.35">
      <c r="F405" s="93"/>
      <c r="G405" s="85"/>
      <c r="H405" s="87"/>
      <c r="J405" s="93"/>
      <c r="K405" s="85"/>
      <c r="N405" s="93"/>
      <c r="O405" s="85"/>
      <c r="Q405" s="94"/>
      <c r="R405" s="93"/>
      <c r="S405" s="85"/>
      <c r="U405" s="94"/>
      <c r="V405" s="93"/>
      <c r="W405" s="85"/>
      <c r="Y405" s="94"/>
      <c r="Z405" s="93"/>
      <c r="AA405" s="85"/>
      <c r="AC405" s="94"/>
      <c r="AD405" s="93"/>
      <c r="AE405" s="85"/>
    </row>
    <row r="406" spans="6:31" ht="14.5" customHeight="1" x14ac:dyDescent="0.35">
      <c r="F406" s="93"/>
      <c r="G406" s="85"/>
      <c r="H406" s="87"/>
      <c r="J406" s="93"/>
      <c r="K406" s="85"/>
      <c r="N406" s="93"/>
      <c r="O406" s="85"/>
      <c r="Q406" s="94"/>
      <c r="R406" s="93"/>
      <c r="S406" s="85"/>
      <c r="U406" s="94"/>
      <c r="V406" s="93"/>
      <c r="W406" s="85"/>
      <c r="Y406" s="94"/>
      <c r="Z406" s="93"/>
      <c r="AA406" s="85"/>
      <c r="AC406" s="94"/>
      <c r="AD406" s="93"/>
      <c r="AE406" s="85"/>
    </row>
    <row r="407" spans="6:31" ht="14.5" customHeight="1" x14ac:dyDescent="0.35">
      <c r="F407" s="93"/>
      <c r="G407" s="85"/>
      <c r="H407" s="87"/>
      <c r="J407" s="93"/>
      <c r="K407" s="85"/>
      <c r="N407" s="93"/>
      <c r="O407" s="85"/>
      <c r="Q407" s="94"/>
      <c r="R407" s="93"/>
      <c r="S407" s="85"/>
      <c r="U407" s="94"/>
      <c r="V407" s="93"/>
      <c r="W407" s="85"/>
      <c r="Y407" s="94"/>
      <c r="Z407" s="93"/>
      <c r="AA407" s="85"/>
      <c r="AC407" s="94"/>
      <c r="AD407" s="93"/>
      <c r="AE407" s="85"/>
    </row>
    <row r="408" spans="6:31" ht="14.5" customHeight="1" x14ac:dyDescent="0.35">
      <c r="F408" s="93"/>
      <c r="G408" s="85"/>
      <c r="H408" s="87"/>
      <c r="J408" s="93"/>
      <c r="K408" s="85"/>
      <c r="N408" s="93"/>
      <c r="O408" s="85"/>
      <c r="Q408" s="94"/>
      <c r="R408" s="93"/>
      <c r="S408" s="85"/>
      <c r="U408" s="94"/>
      <c r="V408" s="93"/>
      <c r="W408" s="85"/>
      <c r="Y408" s="94"/>
      <c r="Z408" s="93"/>
      <c r="AA408" s="85"/>
      <c r="AC408" s="94"/>
      <c r="AD408" s="93"/>
      <c r="AE408" s="85"/>
    </row>
    <row r="409" spans="6:31" ht="14.5" customHeight="1" x14ac:dyDescent="0.35">
      <c r="F409" s="93"/>
      <c r="G409" s="85"/>
      <c r="H409" s="87"/>
      <c r="J409" s="93"/>
      <c r="K409" s="85"/>
      <c r="N409" s="93"/>
      <c r="O409" s="85"/>
      <c r="Q409" s="94"/>
      <c r="R409" s="93"/>
      <c r="S409" s="85"/>
      <c r="U409" s="94"/>
      <c r="V409" s="93"/>
      <c r="W409" s="85"/>
      <c r="Y409" s="94"/>
      <c r="Z409" s="93"/>
      <c r="AA409" s="85"/>
      <c r="AC409" s="94"/>
      <c r="AD409" s="93"/>
      <c r="AE409" s="85"/>
    </row>
    <row r="410" spans="6:31" ht="14.5" customHeight="1" x14ac:dyDescent="0.35">
      <c r="F410" s="93"/>
      <c r="G410" s="85"/>
      <c r="H410" s="87"/>
      <c r="J410" s="93"/>
      <c r="K410" s="85"/>
      <c r="N410" s="93"/>
      <c r="O410" s="85"/>
      <c r="Q410" s="94"/>
      <c r="R410" s="93"/>
      <c r="S410" s="85"/>
      <c r="U410" s="94"/>
      <c r="V410" s="93"/>
      <c r="W410" s="85"/>
      <c r="Y410" s="94"/>
      <c r="Z410" s="93"/>
      <c r="AA410" s="85"/>
      <c r="AC410" s="94"/>
      <c r="AD410" s="93"/>
      <c r="AE410" s="85"/>
    </row>
    <row r="411" spans="6:31" ht="14.5" customHeight="1" x14ac:dyDescent="0.35">
      <c r="F411" s="93"/>
      <c r="G411" s="85"/>
      <c r="H411" s="87"/>
      <c r="J411" s="93"/>
      <c r="K411" s="85"/>
      <c r="N411" s="93"/>
      <c r="O411" s="85"/>
      <c r="Q411" s="94"/>
      <c r="R411" s="93"/>
      <c r="S411" s="85"/>
      <c r="U411" s="94"/>
      <c r="V411" s="93"/>
      <c r="W411" s="85"/>
      <c r="Y411" s="94"/>
      <c r="Z411" s="93"/>
      <c r="AA411" s="85"/>
      <c r="AC411" s="94"/>
      <c r="AD411" s="93"/>
      <c r="AE411" s="85"/>
    </row>
    <row r="412" spans="6:31" ht="14.5" customHeight="1" x14ac:dyDescent="0.35">
      <c r="F412" s="93"/>
      <c r="G412" s="85"/>
      <c r="H412" s="87"/>
      <c r="J412" s="93"/>
      <c r="K412" s="85"/>
      <c r="N412" s="93"/>
      <c r="O412" s="85"/>
      <c r="Q412" s="94"/>
      <c r="R412" s="93"/>
      <c r="S412" s="85"/>
      <c r="U412" s="94"/>
      <c r="V412" s="93"/>
      <c r="W412" s="85"/>
      <c r="Y412" s="94"/>
      <c r="Z412" s="93"/>
      <c r="AA412" s="85"/>
      <c r="AC412" s="94"/>
      <c r="AD412" s="93"/>
      <c r="AE412" s="85"/>
    </row>
    <row r="413" spans="6:31" ht="14.5" customHeight="1" x14ac:dyDescent="0.35">
      <c r="F413" s="93"/>
      <c r="G413" s="85"/>
      <c r="H413" s="87"/>
      <c r="J413" s="93"/>
      <c r="K413" s="85"/>
      <c r="N413" s="93"/>
      <c r="O413" s="85"/>
      <c r="Q413" s="94"/>
      <c r="R413" s="93"/>
      <c r="S413" s="85"/>
      <c r="U413" s="94"/>
      <c r="V413" s="93"/>
      <c r="W413" s="85"/>
      <c r="Y413" s="94"/>
      <c r="Z413" s="93"/>
      <c r="AA413" s="85"/>
      <c r="AC413" s="94"/>
      <c r="AD413" s="93"/>
      <c r="AE413" s="85"/>
    </row>
    <row r="414" spans="6:31" ht="14.5" customHeight="1" x14ac:dyDescent="0.35">
      <c r="F414" s="93"/>
      <c r="G414" s="85"/>
      <c r="H414" s="87"/>
      <c r="J414" s="93"/>
      <c r="K414" s="85"/>
      <c r="N414" s="93"/>
      <c r="O414" s="85"/>
      <c r="Q414" s="94"/>
      <c r="R414" s="93"/>
      <c r="S414" s="85"/>
      <c r="U414" s="94"/>
      <c r="V414" s="93"/>
      <c r="W414" s="85"/>
      <c r="Y414" s="94"/>
      <c r="Z414" s="93"/>
      <c r="AA414" s="85"/>
      <c r="AC414" s="94"/>
      <c r="AD414" s="93"/>
      <c r="AE414" s="85"/>
    </row>
    <row r="415" spans="6:31" ht="14.5" customHeight="1" x14ac:dyDescent="0.35">
      <c r="F415" s="93"/>
      <c r="G415" s="85"/>
      <c r="H415" s="87"/>
      <c r="J415" s="93"/>
      <c r="K415" s="85"/>
      <c r="N415" s="93"/>
      <c r="O415" s="85"/>
      <c r="Q415" s="94"/>
      <c r="R415" s="93"/>
      <c r="S415" s="85"/>
      <c r="U415" s="94"/>
      <c r="V415" s="93"/>
      <c r="W415" s="85"/>
      <c r="Y415" s="94"/>
      <c r="Z415" s="93"/>
      <c r="AA415" s="85"/>
      <c r="AC415" s="94"/>
      <c r="AD415" s="93"/>
      <c r="AE415" s="85"/>
    </row>
    <row r="416" spans="6:31" ht="14.5" customHeight="1" x14ac:dyDescent="0.35">
      <c r="F416" s="93"/>
      <c r="G416" s="85"/>
      <c r="H416" s="87"/>
      <c r="J416" s="93"/>
      <c r="K416" s="85"/>
      <c r="N416" s="93"/>
      <c r="O416" s="85"/>
      <c r="Q416" s="94"/>
      <c r="R416" s="93"/>
      <c r="S416" s="85"/>
      <c r="U416" s="94"/>
      <c r="V416" s="93"/>
      <c r="W416" s="85"/>
      <c r="Y416" s="94"/>
      <c r="Z416" s="93"/>
      <c r="AA416" s="85"/>
      <c r="AC416" s="94"/>
      <c r="AD416" s="93"/>
      <c r="AE416" s="85"/>
    </row>
    <row r="417" spans="6:31" ht="14.5" customHeight="1" x14ac:dyDescent="0.35">
      <c r="F417" s="93"/>
      <c r="G417" s="85"/>
      <c r="H417" s="87"/>
      <c r="J417" s="93"/>
      <c r="K417" s="85"/>
      <c r="N417" s="93"/>
      <c r="O417" s="85"/>
      <c r="Q417" s="94"/>
      <c r="R417" s="93"/>
      <c r="S417" s="85"/>
      <c r="U417" s="94"/>
      <c r="V417" s="93"/>
      <c r="W417" s="85"/>
      <c r="Y417" s="94"/>
      <c r="Z417" s="93"/>
      <c r="AA417" s="85"/>
      <c r="AC417" s="94"/>
      <c r="AD417" s="93"/>
      <c r="AE417" s="85"/>
    </row>
    <row r="418" spans="6:31" ht="14.5" customHeight="1" x14ac:dyDescent="0.35">
      <c r="F418" s="93"/>
      <c r="G418" s="85"/>
      <c r="H418" s="87"/>
      <c r="J418" s="93"/>
      <c r="K418" s="85"/>
      <c r="N418" s="93"/>
      <c r="O418" s="85"/>
      <c r="Q418" s="94"/>
      <c r="R418" s="93"/>
      <c r="S418" s="85"/>
      <c r="U418" s="94"/>
      <c r="V418" s="93"/>
      <c r="W418" s="85"/>
      <c r="Y418" s="94"/>
      <c r="Z418" s="93"/>
      <c r="AA418" s="85"/>
      <c r="AC418" s="94"/>
      <c r="AD418" s="93"/>
      <c r="AE418" s="85"/>
    </row>
    <row r="419" spans="6:31" ht="14.5" customHeight="1" x14ac:dyDescent="0.35">
      <c r="F419" s="93"/>
      <c r="G419" s="85"/>
      <c r="H419" s="87"/>
      <c r="J419" s="93"/>
      <c r="K419" s="85"/>
      <c r="N419" s="93"/>
      <c r="O419" s="85"/>
      <c r="Q419" s="94"/>
      <c r="R419" s="93"/>
      <c r="S419" s="85"/>
      <c r="U419" s="94"/>
      <c r="V419" s="93"/>
      <c r="W419" s="85"/>
      <c r="Y419" s="94"/>
      <c r="Z419" s="93"/>
      <c r="AA419" s="85"/>
      <c r="AC419" s="94"/>
      <c r="AD419" s="93"/>
      <c r="AE419" s="85"/>
    </row>
    <row r="420" spans="6:31" ht="14.5" customHeight="1" x14ac:dyDescent="0.35">
      <c r="F420" s="93"/>
      <c r="G420" s="85"/>
      <c r="H420" s="87"/>
      <c r="J420" s="93"/>
      <c r="K420" s="85"/>
      <c r="N420" s="93"/>
      <c r="O420" s="85"/>
      <c r="Q420" s="94"/>
      <c r="R420" s="93"/>
      <c r="S420" s="85"/>
      <c r="U420" s="94"/>
      <c r="V420" s="93"/>
      <c r="W420" s="85"/>
      <c r="Y420" s="94"/>
      <c r="Z420" s="93"/>
      <c r="AA420" s="85"/>
      <c r="AC420" s="94"/>
      <c r="AD420" s="93"/>
      <c r="AE420" s="85"/>
    </row>
    <row r="421" spans="6:31" ht="14.5" customHeight="1" x14ac:dyDescent="0.35">
      <c r="F421" s="93"/>
      <c r="G421" s="85"/>
      <c r="H421" s="87"/>
      <c r="J421" s="93"/>
      <c r="K421" s="85"/>
      <c r="N421" s="93"/>
      <c r="O421" s="85"/>
      <c r="Q421" s="94"/>
      <c r="R421" s="93"/>
      <c r="S421" s="85"/>
      <c r="U421" s="94"/>
      <c r="V421" s="93"/>
      <c r="W421" s="85"/>
      <c r="Y421" s="94"/>
      <c r="Z421" s="93"/>
      <c r="AA421" s="85"/>
      <c r="AC421" s="94"/>
      <c r="AD421" s="93"/>
      <c r="AE421" s="85"/>
    </row>
    <row r="422" spans="6:31" ht="14.5" customHeight="1" x14ac:dyDescent="0.35">
      <c r="F422" s="93"/>
      <c r="G422" s="85"/>
      <c r="H422" s="87"/>
      <c r="J422" s="93"/>
      <c r="K422" s="85"/>
      <c r="N422" s="93"/>
      <c r="O422" s="85"/>
      <c r="Q422" s="94"/>
      <c r="R422" s="93"/>
      <c r="S422" s="85"/>
      <c r="U422" s="94"/>
      <c r="V422" s="93"/>
      <c r="W422" s="85"/>
      <c r="Y422" s="94"/>
      <c r="Z422" s="93"/>
      <c r="AA422" s="85"/>
      <c r="AC422" s="94"/>
      <c r="AD422" s="93"/>
      <c r="AE422" s="85"/>
    </row>
    <row r="423" spans="6:31" ht="14.5" customHeight="1" x14ac:dyDescent="0.35">
      <c r="F423" s="93"/>
      <c r="G423" s="85"/>
      <c r="H423" s="87"/>
      <c r="J423" s="93"/>
      <c r="K423" s="85"/>
      <c r="N423" s="93"/>
      <c r="O423" s="85"/>
      <c r="Q423" s="94"/>
      <c r="R423" s="93"/>
      <c r="S423" s="85"/>
      <c r="U423" s="94"/>
      <c r="V423" s="93"/>
      <c r="W423" s="85"/>
      <c r="Y423" s="94"/>
      <c r="Z423" s="93"/>
      <c r="AA423" s="85"/>
      <c r="AC423" s="94"/>
      <c r="AD423" s="93"/>
      <c r="AE423" s="85"/>
    </row>
    <row r="424" spans="6:31" ht="14.5" customHeight="1" x14ac:dyDescent="0.35">
      <c r="F424" s="93"/>
      <c r="G424" s="85"/>
      <c r="H424" s="87"/>
      <c r="J424" s="93"/>
      <c r="K424" s="85"/>
      <c r="N424" s="93"/>
      <c r="O424" s="85"/>
      <c r="Q424" s="94"/>
      <c r="R424" s="93"/>
      <c r="S424" s="85"/>
      <c r="U424" s="94"/>
      <c r="V424" s="93"/>
      <c r="W424" s="85"/>
      <c r="Y424" s="94"/>
      <c r="Z424" s="93"/>
      <c r="AA424" s="85"/>
      <c r="AC424" s="94"/>
      <c r="AD424" s="93"/>
      <c r="AE424" s="85"/>
    </row>
    <row r="425" spans="6:31" ht="14.5" customHeight="1" x14ac:dyDescent="0.35">
      <c r="F425" s="93"/>
      <c r="G425" s="85"/>
      <c r="H425" s="87"/>
      <c r="J425" s="93"/>
      <c r="K425" s="85"/>
      <c r="N425" s="93"/>
      <c r="O425" s="85"/>
      <c r="Q425" s="94"/>
      <c r="R425" s="93"/>
      <c r="S425" s="85"/>
      <c r="U425" s="94"/>
      <c r="V425" s="93"/>
      <c r="W425" s="85"/>
      <c r="Y425" s="94"/>
      <c r="Z425" s="93"/>
      <c r="AA425" s="85"/>
      <c r="AC425" s="94"/>
      <c r="AD425" s="93"/>
      <c r="AE425" s="85"/>
    </row>
    <row r="426" spans="6:31" ht="14.5" customHeight="1" x14ac:dyDescent="0.35">
      <c r="F426" s="93"/>
      <c r="G426" s="85"/>
      <c r="H426" s="87"/>
      <c r="J426" s="93"/>
      <c r="K426" s="85"/>
      <c r="N426" s="93"/>
      <c r="O426" s="85"/>
      <c r="Q426" s="94"/>
      <c r="R426" s="93"/>
      <c r="S426" s="85"/>
      <c r="U426" s="94"/>
      <c r="V426" s="93"/>
      <c r="W426" s="85"/>
      <c r="Y426" s="94"/>
      <c r="Z426" s="93"/>
      <c r="AA426" s="85"/>
      <c r="AC426" s="94"/>
      <c r="AD426" s="93"/>
      <c r="AE426" s="85"/>
    </row>
    <row r="427" spans="6:31" ht="14.5" customHeight="1" x14ac:dyDescent="0.35">
      <c r="F427" s="93"/>
      <c r="G427" s="85"/>
      <c r="H427" s="87"/>
      <c r="J427" s="93"/>
      <c r="K427" s="85"/>
      <c r="N427" s="93"/>
      <c r="O427" s="85"/>
      <c r="Q427" s="94"/>
      <c r="R427" s="93"/>
      <c r="S427" s="85"/>
      <c r="U427" s="94"/>
      <c r="V427" s="93"/>
      <c r="W427" s="85"/>
      <c r="Y427" s="94"/>
      <c r="Z427" s="93"/>
      <c r="AA427" s="85"/>
      <c r="AC427" s="94"/>
      <c r="AD427" s="93"/>
      <c r="AE427" s="85"/>
    </row>
    <row r="428" spans="6:31" ht="14.5" customHeight="1" x14ac:dyDescent="0.35">
      <c r="F428" s="93"/>
      <c r="G428" s="85"/>
      <c r="H428" s="87"/>
      <c r="J428" s="93"/>
      <c r="K428" s="85"/>
      <c r="N428" s="93"/>
      <c r="O428" s="85"/>
      <c r="Q428" s="94"/>
      <c r="R428" s="93"/>
      <c r="S428" s="85"/>
      <c r="U428" s="94"/>
      <c r="V428" s="93"/>
      <c r="W428" s="85"/>
      <c r="Y428" s="94"/>
      <c r="Z428" s="93"/>
      <c r="AA428" s="85"/>
      <c r="AC428" s="94"/>
      <c r="AD428" s="93"/>
      <c r="AE428" s="85"/>
    </row>
    <row r="429" spans="6:31" ht="14.5" customHeight="1" x14ac:dyDescent="0.35">
      <c r="F429" s="93"/>
      <c r="G429" s="85"/>
      <c r="H429" s="87"/>
      <c r="J429" s="93"/>
      <c r="K429" s="85"/>
      <c r="N429" s="93"/>
      <c r="O429" s="85"/>
      <c r="Q429" s="94"/>
      <c r="R429" s="93"/>
      <c r="S429" s="85"/>
      <c r="U429" s="94"/>
      <c r="V429" s="93"/>
      <c r="W429" s="85"/>
      <c r="Y429" s="94"/>
      <c r="Z429" s="93"/>
      <c r="AA429" s="85"/>
      <c r="AC429" s="94"/>
      <c r="AD429" s="93"/>
      <c r="AE429" s="85"/>
    </row>
    <row r="430" spans="6:31" ht="14.5" customHeight="1" x14ac:dyDescent="0.35">
      <c r="F430" s="93"/>
      <c r="G430" s="85"/>
      <c r="H430" s="87"/>
      <c r="J430" s="93"/>
      <c r="K430" s="85"/>
      <c r="N430" s="93"/>
      <c r="O430" s="85"/>
      <c r="Q430" s="94"/>
      <c r="R430" s="93"/>
      <c r="S430" s="85"/>
      <c r="U430" s="94"/>
      <c r="V430" s="93"/>
      <c r="W430" s="85"/>
      <c r="Y430" s="94"/>
      <c r="Z430" s="93"/>
      <c r="AA430" s="85"/>
      <c r="AC430" s="94"/>
      <c r="AD430" s="93"/>
      <c r="AE430" s="85"/>
    </row>
    <row r="431" spans="6:31" ht="14.5" customHeight="1" x14ac:dyDescent="0.35">
      <c r="F431" s="93"/>
      <c r="G431" s="85"/>
      <c r="H431" s="87"/>
      <c r="J431" s="93"/>
      <c r="K431" s="85"/>
      <c r="N431" s="93"/>
      <c r="O431" s="85"/>
      <c r="Q431" s="94"/>
      <c r="R431" s="93"/>
      <c r="S431" s="85"/>
      <c r="U431" s="94"/>
      <c r="V431" s="93"/>
      <c r="W431" s="85"/>
      <c r="Y431" s="94"/>
      <c r="Z431" s="93"/>
      <c r="AA431" s="85"/>
      <c r="AC431" s="94"/>
      <c r="AD431" s="93"/>
      <c r="AE431" s="85"/>
    </row>
    <row r="432" spans="6:31" ht="14.5" customHeight="1" x14ac:dyDescent="0.35">
      <c r="F432" s="93"/>
      <c r="G432" s="85"/>
      <c r="H432" s="87"/>
      <c r="J432" s="93"/>
      <c r="K432" s="85"/>
      <c r="N432" s="93"/>
      <c r="O432" s="85"/>
      <c r="Q432" s="94"/>
      <c r="R432" s="93"/>
      <c r="S432" s="85"/>
      <c r="U432" s="94"/>
      <c r="V432" s="93"/>
      <c r="W432" s="85"/>
      <c r="Y432" s="94"/>
      <c r="Z432" s="93"/>
      <c r="AA432" s="85"/>
      <c r="AC432" s="94"/>
      <c r="AD432" s="93"/>
      <c r="AE432" s="85"/>
    </row>
    <row r="433" spans="6:31" ht="14.5" customHeight="1" x14ac:dyDescent="0.35">
      <c r="F433" s="93"/>
      <c r="G433" s="85"/>
      <c r="H433" s="87"/>
      <c r="J433" s="93"/>
      <c r="K433" s="85"/>
      <c r="N433" s="93"/>
      <c r="O433" s="85"/>
      <c r="Q433" s="94"/>
      <c r="R433" s="93"/>
      <c r="S433" s="85"/>
      <c r="U433" s="94"/>
      <c r="V433" s="93"/>
      <c r="W433" s="85"/>
      <c r="Y433" s="94"/>
      <c r="Z433" s="93"/>
      <c r="AA433" s="85"/>
      <c r="AC433" s="94"/>
      <c r="AD433" s="93"/>
      <c r="AE433" s="85"/>
    </row>
    <row r="434" spans="6:31" ht="14.5" customHeight="1" x14ac:dyDescent="0.35">
      <c r="F434" s="93"/>
      <c r="G434" s="85"/>
      <c r="H434" s="87"/>
      <c r="J434" s="93"/>
      <c r="K434" s="85"/>
      <c r="N434" s="93"/>
      <c r="O434" s="85"/>
      <c r="Q434" s="94"/>
      <c r="R434" s="93"/>
      <c r="S434" s="85"/>
      <c r="U434" s="94"/>
      <c r="V434" s="93"/>
      <c r="W434" s="85"/>
      <c r="Y434" s="94"/>
      <c r="Z434" s="93"/>
      <c r="AA434" s="85"/>
      <c r="AC434" s="94"/>
      <c r="AD434" s="93"/>
      <c r="AE434" s="85"/>
    </row>
    <row r="435" spans="6:31" ht="14.5" customHeight="1" x14ac:dyDescent="0.35">
      <c r="F435" s="93"/>
      <c r="G435" s="85"/>
      <c r="H435" s="87"/>
      <c r="J435" s="93"/>
      <c r="K435" s="85"/>
      <c r="N435" s="93"/>
      <c r="O435" s="85"/>
      <c r="Q435" s="94"/>
      <c r="R435" s="93"/>
      <c r="S435" s="85"/>
      <c r="U435" s="94"/>
      <c r="V435" s="93"/>
      <c r="W435" s="85"/>
      <c r="Y435" s="94"/>
      <c r="Z435" s="93"/>
      <c r="AA435" s="85"/>
      <c r="AC435" s="94"/>
      <c r="AD435" s="93"/>
      <c r="AE435" s="85"/>
    </row>
    <row r="436" spans="6:31" ht="14.5" customHeight="1" x14ac:dyDescent="0.35">
      <c r="F436" s="93"/>
      <c r="G436" s="85"/>
      <c r="H436" s="87"/>
      <c r="J436" s="93"/>
      <c r="K436" s="85"/>
      <c r="N436" s="93"/>
      <c r="O436" s="85"/>
      <c r="Q436" s="94"/>
      <c r="R436" s="93"/>
      <c r="S436" s="85"/>
      <c r="U436" s="94"/>
      <c r="V436" s="93"/>
      <c r="W436" s="85"/>
      <c r="Y436" s="94"/>
      <c r="Z436" s="93"/>
      <c r="AA436" s="85"/>
      <c r="AC436" s="94"/>
      <c r="AD436" s="93"/>
      <c r="AE436" s="85"/>
    </row>
    <row r="437" spans="6:31" ht="14.5" customHeight="1" x14ac:dyDescent="0.35">
      <c r="F437" s="93"/>
      <c r="G437" s="85"/>
      <c r="H437" s="87"/>
      <c r="J437" s="93"/>
      <c r="K437" s="85"/>
      <c r="N437" s="93"/>
      <c r="O437" s="85"/>
      <c r="Q437" s="94"/>
      <c r="R437" s="93"/>
      <c r="S437" s="85"/>
      <c r="U437" s="94"/>
      <c r="V437" s="93"/>
      <c r="W437" s="85"/>
      <c r="Y437" s="94"/>
      <c r="Z437" s="93"/>
      <c r="AA437" s="85"/>
      <c r="AC437" s="94"/>
      <c r="AD437" s="93"/>
      <c r="AE437" s="85"/>
    </row>
    <row r="438" spans="6:31" ht="14.5" customHeight="1" x14ac:dyDescent="0.35">
      <c r="F438" s="93"/>
      <c r="G438" s="85"/>
      <c r="H438" s="87"/>
      <c r="J438" s="93"/>
      <c r="K438" s="85"/>
      <c r="N438" s="93"/>
      <c r="O438" s="85"/>
      <c r="Q438" s="94"/>
      <c r="R438" s="93"/>
      <c r="S438" s="85"/>
      <c r="U438" s="94"/>
      <c r="V438" s="93"/>
      <c r="W438" s="85"/>
      <c r="Y438" s="94"/>
      <c r="Z438" s="93"/>
      <c r="AA438" s="85"/>
      <c r="AC438" s="94"/>
      <c r="AD438" s="93"/>
      <c r="AE438" s="85"/>
    </row>
    <row r="439" spans="6:31" ht="14.5" customHeight="1" x14ac:dyDescent="0.35">
      <c r="F439" s="93"/>
      <c r="G439" s="85"/>
      <c r="H439" s="87"/>
      <c r="J439" s="93"/>
      <c r="K439" s="85"/>
      <c r="N439" s="93"/>
      <c r="O439" s="85"/>
      <c r="Q439" s="94"/>
      <c r="R439" s="93"/>
      <c r="S439" s="85"/>
      <c r="U439" s="94"/>
      <c r="V439" s="93"/>
      <c r="W439" s="85"/>
      <c r="Y439" s="94"/>
      <c r="Z439" s="93"/>
      <c r="AA439" s="85"/>
      <c r="AC439" s="94"/>
      <c r="AD439" s="93"/>
      <c r="AE439" s="85"/>
    </row>
    <row r="440" spans="6:31" ht="14.5" customHeight="1" x14ac:dyDescent="0.35">
      <c r="F440" s="93"/>
      <c r="G440" s="85"/>
      <c r="H440" s="87"/>
      <c r="J440" s="93"/>
      <c r="K440" s="85"/>
      <c r="N440" s="93"/>
      <c r="O440" s="85"/>
      <c r="Q440" s="94"/>
      <c r="R440" s="93"/>
      <c r="S440" s="85"/>
      <c r="U440" s="94"/>
      <c r="V440" s="93"/>
      <c r="W440" s="85"/>
      <c r="Y440" s="94"/>
      <c r="Z440" s="93"/>
      <c r="AA440" s="85"/>
      <c r="AC440" s="94"/>
      <c r="AD440" s="93"/>
      <c r="AE440" s="85"/>
    </row>
    <row r="441" spans="6:31" ht="14.5" customHeight="1" x14ac:dyDescent="0.35">
      <c r="F441" s="93"/>
      <c r="G441" s="85"/>
      <c r="H441" s="87"/>
      <c r="J441" s="93"/>
      <c r="K441" s="85"/>
      <c r="N441" s="93"/>
      <c r="O441" s="85"/>
      <c r="Q441" s="94"/>
      <c r="R441" s="93"/>
      <c r="S441" s="85"/>
      <c r="U441" s="94"/>
      <c r="V441" s="93"/>
      <c r="W441" s="85"/>
      <c r="Y441" s="94"/>
      <c r="Z441" s="93"/>
      <c r="AA441" s="85"/>
      <c r="AC441" s="94"/>
      <c r="AD441" s="93"/>
      <c r="AE441" s="85"/>
    </row>
    <row r="442" spans="6:31" ht="14.5" customHeight="1" x14ac:dyDescent="0.35">
      <c r="F442" s="93"/>
      <c r="G442" s="85"/>
      <c r="H442" s="87"/>
      <c r="J442" s="93"/>
      <c r="K442" s="85"/>
      <c r="N442" s="93"/>
      <c r="O442" s="85"/>
      <c r="Q442" s="94"/>
      <c r="R442" s="93"/>
      <c r="S442" s="85"/>
      <c r="U442" s="94"/>
      <c r="V442" s="93"/>
      <c r="W442" s="85"/>
      <c r="Y442" s="94"/>
      <c r="Z442" s="93"/>
      <c r="AA442" s="85"/>
      <c r="AC442" s="94"/>
      <c r="AD442" s="93"/>
      <c r="AE442" s="85"/>
    </row>
    <row r="443" spans="6:31" ht="14.5" customHeight="1" x14ac:dyDescent="0.35">
      <c r="F443" s="93"/>
      <c r="G443" s="85"/>
      <c r="H443" s="87"/>
      <c r="J443" s="93"/>
      <c r="K443" s="85"/>
      <c r="N443" s="93"/>
      <c r="O443" s="85"/>
      <c r="Q443" s="94"/>
      <c r="R443" s="93"/>
      <c r="S443" s="85"/>
      <c r="U443" s="94"/>
      <c r="V443" s="93"/>
      <c r="W443" s="85"/>
      <c r="Y443" s="94"/>
      <c r="Z443" s="93"/>
      <c r="AA443" s="85"/>
      <c r="AC443" s="94"/>
      <c r="AD443" s="93"/>
      <c r="AE443" s="85"/>
    </row>
    <row r="444" spans="6:31" ht="14.5" customHeight="1" x14ac:dyDescent="0.35">
      <c r="F444" s="93"/>
      <c r="G444" s="85"/>
      <c r="H444" s="87"/>
      <c r="J444" s="93"/>
      <c r="K444" s="85"/>
      <c r="N444" s="93"/>
      <c r="O444" s="85"/>
      <c r="Q444" s="94"/>
      <c r="R444" s="93"/>
      <c r="S444" s="85"/>
      <c r="U444" s="94"/>
      <c r="V444" s="93"/>
      <c r="W444" s="85"/>
      <c r="Y444" s="94"/>
      <c r="Z444" s="93"/>
      <c r="AA444" s="85"/>
      <c r="AC444" s="94"/>
      <c r="AD444" s="93"/>
      <c r="AE444" s="85"/>
    </row>
    <row r="445" spans="6:31" ht="14.5" customHeight="1" x14ac:dyDescent="0.35">
      <c r="F445" s="93"/>
      <c r="G445" s="85"/>
      <c r="H445" s="87"/>
      <c r="J445" s="93"/>
      <c r="K445" s="85"/>
      <c r="N445" s="93"/>
      <c r="O445" s="85"/>
      <c r="Q445" s="94"/>
      <c r="R445" s="93"/>
      <c r="S445" s="85"/>
      <c r="U445" s="94"/>
      <c r="V445" s="93"/>
      <c r="W445" s="85"/>
      <c r="Y445" s="94"/>
      <c r="Z445" s="93"/>
      <c r="AA445" s="85"/>
      <c r="AC445" s="94"/>
      <c r="AD445" s="93"/>
      <c r="AE445" s="85"/>
    </row>
    <row r="446" spans="6:31" ht="14.5" customHeight="1" x14ac:dyDescent="0.35">
      <c r="F446" s="93"/>
      <c r="G446" s="85"/>
      <c r="H446" s="87"/>
      <c r="J446" s="93"/>
      <c r="K446" s="85"/>
      <c r="N446" s="93"/>
      <c r="O446" s="85"/>
      <c r="Q446" s="94"/>
      <c r="R446" s="93"/>
      <c r="S446" s="85"/>
      <c r="U446" s="94"/>
      <c r="V446" s="93"/>
      <c r="W446" s="85"/>
      <c r="Y446" s="94"/>
      <c r="Z446" s="93"/>
      <c r="AA446" s="85"/>
      <c r="AC446" s="94"/>
      <c r="AD446" s="93"/>
      <c r="AE446" s="85"/>
    </row>
    <row r="447" spans="6:31" ht="14.5" customHeight="1" x14ac:dyDescent="0.35">
      <c r="F447" s="93"/>
      <c r="G447" s="85"/>
      <c r="H447" s="87"/>
      <c r="J447" s="93"/>
      <c r="K447" s="85"/>
      <c r="N447" s="93"/>
      <c r="O447" s="85"/>
      <c r="Q447" s="94"/>
      <c r="R447" s="93"/>
      <c r="S447" s="85"/>
      <c r="U447" s="94"/>
      <c r="V447" s="93"/>
      <c r="W447" s="85"/>
      <c r="Y447" s="94"/>
      <c r="Z447" s="93"/>
      <c r="AA447" s="85"/>
      <c r="AC447" s="94"/>
      <c r="AD447" s="93"/>
      <c r="AE447" s="85"/>
    </row>
    <row r="448" spans="6:31" ht="14.5" customHeight="1" x14ac:dyDescent="0.35">
      <c r="F448" s="93"/>
      <c r="G448" s="85"/>
      <c r="H448" s="87"/>
      <c r="J448" s="93"/>
      <c r="K448" s="85"/>
      <c r="N448" s="93"/>
      <c r="O448" s="85"/>
      <c r="Q448" s="94"/>
      <c r="R448" s="93"/>
      <c r="S448" s="85"/>
      <c r="U448" s="94"/>
      <c r="V448" s="93"/>
      <c r="W448" s="85"/>
      <c r="Y448" s="94"/>
      <c r="Z448" s="93"/>
      <c r="AA448" s="85"/>
      <c r="AC448" s="94"/>
      <c r="AD448" s="93"/>
      <c r="AE448" s="85"/>
    </row>
    <row r="449" spans="6:31" ht="14.5" customHeight="1" x14ac:dyDescent="0.35">
      <c r="F449" s="93"/>
      <c r="G449" s="85"/>
      <c r="H449" s="87"/>
      <c r="J449" s="93"/>
      <c r="K449" s="85"/>
      <c r="N449" s="93"/>
      <c r="O449" s="85"/>
      <c r="Q449" s="94"/>
      <c r="R449" s="93"/>
      <c r="S449" s="85"/>
      <c r="U449" s="94"/>
      <c r="V449" s="93"/>
      <c r="W449" s="85"/>
      <c r="Y449" s="94"/>
      <c r="Z449" s="93"/>
      <c r="AA449" s="85"/>
      <c r="AC449" s="94"/>
      <c r="AD449" s="93"/>
      <c r="AE449" s="85"/>
    </row>
    <row r="450" spans="6:31" ht="14.5" customHeight="1" x14ac:dyDescent="0.35">
      <c r="F450" s="93"/>
      <c r="G450" s="85"/>
      <c r="H450" s="87"/>
      <c r="J450" s="93"/>
      <c r="K450" s="85"/>
      <c r="N450" s="93"/>
      <c r="O450" s="85"/>
      <c r="Q450" s="94"/>
      <c r="R450" s="93"/>
      <c r="S450" s="85"/>
      <c r="U450" s="94"/>
      <c r="V450" s="93"/>
      <c r="W450" s="85"/>
      <c r="Y450" s="94"/>
      <c r="Z450" s="93"/>
      <c r="AA450" s="85"/>
      <c r="AC450" s="94"/>
      <c r="AD450" s="93"/>
      <c r="AE450" s="85"/>
    </row>
    <row r="451" spans="6:31" ht="14.5" customHeight="1" x14ac:dyDescent="0.35">
      <c r="F451" s="93"/>
      <c r="G451" s="85"/>
      <c r="H451" s="87"/>
      <c r="J451" s="93"/>
      <c r="K451" s="85"/>
      <c r="N451" s="93"/>
      <c r="O451" s="85"/>
      <c r="Q451" s="94"/>
      <c r="R451" s="93"/>
      <c r="S451" s="85"/>
      <c r="U451" s="94"/>
      <c r="V451" s="93"/>
      <c r="W451" s="85"/>
      <c r="Y451" s="94"/>
      <c r="Z451" s="93"/>
      <c r="AA451" s="85"/>
      <c r="AC451" s="94"/>
      <c r="AD451" s="93"/>
      <c r="AE451" s="85"/>
    </row>
    <row r="452" spans="6:31" ht="14.5" customHeight="1" x14ac:dyDescent="0.35">
      <c r="F452" s="93"/>
      <c r="G452" s="85"/>
      <c r="H452" s="87"/>
      <c r="J452" s="93"/>
      <c r="K452" s="85"/>
      <c r="N452" s="93"/>
      <c r="O452" s="85"/>
      <c r="Q452" s="94"/>
      <c r="R452" s="93"/>
      <c r="S452" s="85"/>
      <c r="U452" s="94"/>
      <c r="V452" s="93"/>
      <c r="W452" s="85"/>
      <c r="Y452" s="94"/>
      <c r="Z452" s="93"/>
      <c r="AA452" s="85"/>
      <c r="AC452" s="94"/>
      <c r="AD452" s="93"/>
      <c r="AE452" s="85"/>
    </row>
    <row r="453" spans="6:31" ht="14.5" customHeight="1" x14ac:dyDescent="0.35">
      <c r="F453" s="93"/>
      <c r="G453" s="85"/>
      <c r="H453" s="87"/>
      <c r="J453" s="93"/>
      <c r="K453" s="85"/>
      <c r="N453" s="93"/>
      <c r="O453" s="85"/>
      <c r="Q453" s="94"/>
      <c r="R453" s="93"/>
      <c r="S453" s="85"/>
      <c r="U453" s="94"/>
      <c r="V453" s="93"/>
      <c r="W453" s="85"/>
      <c r="Y453" s="94"/>
      <c r="Z453" s="93"/>
      <c r="AA453" s="85"/>
      <c r="AC453" s="94"/>
      <c r="AD453" s="93"/>
      <c r="AE453" s="85"/>
    </row>
    <row r="454" spans="6:31" ht="14.5" customHeight="1" x14ac:dyDescent="0.35">
      <c r="F454" s="93"/>
      <c r="G454" s="85"/>
      <c r="H454" s="87"/>
      <c r="J454" s="93"/>
      <c r="K454" s="85"/>
      <c r="N454" s="93"/>
      <c r="O454" s="85"/>
      <c r="Q454" s="94"/>
      <c r="R454" s="93"/>
      <c r="S454" s="85"/>
      <c r="U454" s="94"/>
      <c r="V454" s="93"/>
      <c r="W454" s="85"/>
      <c r="Y454" s="94"/>
      <c r="Z454" s="93"/>
      <c r="AA454" s="85"/>
      <c r="AC454" s="94"/>
      <c r="AD454" s="93"/>
      <c r="AE454" s="85"/>
    </row>
    <row r="455" spans="6:31" ht="14.5" customHeight="1" x14ac:dyDescent="0.35">
      <c r="F455" s="93"/>
      <c r="G455" s="85"/>
      <c r="H455" s="87"/>
      <c r="J455" s="93"/>
      <c r="K455" s="85"/>
      <c r="N455" s="93"/>
      <c r="O455" s="85"/>
      <c r="Q455" s="94"/>
      <c r="R455" s="93"/>
      <c r="S455" s="85"/>
      <c r="U455" s="94"/>
      <c r="V455" s="93"/>
      <c r="W455" s="85"/>
      <c r="Y455" s="94"/>
      <c r="Z455" s="93"/>
      <c r="AA455" s="85"/>
      <c r="AC455" s="94"/>
      <c r="AD455" s="93"/>
      <c r="AE455" s="85"/>
    </row>
    <row r="456" spans="6:31" ht="14.5" customHeight="1" x14ac:dyDescent="0.35">
      <c r="F456" s="93"/>
      <c r="G456" s="85"/>
      <c r="H456" s="87"/>
      <c r="J456" s="93"/>
      <c r="K456" s="85"/>
      <c r="N456" s="93"/>
      <c r="O456" s="85"/>
      <c r="Q456" s="94"/>
      <c r="R456" s="93"/>
      <c r="S456" s="85"/>
      <c r="U456" s="94"/>
      <c r="V456" s="93"/>
      <c r="W456" s="85"/>
      <c r="Y456" s="94"/>
      <c r="Z456" s="93"/>
      <c r="AA456" s="85"/>
      <c r="AC456" s="94"/>
      <c r="AD456" s="93"/>
      <c r="AE456" s="85"/>
    </row>
    <row r="457" spans="6:31" ht="14.5" customHeight="1" x14ac:dyDescent="0.35">
      <c r="F457" s="93"/>
      <c r="G457" s="85"/>
      <c r="H457" s="87"/>
      <c r="J457" s="93"/>
      <c r="K457" s="85"/>
      <c r="N457" s="93"/>
      <c r="O457" s="85"/>
      <c r="Q457" s="94"/>
      <c r="R457" s="93"/>
      <c r="S457" s="85"/>
      <c r="U457" s="94"/>
      <c r="V457" s="93"/>
      <c r="W457" s="85"/>
      <c r="Y457" s="94"/>
      <c r="Z457" s="93"/>
      <c r="AA457" s="85"/>
      <c r="AC457" s="94"/>
      <c r="AD457" s="93"/>
      <c r="AE457" s="85"/>
    </row>
    <row r="458" spans="6:31" ht="14.5" customHeight="1" x14ac:dyDescent="0.35">
      <c r="F458" s="93"/>
      <c r="G458" s="85"/>
      <c r="H458" s="87"/>
      <c r="J458" s="93"/>
      <c r="K458" s="85"/>
      <c r="N458" s="93"/>
      <c r="O458" s="85"/>
      <c r="Q458" s="94"/>
      <c r="R458" s="93"/>
      <c r="S458" s="85"/>
      <c r="U458" s="94"/>
      <c r="V458" s="93"/>
      <c r="W458" s="85"/>
      <c r="Y458" s="94"/>
      <c r="Z458" s="93"/>
      <c r="AA458" s="85"/>
      <c r="AC458" s="94"/>
      <c r="AD458" s="93"/>
      <c r="AE458" s="85"/>
    </row>
    <row r="459" spans="6:31" ht="14.5" customHeight="1" x14ac:dyDescent="0.35">
      <c r="F459" s="93"/>
      <c r="G459" s="85"/>
      <c r="H459" s="87"/>
      <c r="J459" s="93"/>
      <c r="K459" s="85"/>
      <c r="N459" s="93"/>
      <c r="O459" s="85"/>
      <c r="Q459" s="94"/>
      <c r="R459" s="93"/>
      <c r="S459" s="85"/>
      <c r="U459" s="94"/>
      <c r="V459" s="93"/>
      <c r="W459" s="85"/>
      <c r="Y459" s="94"/>
      <c r="Z459" s="93"/>
      <c r="AA459" s="85"/>
      <c r="AC459" s="94"/>
      <c r="AD459" s="93"/>
      <c r="AE459" s="85"/>
    </row>
    <row r="460" spans="6:31" ht="14.5" customHeight="1" x14ac:dyDescent="0.35">
      <c r="F460" s="93"/>
      <c r="G460" s="85"/>
      <c r="H460" s="87"/>
      <c r="J460" s="93"/>
      <c r="K460" s="85"/>
      <c r="N460" s="93"/>
      <c r="O460" s="85"/>
      <c r="Q460" s="94"/>
      <c r="R460" s="93"/>
      <c r="S460" s="85"/>
      <c r="U460" s="94"/>
      <c r="V460" s="93"/>
      <c r="W460" s="85"/>
      <c r="Y460" s="94"/>
      <c r="Z460" s="93"/>
      <c r="AA460" s="85"/>
      <c r="AC460" s="94"/>
      <c r="AD460" s="93"/>
      <c r="AE460" s="85"/>
    </row>
    <row r="461" spans="6:31" ht="14.5" customHeight="1" x14ac:dyDescent="0.35">
      <c r="F461" s="93"/>
      <c r="G461" s="85"/>
      <c r="H461" s="87"/>
      <c r="J461" s="93"/>
      <c r="K461" s="85"/>
      <c r="N461" s="93"/>
      <c r="O461" s="85"/>
      <c r="Q461" s="94"/>
      <c r="R461" s="93"/>
      <c r="S461" s="85"/>
      <c r="U461" s="94"/>
      <c r="V461" s="93"/>
      <c r="W461" s="85"/>
      <c r="Y461" s="94"/>
      <c r="Z461" s="93"/>
      <c r="AA461" s="85"/>
      <c r="AC461" s="94"/>
      <c r="AD461" s="93"/>
      <c r="AE461" s="85"/>
    </row>
    <row r="462" spans="6:31" ht="14.5" customHeight="1" x14ac:dyDescent="0.35">
      <c r="F462" s="93"/>
      <c r="G462" s="85"/>
      <c r="H462" s="87"/>
      <c r="J462" s="93"/>
      <c r="K462" s="85"/>
      <c r="N462" s="93"/>
      <c r="O462" s="85"/>
      <c r="Q462" s="94"/>
      <c r="R462" s="93"/>
      <c r="S462" s="85"/>
      <c r="U462" s="94"/>
      <c r="V462" s="93"/>
      <c r="W462" s="85"/>
      <c r="Y462" s="94"/>
      <c r="Z462" s="93"/>
      <c r="AA462" s="85"/>
      <c r="AC462" s="94"/>
      <c r="AD462" s="93"/>
      <c r="AE462" s="85"/>
    </row>
    <row r="463" spans="6:31" ht="14.5" customHeight="1" x14ac:dyDescent="0.35">
      <c r="F463" s="93"/>
      <c r="G463" s="85"/>
      <c r="H463" s="87"/>
      <c r="J463" s="93"/>
      <c r="K463" s="85"/>
      <c r="N463" s="93"/>
      <c r="O463" s="85"/>
      <c r="Q463" s="94"/>
      <c r="R463" s="93"/>
      <c r="S463" s="85"/>
      <c r="U463" s="94"/>
      <c r="V463" s="93"/>
      <c r="W463" s="85"/>
      <c r="Y463" s="94"/>
      <c r="Z463" s="93"/>
      <c r="AA463" s="85"/>
      <c r="AC463" s="94"/>
      <c r="AD463" s="93"/>
      <c r="AE463" s="85"/>
    </row>
    <row r="464" spans="6:31" ht="14.5" customHeight="1" x14ac:dyDescent="0.35">
      <c r="F464" s="93"/>
      <c r="G464" s="85"/>
      <c r="H464" s="87"/>
      <c r="J464" s="93"/>
      <c r="K464" s="85"/>
      <c r="N464" s="93"/>
      <c r="O464" s="85"/>
      <c r="Q464" s="94"/>
      <c r="R464" s="93"/>
      <c r="S464" s="85"/>
      <c r="U464" s="94"/>
      <c r="V464" s="93"/>
      <c r="W464" s="85"/>
      <c r="Y464" s="94"/>
      <c r="Z464" s="93"/>
      <c r="AA464" s="85"/>
      <c r="AC464" s="94"/>
      <c r="AD464" s="93"/>
      <c r="AE464" s="85"/>
    </row>
    <row r="465" spans="6:31" ht="14.5" customHeight="1" x14ac:dyDescent="0.35">
      <c r="F465" s="93"/>
      <c r="G465" s="85"/>
      <c r="H465" s="87"/>
      <c r="J465" s="93"/>
      <c r="K465" s="85"/>
      <c r="N465" s="93"/>
      <c r="O465" s="85"/>
      <c r="Q465" s="94"/>
      <c r="R465" s="93"/>
      <c r="S465" s="85"/>
      <c r="U465" s="94"/>
      <c r="V465" s="93"/>
      <c r="W465" s="85"/>
      <c r="Y465" s="94"/>
      <c r="Z465" s="93"/>
      <c r="AA465" s="85"/>
      <c r="AC465" s="94"/>
      <c r="AD465" s="93"/>
      <c r="AE465" s="85"/>
    </row>
    <row r="466" spans="6:31" ht="14.5" customHeight="1" x14ac:dyDescent="0.35">
      <c r="F466" s="93"/>
      <c r="G466" s="85"/>
      <c r="H466" s="87"/>
      <c r="J466" s="93"/>
      <c r="K466" s="85"/>
      <c r="N466" s="93"/>
      <c r="O466" s="85"/>
      <c r="Q466" s="94"/>
      <c r="R466" s="93"/>
      <c r="S466" s="85"/>
      <c r="U466" s="94"/>
      <c r="V466" s="93"/>
      <c r="W466" s="85"/>
      <c r="Y466" s="94"/>
      <c r="Z466" s="93"/>
      <c r="AA466" s="85"/>
      <c r="AC466" s="94"/>
      <c r="AD466" s="93"/>
      <c r="AE466" s="85"/>
    </row>
    <row r="467" spans="6:31" ht="14.5" customHeight="1" x14ac:dyDescent="0.35">
      <c r="F467" s="93"/>
      <c r="G467" s="85"/>
      <c r="H467" s="87"/>
      <c r="J467" s="93"/>
      <c r="K467" s="85"/>
      <c r="N467" s="93"/>
      <c r="O467" s="85"/>
      <c r="Q467" s="94"/>
      <c r="R467" s="93"/>
      <c r="S467" s="85"/>
      <c r="U467" s="94"/>
      <c r="V467" s="93"/>
      <c r="W467" s="85"/>
      <c r="Y467" s="94"/>
      <c r="Z467" s="93"/>
      <c r="AA467" s="85"/>
      <c r="AC467" s="94"/>
      <c r="AD467" s="93"/>
      <c r="AE467" s="85"/>
    </row>
    <row r="468" spans="6:31" ht="14.5" customHeight="1" x14ac:dyDescent="0.35">
      <c r="F468" s="93"/>
      <c r="G468" s="85"/>
      <c r="H468" s="87"/>
      <c r="J468" s="93"/>
      <c r="K468" s="85"/>
      <c r="N468" s="93"/>
      <c r="O468" s="85"/>
      <c r="Q468" s="94"/>
      <c r="R468" s="93"/>
      <c r="S468" s="85"/>
      <c r="U468" s="94"/>
      <c r="V468" s="93"/>
      <c r="W468" s="85"/>
      <c r="Y468" s="94"/>
      <c r="Z468" s="93"/>
      <c r="AA468" s="85"/>
      <c r="AC468" s="94"/>
      <c r="AD468" s="93"/>
      <c r="AE468" s="85"/>
    </row>
    <row r="469" spans="6:31" ht="14.5" customHeight="1" x14ac:dyDescent="0.35">
      <c r="F469" s="93"/>
      <c r="G469" s="85"/>
      <c r="H469" s="87"/>
      <c r="J469" s="93"/>
      <c r="K469" s="85"/>
      <c r="N469" s="93"/>
      <c r="O469" s="85"/>
      <c r="Q469" s="94"/>
      <c r="R469" s="93"/>
      <c r="S469" s="85"/>
      <c r="U469" s="94"/>
      <c r="V469" s="93"/>
      <c r="W469" s="85"/>
      <c r="Y469" s="94"/>
      <c r="Z469" s="93"/>
      <c r="AA469" s="85"/>
      <c r="AC469" s="94"/>
      <c r="AD469" s="93"/>
      <c r="AE469" s="85"/>
    </row>
    <row r="470" spans="6:31" ht="14.5" customHeight="1" x14ac:dyDescent="0.35">
      <c r="F470" s="93"/>
      <c r="G470" s="85"/>
      <c r="H470" s="87"/>
      <c r="J470" s="93"/>
      <c r="K470" s="85"/>
      <c r="N470" s="93"/>
      <c r="O470" s="85"/>
      <c r="Q470" s="94"/>
      <c r="R470" s="93"/>
      <c r="S470" s="85"/>
      <c r="U470" s="94"/>
      <c r="V470" s="93"/>
      <c r="W470" s="85"/>
      <c r="Y470" s="94"/>
      <c r="Z470" s="93"/>
      <c r="AA470" s="85"/>
      <c r="AC470" s="94"/>
      <c r="AD470" s="93"/>
      <c r="AE470" s="85"/>
    </row>
    <row r="471" spans="6:31" ht="14.5" customHeight="1" x14ac:dyDescent="0.35">
      <c r="F471" s="93"/>
      <c r="G471" s="85"/>
      <c r="H471" s="87"/>
      <c r="J471" s="93"/>
      <c r="K471" s="85"/>
      <c r="N471" s="93"/>
      <c r="O471" s="85"/>
      <c r="Q471" s="94"/>
      <c r="R471" s="93"/>
      <c r="S471" s="85"/>
      <c r="U471" s="94"/>
      <c r="V471" s="93"/>
      <c r="W471" s="85"/>
      <c r="Y471" s="94"/>
      <c r="Z471" s="93"/>
      <c r="AA471" s="85"/>
      <c r="AC471" s="94"/>
      <c r="AD471" s="93"/>
      <c r="AE471" s="85"/>
    </row>
    <row r="472" spans="6:31" ht="14.5" customHeight="1" x14ac:dyDescent="0.35">
      <c r="F472" s="93"/>
      <c r="G472" s="85"/>
      <c r="H472" s="87"/>
      <c r="J472" s="93"/>
      <c r="K472" s="85"/>
      <c r="N472" s="93"/>
      <c r="O472" s="85"/>
      <c r="Q472" s="94"/>
      <c r="R472" s="93"/>
      <c r="S472" s="85"/>
      <c r="U472" s="94"/>
      <c r="V472" s="93"/>
      <c r="W472" s="85"/>
      <c r="Y472" s="94"/>
      <c r="Z472" s="93"/>
      <c r="AA472" s="85"/>
      <c r="AC472" s="94"/>
      <c r="AD472" s="93"/>
      <c r="AE472" s="85"/>
    </row>
    <row r="473" spans="6:31" ht="14.5" customHeight="1" x14ac:dyDescent="0.35">
      <c r="F473" s="93"/>
      <c r="G473" s="85"/>
      <c r="H473" s="87"/>
      <c r="J473" s="93"/>
      <c r="K473" s="85"/>
      <c r="N473" s="93"/>
      <c r="O473" s="85"/>
      <c r="Q473" s="94"/>
      <c r="R473" s="93"/>
      <c r="S473" s="85"/>
      <c r="U473" s="94"/>
      <c r="V473" s="93"/>
      <c r="W473" s="85"/>
      <c r="Y473" s="94"/>
      <c r="Z473" s="93"/>
      <c r="AA473" s="85"/>
      <c r="AC473" s="94"/>
      <c r="AD473" s="93"/>
      <c r="AE473" s="85"/>
    </row>
    <row r="474" spans="6:31" ht="14.5" customHeight="1" x14ac:dyDescent="0.35">
      <c r="F474" s="93"/>
      <c r="G474" s="85"/>
      <c r="H474" s="87"/>
      <c r="J474" s="93"/>
      <c r="K474" s="85"/>
      <c r="N474" s="93"/>
      <c r="O474" s="85"/>
      <c r="Q474" s="94"/>
      <c r="R474" s="93"/>
      <c r="S474" s="85"/>
      <c r="U474" s="94"/>
      <c r="V474" s="93"/>
      <c r="W474" s="85"/>
      <c r="Y474" s="94"/>
      <c r="Z474" s="93"/>
      <c r="AA474" s="85"/>
      <c r="AC474" s="94"/>
      <c r="AD474" s="93"/>
      <c r="AE474" s="85"/>
    </row>
    <row r="475" spans="6:31" ht="14.5" customHeight="1" x14ac:dyDescent="0.35">
      <c r="F475" s="93"/>
      <c r="G475" s="85"/>
      <c r="H475" s="87"/>
      <c r="J475" s="93"/>
      <c r="K475" s="85"/>
      <c r="N475" s="93"/>
      <c r="O475" s="85"/>
      <c r="Q475" s="94"/>
      <c r="R475" s="93"/>
      <c r="S475" s="85"/>
      <c r="U475" s="94"/>
      <c r="V475" s="93"/>
      <c r="W475" s="85"/>
      <c r="Y475" s="94"/>
      <c r="Z475" s="93"/>
      <c r="AA475" s="85"/>
      <c r="AC475" s="94"/>
      <c r="AD475" s="93"/>
      <c r="AE475" s="85"/>
    </row>
    <row r="476" spans="6:31" ht="14.5" customHeight="1" x14ac:dyDescent="0.35">
      <c r="F476" s="93"/>
      <c r="G476" s="85"/>
      <c r="H476" s="87"/>
      <c r="J476" s="93"/>
      <c r="K476" s="85"/>
      <c r="N476" s="93"/>
      <c r="O476" s="85"/>
      <c r="Q476" s="94"/>
      <c r="R476" s="93"/>
      <c r="S476" s="85"/>
      <c r="U476" s="94"/>
      <c r="V476" s="93"/>
      <c r="W476" s="85"/>
      <c r="Y476" s="94"/>
      <c r="Z476" s="93"/>
      <c r="AA476" s="85"/>
      <c r="AC476" s="94"/>
      <c r="AD476" s="93"/>
      <c r="AE476" s="85"/>
    </row>
    <row r="477" spans="6:31" ht="14.5" customHeight="1" x14ac:dyDescent="0.35">
      <c r="F477" s="93"/>
      <c r="G477" s="85"/>
      <c r="H477" s="87"/>
      <c r="J477" s="93"/>
      <c r="K477" s="85"/>
      <c r="N477" s="93"/>
      <c r="O477" s="85"/>
      <c r="Q477" s="94"/>
      <c r="R477" s="93"/>
      <c r="S477" s="85"/>
      <c r="U477" s="94"/>
      <c r="V477" s="93"/>
      <c r="W477" s="85"/>
      <c r="Y477" s="94"/>
      <c r="Z477" s="93"/>
      <c r="AA477" s="85"/>
      <c r="AC477" s="94"/>
      <c r="AD477" s="93"/>
      <c r="AE477" s="85"/>
    </row>
    <row r="478" spans="6:31" ht="14.5" customHeight="1" x14ac:dyDescent="0.35">
      <c r="F478" s="93"/>
      <c r="G478" s="85"/>
      <c r="H478" s="87"/>
      <c r="J478" s="93"/>
      <c r="K478" s="85"/>
      <c r="N478" s="93"/>
      <c r="O478" s="85"/>
      <c r="Q478" s="94"/>
      <c r="R478" s="93"/>
      <c r="S478" s="85"/>
      <c r="U478" s="94"/>
      <c r="V478" s="93"/>
      <c r="W478" s="85"/>
      <c r="Y478" s="94"/>
      <c r="Z478" s="93"/>
      <c r="AA478" s="85"/>
      <c r="AC478" s="94"/>
      <c r="AD478" s="93"/>
      <c r="AE478" s="85"/>
    </row>
    <row r="479" spans="6:31" ht="14.5" customHeight="1" x14ac:dyDescent="0.35">
      <c r="F479" s="93"/>
      <c r="G479" s="85"/>
      <c r="H479" s="87"/>
      <c r="J479" s="93"/>
      <c r="K479" s="85"/>
      <c r="N479" s="93"/>
      <c r="O479" s="85"/>
      <c r="Q479" s="94"/>
      <c r="R479" s="93"/>
      <c r="S479" s="85"/>
      <c r="U479" s="94"/>
      <c r="V479" s="93"/>
      <c r="W479" s="85"/>
      <c r="Y479" s="94"/>
      <c r="Z479" s="93"/>
      <c r="AA479" s="85"/>
      <c r="AC479" s="94"/>
      <c r="AD479" s="93"/>
      <c r="AE479" s="85"/>
    </row>
    <row r="480" spans="6:31" ht="14.5" customHeight="1" x14ac:dyDescent="0.35">
      <c r="F480" s="93"/>
      <c r="G480" s="85"/>
      <c r="H480" s="87"/>
      <c r="J480" s="93"/>
      <c r="K480" s="85"/>
      <c r="N480" s="93"/>
      <c r="O480" s="85"/>
      <c r="Q480" s="94"/>
      <c r="R480" s="93"/>
      <c r="S480" s="85"/>
      <c r="U480" s="94"/>
      <c r="V480" s="93"/>
      <c r="W480" s="85"/>
      <c r="Y480" s="94"/>
      <c r="Z480" s="93"/>
      <c r="AA480" s="85"/>
      <c r="AC480" s="94"/>
      <c r="AD480" s="93"/>
      <c r="AE480" s="85"/>
    </row>
    <row r="481" spans="6:31" ht="14.5" customHeight="1" x14ac:dyDescent="0.35">
      <c r="F481" s="93"/>
      <c r="G481" s="85"/>
      <c r="H481" s="87"/>
      <c r="J481" s="93"/>
      <c r="K481" s="85"/>
      <c r="N481" s="93"/>
      <c r="O481" s="85"/>
      <c r="Q481" s="94"/>
      <c r="R481" s="93"/>
      <c r="S481" s="85"/>
      <c r="U481" s="94"/>
      <c r="V481" s="93"/>
      <c r="W481" s="85"/>
      <c r="Y481" s="94"/>
      <c r="Z481" s="93"/>
      <c r="AA481" s="85"/>
      <c r="AC481" s="94"/>
      <c r="AD481" s="93"/>
      <c r="AE481" s="85"/>
    </row>
    <row r="482" spans="6:31" ht="14.5" customHeight="1" x14ac:dyDescent="0.35">
      <c r="F482" s="93"/>
      <c r="G482" s="85"/>
      <c r="H482" s="87"/>
      <c r="J482" s="93"/>
      <c r="K482" s="85"/>
      <c r="N482" s="93"/>
      <c r="O482" s="85"/>
      <c r="Q482" s="94"/>
      <c r="R482" s="93"/>
      <c r="S482" s="85"/>
      <c r="U482" s="94"/>
      <c r="V482" s="93"/>
      <c r="W482" s="85"/>
      <c r="Y482" s="94"/>
      <c r="Z482" s="93"/>
      <c r="AA482" s="85"/>
      <c r="AC482" s="94"/>
      <c r="AD482" s="93"/>
      <c r="AE482" s="85"/>
    </row>
    <row r="483" spans="6:31" ht="14.5" customHeight="1" x14ac:dyDescent="0.35">
      <c r="F483" s="93"/>
      <c r="G483" s="85"/>
      <c r="H483" s="87"/>
      <c r="J483" s="93"/>
      <c r="K483" s="85"/>
      <c r="N483" s="93"/>
      <c r="O483" s="85"/>
      <c r="Q483" s="94"/>
      <c r="R483" s="93"/>
      <c r="S483" s="85"/>
      <c r="U483" s="94"/>
      <c r="V483" s="93"/>
      <c r="W483" s="85"/>
      <c r="Y483" s="94"/>
      <c r="Z483" s="93"/>
      <c r="AA483" s="85"/>
      <c r="AC483" s="94"/>
      <c r="AD483" s="93"/>
      <c r="AE483" s="85"/>
    </row>
    <row r="484" spans="6:31" ht="14.5" customHeight="1" x14ac:dyDescent="0.35">
      <c r="F484" s="93"/>
      <c r="G484" s="85"/>
      <c r="H484" s="87"/>
      <c r="J484" s="93"/>
      <c r="K484" s="85"/>
      <c r="N484" s="93"/>
      <c r="O484" s="85"/>
      <c r="Q484" s="94"/>
      <c r="R484" s="93"/>
      <c r="S484" s="85"/>
      <c r="U484" s="94"/>
      <c r="V484" s="93"/>
      <c r="W484" s="85"/>
      <c r="Y484" s="94"/>
      <c r="Z484" s="93"/>
      <c r="AA484" s="85"/>
      <c r="AC484" s="94"/>
      <c r="AD484" s="93"/>
      <c r="AE484" s="85"/>
    </row>
    <row r="485" spans="6:31" ht="14.5" customHeight="1" x14ac:dyDescent="0.35">
      <c r="F485" s="93"/>
      <c r="G485" s="85"/>
      <c r="H485" s="87"/>
      <c r="J485" s="93"/>
      <c r="K485" s="85"/>
      <c r="N485" s="93"/>
      <c r="O485" s="85"/>
      <c r="Q485" s="94"/>
      <c r="R485" s="93"/>
      <c r="S485" s="85"/>
      <c r="U485" s="94"/>
      <c r="V485" s="93"/>
      <c r="W485" s="85"/>
      <c r="Y485" s="94"/>
      <c r="Z485" s="93"/>
      <c r="AA485" s="85"/>
      <c r="AC485" s="94"/>
      <c r="AD485" s="93"/>
      <c r="AE485" s="85"/>
    </row>
    <row r="486" spans="6:31" ht="14.5" customHeight="1" x14ac:dyDescent="0.35">
      <c r="F486" s="93"/>
      <c r="G486" s="85"/>
      <c r="H486" s="87"/>
      <c r="J486" s="93"/>
      <c r="K486" s="85"/>
      <c r="N486" s="93"/>
      <c r="O486" s="85"/>
      <c r="Q486" s="94"/>
      <c r="R486" s="93"/>
      <c r="S486" s="85"/>
      <c r="U486" s="94"/>
      <c r="V486" s="93"/>
      <c r="W486" s="85"/>
      <c r="Y486" s="94"/>
      <c r="Z486" s="93"/>
      <c r="AA486" s="85"/>
      <c r="AC486" s="94"/>
      <c r="AD486" s="93"/>
      <c r="AE486" s="85"/>
    </row>
    <row r="487" spans="6:31" ht="14.5" customHeight="1" x14ac:dyDescent="0.35">
      <c r="F487" s="93"/>
      <c r="G487" s="85"/>
      <c r="H487" s="87"/>
      <c r="J487" s="93"/>
      <c r="K487" s="85"/>
      <c r="N487" s="93"/>
      <c r="O487" s="85"/>
      <c r="Q487" s="94"/>
      <c r="R487" s="93"/>
      <c r="S487" s="85"/>
      <c r="U487" s="94"/>
      <c r="V487" s="93"/>
      <c r="W487" s="85"/>
      <c r="Y487" s="94"/>
      <c r="Z487" s="93"/>
      <c r="AA487" s="85"/>
      <c r="AC487" s="94"/>
      <c r="AD487" s="93"/>
      <c r="AE487" s="85"/>
    </row>
    <row r="488" spans="6:31" ht="14.5" customHeight="1" x14ac:dyDescent="0.35">
      <c r="F488" s="93"/>
      <c r="G488" s="85"/>
      <c r="H488" s="87"/>
      <c r="J488" s="93"/>
      <c r="K488" s="85"/>
      <c r="N488" s="93"/>
      <c r="O488" s="85"/>
      <c r="Q488" s="94"/>
      <c r="R488" s="93"/>
      <c r="S488" s="85"/>
      <c r="U488" s="94"/>
      <c r="V488" s="93"/>
      <c r="W488" s="85"/>
      <c r="Y488" s="94"/>
      <c r="Z488" s="93"/>
      <c r="AA488" s="85"/>
      <c r="AC488" s="94"/>
      <c r="AD488" s="93"/>
      <c r="AE488" s="85"/>
    </row>
    <row r="489" spans="6:31" ht="14.5" customHeight="1" x14ac:dyDescent="0.35">
      <c r="F489" s="93"/>
      <c r="G489" s="85"/>
      <c r="H489" s="87"/>
      <c r="J489" s="93"/>
      <c r="K489" s="85"/>
      <c r="N489" s="93"/>
      <c r="O489" s="85"/>
      <c r="Q489" s="94"/>
      <c r="R489" s="93"/>
      <c r="S489" s="85"/>
      <c r="U489" s="94"/>
      <c r="V489" s="93"/>
      <c r="W489" s="85"/>
      <c r="Y489" s="94"/>
      <c r="Z489" s="93"/>
      <c r="AA489" s="85"/>
      <c r="AC489" s="94"/>
      <c r="AD489" s="93"/>
      <c r="AE489" s="85"/>
    </row>
    <row r="490" spans="6:31" ht="14.5" customHeight="1" x14ac:dyDescent="0.35">
      <c r="F490" s="93"/>
      <c r="G490" s="85"/>
      <c r="H490" s="87"/>
      <c r="J490" s="93"/>
      <c r="K490" s="85"/>
      <c r="N490" s="93"/>
      <c r="O490" s="85"/>
      <c r="Q490" s="94"/>
      <c r="R490" s="93"/>
      <c r="S490" s="85"/>
      <c r="U490" s="94"/>
      <c r="V490" s="93"/>
      <c r="W490" s="85"/>
      <c r="Y490" s="94"/>
      <c r="Z490" s="93"/>
      <c r="AA490" s="85"/>
      <c r="AC490" s="94"/>
      <c r="AD490" s="93"/>
      <c r="AE490" s="85"/>
    </row>
    <row r="491" spans="6:31" ht="14.5" customHeight="1" x14ac:dyDescent="0.35">
      <c r="F491" s="93"/>
      <c r="G491" s="85"/>
      <c r="H491" s="87"/>
      <c r="J491" s="93"/>
      <c r="K491" s="85"/>
      <c r="N491" s="93"/>
      <c r="O491" s="85"/>
      <c r="Q491" s="94"/>
      <c r="R491" s="93"/>
      <c r="S491" s="85"/>
      <c r="U491" s="94"/>
      <c r="V491" s="93"/>
      <c r="W491" s="85"/>
      <c r="Y491" s="94"/>
      <c r="Z491" s="93"/>
      <c r="AA491" s="85"/>
      <c r="AC491" s="94"/>
      <c r="AD491" s="93"/>
      <c r="AE491" s="85"/>
    </row>
    <row r="492" spans="6:31" ht="14.5" customHeight="1" x14ac:dyDescent="0.35">
      <c r="F492" s="93"/>
      <c r="G492" s="85"/>
      <c r="H492" s="87"/>
      <c r="J492" s="93"/>
      <c r="K492" s="85"/>
      <c r="N492" s="93"/>
      <c r="O492" s="85"/>
      <c r="Q492" s="94"/>
      <c r="R492" s="93"/>
      <c r="S492" s="85"/>
      <c r="U492" s="94"/>
      <c r="V492" s="93"/>
      <c r="W492" s="85"/>
      <c r="Y492" s="94"/>
      <c r="Z492" s="93"/>
      <c r="AA492" s="85"/>
      <c r="AC492" s="94"/>
      <c r="AD492" s="93"/>
      <c r="AE492" s="85"/>
    </row>
    <row r="493" spans="6:31" ht="14.5" customHeight="1" x14ac:dyDescent="0.35">
      <c r="F493" s="93"/>
      <c r="G493" s="85"/>
      <c r="H493" s="87"/>
      <c r="J493" s="93"/>
      <c r="K493" s="85"/>
      <c r="N493" s="93"/>
      <c r="O493" s="85"/>
      <c r="Q493" s="94"/>
      <c r="R493" s="93"/>
      <c r="S493" s="85"/>
      <c r="U493" s="94"/>
      <c r="V493" s="93"/>
      <c r="W493" s="85"/>
      <c r="Y493" s="94"/>
      <c r="Z493" s="93"/>
      <c r="AA493" s="85"/>
      <c r="AC493" s="94"/>
      <c r="AD493" s="93"/>
      <c r="AE493" s="85"/>
    </row>
    <row r="494" spans="6:31" ht="14.5" customHeight="1" x14ac:dyDescent="0.35">
      <c r="F494" s="93"/>
      <c r="G494" s="85"/>
      <c r="H494" s="87"/>
      <c r="J494" s="93"/>
      <c r="K494" s="85"/>
      <c r="N494" s="93"/>
      <c r="O494" s="85"/>
      <c r="Q494" s="94"/>
      <c r="R494" s="93"/>
      <c r="S494" s="85"/>
      <c r="U494" s="94"/>
      <c r="V494" s="93"/>
      <c r="W494" s="85"/>
      <c r="Y494" s="94"/>
      <c r="Z494" s="93"/>
      <c r="AA494" s="85"/>
      <c r="AC494" s="94"/>
      <c r="AD494" s="93"/>
      <c r="AE494" s="85"/>
    </row>
    <row r="495" spans="6:31" ht="14.5" customHeight="1" x14ac:dyDescent="0.35">
      <c r="F495" s="93"/>
      <c r="G495" s="85"/>
      <c r="H495" s="87"/>
      <c r="J495" s="93"/>
      <c r="K495" s="85"/>
      <c r="N495" s="93"/>
      <c r="O495" s="85"/>
      <c r="Q495" s="94"/>
      <c r="R495" s="93"/>
      <c r="S495" s="85"/>
      <c r="U495" s="94"/>
      <c r="V495" s="93"/>
      <c r="W495" s="85"/>
      <c r="Y495" s="94"/>
      <c r="Z495" s="93"/>
      <c r="AA495" s="85"/>
      <c r="AC495" s="94"/>
      <c r="AD495" s="93"/>
      <c r="AE495" s="85"/>
    </row>
    <row r="496" spans="6:31" ht="14.5" customHeight="1" x14ac:dyDescent="0.35">
      <c r="F496" s="93"/>
      <c r="G496" s="85"/>
      <c r="H496" s="87"/>
      <c r="J496" s="93"/>
      <c r="K496" s="85"/>
      <c r="N496" s="93"/>
      <c r="O496" s="85"/>
      <c r="Q496" s="94"/>
      <c r="R496" s="93"/>
      <c r="S496" s="85"/>
      <c r="U496" s="94"/>
      <c r="V496" s="93"/>
      <c r="W496" s="85"/>
      <c r="Y496" s="94"/>
      <c r="Z496" s="93"/>
      <c r="AA496" s="85"/>
      <c r="AC496" s="94"/>
      <c r="AD496" s="93"/>
      <c r="AE496" s="85"/>
    </row>
    <row r="497" spans="6:31" ht="14.5" customHeight="1" x14ac:dyDescent="0.35">
      <c r="F497" s="93"/>
      <c r="G497" s="85"/>
      <c r="H497" s="87"/>
      <c r="J497" s="93"/>
      <c r="K497" s="85"/>
      <c r="N497" s="93"/>
      <c r="O497" s="85"/>
      <c r="Q497" s="94"/>
      <c r="R497" s="93"/>
      <c r="S497" s="85"/>
      <c r="U497" s="94"/>
      <c r="V497" s="93"/>
      <c r="W497" s="85"/>
      <c r="Y497" s="94"/>
      <c r="Z497" s="93"/>
      <c r="AA497" s="85"/>
      <c r="AC497" s="94"/>
      <c r="AD497" s="93"/>
      <c r="AE497" s="85"/>
    </row>
    <row r="498" spans="6:31" ht="14.5" customHeight="1" x14ac:dyDescent="0.35">
      <c r="F498" s="93"/>
      <c r="G498" s="85"/>
      <c r="H498" s="87"/>
      <c r="J498" s="93"/>
      <c r="K498" s="85"/>
      <c r="N498" s="93"/>
      <c r="O498" s="85"/>
      <c r="Q498" s="94"/>
      <c r="R498" s="93"/>
      <c r="S498" s="85"/>
      <c r="U498" s="94"/>
      <c r="V498" s="93"/>
      <c r="W498" s="85"/>
      <c r="Y498" s="94"/>
      <c r="Z498" s="93"/>
      <c r="AA498" s="85"/>
      <c r="AC498" s="94"/>
      <c r="AD498" s="93"/>
      <c r="AE498" s="85"/>
    </row>
    <row r="499" spans="6:31" ht="14.5" customHeight="1" x14ac:dyDescent="0.35">
      <c r="F499" s="93"/>
      <c r="G499" s="85"/>
      <c r="H499" s="87"/>
      <c r="J499" s="93"/>
      <c r="K499" s="85"/>
      <c r="N499" s="93"/>
      <c r="O499" s="85"/>
      <c r="Q499" s="94"/>
      <c r="R499" s="93"/>
      <c r="S499" s="85"/>
      <c r="U499" s="94"/>
      <c r="V499" s="93"/>
      <c r="W499" s="85"/>
      <c r="Y499" s="94"/>
      <c r="Z499" s="93"/>
      <c r="AA499" s="85"/>
      <c r="AC499" s="94"/>
      <c r="AD499" s="93"/>
      <c r="AE499" s="85"/>
    </row>
    <row r="500" spans="6:31" ht="14.5" customHeight="1" x14ac:dyDescent="0.35">
      <c r="F500" s="93"/>
      <c r="G500" s="85"/>
      <c r="H500" s="87"/>
      <c r="J500" s="93"/>
      <c r="K500" s="85"/>
      <c r="N500" s="93"/>
      <c r="O500" s="85"/>
      <c r="Q500" s="94"/>
      <c r="R500" s="93"/>
      <c r="S500" s="85"/>
      <c r="U500" s="94"/>
      <c r="V500" s="93"/>
      <c r="W500" s="85"/>
      <c r="Y500" s="94"/>
      <c r="Z500" s="93"/>
      <c r="AA500" s="85"/>
      <c r="AC500" s="94"/>
      <c r="AD500" s="93"/>
      <c r="AE500" s="85"/>
    </row>
    <row r="501" spans="6:31" ht="14.5" customHeight="1" x14ac:dyDescent="0.35">
      <c r="F501" s="93"/>
      <c r="G501" s="85"/>
      <c r="H501" s="87"/>
      <c r="J501" s="93"/>
      <c r="K501" s="85"/>
      <c r="N501" s="93"/>
      <c r="O501" s="85"/>
      <c r="Q501" s="94"/>
      <c r="R501" s="93"/>
      <c r="S501" s="85"/>
      <c r="U501" s="94"/>
      <c r="V501" s="93"/>
      <c r="W501" s="85"/>
      <c r="Y501" s="94"/>
      <c r="Z501" s="93"/>
      <c r="AA501" s="85"/>
      <c r="AC501" s="94"/>
      <c r="AD501" s="93"/>
      <c r="AE501" s="85"/>
    </row>
    <row r="502" spans="6:31" ht="14.5" customHeight="1" x14ac:dyDescent="0.35">
      <c r="F502" s="93"/>
      <c r="G502" s="85"/>
      <c r="H502" s="87"/>
      <c r="J502" s="93"/>
      <c r="K502" s="85"/>
      <c r="N502" s="93"/>
      <c r="O502" s="85"/>
      <c r="Q502" s="94"/>
      <c r="R502" s="93"/>
      <c r="S502" s="85"/>
      <c r="U502" s="94"/>
      <c r="V502" s="93"/>
      <c r="W502" s="85"/>
      <c r="Y502" s="94"/>
      <c r="Z502" s="93"/>
      <c r="AA502" s="85"/>
      <c r="AC502" s="94"/>
      <c r="AD502" s="93"/>
      <c r="AE502" s="85"/>
    </row>
    <row r="503" spans="6:31" ht="14.5" customHeight="1" x14ac:dyDescent="0.35">
      <c r="F503" s="93"/>
      <c r="G503" s="85"/>
      <c r="H503" s="87"/>
      <c r="J503" s="93"/>
      <c r="K503" s="85"/>
      <c r="N503" s="93"/>
      <c r="O503" s="85"/>
      <c r="Q503" s="94"/>
      <c r="R503" s="93"/>
      <c r="S503" s="85"/>
      <c r="U503" s="94"/>
      <c r="V503" s="93"/>
      <c r="W503" s="85"/>
      <c r="Y503" s="94"/>
      <c r="Z503" s="93"/>
      <c r="AA503" s="85"/>
      <c r="AC503" s="94"/>
      <c r="AD503" s="93"/>
      <c r="AE503" s="85"/>
    </row>
    <row r="504" spans="6:31" ht="14.5" customHeight="1" x14ac:dyDescent="0.35">
      <c r="F504" s="93"/>
      <c r="G504" s="85"/>
      <c r="H504" s="87"/>
      <c r="J504" s="93"/>
      <c r="K504" s="85"/>
      <c r="N504" s="93"/>
      <c r="O504" s="85"/>
      <c r="Q504" s="94"/>
      <c r="R504" s="93"/>
      <c r="S504" s="85"/>
      <c r="U504" s="94"/>
      <c r="V504" s="93"/>
      <c r="W504" s="85"/>
      <c r="Y504" s="94"/>
      <c r="Z504" s="93"/>
      <c r="AA504" s="85"/>
      <c r="AC504" s="94"/>
      <c r="AD504" s="93"/>
      <c r="AE504" s="85"/>
    </row>
    <row r="505" spans="6:31" ht="14.5" customHeight="1" x14ac:dyDescent="0.35">
      <c r="F505" s="93"/>
      <c r="G505" s="85"/>
      <c r="H505" s="87"/>
      <c r="J505" s="93"/>
      <c r="K505" s="85"/>
      <c r="N505" s="93"/>
      <c r="O505" s="85"/>
      <c r="Q505" s="94"/>
      <c r="R505" s="93"/>
      <c r="S505" s="85"/>
      <c r="U505" s="94"/>
      <c r="V505" s="93"/>
      <c r="W505" s="85"/>
      <c r="Y505" s="94"/>
      <c r="Z505" s="93"/>
      <c r="AA505" s="85"/>
      <c r="AC505" s="94"/>
      <c r="AD505" s="93"/>
      <c r="AE505" s="85"/>
    </row>
    <row r="506" spans="6:31" ht="14.5" customHeight="1" x14ac:dyDescent="0.35">
      <c r="F506" s="93"/>
      <c r="G506" s="85"/>
      <c r="H506" s="87"/>
      <c r="J506" s="93"/>
      <c r="K506" s="85"/>
      <c r="N506" s="93"/>
      <c r="O506" s="85"/>
      <c r="Q506" s="94"/>
      <c r="R506" s="93"/>
      <c r="S506" s="85"/>
      <c r="U506" s="94"/>
      <c r="V506" s="93"/>
      <c r="W506" s="85"/>
      <c r="Y506" s="94"/>
      <c r="Z506" s="93"/>
      <c r="AA506" s="85"/>
      <c r="AC506" s="94"/>
      <c r="AD506" s="93"/>
      <c r="AE506" s="85"/>
    </row>
    <row r="507" spans="6:31" ht="14.5" customHeight="1" x14ac:dyDescent="0.35">
      <c r="F507" s="93"/>
      <c r="G507" s="85"/>
      <c r="H507" s="87"/>
      <c r="J507" s="93"/>
      <c r="K507" s="85"/>
      <c r="N507" s="93"/>
      <c r="O507" s="85"/>
      <c r="Q507" s="94"/>
      <c r="R507" s="93"/>
      <c r="S507" s="85"/>
      <c r="U507" s="94"/>
      <c r="V507" s="93"/>
      <c r="W507" s="85"/>
      <c r="Y507" s="94"/>
      <c r="Z507" s="93"/>
      <c r="AA507" s="85"/>
      <c r="AC507" s="94"/>
      <c r="AD507" s="93"/>
      <c r="AE507" s="85"/>
    </row>
    <row r="508" spans="6:31" ht="14.5" customHeight="1" x14ac:dyDescent="0.35">
      <c r="F508" s="93"/>
      <c r="G508" s="85"/>
      <c r="H508" s="87"/>
      <c r="J508" s="93"/>
      <c r="K508" s="85"/>
      <c r="N508" s="93"/>
      <c r="O508" s="85"/>
      <c r="Q508" s="94"/>
      <c r="R508" s="93"/>
      <c r="S508" s="85"/>
      <c r="U508" s="94"/>
      <c r="V508" s="93"/>
      <c r="W508" s="85"/>
      <c r="Y508" s="94"/>
      <c r="Z508" s="93"/>
      <c r="AA508" s="85"/>
      <c r="AC508" s="94"/>
      <c r="AD508" s="93"/>
      <c r="AE508" s="85"/>
    </row>
    <row r="509" spans="6:31" ht="14.5" customHeight="1" x14ac:dyDescent="0.35">
      <c r="F509" s="93"/>
      <c r="G509" s="85"/>
      <c r="H509" s="87"/>
      <c r="J509" s="93"/>
      <c r="K509" s="85"/>
      <c r="N509" s="93"/>
      <c r="O509" s="85"/>
      <c r="Q509" s="94"/>
      <c r="R509" s="93"/>
      <c r="S509" s="85"/>
      <c r="U509" s="94"/>
      <c r="V509" s="93"/>
      <c r="W509" s="85"/>
      <c r="Y509" s="94"/>
      <c r="Z509" s="93"/>
      <c r="AA509" s="85"/>
      <c r="AC509" s="94"/>
      <c r="AD509" s="93"/>
      <c r="AE509" s="85"/>
    </row>
    <row r="510" spans="6:31" ht="14.5" customHeight="1" x14ac:dyDescent="0.35">
      <c r="F510" s="93"/>
      <c r="G510" s="85"/>
      <c r="H510" s="87"/>
      <c r="J510" s="93"/>
      <c r="K510" s="85"/>
      <c r="N510" s="93"/>
      <c r="O510" s="85"/>
      <c r="Q510" s="94"/>
      <c r="R510" s="93"/>
      <c r="S510" s="85"/>
      <c r="U510" s="94"/>
      <c r="V510" s="93"/>
      <c r="W510" s="85"/>
      <c r="Y510" s="94"/>
      <c r="Z510" s="93"/>
      <c r="AA510" s="85"/>
      <c r="AC510" s="94"/>
      <c r="AD510" s="93"/>
      <c r="AE510" s="85"/>
    </row>
    <row r="511" spans="6:31" ht="14.5" customHeight="1" x14ac:dyDescent="0.35">
      <c r="F511" s="93"/>
      <c r="G511" s="85"/>
      <c r="H511" s="87"/>
      <c r="J511" s="93"/>
      <c r="K511" s="85"/>
      <c r="N511" s="93"/>
      <c r="O511" s="85"/>
      <c r="Q511" s="94"/>
      <c r="R511" s="93"/>
      <c r="S511" s="85"/>
      <c r="U511" s="94"/>
      <c r="V511" s="93"/>
      <c r="W511" s="85"/>
      <c r="Y511" s="94"/>
      <c r="Z511" s="93"/>
      <c r="AA511" s="85"/>
      <c r="AC511" s="94"/>
      <c r="AD511" s="93"/>
      <c r="AE511" s="85"/>
    </row>
    <row r="512" spans="6:31" ht="14.5" customHeight="1" x14ac:dyDescent="0.35">
      <c r="F512" s="93"/>
      <c r="G512" s="85"/>
      <c r="H512" s="87"/>
      <c r="J512" s="93"/>
      <c r="K512" s="85"/>
      <c r="N512" s="93"/>
      <c r="O512" s="85"/>
      <c r="Q512" s="94"/>
      <c r="R512" s="93"/>
      <c r="S512" s="85"/>
      <c r="U512" s="94"/>
      <c r="V512" s="93"/>
      <c r="W512" s="85"/>
      <c r="Y512" s="94"/>
      <c r="Z512" s="93"/>
      <c r="AA512" s="85"/>
      <c r="AC512" s="94"/>
      <c r="AD512" s="93"/>
      <c r="AE512" s="85"/>
    </row>
    <row r="513" spans="6:31" ht="14.5" customHeight="1" x14ac:dyDescent="0.35">
      <c r="F513" s="93"/>
      <c r="G513" s="85"/>
      <c r="H513" s="87"/>
      <c r="J513" s="93"/>
      <c r="K513" s="85"/>
      <c r="N513" s="93"/>
      <c r="O513" s="85"/>
      <c r="Q513" s="94"/>
      <c r="R513" s="93"/>
      <c r="S513" s="85"/>
      <c r="U513" s="94"/>
      <c r="V513" s="93"/>
      <c r="W513" s="85"/>
      <c r="Y513" s="94"/>
      <c r="Z513" s="93"/>
      <c r="AA513" s="85"/>
      <c r="AC513" s="94"/>
      <c r="AD513" s="93"/>
      <c r="AE513" s="85"/>
    </row>
    <row r="514" spans="6:31" ht="14.5" customHeight="1" x14ac:dyDescent="0.35">
      <c r="F514" s="93"/>
      <c r="G514" s="85"/>
      <c r="H514" s="87"/>
      <c r="J514" s="93"/>
      <c r="K514" s="85"/>
      <c r="N514" s="93"/>
      <c r="O514" s="85"/>
      <c r="Q514" s="94"/>
      <c r="R514" s="93"/>
      <c r="S514" s="85"/>
      <c r="U514" s="94"/>
      <c r="V514" s="93"/>
      <c r="W514" s="85"/>
      <c r="Y514" s="94"/>
      <c r="Z514" s="93"/>
      <c r="AA514" s="85"/>
      <c r="AC514" s="94"/>
      <c r="AD514" s="93"/>
      <c r="AE514" s="85"/>
    </row>
    <row r="515" spans="6:31" ht="14.5" customHeight="1" x14ac:dyDescent="0.35">
      <c r="F515" s="93"/>
      <c r="G515" s="85"/>
      <c r="H515" s="87"/>
      <c r="J515" s="93"/>
      <c r="K515" s="85"/>
      <c r="N515" s="93"/>
      <c r="O515" s="85"/>
      <c r="Q515" s="94"/>
      <c r="R515" s="93"/>
      <c r="S515" s="85"/>
      <c r="U515" s="94"/>
      <c r="V515" s="93"/>
      <c r="W515" s="85"/>
      <c r="Y515" s="94"/>
      <c r="Z515" s="93"/>
      <c r="AA515" s="85"/>
      <c r="AC515" s="94"/>
      <c r="AD515" s="93"/>
      <c r="AE515" s="85"/>
    </row>
    <row r="516" spans="6:31" ht="14.5" customHeight="1" x14ac:dyDescent="0.35">
      <c r="F516" s="93"/>
      <c r="G516" s="85"/>
      <c r="H516" s="87"/>
      <c r="J516" s="93"/>
      <c r="K516" s="85"/>
      <c r="N516" s="93"/>
      <c r="O516" s="85"/>
      <c r="Q516" s="94"/>
      <c r="R516" s="93"/>
      <c r="S516" s="85"/>
      <c r="U516" s="94"/>
      <c r="V516" s="93"/>
      <c r="W516" s="85"/>
      <c r="Y516" s="94"/>
      <c r="Z516" s="93"/>
      <c r="AA516" s="85"/>
      <c r="AC516" s="94"/>
      <c r="AD516" s="93"/>
      <c r="AE516" s="85"/>
    </row>
    <row r="517" spans="6:31" ht="14.5" customHeight="1" x14ac:dyDescent="0.35">
      <c r="F517" s="93"/>
      <c r="G517" s="85"/>
      <c r="H517" s="87"/>
      <c r="J517" s="93"/>
      <c r="K517" s="85"/>
      <c r="N517" s="93"/>
      <c r="O517" s="85"/>
      <c r="Q517" s="94"/>
      <c r="R517" s="93"/>
      <c r="S517" s="85"/>
      <c r="U517" s="94"/>
      <c r="V517" s="93"/>
      <c r="W517" s="85"/>
      <c r="Y517" s="94"/>
      <c r="Z517" s="93"/>
      <c r="AA517" s="85"/>
      <c r="AC517" s="94"/>
      <c r="AD517" s="93"/>
      <c r="AE517" s="85"/>
    </row>
    <row r="518" spans="6:31" ht="14.5" customHeight="1" x14ac:dyDescent="0.35">
      <c r="F518" s="93"/>
      <c r="G518" s="85"/>
      <c r="H518" s="87"/>
      <c r="J518" s="93"/>
      <c r="K518" s="85"/>
      <c r="N518" s="93"/>
      <c r="O518" s="85"/>
      <c r="Q518" s="94"/>
      <c r="R518" s="93"/>
      <c r="S518" s="85"/>
      <c r="U518" s="94"/>
      <c r="V518" s="93"/>
      <c r="W518" s="85"/>
      <c r="Y518" s="94"/>
      <c r="Z518" s="93"/>
      <c r="AA518" s="85"/>
      <c r="AC518" s="94"/>
      <c r="AD518" s="93"/>
      <c r="AE518" s="85"/>
    </row>
    <row r="519" spans="6:31" ht="14.5" customHeight="1" x14ac:dyDescent="0.35">
      <c r="F519" s="93"/>
      <c r="G519" s="85"/>
      <c r="H519" s="87"/>
      <c r="J519" s="93"/>
      <c r="K519" s="85"/>
      <c r="N519" s="93"/>
      <c r="O519" s="85"/>
      <c r="Q519" s="94"/>
      <c r="R519" s="93"/>
      <c r="S519" s="85"/>
      <c r="U519" s="94"/>
      <c r="V519" s="93"/>
      <c r="W519" s="85"/>
      <c r="Y519" s="94"/>
      <c r="Z519" s="93"/>
      <c r="AA519" s="85"/>
      <c r="AC519" s="94"/>
      <c r="AD519" s="93"/>
      <c r="AE519" s="85"/>
    </row>
    <row r="520" spans="6:31" ht="14.5" customHeight="1" x14ac:dyDescent="0.35">
      <c r="F520" s="93"/>
      <c r="G520" s="85"/>
      <c r="H520" s="87"/>
      <c r="J520" s="93"/>
      <c r="K520" s="85"/>
      <c r="N520" s="93"/>
      <c r="O520" s="85"/>
      <c r="Q520" s="94"/>
      <c r="R520" s="93"/>
      <c r="S520" s="85"/>
      <c r="U520" s="94"/>
      <c r="V520" s="93"/>
      <c r="W520" s="85"/>
      <c r="Y520" s="94"/>
      <c r="Z520" s="93"/>
      <c r="AA520" s="85"/>
      <c r="AC520" s="94"/>
      <c r="AD520" s="93"/>
      <c r="AE520" s="85"/>
    </row>
    <row r="521" spans="6:31" ht="14.5" customHeight="1" x14ac:dyDescent="0.35">
      <c r="F521" s="93"/>
      <c r="G521" s="85"/>
      <c r="H521" s="87"/>
      <c r="J521" s="93"/>
      <c r="K521" s="85"/>
      <c r="N521" s="93"/>
      <c r="O521" s="85"/>
      <c r="Q521" s="94"/>
      <c r="R521" s="93"/>
      <c r="S521" s="85"/>
      <c r="U521" s="94"/>
      <c r="V521" s="93"/>
      <c r="W521" s="85"/>
      <c r="Y521" s="94"/>
      <c r="Z521" s="93"/>
      <c r="AA521" s="85"/>
      <c r="AC521" s="94"/>
      <c r="AD521" s="93"/>
      <c r="AE521" s="85"/>
    </row>
    <row r="522" spans="6:31" ht="14.5" customHeight="1" x14ac:dyDescent="0.35">
      <c r="F522" s="93"/>
      <c r="G522" s="85"/>
      <c r="H522" s="87"/>
      <c r="J522" s="93"/>
      <c r="K522" s="85"/>
      <c r="N522" s="93"/>
      <c r="O522" s="85"/>
      <c r="Q522" s="94"/>
      <c r="R522" s="93"/>
      <c r="S522" s="85"/>
      <c r="U522" s="94"/>
      <c r="V522" s="93"/>
      <c r="W522" s="85"/>
      <c r="Y522" s="94"/>
      <c r="Z522" s="93"/>
      <c r="AA522" s="85"/>
      <c r="AC522" s="94"/>
      <c r="AD522" s="93"/>
      <c r="AE522" s="85"/>
    </row>
    <row r="523" spans="6:31" ht="14.5" customHeight="1" x14ac:dyDescent="0.35">
      <c r="F523" s="93"/>
      <c r="G523" s="85"/>
      <c r="H523" s="87"/>
      <c r="J523" s="93"/>
      <c r="K523" s="85"/>
      <c r="N523" s="93"/>
      <c r="O523" s="85"/>
      <c r="Q523" s="94"/>
      <c r="R523" s="93"/>
      <c r="S523" s="85"/>
      <c r="U523" s="94"/>
      <c r="V523" s="93"/>
      <c r="W523" s="85"/>
      <c r="Y523" s="94"/>
      <c r="Z523" s="93"/>
      <c r="AA523" s="85"/>
      <c r="AC523" s="94"/>
      <c r="AD523" s="93"/>
      <c r="AE523" s="85"/>
    </row>
    <row r="524" spans="6:31" ht="14.5" customHeight="1" x14ac:dyDescent="0.35">
      <c r="F524" s="93"/>
      <c r="G524" s="85"/>
      <c r="H524" s="87"/>
      <c r="J524" s="93"/>
      <c r="K524" s="85"/>
      <c r="N524" s="93"/>
      <c r="O524" s="85"/>
      <c r="Q524" s="94"/>
      <c r="R524" s="93"/>
      <c r="S524" s="85"/>
      <c r="U524" s="94"/>
      <c r="V524" s="93"/>
      <c r="W524" s="85"/>
      <c r="Y524" s="94"/>
      <c r="Z524" s="93"/>
      <c r="AA524" s="85"/>
      <c r="AC524" s="94"/>
      <c r="AD524" s="93"/>
      <c r="AE524" s="85"/>
    </row>
    <row r="525" spans="6:31" ht="14.5" customHeight="1" x14ac:dyDescent="0.35">
      <c r="F525" s="93"/>
      <c r="G525" s="85"/>
      <c r="H525" s="87"/>
      <c r="J525" s="93"/>
      <c r="K525" s="85"/>
      <c r="N525" s="93"/>
      <c r="O525" s="85"/>
      <c r="Q525" s="94"/>
      <c r="R525" s="93"/>
      <c r="S525" s="85"/>
      <c r="U525" s="94"/>
      <c r="V525" s="93"/>
      <c r="W525" s="85"/>
      <c r="Y525" s="94"/>
      <c r="Z525" s="93"/>
      <c r="AA525" s="85"/>
      <c r="AC525" s="94"/>
      <c r="AD525" s="93"/>
      <c r="AE525" s="85"/>
    </row>
    <row r="526" spans="6:31" ht="14.5" customHeight="1" x14ac:dyDescent="0.35">
      <c r="F526" s="93"/>
      <c r="G526" s="85"/>
      <c r="H526" s="87"/>
      <c r="J526" s="93"/>
      <c r="K526" s="85"/>
      <c r="N526" s="93"/>
      <c r="O526" s="85"/>
      <c r="Q526" s="94"/>
      <c r="R526" s="93"/>
      <c r="S526" s="85"/>
      <c r="U526" s="94"/>
      <c r="V526" s="93"/>
      <c r="W526" s="85"/>
      <c r="Y526" s="94"/>
      <c r="Z526" s="93"/>
      <c r="AA526" s="85"/>
      <c r="AC526" s="94"/>
      <c r="AD526" s="93"/>
      <c r="AE526" s="85"/>
    </row>
    <row r="527" spans="6:31" ht="14.5" customHeight="1" x14ac:dyDescent="0.35">
      <c r="F527" s="93"/>
      <c r="G527" s="85"/>
      <c r="H527" s="87"/>
      <c r="J527" s="93"/>
      <c r="K527" s="85"/>
      <c r="N527" s="93"/>
      <c r="O527" s="85"/>
      <c r="Q527" s="94"/>
      <c r="R527" s="93"/>
      <c r="S527" s="85"/>
      <c r="U527" s="94"/>
      <c r="V527" s="93"/>
      <c r="W527" s="85"/>
      <c r="Y527" s="94"/>
      <c r="Z527" s="93"/>
      <c r="AA527" s="85"/>
      <c r="AC527" s="94"/>
      <c r="AD527" s="93"/>
      <c r="AE527" s="85"/>
    </row>
    <row r="528" spans="6:31" ht="14.5" customHeight="1" x14ac:dyDescent="0.35">
      <c r="F528" s="93"/>
      <c r="G528" s="85"/>
      <c r="H528" s="87"/>
      <c r="J528" s="93"/>
      <c r="K528" s="85"/>
      <c r="N528" s="93"/>
      <c r="O528" s="85"/>
      <c r="Q528" s="94"/>
      <c r="R528" s="93"/>
      <c r="S528" s="85"/>
      <c r="U528" s="94"/>
      <c r="V528" s="93"/>
      <c r="W528" s="85"/>
      <c r="Y528" s="94"/>
      <c r="Z528" s="93"/>
      <c r="AA528" s="85"/>
      <c r="AC528" s="94"/>
      <c r="AD528" s="93"/>
      <c r="AE528" s="85"/>
    </row>
    <row r="529" spans="6:31" ht="14.5" customHeight="1" x14ac:dyDescent="0.35">
      <c r="F529" s="93"/>
      <c r="G529" s="85"/>
      <c r="H529" s="87"/>
      <c r="J529" s="93"/>
      <c r="K529" s="85"/>
      <c r="N529" s="93"/>
      <c r="O529" s="85"/>
      <c r="Q529" s="94"/>
      <c r="R529" s="93"/>
      <c r="S529" s="85"/>
      <c r="U529" s="94"/>
      <c r="V529" s="93"/>
      <c r="W529" s="85"/>
      <c r="Y529" s="94"/>
      <c r="Z529" s="93"/>
      <c r="AA529" s="85"/>
      <c r="AC529" s="94"/>
      <c r="AD529" s="93"/>
      <c r="AE529" s="85"/>
    </row>
    <row r="530" spans="6:31" ht="14.5" customHeight="1" x14ac:dyDescent="0.35">
      <c r="F530" s="93"/>
      <c r="G530" s="85"/>
      <c r="H530" s="87"/>
      <c r="J530" s="93"/>
      <c r="K530" s="85"/>
      <c r="N530" s="93"/>
      <c r="O530" s="85"/>
      <c r="Q530" s="94"/>
      <c r="R530" s="93"/>
      <c r="S530" s="85"/>
      <c r="U530" s="94"/>
      <c r="V530" s="93"/>
      <c r="W530" s="85"/>
      <c r="Y530" s="94"/>
      <c r="Z530" s="93"/>
      <c r="AA530" s="85"/>
      <c r="AC530" s="94"/>
      <c r="AD530" s="93"/>
      <c r="AE530" s="85"/>
    </row>
    <row r="531" spans="6:31" ht="14.5" customHeight="1" x14ac:dyDescent="0.35">
      <c r="F531" s="93"/>
      <c r="G531" s="85"/>
      <c r="H531" s="87"/>
      <c r="J531" s="93"/>
      <c r="K531" s="85"/>
      <c r="N531" s="93"/>
      <c r="O531" s="85"/>
      <c r="Q531" s="94"/>
      <c r="R531" s="93"/>
      <c r="S531" s="85"/>
      <c r="U531" s="94"/>
      <c r="V531" s="93"/>
      <c r="W531" s="85"/>
      <c r="Y531" s="94"/>
      <c r="Z531" s="93"/>
      <c r="AA531" s="85"/>
      <c r="AC531" s="94"/>
      <c r="AD531" s="93"/>
      <c r="AE531" s="85"/>
    </row>
    <row r="532" spans="6:31" ht="14.5" customHeight="1" x14ac:dyDescent="0.35">
      <c r="F532" s="93"/>
      <c r="G532" s="85"/>
      <c r="H532" s="87"/>
      <c r="J532" s="93"/>
      <c r="K532" s="85"/>
      <c r="N532" s="93"/>
      <c r="O532" s="85"/>
      <c r="Q532" s="94"/>
      <c r="R532" s="93"/>
      <c r="S532" s="85"/>
      <c r="U532" s="94"/>
      <c r="V532" s="93"/>
      <c r="W532" s="85"/>
      <c r="Y532" s="94"/>
      <c r="Z532" s="93"/>
      <c r="AA532" s="85"/>
      <c r="AC532" s="94"/>
      <c r="AD532" s="93"/>
      <c r="AE532" s="85"/>
    </row>
    <row r="533" spans="6:31" ht="14.5" customHeight="1" x14ac:dyDescent="0.35">
      <c r="F533" s="93"/>
      <c r="G533" s="85"/>
      <c r="H533" s="87"/>
      <c r="J533" s="93"/>
      <c r="K533" s="85"/>
      <c r="N533" s="93"/>
      <c r="O533" s="85"/>
      <c r="Q533" s="94"/>
      <c r="R533" s="93"/>
      <c r="S533" s="85"/>
      <c r="U533" s="94"/>
      <c r="V533" s="93"/>
      <c r="W533" s="85"/>
      <c r="Y533" s="94"/>
      <c r="Z533" s="93"/>
      <c r="AA533" s="85"/>
      <c r="AC533" s="94"/>
      <c r="AD533" s="93"/>
      <c r="AE533" s="85"/>
    </row>
    <row r="534" spans="6:31" ht="14.5" customHeight="1" x14ac:dyDescent="0.35">
      <c r="F534" s="93"/>
      <c r="G534" s="85"/>
      <c r="H534" s="87"/>
      <c r="J534" s="93"/>
      <c r="K534" s="85"/>
      <c r="N534" s="93"/>
      <c r="O534" s="85"/>
      <c r="Q534" s="94"/>
      <c r="R534" s="93"/>
      <c r="S534" s="85"/>
      <c r="U534" s="94"/>
      <c r="V534" s="93"/>
      <c r="W534" s="85"/>
      <c r="Y534" s="94"/>
      <c r="Z534" s="93"/>
      <c r="AA534" s="85"/>
      <c r="AC534" s="94"/>
      <c r="AD534" s="93"/>
      <c r="AE534" s="85"/>
    </row>
    <row r="535" spans="6:31" ht="14.5" customHeight="1" x14ac:dyDescent="0.35">
      <c r="F535" s="93"/>
      <c r="G535" s="85"/>
      <c r="H535" s="87"/>
      <c r="J535" s="93"/>
      <c r="K535" s="85"/>
      <c r="N535" s="93"/>
      <c r="O535" s="85"/>
      <c r="Q535" s="94"/>
      <c r="R535" s="93"/>
      <c r="S535" s="85"/>
      <c r="U535" s="94"/>
      <c r="V535" s="93"/>
      <c r="W535" s="85"/>
      <c r="Y535" s="94"/>
      <c r="Z535" s="93"/>
      <c r="AA535" s="85"/>
      <c r="AC535" s="94"/>
      <c r="AD535" s="93"/>
      <c r="AE535" s="85"/>
    </row>
    <row r="536" spans="6:31" ht="14.5" customHeight="1" x14ac:dyDescent="0.35">
      <c r="F536" s="93"/>
      <c r="G536" s="85"/>
      <c r="H536" s="87"/>
      <c r="J536" s="93"/>
      <c r="K536" s="85"/>
      <c r="N536" s="93"/>
      <c r="O536" s="85"/>
      <c r="Q536" s="94"/>
      <c r="R536" s="93"/>
      <c r="S536" s="85"/>
      <c r="U536" s="94"/>
      <c r="V536" s="93"/>
      <c r="W536" s="85"/>
      <c r="Y536" s="94"/>
      <c r="Z536" s="93"/>
      <c r="AA536" s="85"/>
      <c r="AC536" s="94"/>
      <c r="AD536" s="93"/>
      <c r="AE536" s="85"/>
    </row>
    <row r="537" spans="6:31" ht="14.5" customHeight="1" x14ac:dyDescent="0.35">
      <c r="F537" s="93"/>
      <c r="G537" s="85"/>
      <c r="H537" s="87"/>
      <c r="J537" s="93"/>
      <c r="K537" s="85"/>
      <c r="N537" s="93"/>
      <c r="O537" s="85"/>
      <c r="Q537" s="94"/>
      <c r="R537" s="93"/>
      <c r="S537" s="85"/>
      <c r="U537" s="94"/>
      <c r="V537" s="93"/>
      <c r="W537" s="85"/>
      <c r="Y537" s="94"/>
      <c r="Z537" s="93"/>
      <c r="AA537" s="85"/>
      <c r="AC537" s="94"/>
      <c r="AD537" s="93"/>
      <c r="AE537" s="85"/>
    </row>
    <row r="538" spans="6:31" ht="14.5" customHeight="1" x14ac:dyDescent="0.35">
      <c r="F538" s="93"/>
      <c r="G538" s="85"/>
      <c r="H538" s="87"/>
      <c r="J538" s="93"/>
      <c r="K538" s="85"/>
      <c r="N538" s="93"/>
      <c r="O538" s="85"/>
      <c r="Q538" s="94"/>
      <c r="R538" s="93"/>
      <c r="S538" s="85"/>
      <c r="U538" s="94"/>
      <c r="V538" s="93"/>
      <c r="W538" s="85"/>
      <c r="Y538" s="94"/>
      <c r="Z538" s="93"/>
      <c r="AA538" s="85"/>
      <c r="AC538" s="94"/>
      <c r="AD538" s="93"/>
      <c r="AE538" s="85"/>
    </row>
    <row r="539" spans="6:31" ht="14.5" customHeight="1" x14ac:dyDescent="0.35">
      <c r="F539" s="93"/>
      <c r="G539" s="85"/>
      <c r="H539" s="87"/>
      <c r="J539" s="93"/>
      <c r="K539" s="85"/>
      <c r="N539" s="93"/>
      <c r="O539" s="85"/>
      <c r="Q539" s="94"/>
      <c r="R539" s="93"/>
      <c r="S539" s="85"/>
      <c r="U539" s="94"/>
      <c r="V539" s="93"/>
      <c r="W539" s="85"/>
      <c r="Y539" s="94"/>
      <c r="Z539" s="93"/>
      <c r="AA539" s="85"/>
      <c r="AC539" s="94"/>
      <c r="AD539" s="93"/>
      <c r="AE539" s="85"/>
    </row>
    <row r="540" spans="6:31" ht="14.5" customHeight="1" x14ac:dyDescent="0.35">
      <c r="F540" s="93"/>
      <c r="G540" s="85"/>
      <c r="H540" s="87"/>
      <c r="J540" s="93"/>
      <c r="K540" s="85"/>
      <c r="N540" s="93"/>
      <c r="O540" s="85"/>
      <c r="Q540" s="94"/>
      <c r="R540" s="93"/>
      <c r="S540" s="85"/>
      <c r="U540" s="94"/>
      <c r="V540" s="93"/>
      <c r="W540" s="85"/>
      <c r="Y540" s="94"/>
      <c r="Z540" s="93"/>
      <c r="AA540" s="85"/>
      <c r="AC540" s="94"/>
      <c r="AD540" s="93"/>
      <c r="AE540" s="85"/>
    </row>
    <row r="541" spans="6:31" ht="14.5" customHeight="1" x14ac:dyDescent="0.35">
      <c r="F541" s="93"/>
      <c r="G541" s="85"/>
      <c r="H541" s="87"/>
      <c r="J541" s="93"/>
      <c r="K541" s="85"/>
      <c r="N541" s="93"/>
      <c r="O541" s="85"/>
      <c r="Q541" s="94"/>
      <c r="R541" s="93"/>
      <c r="S541" s="85"/>
      <c r="U541" s="94"/>
      <c r="V541" s="93"/>
      <c r="W541" s="85"/>
      <c r="Y541" s="94"/>
      <c r="Z541" s="93"/>
      <c r="AA541" s="85"/>
      <c r="AC541" s="94"/>
      <c r="AD541" s="93"/>
      <c r="AE541" s="85"/>
    </row>
    <row r="542" spans="6:31" ht="14.5" customHeight="1" x14ac:dyDescent="0.35">
      <c r="F542" s="93"/>
      <c r="G542" s="85"/>
      <c r="H542" s="87"/>
      <c r="J542" s="93"/>
      <c r="K542" s="85"/>
      <c r="N542" s="93"/>
      <c r="O542" s="85"/>
      <c r="Q542" s="94"/>
      <c r="R542" s="93"/>
      <c r="S542" s="85"/>
      <c r="U542" s="94"/>
      <c r="V542" s="93"/>
      <c r="W542" s="85"/>
      <c r="Y542" s="94"/>
      <c r="Z542" s="93"/>
      <c r="AA542" s="85"/>
      <c r="AC542" s="94"/>
      <c r="AD542" s="93"/>
      <c r="AE542" s="85"/>
    </row>
    <row r="543" spans="6:31" ht="14.5" customHeight="1" x14ac:dyDescent="0.35">
      <c r="F543" s="93"/>
      <c r="G543" s="85"/>
      <c r="H543" s="87"/>
      <c r="J543" s="93"/>
      <c r="K543" s="85"/>
      <c r="N543" s="93"/>
      <c r="O543" s="85"/>
      <c r="Q543" s="94"/>
      <c r="R543" s="93"/>
      <c r="S543" s="85"/>
      <c r="U543" s="94"/>
      <c r="V543" s="93"/>
      <c r="W543" s="85"/>
      <c r="Y543" s="94"/>
      <c r="Z543" s="93"/>
      <c r="AA543" s="85"/>
      <c r="AC543" s="94"/>
      <c r="AD543" s="93"/>
      <c r="AE543" s="85"/>
    </row>
    <row r="544" spans="6:31" ht="14.5" customHeight="1" x14ac:dyDescent="0.35">
      <c r="F544" s="93"/>
      <c r="G544" s="85"/>
      <c r="H544" s="87"/>
      <c r="J544" s="93"/>
      <c r="K544" s="85"/>
      <c r="N544" s="93"/>
      <c r="O544" s="85"/>
      <c r="Q544" s="94"/>
      <c r="R544" s="93"/>
      <c r="S544" s="85"/>
      <c r="U544" s="94"/>
      <c r="V544" s="93"/>
      <c r="W544" s="85"/>
      <c r="Y544" s="94"/>
      <c r="Z544" s="93"/>
      <c r="AA544" s="85"/>
      <c r="AC544" s="94"/>
      <c r="AD544" s="93"/>
      <c r="AE544" s="85"/>
    </row>
    <row r="545" spans="6:31" ht="14.5" customHeight="1" x14ac:dyDescent="0.35">
      <c r="F545" s="93"/>
      <c r="G545" s="85"/>
      <c r="H545" s="87"/>
      <c r="J545" s="93"/>
      <c r="K545" s="85"/>
      <c r="N545" s="93"/>
      <c r="O545" s="85"/>
      <c r="Q545" s="94"/>
      <c r="R545" s="93"/>
      <c r="S545" s="85"/>
      <c r="U545" s="94"/>
      <c r="V545" s="93"/>
      <c r="W545" s="85"/>
      <c r="Y545" s="94"/>
      <c r="Z545" s="93"/>
      <c r="AA545" s="85"/>
      <c r="AC545" s="94"/>
      <c r="AD545" s="93"/>
      <c r="AE545" s="85"/>
    </row>
    <row r="546" spans="6:31" ht="14.5" customHeight="1" x14ac:dyDescent="0.35">
      <c r="F546" s="93"/>
      <c r="G546" s="85"/>
      <c r="H546" s="87"/>
      <c r="J546" s="93"/>
      <c r="K546" s="85"/>
      <c r="N546" s="93"/>
      <c r="O546" s="85"/>
      <c r="Q546" s="94"/>
      <c r="R546" s="93"/>
      <c r="S546" s="85"/>
      <c r="U546" s="94"/>
      <c r="V546" s="93"/>
      <c r="W546" s="85"/>
      <c r="Y546" s="94"/>
      <c r="Z546" s="93"/>
      <c r="AA546" s="85"/>
      <c r="AC546" s="94"/>
      <c r="AD546" s="93"/>
      <c r="AE546" s="85"/>
    </row>
    <row r="547" spans="6:31" ht="14.5" customHeight="1" x14ac:dyDescent="0.35">
      <c r="F547" s="93"/>
      <c r="G547" s="85"/>
      <c r="H547" s="87"/>
      <c r="J547" s="93"/>
      <c r="K547" s="85"/>
      <c r="N547" s="93"/>
      <c r="O547" s="85"/>
      <c r="Q547" s="94"/>
      <c r="R547" s="93"/>
      <c r="S547" s="85"/>
      <c r="U547" s="94"/>
      <c r="V547" s="93"/>
      <c r="W547" s="85"/>
      <c r="Y547" s="94"/>
      <c r="Z547" s="93"/>
      <c r="AA547" s="85"/>
      <c r="AC547" s="94"/>
      <c r="AD547" s="93"/>
      <c r="AE547" s="85"/>
    </row>
    <row r="548" spans="6:31" ht="14.5" customHeight="1" x14ac:dyDescent="0.35">
      <c r="F548" s="93"/>
      <c r="G548" s="85"/>
      <c r="H548" s="87"/>
      <c r="J548" s="93"/>
      <c r="K548" s="85"/>
      <c r="N548" s="93"/>
      <c r="O548" s="85"/>
      <c r="Q548" s="94"/>
      <c r="R548" s="93"/>
      <c r="S548" s="85"/>
      <c r="U548" s="94"/>
      <c r="V548" s="93"/>
      <c r="W548" s="85"/>
      <c r="Y548" s="94"/>
      <c r="Z548" s="93"/>
      <c r="AA548" s="85"/>
      <c r="AC548" s="94"/>
      <c r="AD548" s="93"/>
      <c r="AE548" s="85"/>
    </row>
    <row r="549" spans="6:31" ht="14.5" customHeight="1" x14ac:dyDescent="0.35">
      <c r="F549" s="93"/>
      <c r="G549" s="85"/>
      <c r="H549" s="87"/>
      <c r="J549" s="93"/>
      <c r="K549" s="85"/>
      <c r="N549" s="93"/>
      <c r="O549" s="85"/>
      <c r="Q549" s="94"/>
      <c r="R549" s="93"/>
      <c r="S549" s="85"/>
      <c r="U549" s="94"/>
      <c r="V549" s="93"/>
      <c r="W549" s="85"/>
      <c r="Y549" s="94"/>
      <c r="Z549" s="93"/>
      <c r="AA549" s="85"/>
      <c r="AC549" s="94"/>
      <c r="AD549" s="93"/>
      <c r="AE549" s="85"/>
    </row>
    <row r="550" spans="6:31" ht="14.5" customHeight="1" x14ac:dyDescent="0.35">
      <c r="F550" s="93"/>
      <c r="G550" s="85"/>
      <c r="H550" s="87"/>
      <c r="J550" s="93"/>
      <c r="K550" s="85"/>
      <c r="N550" s="93"/>
      <c r="O550" s="85"/>
      <c r="Q550" s="94"/>
      <c r="R550" s="93"/>
      <c r="S550" s="85"/>
      <c r="U550" s="94"/>
      <c r="V550" s="93"/>
      <c r="W550" s="85"/>
      <c r="Y550" s="94"/>
      <c r="Z550" s="93"/>
      <c r="AA550" s="85"/>
      <c r="AC550" s="94"/>
      <c r="AD550" s="93"/>
      <c r="AE550" s="85"/>
    </row>
    <row r="551" spans="6:31" ht="14.5" customHeight="1" x14ac:dyDescent="0.35">
      <c r="F551" s="93"/>
      <c r="G551" s="85"/>
      <c r="H551" s="87"/>
      <c r="J551" s="93"/>
      <c r="K551" s="85"/>
      <c r="N551" s="93"/>
      <c r="O551" s="85"/>
      <c r="Q551" s="94"/>
      <c r="R551" s="93"/>
      <c r="S551" s="85"/>
      <c r="U551" s="94"/>
      <c r="V551" s="93"/>
      <c r="W551" s="85"/>
      <c r="Y551" s="94"/>
      <c r="Z551" s="93"/>
      <c r="AA551" s="85"/>
      <c r="AC551" s="94"/>
      <c r="AD551" s="93"/>
      <c r="AE551" s="85"/>
    </row>
    <row r="552" spans="6:31" ht="14.5" customHeight="1" x14ac:dyDescent="0.35">
      <c r="F552" s="93"/>
      <c r="G552" s="85"/>
      <c r="H552" s="87"/>
      <c r="J552" s="93"/>
      <c r="K552" s="85"/>
      <c r="N552" s="93"/>
      <c r="O552" s="85"/>
      <c r="Q552" s="94"/>
      <c r="R552" s="93"/>
      <c r="S552" s="85"/>
      <c r="U552" s="94"/>
      <c r="V552" s="93"/>
      <c r="W552" s="85"/>
      <c r="Y552" s="94"/>
      <c r="Z552" s="93"/>
      <c r="AA552" s="85"/>
      <c r="AC552" s="94"/>
      <c r="AD552" s="93"/>
      <c r="AE552" s="85"/>
    </row>
    <row r="553" spans="6:31" ht="14.5" customHeight="1" x14ac:dyDescent="0.35">
      <c r="F553" s="93"/>
      <c r="G553" s="85"/>
      <c r="H553" s="87"/>
      <c r="J553" s="93"/>
      <c r="K553" s="85"/>
      <c r="N553" s="93"/>
      <c r="O553" s="85"/>
      <c r="Q553" s="94"/>
      <c r="R553" s="93"/>
      <c r="S553" s="85"/>
      <c r="U553" s="94"/>
      <c r="V553" s="93"/>
      <c r="W553" s="85"/>
      <c r="Y553" s="94"/>
      <c r="Z553" s="93"/>
      <c r="AA553" s="85"/>
      <c r="AC553" s="94"/>
      <c r="AD553" s="93"/>
      <c r="AE553" s="85"/>
    </row>
    <row r="554" spans="6:31" ht="14.5" customHeight="1" x14ac:dyDescent="0.35">
      <c r="F554" s="93"/>
      <c r="G554" s="85"/>
      <c r="H554" s="87"/>
      <c r="J554" s="93"/>
      <c r="K554" s="85"/>
      <c r="N554" s="93"/>
      <c r="O554" s="85"/>
      <c r="Q554" s="94"/>
      <c r="R554" s="93"/>
      <c r="S554" s="85"/>
      <c r="U554" s="94"/>
      <c r="V554" s="93"/>
      <c r="W554" s="85"/>
      <c r="Y554" s="94"/>
      <c r="Z554" s="93"/>
      <c r="AA554" s="85"/>
      <c r="AC554" s="94"/>
      <c r="AD554" s="93"/>
      <c r="AE554" s="85"/>
    </row>
    <row r="555" spans="6:31" ht="14.5" customHeight="1" x14ac:dyDescent="0.35">
      <c r="F555" s="93"/>
      <c r="G555" s="85"/>
      <c r="H555" s="87"/>
      <c r="J555" s="93"/>
      <c r="K555" s="85"/>
      <c r="N555" s="93"/>
      <c r="O555" s="85"/>
      <c r="Q555" s="94"/>
      <c r="R555" s="93"/>
      <c r="S555" s="85"/>
      <c r="U555" s="94"/>
      <c r="V555" s="93"/>
      <c r="W555" s="85"/>
      <c r="Y555" s="94"/>
      <c r="Z555" s="93"/>
      <c r="AA555" s="85"/>
      <c r="AC555" s="94"/>
      <c r="AD555" s="93"/>
      <c r="AE555" s="85"/>
    </row>
    <row r="556" spans="6:31" ht="14.5" customHeight="1" x14ac:dyDescent="0.35">
      <c r="F556" s="93"/>
      <c r="G556" s="85"/>
      <c r="H556" s="87"/>
      <c r="J556" s="93"/>
      <c r="K556" s="85"/>
      <c r="N556" s="93"/>
      <c r="O556" s="85"/>
      <c r="Q556" s="94"/>
      <c r="R556" s="93"/>
      <c r="S556" s="85"/>
      <c r="U556" s="94"/>
      <c r="V556" s="93"/>
      <c r="W556" s="85"/>
      <c r="Y556" s="94"/>
      <c r="Z556" s="93"/>
      <c r="AA556" s="85"/>
      <c r="AC556" s="94"/>
      <c r="AD556" s="93"/>
      <c r="AE556" s="85"/>
    </row>
    <row r="557" spans="6:31" ht="14.5" customHeight="1" x14ac:dyDescent="0.35">
      <c r="F557" s="93"/>
      <c r="G557" s="85"/>
      <c r="H557" s="87"/>
      <c r="J557" s="93"/>
      <c r="K557" s="85"/>
      <c r="N557" s="93"/>
      <c r="O557" s="85"/>
      <c r="Q557" s="94"/>
      <c r="R557" s="93"/>
      <c r="S557" s="85"/>
      <c r="U557" s="94"/>
      <c r="V557" s="93"/>
      <c r="W557" s="85"/>
      <c r="Y557" s="94"/>
      <c r="Z557" s="93"/>
      <c r="AA557" s="85"/>
      <c r="AC557" s="94"/>
      <c r="AD557" s="93"/>
      <c r="AE557" s="85"/>
    </row>
    <row r="558" spans="6:31" ht="14.5" customHeight="1" x14ac:dyDescent="0.35">
      <c r="F558" s="93"/>
      <c r="G558" s="85"/>
      <c r="H558" s="87"/>
      <c r="J558" s="93"/>
      <c r="K558" s="85"/>
      <c r="N558" s="93"/>
      <c r="O558" s="85"/>
      <c r="Q558" s="94"/>
      <c r="R558" s="93"/>
      <c r="S558" s="85"/>
      <c r="U558" s="94"/>
      <c r="V558" s="93"/>
      <c r="W558" s="85"/>
      <c r="Y558" s="94"/>
      <c r="Z558" s="93"/>
      <c r="AA558" s="85"/>
      <c r="AC558" s="94"/>
      <c r="AD558" s="93"/>
      <c r="AE558" s="85"/>
    </row>
    <row r="559" spans="6:31" ht="14.5" customHeight="1" x14ac:dyDescent="0.35">
      <c r="F559" s="93"/>
      <c r="G559" s="85"/>
      <c r="H559" s="87"/>
      <c r="J559" s="93"/>
      <c r="K559" s="85"/>
      <c r="N559" s="93"/>
      <c r="O559" s="85"/>
      <c r="Q559" s="94"/>
      <c r="R559" s="93"/>
      <c r="S559" s="85"/>
      <c r="U559" s="94"/>
      <c r="V559" s="93"/>
      <c r="W559" s="85"/>
      <c r="Y559" s="94"/>
      <c r="Z559" s="93"/>
      <c r="AA559" s="85"/>
      <c r="AC559" s="94"/>
      <c r="AD559" s="93"/>
      <c r="AE559" s="85"/>
    </row>
    <row r="560" spans="6:31" ht="14.5" customHeight="1" x14ac:dyDescent="0.35">
      <c r="F560" s="93"/>
      <c r="G560" s="85"/>
      <c r="H560" s="87"/>
      <c r="J560" s="93"/>
      <c r="K560" s="85"/>
      <c r="N560" s="93"/>
      <c r="O560" s="85"/>
      <c r="Q560" s="94"/>
      <c r="R560" s="93"/>
      <c r="S560" s="85"/>
      <c r="U560" s="94"/>
      <c r="V560" s="93"/>
      <c r="W560" s="85"/>
      <c r="Y560" s="94"/>
      <c r="Z560" s="93"/>
      <c r="AA560" s="85"/>
      <c r="AC560" s="94"/>
      <c r="AD560" s="93"/>
      <c r="AE560" s="85"/>
    </row>
    <row r="561" spans="6:31" ht="14.5" customHeight="1" x14ac:dyDescent="0.35">
      <c r="F561" s="93"/>
      <c r="G561" s="85"/>
      <c r="H561" s="87"/>
      <c r="J561" s="93"/>
      <c r="K561" s="85"/>
      <c r="N561" s="93"/>
      <c r="O561" s="85"/>
      <c r="Q561" s="94"/>
      <c r="R561" s="93"/>
      <c r="S561" s="85"/>
      <c r="U561" s="94"/>
      <c r="V561" s="93"/>
      <c r="W561" s="85"/>
      <c r="Y561" s="94"/>
      <c r="Z561" s="93"/>
      <c r="AA561" s="85"/>
      <c r="AC561" s="94"/>
      <c r="AD561" s="93"/>
      <c r="AE561" s="85"/>
    </row>
    <row r="562" spans="6:31" ht="14.5" customHeight="1" x14ac:dyDescent="0.35">
      <c r="F562" s="93"/>
      <c r="G562" s="85"/>
      <c r="H562" s="87"/>
      <c r="J562" s="93"/>
      <c r="K562" s="85"/>
      <c r="N562" s="93"/>
      <c r="O562" s="85"/>
      <c r="Q562" s="94"/>
      <c r="R562" s="93"/>
      <c r="S562" s="85"/>
      <c r="U562" s="94"/>
      <c r="V562" s="93"/>
      <c r="W562" s="85"/>
      <c r="Y562" s="94"/>
      <c r="Z562" s="93"/>
      <c r="AA562" s="85"/>
      <c r="AC562" s="94"/>
      <c r="AD562" s="93"/>
      <c r="AE562" s="85"/>
    </row>
    <row r="563" spans="6:31" ht="14.5" customHeight="1" x14ac:dyDescent="0.35">
      <c r="F563" s="93"/>
      <c r="G563" s="85"/>
      <c r="H563" s="87"/>
      <c r="J563" s="93"/>
      <c r="K563" s="85"/>
      <c r="N563" s="93"/>
      <c r="O563" s="85"/>
      <c r="Q563" s="94"/>
      <c r="R563" s="93"/>
      <c r="S563" s="85"/>
      <c r="U563" s="94"/>
      <c r="V563" s="93"/>
      <c r="W563" s="85"/>
      <c r="Y563" s="94"/>
      <c r="Z563" s="93"/>
      <c r="AA563" s="85"/>
      <c r="AC563" s="94"/>
      <c r="AD563" s="93"/>
      <c r="AE563" s="85"/>
    </row>
    <row r="564" spans="6:31" ht="14.5" customHeight="1" x14ac:dyDescent="0.35">
      <c r="F564" s="93"/>
      <c r="G564" s="85"/>
      <c r="H564" s="87"/>
      <c r="J564" s="93"/>
      <c r="K564" s="85"/>
      <c r="N564" s="93"/>
      <c r="O564" s="85"/>
      <c r="Q564" s="94"/>
      <c r="R564" s="93"/>
      <c r="S564" s="85"/>
      <c r="U564" s="94"/>
      <c r="V564" s="93"/>
      <c r="W564" s="85"/>
      <c r="Y564" s="94"/>
      <c r="Z564" s="93"/>
      <c r="AA564" s="85"/>
      <c r="AC564" s="94"/>
      <c r="AD564" s="93"/>
      <c r="AE564" s="85"/>
    </row>
    <row r="565" spans="6:31" ht="14.5" customHeight="1" x14ac:dyDescent="0.35">
      <c r="F565" s="93"/>
      <c r="G565" s="85"/>
      <c r="H565" s="87"/>
      <c r="J565" s="93"/>
      <c r="K565" s="85"/>
      <c r="N565" s="93"/>
      <c r="O565" s="85"/>
      <c r="Q565" s="94"/>
      <c r="R565" s="93"/>
      <c r="S565" s="85"/>
      <c r="U565" s="94"/>
      <c r="V565" s="93"/>
      <c r="W565" s="85"/>
      <c r="Y565" s="94"/>
      <c r="Z565" s="93"/>
      <c r="AA565" s="85"/>
      <c r="AC565" s="94"/>
      <c r="AD565" s="93"/>
      <c r="AE565" s="85"/>
    </row>
    <row r="566" spans="6:31" ht="14.5" customHeight="1" x14ac:dyDescent="0.35">
      <c r="F566" s="93"/>
      <c r="G566" s="85"/>
      <c r="H566" s="87"/>
      <c r="J566" s="93"/>
      <c r="K566" s="85"/>
      <c r="N566" s="93"/>
      <c r="O566" s="85"/>
      <c r="Q566" s="94"/>
      <c r="R566" s="93"/>
      <c r="S566" s="85"/>
      <c r="U566" s="94"/>
      <c r="V566" s="93"/>
      <c r="W566" s="85"/>
      <c r="Y566" s="94"/>
      <c r="Z566" s="93"/>
      <c r="AA566" s="85"/>
      <c r="AC566" s="94"/>
      <c r="AD566" s="93"/>
      <c r="AE566" s="85"/>
    </row>
    <row r="567" spans="6:31" ht="14.5" customHeight="1" x14ac:dyDescent="0.35">
      <c r="F567" s="93"/>
      <c r="G567" s="85"/>
      <c r="H567" s="87"/>
      <c r="J567" s="93"/>
      <c r="K567" s="85"/>
      <c r="N567" s="93"/>
      <c r="O567" s="85"/>
      <c r="Q567" s="94"/>
      <c r="R567" s="93"/>
      <c r="S567" s="85"/>
      <c r="U567" s="94"/>
      <c r="V567" s="93"/>
      <c r="W567" s="85"/>
      <c r="Y567" s="94"/>
      <c r="Z567" s="93"/>
      <c r="AA567" s="85"/>
      <c r="AC567" s="94"/>
      <c r="AD567" s="93"/>
      <c r="AE567" s="85"/>
    </row>
    <row r="568" spans="6:31" ht="14.5" customHeight="1" x14ac:dyDescent="0.35">
      <c r="F568" s="93"/>
      <c r="G568" s="85"/>
      <c r="H568" s="87"/>
      <c r="J568" s="93"/>
      <c r="K568" s="85"/>
      <c r="N568" s="93"/>
      <c r="O568" s="85"/>
      <c r="Q568" s="94"/>
      <c r="R568" s="93"/>
      <c r="S568" s="85"/>
      <c r="U568" s="94"/>
      <c r="V568" s="93"/>
      <c r="W568" s="85"/>
      <c r="Y568" s="94"/>
      <c r="Z568" s="93"/>
      <c r="AA568" s="85"/>
      <c r="AC568" s="94"/>
      <c r="AD568" s="93"/>
      <c r="AE568" s="85"/>
    </row>
    <row r="569" spans="6:31" ht="14.5" customHeight="1" x14ac:dyDescent="0.35">
      <c r="F569" s="93"/>
      <c r="G569" s="85"/>
      <c r="H569" s="87"/>
      <c r="J569" s="93"/>
      <c r="K569" s="85"/>
      <c r="N569" s="93"/>
      <c r="O569" s="85"/>
      <c r="Q569" s="94"/>
      <c r="R569" s="93"/>
      <c r="S569" s="85"/>
      <c r="U569" s="94"/>
      <c r="V569" s="93"/>
      <c r="W569" s="85"/>
      <c r="Y569" s="94"/>
      <c r="Z569" s="93"/>
      <c r="AA569" s="85"/>
      <c r="AC569" s="94"/>
      <c r="AD569" s="93"/>
      <c r="AE569" s="85"/>
    </row>
    <row r="570" spans="6:31" ht="14.5" customHeight="1" x14ac:dyDescent="0.35">
      <c r="F570" s="93"/>
      <c r="G570" s="85"/>
      <c r="H570" s="87"/>
      <c r="J570" s="93"/>
      <c r="K570" s="85"/>
      <c r="N570" s="93"/>
      <c r="O570" s="85"/>
      <c r="Q570" s="94"/>
      <c r="R570" s="93"/>
      <c r="S570" s="85"/>
      <c r="U570" s="94"/>
      <c r="V570" s="93"/>
      <c r="W570" s="85"/>
      <c r="Y570" s="94"/>
      <c r="Z570" s="93"/>
      <c r="AA570" s="85"/>
      <c r="AC570" s="94"/>
      <c r="AD570" s="93"/>
      <c r="AE570" s="85"/>
    </row>
    <row r="571" spans="6:31" ht="14.5" customHeight="1" x14ac:dyDescent="0.35">
      <c r="F571" s="93"/>
      <c r="G571" s="85"/>
      <c r="H571" s="87"/>
      <c r="J571" s="93"/>
      <c r="K571" s="85"/>
      <c r="N571" s="93"/>
      <c r="O571" s="85"/>
      <c r="Q571" s="94"/>
      <c r="R571" s="93"/>
      <c r="S571" s="85"/>
      <c r="U571" s="94"/>
      <c r="V571" s="93"/>
      <c r="W571" s="85"/>
      <c r="Y571" s="94"/>
      <c r="Z571" s="93"/>
      <c r="AA571" s="85"/>
      <c r="AC571" s="94"/>
      <c r="AD571" s="93"/>
      <c r="AE571" s="85"/>
    </row>
    <row r="572" spans="6:31" ht="14.5" customHeight="1" x14ac:dyDescent="0.35">
      <c r="F572" s="93"/>
      <c r="G572" s="85"/>
      <c r="H572" s="87"/>
      <c r="J572" s="93"/>
      <c r="K572" s="85"/>
      <c r="N572" s="93"/>
      <c r="O572" s="85"/>
      <c r="Q572" s="94"/>
      <c r="R572" s="93"/>
      <c r="S572" s="85"/>
      <c r="U572" s="94"/>
      <c r="V572" s="93"/>
      <c r="W572" s="85"/>
      <c r="Y572" s="94"/>
      <c r="Z572" s="93"/>
      <c r="AA572" s="85"/>
      <c r="AC572" s="94"/>
      <c r="AD572" s="93"/>
      <c r="AE572" s="85"/>
    </row>
    <row r="573" spans="6:31" ht="14.5" customHeight="1" x14ac:dyDescent="0.35">
      <c r="F573" s="93"/>
      <c r="G573" s="85"/>
      <c r="H573" s="87"/>
      <c r="J573" s="93"/>
      <c r="K573" s="85"/>
      <c r="N573" s="93"/>
      <c r="O573" s="85"/>
      <c r="Q573" s="94"/>
      <c r="R573" s="93"/>
      <c r="S573" s="85"/>
      <c r="U573" s="94"/>
      <c r="V573" s="93"/>
      <c r="W573" s="85"/>
      <c r="Y573" s="94"/>
      <c r="Z573" s="93"/>
      <c r="AA573" s="85"/>
      <c r="AC573" s="94"/>
      <c r="AD573" s="93"/>
      <c r="AE573" s="85"/>
    </row>
    <row r="574" spans="6:31" ht="14.5" customHeight="1" x14ac:dyDescent="0.35">
      <c r="F574" s="93"/>
      <c r="G574" s="85"/>
      <c r="H574" s="87"/>
      <c r="J574" s="93"/>
      <c r="K574" s="85"/>
      <c r="N574" s="93"/>
      <c r="O574" s="85"/>
      <c r="Q574" s="94"/>
      <c r="R574" s="93"/>
      <c r="S574" s="85"/>
      <c r="U574" s="94"/>
      <c r="V574" s="93"/>
      <c r="W574" s="85"/>
      <c r="Y574" s="94"/>
      <c r="Z574" s="93"/>
      <c r="AA574" s="85"/>
      <c r="AC574" s="94"/>
      <c r="AD574" s="93"/>
      <c r="AE574" s="85"/>
    </row>
    <row r="575" spans="6:31" ht="14.5" customHeight="1" x14ac:dyDescent="0.35">
      <c r="F575" s="93"/>
      <c r="G575" s="85"/>
      <c r="H575" s="87"/>
      <c r="J575" s="93"/>
      <c r="K575" s="85"/>
      <c r="N575" s="93"/>
      <c r="O575" s="85"/>
      <c r="Q575" s="94"/>
      <c r="R575" s="93"/>
      <c r="S575" s="85"/>
      <c r="U575" s="94"/>
      <c r="V575" s="93"/>
      <c r="W575" s="85"/>
      <c r="Y575" s="94"/>
      <c r="Z575" s="93"/>
      <c r="AA575" s="85"/>
      <c r="AC575" s="94"/>
      <c r="AD575" s="93"/>
      <c r="AE575" s="85"/>
    </row>
    <row r="576" spans="6:31" ht="14.5" customHeight="1" x14ac:dyDescent="0.35">
      <c r="F576" s="93"/>
      <c r="G576" s="85"/>
      <c r="H576" s="87"/>
      <c r="J576" s="93"/>
      <c r="K576" s="85"/>
      <c r="N576" s="93"/>
      <c r="O576" s="85"/>
      <c r="Q576" s="94"/>
      <c r="R576" s="93"/>
      <c r="S576" s="85"/>
      <c r="U576" s="94"/>
      <c r="V576" s="93"/>
      <c r="W576" s="85"/>
      <c r="Y576" s="94"/>
      <c r="Z576" s="93"/>
      <c r="AA576" s="85"/>
      <c r="AC576" s="94"/>
      <c r="AD576" s="93"/>
      <c r="AE576" s="85"/>
    </row>
    <row r="577" spans="6:31" ht="14.5" customHeight="1" x14ac:dyDescent="0.35">
      <c r="F577" s="93"/>
      <c r="G577" s="85"/>
      <c r="H577" s="87"/>
      <c r="J577" s="93"/>
      <c r="K577" s="85"/>
      <c r="N577" s="93"/>
      <c r="O577" s="85"/>
      <c r="Q577" s="94"/>
      <c r="R577" s="93"/>
      <c r="S577" s="85"/>
      <c r="U577" s="94"/>
      <c r="V577" s="93"/>
      <c r="W577" s="85"/>
      <c r="Y577" s="94"/>
      <c r="Z577" s="93"/>
      <c r="AA577" s="85"/>
      <c r="AC577" s="94"/>
      <c r="AD577" s="93"/>
      <c r="AE577" s="85"/>
    </row>
    <row r="578" spans="6:31" ht="14.5" customHeight="1" x14ac:dyDescent="0.35">
      <c r="F578" s="93"/>
      <c r="G578" s="85"/>
      <c r="H578" s="87"/>
      <c r="J578" s="93"/>
      <c r="K578" s="85"/>
      <c r="N578" s="93"/>
      <c r="O578" s="85"/>
      <c r="Q578" s="94"/>
      <c r="R578" s="93"/>
      <c r="S578" s="85"/>
      <c r="U578" s="94"/>
      <c r="V578" s="93"/>
      <c r="W578" s="85"/>
      <c r="Y578" s="94"/>
      <c r="Z578" s="93"/>
      <c r="AA578" s="85"/>
      <c r="AC578" s="94"/>
      <c r="AD578" s="93"/>
      <c r="AE578" s="85"/>
    </row>
    <row r="579" spans="6:31" ht="14.5" customHeight="1" x14ac:dyDescent="0.35">
      <c r="F579" s="93"/>
      <c r="G579" s="85"/>
      <c r="H579" s="87"/>
      <c r="J579" s="93"/>
      <c r="K579" s="85"/>
      <c r="N579" s="93"/>
      <c r="O579" s="85"/>
      <c r="Q579" s="94"/>
      <c r="R579" s="93"/>
      <c r="S579" s="85"/>
      <c r="U579" s="94"/>
      <c r="V579" s="93"/>
      <c r="W579" s="85"/>
      <c r="Y579" s="94"/>
      <c r="Z579" s="93"/>
      <c r="AA579" s="85"/>
      <c r="AC579" s="94"/>
      <c r="AD579" s="93"/>
      <c r="AE579" s="85"/>
    </row>
    <row r="580" spans="6:31" ht="14.5" customHeight="1" x14ac:dyDescent="0.35">
      <c r="F580" s="93"/>
      <c r="G580" s="85"/>
      <c r="H580" s="87"/>
      <c r="J580" s="93"/>
      <c r="K580" s="85"/>
      <c r="N580" s="93"/>
      <c r="O580" s="85"/>
      <c r="Q580" s="94"/>
      <c r="R580" s="93"/>
      <c r="S580" s="85"/>
      <c r="U580" s="94"/>
      <c r="V580" s="93"/>
      <c r="W580" s="85"/>
      <c r="Y580" s="94"/>
      <c r="Z580" s="93"/>
      <c r="AA580" s="85"/>
      <c r="AC580" s="94"/>
      <c r="AD580" s="93"/>
      <c r="AE580" s="85"/>
    </row>
    <row r="581" spans="6:31" ht="14.5" customHeight="1" x14ac:dyDescent="0.35">
      <c r="F581" s="93"/>
      <c r="G581" s="85"/>
      <c r="H581" s="87"/>
      <c r="J581" s="93"/>
      <c r="K581" s="85"/>
      <c r="N581" s="93"/>
      <c r="O581" s="85"/>
      <c r="Q581" s="94"/>
      <c r="R581" s="93"/>
      <c r="S581" s="85"/>
      <c r="U581" s="94"/>
      <c r="V581" s="93"/>
      <c r="W581" s="85"/>
      <c r="Y581" s="94"/>
      <c r="Z581" s="93"/>
      <c r="AA581" s="85"/>
      <c r="AC581" s="94"/>
      <c r="AD581" s="93"/>
      <c r="AE581" s="85"/>
    </row>
    <row r="582" spans="6:31" ht="14.5" customHeight="1" x14ac:dyDescent="0.35">
      <c r="F582" s="93"/>
      <c r="G582" s="85"/>
      <c r="H582" s="87"/>
      <c r="J582" s="93"/>
      <c r="K582" s="85"/>
      <c r="N582" s="93"/>
      <c r="O582" s="85"/>
      <c r="Q582" s="94"/>
      <c r="R582" s="93"/>
      <c r="S582" s="85"/>
      <c r="U582" s="94"/>
      <c r="V582" s="93"/>
      <c r="W582" s="85"/>
      <c r="Y582" s="94"/>
      <c r="Z582" s="93"/>
      <c r="AA582" s="85"/>
      <c r="AC582" s="94"/>
      <c r="AD582" s="93"/>
      <c r="AE582" s="85"/>
    </row>
    <row r="583" spans="6:31" ht="14.5" customHeight="1" x14ac:dyDescent="0.35">
      <c r="F583" s="93"/>
      <c r="G583" s="85"/>
      <c r="H583" s="87"/>
      <c r="J583" s="93"/>
      <c r="K583" s="85"/>
      <c r="N583" s="93"/>
      <c r="O583" s="85"/>
      <c r="Q583" s="94"/>
      <c r="R583" s="93"/>
      <c r="S583" s="85"/>
      <c r="U583" s="94"/>
      <c r="V583" s="93"/>
      <c r="W583" s="85"/>
      <c r="Y583" s="94"/>
      <c r="Z583" s="93"/>
      <c r="AA583" s="85"/>
      <c r="AC583" s="94"/>
      <c r="AD583" s="93"/>
      <c r="AE583" s="85"/>
    </row>
    <row r="584" spans="6:31" ht="14.5" customHeight="1" x14ac:dyDescent="0.35">
      <c r="F584" s="93"/>
      <c r="G584" s="85"/>
      <c r="H584" s="87"/>
      <c r="J584" s="93"/>
      <c r="K584" s="85"/>
      <c r="N584" s="93"/>
      <c r="O584" s="85"/>
      <c r="Q584" s="94"/>
      <c r="R584" s="93"/>
      <c r="S584" s="85"/>
      <c r="U584" s="94"/>
      <c r="V584" s="93"/>
      <c r="W584" s="85"/>
      <c r="Y584" s="94"/>
      <c r="Z584" s="93"/>
      <c r="AA584" s="85"/>
      <c r="AC584" s="94"/>
      <c r="AD584" s="93"/>
      <c r="AE584" s="85"/>
    </row>
    <row r="585" spans="6:31" ht="14.5" customHeight="1" x14ac:dyDescent="0.35">
      <c r="F585" s="93"/>
      <c r="G585" s="85"/>
      <c r="H585" s="87"/>
      <c r="J585" s="93"/>
      <c r="K585" s="85"/>
      <c r="N585" s="93"/>
      <c r="O585" s="85"/>
      <c r="Q585" s="94"/>
      <c r="R585" s="93"/>
      <c r="S585" s="85"/>
      <c r="U585" s="94"/>
      <c r="V585" s="93"/>
      <c r="W585" s="85"/>
      <c r="Y585" s="94"/>
      <c r="Z585" s="93"/>
      <c r="AA585" s="85"/>
      <c r="AC585" s="94"/>
      <c r="AD585" s="93"/>
      <c r="AE585" s="85"/>
    </row>
    <row r="586" spans="6:31" ht="14.5" customHeight="1" x14ac:dyDescent="0.35">
      <c r="F586" s="93"/>
      <c r="G586" s="85"/>
      <c r="H586" s="87"/>
      <c r="J586" s="93"/>
      <c r="K586" s="85"/>
      <c r="N586" s="93"/>
      <c r="O586" s="85"/>
      <c r="Q586" s="94"/>
      <c r="R586" s="93"/>
      <c r="S586" s="85"/>
      <c r="U586" s="94"/>
      <c r="V586" s="93"/>
      <c r="W586" s="85"/>
      <c r="Y586" s="94"/>
      <c r="Z586" s="93"/>
      <c r="AA586" s="85"/>
      <c r="AC586" s="94"/>
      <c r="AD586" s="93"/>
      <c r="AE586" s="85"/>
    </row>
    <row r="587" spans="6:31" ht="14.5" customHeight="1" x14ac:dyDescent="0.35">
      <c r="F587" s="93"/>
      <c r="G587" s="85"/>
      <c r="H587" s="87"/>
      <c r="J587" s="93"/>
      <c r="K587" s="85"/>
      <c r="N587" s="93"/>
      <c r="O587" s="85"/>
      <c r="Q587" s="94"/>
      <c r="R587" s="93"/>
      <c r="S587" s="85"/>
      <c r="U587" s="94"/>
      <c r="V587" s="93"/>
      <c r="W587" s="85"/>
      <c r="Y587" s="94"/>
      <c r="Z587" s="93"/>
      <c r="AA587" s="85"/>
      <c r="AC587" s="94"/>
      <c r="AD587" s="93"/>
      <c r="AE587" s="85"/>
    </row>
    <row r="588" spans="6:31" ht="14.5" customHeight="1" x14ac:dyDescent="0.35">
      <c r="F588" s="93"/>
      <c r="G588" s="85"/>
      <c r="H588" s="87"/>
      <c r="J588" s="93"/>
      <c r="K588" s="85"/>
      <c r="N588" s="93"/>
      <c r="O588" s="85"/>
      <c r="Q588" s="94"/>
      <c r="R588" s="93"/>
      <c r="S588" s="85"/>
      <c r="U588" s="94"/>
      <c r="V588" s="93"/>
      <c r="W588" s="85"/>
      <c r="Y588" s="94"/>
      <c r="Z588" s="93"/>
      <c r="AA588" s="85"/>
      <c r="AC588" s="94"/>
      <c r="AD588" s="93"/>
      <c r="AE588" s="85"/>
    </row>
    <row r="589" spans="6:31" ht="14.5" customHeight="1" x14ac:dyDescent="0.35">
      <c r="F589" s="93"/>
      <c r="G589" s="85"/>
      <c r="H589" s="87"/>
      <c r="J589" s="93"/>
      <c r="K589" s="85"/>
      <c r="N589" s="93"/>
      <c r="O589" s="85"/>
      <c r="Q589" s="94"/>
      <c r="R589" s="93"/>
      <c r="S589" s="85"/>
      <c r="U589" s="94"/>
      <c r="V589" s="93"/>
      <c r="W589" s="85"/>
      <c r="Y589" s="94"/>
      <c r="Z589" s="93"/>
      <c r="AA589" s="85"/>
      <c r="AC589" s="94"/>
      <c r="AD589" s="93"/>
      <c r="AE589" s="85"/>
    </row>
    <row r="590" spans="6:31" ht="14.5" customHeight="1" x14ac:dyDescent="0.35">
      <c r="F590" s="93"/>
      <c r="G590" s="85"/>
      <c r="H590" s="87"/>
      <c r="J590" s="93"/>
      <c r="K590" s="85"/>
      <c r="N590" s="93"/>
      <c r="O590" s="85"/>
      <c r="Q590" s="94"/>
      <c r="R590" s="93"/>
      <c r="S590" s="85"/>
      <c r="U590" s="94"/>
      <c r="V590" s="93"/>
      <c r="W590" s="85"/>
      <c r="Y590" s="94"/>
      <c r="Z590" s="93"/>
      <c r="AA590" s="85"/>
      <c r="AC590" s="94"/>
      <c r="AD590" s="93"/>
      <c r="AE590" s="85"/>
    </row>
    <row r="591" spans="6:31" ht="14.5" customHeight="1" x14ac:dyDescent="0.35">
      <c r="F591" s="93"/>
      <c r="G591" s="85"/>
      <c r="H591" s="87"/>
      <c r="J591" s="93"/>
      <c r="K591" s="85"/>
      <c r="N591" s="93"/>
      <c r="O591" s="85"/>
      <c r="Q591" s="94"/>
      <c r="R591" s="93"/>
      <c r="S591" s="85"/>
      <c r="U591" s="94"/>
      <c r="V591" s="93"/>
      <c r="W591" s="85"/>
      <c r="Y591" s="94"/>
      <c r="Z591" s="93"/>
      <c r="AA591" s="85"/>
      <c r="AC591" s="94"/>
      <c r="AD591" s="93"/>
      <c r="AE591" s="85"/>
    </row>
    <row r="592" spans="6:31" ht="14.5" customHeight="1" x14ac:dyDescent="0.35">
      <c r="F592" s="93"/>
      <c r="G592" s="85"/>
      <c r="H592" s="87"/>
      <c r="J592" s="93"/>
      <c r="K592" s="85"/>
      <c r="N592" s="93"/>
      <c r="O592" s="85"/>
      <c r="Q592" s="94"/>
      <c r="R592" s="93"/>
      <c r="S592" s="85"/>
      <c r="U592" s="94"/>
      <c r="V592" s="93"/>
      <c r="W592" s="85"/>
      <c r="Y592" s="94"/>
      <c r="Z592" s="93"/>
      <c r="AA592" s="85"/>
      <c r="AC592" s="94"/>
      <c r="AD592" s="93"/>
      <c r="AE592" s="85"/>
    </row>
    <row r="593" spans="6:31" ht="14.5" customHeight="1" x14ac:dyDescent="0.35">
      <c r="F593" s="93"/>
      <c r="G593" s="85"/>
      <c r="H593" s="87"/>
      <c r="J593" s="93"/>
      <c r="K593" s="85"/>
      <c r="N593" s="93"/>
      <c r="O593" s="85"/>
      <c r="Q593" s="94"/>
      <c r="R593" s="93"/>
      <c r="S593" s="85"/>
      <c r="U593" s="94"/>
      <c r="V593" s="93"/>
      <c r="W593" s="85"/>
      <c r="Y593" s="94"/>
      <c r="Z593" s="93"/>
      <c r="AA593" s="85"/>
      <c r="AC593" s="94"/>
      <c r="AD593" s="93"/>
      <c r="AE593" s="85"/>
    </row>
    <row r="594" spans="6:31" ht="14.5" customHeight="1" x14ac:dyDescent="0.35">
      <c r="F594" s="93"/>
      <c r="G594" s="85"/>
      <c r="H594" s="87"/>
      <c r="J594" s="93"/>
      <c r="K594" s="85"/>
      <c r="N594" s="93"/>
      <c r="O594" s="85"/>
      <c r="Q594" s="94"/>
      <c r="R594" s="93"/>
      <c r="S594" s="85"/>
      <c r="U594" s="94"/>
      <c r="V594" s="93"/>
      <c r="W594" s="85"/>
      <c r="Y594" s="94"/>
      <c r="Z594" s="93"/>
      <c r="AA594" s="85"/>
      <c r="AC594" s="94"/>
      <c r="AD594" s="93"/>
      <c r="AE594" s="85"/>
    </row>
    <row r="595" spans="6:31" ht="14.5" customHeight="1" x14ac:dyDescent="0.35">
      <c r="F595" s="93"/>
      <c r="G595" s="85"/>
      <c r="H595" s="87"/>
      <c r="J595" s="93"/>
      <c r="K595" s="85"/>
      <c r="N595" s="93"/>
      <c r="O595" s="85"/>
      <c r="Q595" s="94"/>
      <c r="R595" s="93"/>
      <c r="S595" s="85"/>
      <c r="U595" s="94"/>
      <c r="V595" s="93"/>
      <c r="W595" s="85"/>
      <c r="Y595" s="94"/>
      <c r="Z595" s="93"/>
      <c r="AA595" s="85"/>
      <c r="AC595" s="94"/>
      <c r="AD595" s="93"/>
      <c r="AE595" s="85"/>
    </row>
    <row r="596" spans="6:31" ht="14.5" customHeight="1" x14ac:dyDescent="0.35">
      <c r="F596" s="93"/>
      <c r="G596" s="85"/>
      <c r="H596" s="87"/>
      <c r="J596" s="93"/>
      <c r="K596" s="85"/>
      <c r="N596" s="93"/>
      <c r="O596" s="85"/>
      <c r="Q596" s="94"/>
      <c r="R596" s="93"/>
      <c r="S596" s="85"/>
      <c r="U596" s="94"/>
      <c r="V596" s="93"/>
      <c r="W596" s="85"/>
      <c r="Y596" s="94"/>
      <c r="Z596" s="93"/>
      <c r="AA596" s="85"/>
      <c r="AC596" s="94"/>
      <c r="AD596" s="93"/>
      <c r="AE596" s="85"/>
    </row>
    <row r="597" spans="6:31" ht="14.5" customHeight="1" x14ac:dyDescent="0.35">
      <c r="F597" s="93"/>
      <c r="G597" s="85"/>
      <c r="H597" s="87"/>
      <c r="J597" s="93"/>
      <c r="K597" s="85"/>
      <c r="N597" s="93"/>
      <c r="O597" s="85"/>
      <c r="Q597" s="94"/>
      <c r="R597" s="93"/>
      <c r="S597" s="85"/>
      <c r="U597" s="94"/>
      <c r="V597" s="93"/>
      <c r="W597" s="85"/>
      <c r="Y597" s="94"/>
      <c r="Z597" s="93"/>
      <c r="AA597" s="85"/>
      <c r="AC597" s="94"/>
      <c r="AD597" s="93"/>
      <c r="AE597" s="85"/>
    </row>
    <row r="598" spans="6:31" ht="14.5" customHeight="1" x14ac:dyDescent="0.35">
      <c r="F598" s="93"/>
      <c r="G598" s="85"/>
      <c r="H598" s="87"/>
      <c r="J598" s="93"/>
      <c r="K598" s="85"/>
      <c r="N598" s="93"/>
      <c r="O598" s="85"/>
      <c r="Q598" s="94"/>
      <c r="R598" s="93"/>
      <c r="S598" s="85"/>
      <c r="U598" s="94"/>
      <c r="V598" s="93"/>
      <c r="W598" s="85"/>
      <c r="Y598" s="94"/>
      <c r="Z598" s="93"/>
      <c r="AA598" s="85"/>
      <c r="AC598" s="94"/>
      <c r="AD598" s="93"/>
      <c r="AE598" s="85"/>
    </row>
    <row r="599" spans="6:31" ht="14.5" customHeight="1" x14ac:dyDescent="0.35">
      <c r="F599" s="93"/>
      <c r="G599" s="85"/>
      <c r="H599" s="87"/>
      <c r="J599" s="93"/>
      <c r="K599" s="85"/>
      <c r="N599" s="93"/>
      <c r="O599" s="85"/>
      <c r="Q599" s="94"/>
      <c r="R599" s="93"/>
      <c r="S599" s="85"/>
      <c r="U599" s="94"/>
      <c r="V599" s="93"/>
      <c r="W599" s="85"/>
      <c r="Y599" s="94"/>
      <c r="Z599" s="93"/>
      <c r="AA599" s="85"/>
      <c r="AC599" s="94"/>
      <c r="AD599" s="93"/>
      <c r="AE599" s="85"/>
    </row>
    <row r="600" spans="6:31" ht="14.5" customHeight="1" x14ac:dyDescent="0.35">
      <c r="F600" s="93"/>
      <c r="G600" s="85"/>
      <c r="H600" s="87"/>
      <c r="J600" s="93"/>
      <c r="K600" s="85"/>
      <c r="N600" s="93"/>
      <c r="O600" s="85"/>
      <c r="Q600" s="94"/>
      <c r="R600" s="93"/>
      <c r="S600" s="85"/>
      <c r="U600" s="94"/>
      <c r="V600" s="93"/>
      <c r="W600" s="85"/>
      <c r="Y600" s="94"/>
      <c r="Z600" s="93"/>
      <c r="AA600" s="85"/>
      <c r="AC600" s="94"/>
      <c r="AD600" s="93"/>
      <c r="AE600" s="85"/>
    </row>
    <row r="601" spans="6:31" ht="14.5" customHeight="1" x14ac:dyDescent="0.35">
      <c r="F601" s="93"/>
      <c r="G601" s="85"/>
      <c r="H601" s="87"/>
      <c r="J601" s="93"/>
      <c r="K601" s="85"/>
      <c r="N601" s="93"/>
      <c r="O601" s="85"/>
      <c r="Q601" s="94"/>
      <c r="R601" s="93"/>
      <c r="S601" s="85"/>
      <c r="U601" s="94"/>
      <c r="V601" s="93"/>
      <c r="W601" s="85"/>
      <c r="Y601" s="94"/>
      <c r="Z601" s="93"/>
      <c r="AA601" s="85"/>
      <c r="AC601" s="94"/>
      <c r="AD601" s="93"/>
      <c r="AE601" s="85"/>
    </row>
    <row r="602" spans="6:31" ht="14.5" customHeight="1" x14ac:dyDescent="0.35">
      <c r="F602" s="93"/>
      <c r="G602" s="85"/>
      <c r="H602" s="87"/>
      <c r="J602" s="93"/>
      <c r="K602" s="85"/>
      <c r="N602" s="93"/>
      <c r="O602" s="85"/>
      <c r="Q602" s="94"/>
      <c r="R602" s="93"/>
      <c r="S602" s="85"/>
      <c r="U602" s="94"/>
      <c r="V602" s="93"/>
      <c r="W602" s="85"/>
      <c r="Y602" s="94"/>
      <c r="Z602" s="93"/>
      <c r="AA602" s="85"/>
      <c r="AC602" s="94"/>
      <c r="AD602" s="93"/>
      <c r="AE602" s="85"/>
    </row>
    <row r="603" spans="6:31" ht="14.5" customHeight="1" x14ac:dyDescent="0.35">
      <c r="F603" s="93"/>
      <c r="G603" s="85"/>
      <c r="H603" s="87"/>
      <c r="J603" s="93"/>
      <c r="K603" s="85"/>
      <c r="N603" s="93"/>
      <c r="O603" s="85"/>
      <c r="Q603" s="94"/>
      <c r="R603" s="93"/>
      <c r="S603" s="85"/>
      <c r="U603" s="94"/>
      <c r="V603" s="93"/>
      <c r="W603" s="85"/>
      <c r="Y603" s="94"/>
      <c r="Z603" s="93"/>
      <c r="AA603" s="85"/>
      <c r="AC603" s="94"/>
      <c r="AD603" s="93"/>
      <c r="AE603" s="85"/>
    </row>
    <row r="604" spans="6:31" ht="14.5" customHeight="1" x14ac:dyDescent="0.35">
      <c r="F604" s="93"/>
      <c r="G604" s="85"/>
      <c r="H604" s="87"/>
      <c r="J604" s="93"/>
      <c r="K604" s="85"/>
      <c r="N604" s="93"/>
      <c r="O604" s="85"/>
      <c r="Q604" s="94"/>
      <c r="R604" s="93"/>
      <c r="S604" s="85"/>
      <c r="U604" s="94"/>
      <c r="V604" s="93"/>
      <c r="W604" s="85"/>
      <c r="Y604" s="94"/>
      <c r="Z604" s="93"/>
      <c r="AA604" s="85"/>
      <c r="AC604" s="94"/>
      <c r="AD604" s="93"/>
      <c r="AE604" s="85"/>
    </row>
    <row r="605" spans="6:31" ht="14.5" customHeight="1" x14ac:dyDescent="0.35">
      <c r="F605" s="93"/>
      <c r="G605" s="85"/>
      <c r="H605" s="87"/>
      <c r="J605" s="93"/>
      <c r="K605" s="85"/>
      <c r="N605" s="93"/>
      <c r="O605" s="85"/>
      <c r="Q605" s="94"/>
      <c r="R605" s="93"/>
      <c r="S605" s="85"/>
      <c r="U605" s="94"/>
      <c r="V605" s="93"/>
      <c r="W605" s="85"/>
      <c r="Y605" s="94"/>
      <c r="Z605" s="93"/>
      <c r="AA605" s="85"/>
      <c r="AC605" s="94"/>
      <c r="AD605" s="93"/>
      <c r="AE605" s="85"/>
    </row>
    <row r="606" spans="6:31" ht="14.5" customHeight="1" x14ac:dyDescent="0.35">
      <c r="F606" s="93"/>
      <c r="G606" s="85"/>
      <c r="H606" s="87"/>
      <c r="J606" s="93"/>
      <c r="K606" s="85"/>
      <c r="N606" s="93"/>
      <c r="O606" s="85"/>
      <c r="Q606" s="94"/>
      <c r="R606" s="93"/>
      <c r="S606" s="85"/>
      <c r="U606" s="94"/>
      <c r="V606" s="93"/>
      <c r="W606" s="85"/>
      <c r="Y606" s="94"/>
      <c r="Z606" s="93"/>
      <c r="AA606" s="85"/>
      <c r="AC606" s="94"/>
      <c r="AD606" s="93"/>
      <c r="AE606" s="85"/>
    </row>
    <row r="607" spans="6:31" ht="14.5" customHeight="1" x14ac:dyDescent="0.35">
      <c r="F607" s="93"/>
      <c r="G607" s="85"/>
      <c r="H607" s="87"/>
      <c r="J607" s="93"/>
      <c r="K607" s="85"/>
      <c r="N607" s="93"/>
      <c r="O607" s="85"/>
      <c r="Q607" s="94"/>
      <c r="R607" s="93"/>
      <c r="S607" s="85"/>
      <c r="U607" s="94"/>
      <c r="V607" s="93"/>
      <c r="W607" s="85"/>
      <c r="Y607" s="94"/>
      <c r="Z607" s="93"/>
      <c r="AA607" s="85"/>
      <c r="AC607" s="94"/>
      <c r="AD607" s="93"/>
      <c r="AE607" s="85"/>
    </row>
    <row r="608" spans="6:31" ht="14.5" customHeight="1" x14ac:dyDescent="0.35">
      <c r="F608" s="93"/>
      <c r="G608" s="85"/>
      <c r="H608" s="87"/>
      <c r="J608" s="93"/>
      <c r="K608" s="85"/>
      <c r="N608" s="93"/>
      <c r="O608" s="85"/>
      <c r="Q608" s="94"/>
      <c r="R608" s="93"/>
      <c r="S608" s="85"/>
      <c r="U608" s="94"/>
      <c r="V608" s="93"/>
      <c r="W608" s="85"/>
      <c r="Y608" s="94"/>
      <c r="Z608" s="93"/>
      <c r="AA608" s="85"/>
      <c r="AC608" s="94"/>
      <c r="AD608" s="93"/>
      <c r="AE608" s="85"/>
    </row>
    <row r="609" spans="6:31" ht="14.5" customHeight="1" x14ac:dyDescent="0.35">
      <c r="F609" s="93"/>
      <c r="G609" s="85"/>
      <c r="H609" s="87"/>
      <c r="J609" s="93"/>
      <c r="K609" s="85"/>
      <c r="N609" s="93"/>
      <c r="O609" s="85"/>
      <c r="Q609" s="94"/>
      <c r="R609" s="93"/>
      <c r="S609" s="85"/>
      <c r="U609" s="94"/>
      <c r="V609" s="93"/>
      <c r="W609" s="85"/>
      <c r="Y609" s="94"/>
      <c r="Z609" s="93"/>
      <c r="AA609" s="85"/>
      <c r="AC609" s="94"/>
      <c r="AD609" s="93"/>
      <c r="AE609" s="85"/>
    </row>
    <row r="610" spans="6:31" ht="14.5" customHeight="1" x14ac:dyDescent="0.35">
      <c r="F610" s="93"/>
      <c r="G610" s="85"/>
      <c r="H610" s="87"/>
      <c r="J610" s="93"/>
      <c r="K610" s="85"/>
      <c r="N610" s="93"/>
      <c r="O610" s="85"/>
      <c r="Q610" s="94"/>
      <c r="R610" s="93"/>
      <c r="S610" s="85"/>
      <c r="U610" s="94"/>
      <c r="V610" s="93"/>
      <c r="W610" s="85"/>
      <c r="Y610" s="94"/>
      <c r="Z610" s="93"/>
      <c r="AA610" s="85"/>
      <c r="AC610" s="94"/>
      <c r="AD610" s="93"/>
      <c r="AE610" s="85"/>
    </row>
    <row r="611" spans="6:31" ht="14.5" customHeight="1" x14ac:dyDescent="0.35">
      <c r="F611" s="93"/>
      <c r="G611" s="85"/>
      <c r="H611" s="87"/>
      <c r="J611" s="93"/>
      <c r="K611" s="85"/>
      <c r="N611" s="93"/>
      <c r="O611" s="85"/>
      <c r="Q611" s="94"/>
      <c r="R611" s="93"/>
      <c r="S611" s="85"/>
      <c r="U611" s="94"/>
      <c r="V611" s="93"/>
      <c r="W611" s="85"/>
      <c r="Y611" s="94"/>
      <c r="Z611" s="93"/>
      <c r="AA611" s="85"/>
      <c r="AC611" s="94"/>
      <c r="AD611" s="93"/>
      <c r="AE611" s="85"/>
    </row>
    <row r="612" spans="6:31" ht="14.5" customHeight="1" x14ac:dyDescent="0.35">
      <c r="F612" s="93"/>
      <c r="G612" s="85"/>
      <c r="H612" s="87"/>
      <c r="J612" s="93"/>
      <c r="K612" s="85"/>
      <c r="N612" s="93"/>
      <c r="O612" s="85"/>
      <c r="Q612" s="94"/>
      <c r="R612" s="93"/>
      <c r="S612" s="85"/>
      <c r="U612" s="94"/>
      <c r="V612" s="93"/>
      <c r="W612" s="85"/>
      <c r="Y612" s="94"/>
      <c r="Z612" s="93"/>
      <c r="AA612" s="85"/>
      <c r="AC612" s="94"/>
      <c r="AD612" s="93"/>
      <c r="AE612" s="85"/>
    </row>
    <row r="613" spans="6:31" ht="14.5" customHeight="1" x14ac:dyDescent="0.35">
      <c r="F613" s="93"/>
      <c r="G613" s="85"/>
      <c r="H613" s="87"/>
      <c r="J613" s="93"/>
      <c r="K613" s="85"/>
      <c r="N613" s="93"/>
      <c r="O613" s="85"/>
      <c r="Q613" s="94"/>
      <c r="R613" s="93"/>
      <c r="S613" s="85"/>
      <c r="U613" s="94"/>
      <c r="V613" s="93"/>
      <c r="W613" s="85"/>
      <c r="Y613" s="94"/>
      <c r="Z613" s="93"/>
      <c r="AA613" s="85"/>
      <c r="AC613" s="94"/>
      <c r="AD613" s="93"/>
      <c r="AE613" s="85"/>
    </row>
    <row r="614" spans="6:31" ht="14.5" customHeight="1" x14ac:dyDescent="0.35">
      <c r="F614" s="93"/>
      <c r="G614" s="85"/>
      <c r="H614" s="87"/>
      <c r="J614" s="93"/>
      <c r="K614" s="85"/>
      <c r="N614" s="93"/>
      <c r="O614" s="85"/>
      <c r="Q614" s="94"/>
      <c r="R614" s="93"/>
      <c r="S614" s="85"/>
      <c r="U614" s="94"/>
      <c r="V614" s="93"/>
      <c r="W614" s="85"/>
      <c r="Y614" s="94"/>
      <c r="Z614" s="93"/>
      <c r="AA614" s="85"/>
      <c r="AC614" s="94"/>
      <c r="AD614" s="93"/>
      <c r="AE614" s="85"/>
    </row>
    <row r="615" spans="6:31" ht="14.5" customHeight="1" x14ac:dyDescent="0.35">
      <c r="F615" s="93"/>
      <c r="G615" s="85"/>
      <c r="H615" s="87"/>
      <c r="J615" s="93"/>
      <c r="K615" s="85"/>
      <c r="N615" s="93"/>
      <c r="O615" s="85"/>
      <c r="Q615" s="94"/>
      <c r="R615" s="93"/>
      <c r="S615" s="85"/>
      <c r="U615" s="94"/>
      <c r="V615" s="93"/>
      <c r="W615" s="85"/>
      <c r="Y615" s="94"/>
      <c r="Z615" s="93"/>
      <c r="AA615" s="85"/>
      <c r="AC615" s="94"/>
      <c r="AD615" s="93"/>
      <c r="AE615" s="85"/>
    </row>
    <row r="616" spans="6:31" ht="14.5" customHeight="1" x14ac:dyDescent="0.35">
      <c r="F616" s="93"/>
      <c r="G616" s="85"/>
      <c r="H616" s="87"/>
      <c r="J616" s="93"/>
      <c r="K616" s="85"/>
      <c r="N616" s="93"/>
      <c r="O616" s="85"/>
      <c r="Q616" s="94"/>
      <c r="R616" s="93"/>
      <c r="S616" s="85"/>
      <c r="U616" s="94"/>
      <c r="V616" s="93"/>
      <c r="W616" s="85"/>
      <c r="Y616" s="94"/>
      <c r="Z616" s="93"/>
      <c r="AA616" s="85"/>
      <c r="AC616" s="94"/>
      <c r="AD616" s="93"/>
      <c r="AE616" s="85"/>
    </row>
    <row r="617" spans="6:31" ht="14.5" customHeight="1" x14ac:dyDescent="0.35">
      <c r="F617" s="93"/>
      <c r="G617" s="85"/>
      <c r="H617" s="87"/>
      <c r="J617" s="93"/>
      <c r="K617" s="85"/>
      <c r="N617" s="93"/>
      <c r="O617" s="85"/>
      <c r="Q617" s="94"/>
      <c r="R617" s="93"/>
      <c r="S617" s="85"/>
      <c r="U617" s="94"/>
      <c r="V617" s="93"/>
      <c r="W617" s="85"/>
      <c r="Y617" s="94"/>
      <c r="Z617" s="93"/>
      <c r="AA617" s="85"/>
      <c r="AC617" s="94"/>
      <c r="AD617" s="93"/>
      <c r="AE617" s="85"/>
    </row>
    <row r="618" spans="6:31" ht="14.5" customHeight="1" x14ac:dyDescent="0.35">
      <c r="F618" s="93"/>
      <c r="G618" s="85"/>
      <c r="H618" s="87"/>
      <c r="J618" s="93"/>
      <c r="K618" s="85"/>
      <c r="N618" s="93"/>
      <c r="O618" s="85"/>
      <c r="Q618" s="94"/>
      <c r="R618" s="93"/>
      <c r="S618" s="85"/>
      <c r="U618" s="94"/>
      <c r="V618" s="93"/>
      <c r="W618" s="85"/>
      <c r="Y618" s="94"/>
      <c r="Z618" s="93"/>
      <c r="AA618" s="85"/>
      <c r="AC618" s="94"/>
      <c r="AD618" s="93"/>
      <c r="AE618" s="85"/>
    </row>
    <row r="619" spans="6:31" ht="14.5" customHeight="1" x14ac:dyDescent="0.35">
      <c r="F619" s="93"/>
      <c r="G619" s="85"/>
      <c r="H619" s="87"/>
      <c r="J619" s="93"/>
      <c r="K619" s="85"/>
      <c r="N619" s="93"/>
      <c r="O619" s="85"/>
      <c r="Q619" s="94"/>
      <c r="R619" s="93"/>
      <c r="S619" s="85"/>
      <c r="U619" s="94"/>
      <c r="V619" s="93"/>
      <c r="W619" s="85"/>
      <c r="Y619" s="94"/>
      <c r="Z619" s="93"/>
      <c r="AA619" s="85"/>
      <c r="AC619" s="94"/>
      <c r="AD619" s="93"/>
      <c r="AE619" s="85"/>
    </row>
    <row r="620" spans="6:31" ht="14.5" customHeight="1" x14ac:dyDescent="0.35">
      <c r="F620" s="93"/>
      <c r="G620" s="85"/>
      <c r="H620" s="87"/>
      <c r="J620" s="93"/>
      <c r="K620" s="85"/>
      <c r="N620" s="93"/>
      <c r="O620" s="85"/>
      <c r="Q620" s="94"/>
      <c r="R620" s="93"/>
      <c r="S620" s="85"/>
      <c r="U620" s="94"/>
      <c r="V620" s="93"/>
      <c r="W620" s="85"/>
      <c r="Y620" s="94"/>
      <c r="Z620" s="93"/>
      <c r="AA620" s="85"/>
      <c r="AC620" s="94"/>
      <c r="AD620" s="93"/>
      <c r="AE620" s="85"/>
    </row>
    <row r="621" spans="6:31" ht="14.5" customHeight="1" x14ac:dyDescent="0.35">
      <c r="F621" s="93"/>
      <c r="G621" s="85"/>
      <c r="H621" s="87"/>
      <c r="J621" s="93"/>
      <c r="K621" s="85"/>
      <c r="N621" s="93"/>
      <c r="O621" s="85"/>
      <c r="Q621" s="94"/>
      <c r="R621" s="93"/>
      <c r="S621" s="85"/>
      <c r="U621" s="94"/>
      <c r="V621" s="93"/>
      <c r="W621" s="85"/>
      <c r="Y621" s="94"/>
      <c r="Z621" s="93"/>
      <c r="AA621" s="85"/>
      <c r="AC621" s="94"/>
      <c r="AD621" s="93"/>
      <c r="AE621" s="85"/>
    </row>
    <row r="622" spans="6:31" ht="14.5" customHeight="1" x14ac:dyDescent="0.35">
      <c r="F622" s="93"/>
      <c r="G622" s="85"/>
      <c r="H622" s="87"/>
      <c r="J622" s="93"/>
      <c r="K622" s="85"/>
      <c r="N622" s="93"/>
      <c r="O622" s="85"/>
      <c r="Q622" s="94"/>
      <c r="R622" s="93"/>
      <c r="S622" s="85"/>
      <c r="U622" s="94"/>
      <c r="V622" s="93"/>
      <c r="W622" s="85"/>
      <c r="Y622" s="94"/>
      <c r="Z622" s="93"/>
      <c r="AA622" s="85"/>
      <c r="AC622" s="94"/>
      <c r="AD622" s="93"/>
      <c r="AE622" s="85"/>
    </row>
    <row r="623" spans="6:31" ht="14.5" customHeight="1" x14ac:dyDescent="0.35">
      <c r="F623" s="93"/>
      <c r="G623" s="85"/>
      <c r="H623" s="87"/>
      <c r="J623" s="93"/>
      <c r="K623" s="85"/>
      <c r="N623" s="93"/>
      <c r="O623" s="85"/>
      <c r="Q623" s="94"/>
      <c r="R623" s="93"/>
      <c r="S623" s="85"/>
      <c r="U623" s="94"/>
      <c r="V623" s="93"/>
      <c r="W623" s="85"/>
      <c r="Y623" s="94"/>
      <c r="Z623" s="93"/>
      <c r="AA623" s="85"/>
      <c r="AC623" s="94"/>
      <c r="AD623" s="93"/>
      <c r="AE623" s="85"/>
    </row>
    <row r="624" spans="6:31" ht="14.5" customHeight="1" x14ac:dyDescent="0.35">
      <c r="F624" s="93"/>
      <c r="G624" s="85"/>
      <c r="H624" s="87"/>
      <c r="J624" s="93"/>
      <c r="K624" s="85"/>
      <c r="N624" s="93"/>
      <c r="O624" s="85"/>
      <c r="Q624" s="94"/>
      <c r="R624" s="93"/>
      <c r="S624" s="85"/>
      <c r="U624" s="94"/>
      <c r="V624" s="93"/>
      <c r="W624" s="85"/>
      <c r="Y624" s="94"/>
      <c r="Z624" s="93"/>
      <c r="AA624" s="85"/>
      <c r="AC624" s="94"/>
      <c r="AD624" s="93"/>
      <c r="AE624" s="85"/>
    </row>
    <row r="625" spans="6:31" ht="14.5" customHeight="1" x14ac:dyDescent="0.35">
      <c r="F625" s="93"/>
      <c r="G625" s="85"/>
      <c r="H625" s="87"/>
      <c r="J625" s="93"/>
      <c r="K625" s="85"/>
      <c r="N625" s="93"/>
      <c r="O625" s="85"/>
      <c r="Q625" s="94"/>
      <c r="R625" s="93"/>
      <c r="S625" s="85"/>
      <c r="U625" s="94"/>
      <c r="V625" s="93"/>
      <c r="W625" s="85"/>
      <c r="Y625" s="94"/>
      <c r="Z625" s="93"/>
      <c r="AA625" s="85"/>
      <c r="AC625" s="94"/>
      <c r="AD625" s="93"/>
      <c r="AE625" s="85"/>
    </row>
    <row r="626" spans="6:31" ht="14.5" customHeight="1" x14ac:dyDescent="0.35">
      <c r="F626" s="93"/>
      <c r="G626" s="85"/>
      <c r="H626" s="87"/>
      <c r="J626" s="93"/>
      <c r="K626" s="85"/>
      <c r="N626" s="93"/>
      <c r="O626" s="85"/>
      <c r="Q626" s="94"/>
      <c r="R626" s="93"/>
      <c r="S626" s="85"/>
      <c r="U626" s="94"/>
      <c r="V626" s="93"/>
      <c r="W626" s="85"/>
      <c r="Y626" s="94"/>
      <c r="Z626" s="93"/>
      <c r="AA626" s="85"/>
      <c r="AC626" s="94"/>
      <c r="AD626" s="93"/>
      <c r="AE626" s="85"/>
    </row>
    <row r="627" spans="6:31" ht="14.5" customHeight="1" x14ac:dyDescent="0.35">
      <c r="F627" s="93"/>
      <c r="G627" s="85"/>
      <c r="H627" s="87"/>
      <c r="J627" s="93"/>
      <c r="K627" s="85"/>
      <c r="N627" s="93"/>
      <c r="O627" s="85"/>
      <c r="Q627" s="94"/>
      <c r="R627" s="93"/>
      <c r="S627" s="85"/>
      <c r="U627" s="94"/>
      <c r="V627" s="93"/>
      <c r="W627" s="85"/>
      <c r="Y627" s="94"/>
      <c r="Z627" s="93"/>
      <c r="AA627" s="85"/>
      <c r="AC627" s="94"/>
      <c r="AD627" s="93"/>
      <c r="AE627" s="85"/>
    </row>
    <row r="628" spans="6:31" ht="14.5" customHeight="1" x14ac:dyDescent="0.35">
      <c r="F628" s="93"/>
      <c r="G628" s="85"/>
      <c r="H628" s="87"/>
      <c r="J628" s="93"/>
      <c r="K628" s="85"/>
      <c r="N628" s="93"/>
      <c r="O628" s="85"/>
      <c r="Q628" s="94"/>
      <c r="R628" s="93"/>
      <c r="S628" s="85"/>
      <c r="U628" s="94"/>
      <c r="V628" s="93"/>
      <c r="W628" s="85"/>
      <c r="Y628" s="94"/>
      <c r="Z628" s="93"/>
      <c r="AA628" s="85"/>
      <c r="AC628" s="94"/>
      <c r="AD628" s="93"/>
      <c r="AE628" s="85"/>
    </row>
    <row r="629" spans="6:31" ht="14.5" customHeight="1" x14ac:dyDescent="0.35">
      <c r="F629" s="93"/>
      <c r="G629" s="85"/>
      <c r="H629" s="87"/>
      <c r="J629" s="93"/>
      <c r="K629" s="85"/>
      <c r="N629" s="93"/>
      <c r="O629" s="85"/>
      <c r="Q629" s="94"/>
      <c r="R629" s="93"/>
      <c r="S629" s="85"/>
      <c r="U629" s="94"/>
      <c r="V629" s="93"/>
      <c r="W629" s="85"/>
      <c r="Y629" s="94"/>
      <c r="Z629" s="93"/>
      <c r="AA629" s="85"/>
      <c r="AC629" s="94"/>
      <c r="AD629" s="93"/>
      <c r="AE629" s="85"/>
    </row>
    <row r="630" spans="6:31" ht="14.5" customHeight="1" x14ac:dyDescent="0.35">
      <c r="F630" s="93"/>
      <c r="G630" s="85"/>
      <c r="H630" s="87"/>
      <c r="J630" s="93"/>
      <c r="K630" s="85"/>
      <c r="N630" s="93"/>
      <c r="O630" s="85"/>
      <c r="Q630" s="94"/>
      <c r="R630" s="93"/>
      <c r="S630" s="85"/>
      <c r="U630" s="94"/>
      <c r="V630" s="93"/>
      <c r="W630" s="85"/>
      <c r="Y630" s="94"/>
      <c r="Z630" s="93"/>
      <c r="AA630" s="85"/>
      <c r="AC630" s="94"/>
      <c r="AD630" s="93"/>
      <c r="AE630" s="85"/>
    </row>
    <row r="631" spans="6:31" ht="14.5" customHeight="1" x14ac:dyDescent="0.35">
      <c r="F631" s="93"/>
      <c r="G631" s="85"/>
      <c r="H631" s="87"/>
      <c r="J631" s="93"/>
      <c r="K631" s="85"/>
      <c r="N631" s="93"/>
      <c r="O631" s="85"/>
      <c r="Q631" s="94"/>
      <c r="R631" s="93"/>
      <c r="S631" s="85"/>
      <c r="U631" s="94"/>
      <c r="V631" s="93"/>
      <c r="W631" s="85"/>
      <c r="Y631" s="94"/>
      <c r="Z631" s="93"/>
      <c r="AA631" s="85"/>
      <c r="AC631" s="94"/>
      <c r="AD631" s="93"/>
      <c r="AE631" s="85"/>
    </row>
    <row r="632" spans="6:31" ht="14.5" customHeight="1" x14ac:dyDescent="0.35">
      <c r="F632" s="93"/>
      <c r="G632" s="85"/>
      <c r="H632" s="87"/>
      <c r="J632" s="93"/>
      <c r="K632" s="85"/>
      <c r="N632" s="93"/>
      <c r="O632" s="85"/>
      <c r="Q632" s="94"/>
      <c r="R632" s="93"/>
      <c r="S632" s="85"/>
      <c r="U632" s="94"/>
      <c r="V632" s="93"/>
      <c r="W632" s="85"/>
      <c r="Y632" s="94"/>
      <c r="Z632" s="93"/>
      <c r="AA632" s="85"/>
      <c r="AC632" s="94"/>
      <c r="AD632" s="93"/>
      <c r="AE632" s="85"/>
    </row>
    <row r="633" spans="6:31" ht="14.5" customHeight="1" x14ac:dyDescent="0.35">
      <c r="F633" s="93"/>
      <c r="G633" s="85"/>
      <c r="H633" s="87"/>
      <c r="J633" s="93"/>
      <c r="K633" s="85"/>
      <c r="N633" s="93"/>
      <c r="O633" s="85"/>
      <c r="Q633" s="94"/>
      <c r="R633" s="93"/>
      <c r="S633" s="85"/>
      <c r="U633" s="94"/>
      <c r="V633" s="93"/>
      <c r="W633" s="85"/>
      <c r="Y633" s="94"/>
      <c r="Z633" s="93"/>
      <c r="AA633" s="85"/>
      <c r="AC633" s="94"/>
      <c r="AD633" s="93"/>
      <c r="AE633" s="85"/>
    </row>
    <row r="634" spans="6:31" ht="14.5" customHeight="1" x14ac:dyDescent="0.35">
      <c r="F634" s="93"/>
      <c r="G634" s="85"/>
      <c r="H634" s="87"/>
      <c r="J634" s="93"/>
      <c r="K634" s="85"/>
      <c r="N634" s="93"/>
      <c r="O634" s="85"/>
      <c r="Q634" s="94"/>
      <c r="R634" s="93"/>
      <c r="S634" s="85"/>
      <c r="U634" s="94"/>
      <c r="V634" s="93"/>
      <c r="W634" s="85"/>
      <c r="Y634" s="94"/>
      <c r="Z634" s="93"/>
      <c r="AA634" s="85"/>
      <c r="AC634" s="94"/>
      <c r="AD634" s="93"/>
      <c r="AE634" s="85"/>
    </row>
    <row r="635" spans="6:31" ht="14.5" customHeight="1" x14ac:dyDescent="0.35">
      <c r="F635" s="93"/>
      <c r="G635" s="85"/>
      <c r="H635" s="87"/>
      <c r="J635" s="93"/>
      <c r="K635" s="85"/>
      <c r="N635" s="93"/>
      <c r="O635" s="85"/>
      <c r="Q635" s="94"/>
      <c r="R635" s="93"/>
      <c r="S635" s="85"/>
      <c r="U635" s="94"/>
      <c r="V635" s="93"/>
      <c r="W635" s="85"/>
      <c r="Y635" s="94"/>
      <c r="Z635" s="93"/>
      <c r="AA635" s="85"/>
      <c r="AC635" s="94"/>
      <c r="AD635" s="93"/>
      <c r="AE635" s="85"/>
    </row>
    <row r="636" spans="6:31" ht="14.5" customHeight="1" x14ac:dyDescent="0.35">
      <c r="F636" s="93"/>
      <c r="G636" s="85"/>
      <c r="H636" s="87"/>
      <c r="J636" s="93"/>
      <c r="K636" s="85"/>
      <c r="N636" s="93"/>
      <c r="O636" s="85"/>
      <c r="Q636" s="94"/>
      <c r="R636" s="93"/>
      <c r="S636" s="85"/>
      <c r="U636" s="94"/>
      <c r="V636" s="93"/>
      <c r="W636" s="85"/>
      <c r="Y636" s="94"/>
      <c r="Z636" s="93"/>
      <c r="AA636" s="85"/>
      <c r="AC636" s="94"/>
      <c r="AD636" s="93"/>
      <c r="AE636" s="85"/>
    </row>
    <row r="637" spans="6:31" ht="14.5" customHeight="1" x14ac:dyDescent="0.35">
      <c r="F637" s="93"/>
      <c r="G637" s="85"/>
      <c r="H637" s="87"/>
      <c r="J637" s="93"/>
      <c r="K637" s="85"/>
      <c r="N637" s="93"/>
      <c r="O637" s="85"/>
      <c r="Q637" s="94"/>
      <c r="R637" s="93"/>
      <c r="S637" s="85"/>
      <c r="U637" s="94"/>
      <c r="V637" s="93"/>
      <c r="W637" s="85"/>
      <c r="Y637" s="94"/>
      <c r="Z637" s="93"/>
      <c r="AA637" s="85"/>
      <c r="AC637" s="94"/>
      <c r="AD637" s="93"/>
      <c r="AE637" s="85"/>
    </row>
    <row r="638" spans="6:31" ht="14.5" customHeight="1" x14ac:dyDescent="0.35">
      <c r="F638" s="93"/>
      <c r="G638" s="85"/>
      <c r="H638" s="87"/>
      <c r="J638" s="93"/>
      <c r="K638" s="85"/>
      <c r="N638" s="93"/>
      <c r="O638" s="85"/>
      <c r="Q638" s="94"/>
      <c r="R638" s="93"/>
      <c r="S638" s="85"/>
      <c r="U638" s="94"/>
      <c r="V638" s="93"/>
      <c r="W638" s="85"/>
      <c r="Y638" s="94"/>
      <c r="Z638" s="93"/>
      <c r="AA638" s="85"/>
      <c r="AC638" s="94"/>
      <c r="AD638" s="93"/>
      <c r="AE638" s="85"/>
    </row>
    <row r="639" spans="6:31" ht="14.5" customHeight="1" x14ac:dyDescent="0.35">
      <c r="F639" s="93"/>
      <c r="G639" s="85"/>
      <c r="H639" s="87"/>
      <c r="J639" s="93"/>
      <c r="K639" s="85"/>
      <c r="N639" s="93"/>
      <c r="O639" s="85"/>
      <c r="Q639" s="94"/>
      <c r="R639" s="93"/>
      <c r="S639" s="85"/>
      <c r="U639" s="94"/>
      <c r="V639" s="93"/>
      <c r="W639" s="85"/>
      <c r="Y639" s="94"/>
      <c r="Z639" s="93"/>
      <c r="AA639" s="85"/>
      <c r="AC639" s="94"/>
      <c r="AD639" s="93"/>
      <c r="AE639" s="85"/>
    </row>
    <row r="640" spans="6:31" ht="14.5" customHeight="1" x14ac:dyDescent="0.35">
      <c r="F640" s="93"/>
      <c r="G640" s="85"/>
      <c r="H640" s="87"/>
      <c r="J640" s="93"/>
      <c r="K640" s="85"/>
      <c r="N640" s="93"/>
      <c r="O640" s="85"/>
      <c r="Q640" s="94"/>
      <c r="R640" s="93"/>
      <c r="S640" s="85"/>
      <c r="U640" s="94"/>
      <c r="V640" s="93"/>
      <c r="W640" s="85"/>
      <c r="Y640" s="94"/>
      <c r="Z640" s="93"/>
      <c r="AA640" s="85"/>
      <c r="AC640" s="94"/>
      <c r="AD640" s="93"/>
      <c r="AE640" s="85"/>
    </row>
    <row r="641" spans="6:31" ht="14.5" customHeight="1" x14ac:dyDescent="0.35">
      <c r="F641" s="93"/>
      <c r="G641" s="85"/>
      <c r="H641" s="87"/>
      <c r="J641" s="93"/>
      <c r="K641" s="85"/>
      <c r="N641" s="93"/>
      <c r="O641" s="85"/>
      <c r="Q641" s="94"/>
      <c r="R641" s="93"/>
      <c r="S641" s="85"/>
      <c r="U641" s="94"/>
      <c r="V641" s="93"/>
      <c r="W641" s="85"/>
      <c r="Y641" s="94"/>
      <c r="Z641" s="93"/>
      <c r="AA641" s="85"/>
      <c r="AC641" s="94"/>
      <c r="AD641" s="93"/>
      <c r="AE641" s="85"/>
    </row>
    <row r="642" spans="6:31" ht="14.5" customHeight="1" x14ac:dyDescent="0.35">
      <c r="F642" s="93"/>
      <c r="G642" s="85"/>
      <c r="H642" s="87"/>
      <c r="J642" s="93"/>
      <c r="K642" s="85"/>
      <c r="N642" s="93"/>
      <c r="O642" s="85"/>
      <c r="Q642" s="94"/>
      <c r="R642" s="93"/>
      <c r="S642" s="85"/>
      <c r="U642" s="94"/>
      <c r="V642" s="93"/>
      <c r="W642" s="85"/>
      <c r="Y642" s="94"/>
      <c r="Z642" s="93"/>
      <c r="AA642" s="85"/>
      <c r="AC642" s="94"/>
      <c r="AD642" s="93"/>
      <c r="AE642" s="85"/>
    </row>
    <row r="643" spans="6:31" ht="14.5" customHeight="1" x14ac:dyDescent="0.35">
      <c r="F643" s="93"/>
      <c r="G643" s="85"/>
      <c r="H643" s="87"/>
      <c r="J643" s="93"/>
      <c r="K643" s="85"/>
      <c r="N643" s="93"/>
      <c r="O643" s="85"/>
      <c r="Q643" s="94"/>
      <c r="R643" s="93"/>
      <c r="S643" s="85"/>
      <c r="U643" s="94"/>
      <c r="V643" s="93"/>
      <c r="W643" s="85"/>
      <c r="Y643" s="94"/>
      <c r="Z643" s="93"/>
      <c r="AA643" s="85"/>
      <c r="AC643" s="94"/>
      <c r="AD643" s="93"/>
      <c r="AE643" s="85"/>
    </row>
    <row r="644" spans="6:31" ht="14.5" customHeight="1" x14ac:dyDescent="0.35">
      <c r="F644" s="93"/>
      <c r="G644" s="85"/>
      <c r="H644" s="87"/>
      <c r="J644" s="93"/>
      <c r="K644" s="85"/>
      <c r="N644" s="93"/>
      <c r="O644" s="85"/>
      <c r="Q644" s="94"/>
      <c r="R644" s="93"/>
      <c r="S644" s="85"/>
      <c r="U644" s="94"/>
      <c r="V644" s="93"/>
      <c r="W644" s="85"/>
      <c r="Y644" s="94"/>
      <c r="Z644" s="93"/>
      <c r="AA644" s="85"/>
      <c r="AC644" s="94"/>
      <c r="AD644" s="93"/>
      <c r="AE644" s="85"/>
    </row>
    <row r="645" spans="6:31" ht="14.5" customHeight="1" x14ac:dyDescent="0.35">
      <c r="F645" s="93"/>
      <c r="G645" s="85"/>
      <c r="H645" s="87"/>
      <c r="J645" s="93"/>
      <c r="K645" s="85"/>
      <c r="N645" s="93"/>
      <c r="O645" s="85"/>
      <c r="Q645" s="94"/>
      <c r="R645" s="93"/>
      <c r="S645" s="85"/>
      <c r="U645" s="94"/>
      <c r="V645" s="93"/>
      <c r="W645" s="85"/>
      <c r="Y645" s="94"/>
      <c r="Z645" s="93"/>
      <c r="AA645" s="85"/>
      <c r="AC645" s="94"/>
      <c r="AD645" s="93"/>
      <c r="AE645" s="85"/>
    </row>
    <row r="646" spans="6:31" ht="14.5" customHeight="1" x14ac:dyDescent="0.35">
      <c r="F646" s="93"/>
      <c r="G646" s="85"/>
      <c r="H646" s="87"/>
      <c r="J646" s="93"/>
      <c r="K646" s="85"/>
      <c r="N646" s="93"/>
      <c r="O646" s="85"/>
      <c r="Q646" s="94"/>
      <c r="R646" s="93"/>
      <c r="S646" s="85"/>
      <c r="U646" s="94"/>
      <c r="V646" s="93"/>
      <c r="W646" s="85"/>
      <c r="Y646" s="94"/>
      <c r="Z646" s="93"/>
      <c r="AA646" s="85"/>
      <c r="AC646" s="94"/>
      <c r="AD646" s="93"/>
      <c r="AE646" s="85"/>
    </row>
    <row r="647" spans="6:31" ht="14.5" customHeight="1" x14ac:dyDescent="0.35">
      <c r="F647" s="93"/>
      <c r="G647" s="85"/>
      <c r="H647" s="87"/>
      <c r="J647" s="93"/>
      <c r="K647" s="85"/>
      <c r="N647" s="93"/>
      <c r="O647" s="85"/>
      <c r="Q647" s="94"/>
      <c r="R647" s="93"/>
      <c r="S647" s="85"/>
      <c r="U647" s="94"/>
      <c r="V647" s="93"/>
      <c r="W647" s="85"/>
      <c r="Y647" s="94"/>
      <c r="Z647" s="93"/>
      <c r="AA647" s="85"/>
      <c r="AC647" s="94"/>
      <c r="AD647" s="93"/>
      <c r="AE647" s="85"/>
    </row>
    <row r="648" spans="6:31" ht="14.5" customHeight="1" x14ac:dyDescent="0.35">
      <c r="F648" s="93"/>
      <c r="G648" s="85"/>
      <c r="H648" s="87"/>
      <c r="J648" s="93"/>
      <c r="K648" s="85"/>
      <c r="N648" s="93"/>
      <c r="O648" s="85"/>
      <c r="Q648" s="94"/>
      <c r="R648" s="93"/>
      <c r="S648" s="85"/>
      <c r="U648" s="94"/>
      <c r="V648" s="93"/>
      <c r="W648" s="85"/>
      <c r="Y648" s="94"/>
      <c r="Z648" s="93"/>
      <c r="AA648" s="85"/>
      <c r="AC648" s="94"/>
      <c r="AD648" s="93"/>
      <c r="AE648" s="85"/>
    </row>
    <row r="649" spans="6:31" ht="14.5" customHeight="1" x14ac:dyDescent="0.35">
      <c r="F649" s="93"/>
      <c r="G649" s="85"/>
      <c r="H649" s="87"/>
      <c r="J649" s="93"/>
      <c r="K649" s="85"/>
      <c r="N649" s="93"/>
      <c r="O649" s="85"/>
      <c r="Q649" s="94"/>
      <c r="R649" s="93"/>
      <c r="S649" s="85"/>
      <c r="U649" s="94"/>
      <c r="V649" s="93"/>
      <c r="W649" s="85"/>
      <c r="Y649" s="94"/>
      <c r="Z649" s="93"/>
      <c r="AA649" s="85"/>
      <c r="AC649" s="94"/>
      <c r="AD649" s="93"/>
      <c r="AE649" s="85"/>
    </row>
    <row r="650" spans="6:31" ht="14.5" customHeight="1" x14ac:dyDescent="0.35">
      <c r="F650" s="93"/>
      <c r="G650" s="85"/>
      <c r="H650" s="87"/>
      <c r="J650" s="93"/>
      <c r="K650" s="85"/>
      <c r="N650" s="93"/>
      <c r="O650" s="85"/>
      <c r="Q650" s="94"/>
      <c r="R650" s="93"/>
      <c r="S650" s="85"/>
      <c r="U650" s="94"/>
      <c r="V650" s="93"/>
      <c r="W650" s="85"/>
      <c r="Y650" s="94"/>
      <c r="Z650" s="93"/>
      <c r="AA650" s="85"/>
      <c r="AC650" s="94"/>
      <c r="AD650" s="93"/>
      <c r="AE650" s="85"/>
    </row>
    <row r="651" spans="6:31" ht="14.5" customHeight="1" x14ac:dyDescent="0.35">
      <c r="F651" s="93"/>
      <c r="G651" s="85"/>
      <c r="H651" s="87"/>
      <c r="J651" s="93"/>
      <c r="K651" s="85"/>
      <c r="N651" s="93"/>
      <c r="O651" s="85"/>
      <c r="Q651" s="94"/>
      <c r="R651" s="93"/>
      <c r="S651" s="85"/>
      <c r="U651" s="94"/>
      <c r="V651" s="93"/>
      <c r="W651" s="85"/>
      <c r="Y651" s="94"/>
      <c r="Z651" s="93"/>
      <c r="AA651" s="85"/>
      <c r="AC651" s="94"/>
      <c r="AD651" s="93"/>
      <c r="AE651" s="85"/>
    </row>
    <row r="652" spans="6:31" ht="14.5" customHeight="1" x14ac:dyDescent="0.35">
      <c r="F652" s="93"/>
      <c r="G652" s="85"/>
      <c r="H652" s="87"/>
      <c r="J652" s="93"/>
      <c r="K652" s="85"/>
      <c r="N652" s="93"/>
      <c r="O652" s="85"/>
      <c r="Q652" s="94"/>
      <c r="R652" s="93"/>
      <c r="S652" s="85"/>
      <c r="U652" s="94"/>
      <c r="V652" s="93"/>
      <c r="W652" s="85"/>
      <c r="Y652" s="94"/>
      <c r="Z652" s="93"/>
      <c r="AA652" s="85"/>
      <c r="AC652" s="94"/>
      <c r="AD652" s="93"/>
      <c r="AE652" s="85"/>
    </row>
    <row r="653" spans="6:31" ht="14.5" customHeight="1" x14ac:dyDescent="0.35">
      <c r="F653" s="93"/>
      <c r="G653" s="85"/>
      <c r="H653" s="87"/>
      <c r="J653" s="93"/>
      <c r="K653" s="85"/>
      <c r="N653" s="93"/>
      <c r="O653" s="85"/>
      <c r="Q653" s="94"/>
      <c r="R653" s="93"/>
      <c r="S653" s="85"/>
      <c r="U653" s="94"/>
      <c r="V653" s="93"/>
      <c r="W653" s="85"/>
      <c r="Y653" s="94"/>
      <c r="Z653" s="93"/>
      <c r="AA653" s="85"/>
      <c r="AC653" s="94"/>
      <c r="AD653" s="93"/>
      <c r="AE653" s="85"/>
    </row>
    <row r="654" spans="6:31" ht="14.5" customHeight="1" x14ac:dyDescent="0.35">
      <c r="F654" s="93"/>
      <c r="G654" s="85"/>
      <c r="H654" s="87"/>
      <c r="J654" s="93"/>
      <c r="K654" s="85"/>
      <c r="N654" s="93"/>
      <c r="O654" s="85"/>
      <c r="Q654" s="94"/>
      <c r="R654" s="93"/>
      <c r="S654" s="85"/>
      <c r="U654" s="94"/>
      <c r="V654" s="93"/>
      <c r="W654" s="85"/>
      <c r="Y654" s="94"/>
      <c r="Z654" s="93"/>
      <c r="AA654" s="85"/>
      <c r="AC654" s="94"/>
      <c r="AD654" s="93"/>
      <c r="AE654" s="85"/>
    </row>
    <row r="655" spans="6:31" ht="14.5" customHeight="1" x14ac:dyDescent="0.35">
      <c r="F655" s="93"/>
      <c r="G655" s="85"/>
      <c r="H655" s="87"/>
      <c r="J655" s="93"/>
      <c r="K655" s="85"/>
      <c r="N655" s="93"/>
      <c r="O655" s="85"/>
      <c r="Q655" s="94"/>
      <c r="R655" s="93"/>
      <c r="S655" s="85"/>
      <c r="U655" s="94"/>
      <c r="V655" s="93"/>
      <c r="W655" s="85"/>
      <c r="Y655" s="94"/>
      <c r="Z655" s="93"/>
      <c r="AA655" s="85"/>
      <c r="AC655" s="94"/>
      <c r="AD655" s="93"/>
      <c r="AE655" s="85"/>
    </row>
    <row r="656" spans="6:31" ht="14.5" customHeight="1" x14ac:dyDescent="0.35">
      <c r="F656" s="93"/>
      <c r="G656" s="85"/>
      <c r="H656" s="87"/>
      <c r="J656" s="93"/>
      <c r="K656" s="85"/>
      <c r="N656" s="93"/>
      <c r="O656" s="85"/>
      <c r="Q656" s="94"/>
      <c r="R656" s="93"/>
      <c r="S656" s="85"/>
      <c r="U656" s="94"/>
      <c r="V656" s="93"/>
      <c r="W656" s="85"/>
      <c r="Y656" s="94"/>
      <c r="Z656" s="93"/>
      <c r="AA656" s="85"/>
      <c r="AC656" s="94"/>
      <c r="AD656" s="93"/>
      <c r="AE656" s="85"/>
    </row>
    <row r="657" spans="6:31" ht="14.5" customHeight="1" x14ac:dyDescent="0.35">
      <c r="F657" s="93"/>
      <c r="G657" s="85"/>
      <c r="H657" s="87"/>
      <c r="J657" s="93"/>
      <c r="K657" s="85"/>
      <c r="N657" s="93"/>
      <c r="O657" s="85"/>
      <c r="Q657" s="94"/>
      <c r="R657" s="93"/>
      <c r="S657" s="85"/>
      <c r="U657" s="94"/>
      <c r="V657" s="93"/>
      <c r="W657" s="85"/>
      <c r="Y657" s="94"/>
      <c r="Z657" s="93"/>
      <c r="AA657" s="85"/>
      <c r="AC657" s="94"/>
      <c r="AD657" s="93"/>
      <c r="AE657" s="85"/>
    </row>
    <row r="658" spans="6:31" ht="14.5" customHeight="1" x14ac:dyDescent="0.35">
      <c r="F658" s="93"/>
      <c r="G658" s="85"/>
      <c r="H658" s="87"/>
      <c r="J658" s="93"/>
      <c r="K658" s="85"/>
      <c r="N658" s="93"/>
      <c r="O658" s="85"/>
      <c r="Q658" s="94"/>
      <c r="R658" s="93"/>
      <c r="S658" s="85"/>
      <c r="U658" s="94"/>
      <c r="V658" s="93"/>
      <c r="W658" s="85"/>
      <c r="Y658" s="94"/>
      <c r="Z658" s="93"/>
      <c r="AA658" s="85"/>
      <c r="AC658" s="94"/>
      <c r="AD658" s="93"/>
      <c r="AE658" s="85"/>
    </row>
    <row r="659" spans="6:31" ht="14.5" customHeight="1" x14ac:dyDescent="0.35">
      <c r="F659" s="93"/>
      <c r="G659" s="85"/>
      <c r="H659" s="87"/>
      <c r="J659" s="93"/>
      <c r="K659" s="85"/>
      <c r="N659" s="93"/>
      <c r="O659" s="85"/>
      <c r="Q659" s="94"/>
      <c r="R659" s="93"/>
      <c r="S659" s="85"/>
      <c r="U659" s="94"/>
      <c r="V659" s="93"/>
      <c r="W659" s="85"/>
      <c r="Y659" s="94"/>
      <c r="Z659" s="93"/>
      <c r="AA659" s="85"/>
      <c r="AC659" s="94"/>
      <c r="AD659" s="93"/>
      <c r="AE659" s="85"/>
    </row>
    <row r="660" spans="6:31" ht="14.5" customHeight="1" x14ac:dyDescent="0.35">
      <c r="F660" s="93"/>
      <c r="G660" s="85"/>
      <c r="H660" s="87"/>
      <c r="J660" s="93"/>
      <c r="K660" s="85"/>
      <c r="N660" s="93"/>
      <c r="O660" s="85"/>
      <c r="Q660" s="94"/>
      <c r="R660" s="93"/>
      <c r="S660" s="85"/>
      <c r="U660" s="94"/>
      <c r="V660" s="93"/>
      <c r="W660" s="85"/>
      <c r="Y660" s="94"/>
      <c r="Z660" s="93"/>
      <c r="AA660" s="85"/>
      <c r="AC660" s="94"/>
      <c r="AD660" s="93"/>
      <c r="AE660" s="85"/>
    </row>
    <row r="661" spans="6:31" ht="14.5" customHeight="1" x14ac:dyDescent="0.35">
      <c r="F661" s="93"/>
      <c r="G661" s="85"/>
      <c r="H661" s="87"/>
      <c r="J661" s="93"/>
      <c r="K661" s="85"/>
      <c r="N661" s="93"/>
      <c r="O661" s="85"/>
      <c r="Q661" s="94"/>
      <c r="R661" s="93"/>
      <c r="S661" s="85"/>
      <c r="U661" s="94"/>
      <c r="V661" s="93"/>
      <c r="W661" s="85"/>
      <c r="Y661" s="94"/>
      <c r="Z661" s="93"/>
      <c r="AA661" s="85"/>
      <c r="AC661" s="94"/>
      <c r="AD661" s="93"/>
      <c r="AE661" s="85"/>
    </row>
    <row r="662" spans="6:31" ht="14.5" customHeight="1" x14ac:dyDescent="0.35">
      <c r="F662" s="93"/>
      <c r="G662" s="85"/>
      <c r="H662" s="87"/>
      <c r="J662" s="93"/>
      <c r="K662" s="85"/>
      <c r="N662" s="93"/>
      <c r="O662" s="85"/>
      <c r="Q662" s="94"/>
      <c r="R662" s="93"/>
      <c r="S662" s="85"/>
      <c r="U662" s="94"/>
      <c r="V662" s="93"/>
      <c r="W662" s="85"/>
      <c r="Y662" s="94"/>
      <c r="Z662" s="93"/>
      <c r="AA662" s="85"/>
      <c r="AC662" s="94"/>
      <c r="AD662" s="93"/>
      <c r="AE662" s="85"/>
    </row>
    <row r="663" spans="6:31" ht="14.5" customHeight="1" x14ac:dyDescent="0.35">
      <c r="F663" s="93"/>
      <c r="G663" s="85"/>
      <c r="H663" s="87"/>
      <c r="J663" s="93"/>
      <c r="K663" s="85"/>
      <c r="N663" s="93"/>
      <c r="O663" s="85"/>
      <c r="Q663" s="94"/>
      <c r="R663" s="93"/>
      <c r="S663" s="85"/>
      <c r="U663" s="94"/>
      <c r="V663" s="93"/>
      <c r="W663" s="85"/>
      <c r="Y663" s="94"/>
      <c r="Z663" s="93"/>
      <c r="AA663" s="85"/>
      <c r="AC663" s="94"/>
      <c r="AD663" s="93"/>
      <c r="AE663" s="85"/>
    </row>
    <row r="664" spans="6:31" ht="14.5" customHeight="1" x14ac:dyDescent="0.35">
      <c r="F664" s="93"/>
      <c r="G664" s="85"/>
      <c r="H664" s="87"/>
      <c r="J664" s="93"/>
      <c r="K664" s="85"/>
      <c r="N664" s="93"/>
      <c r="O664" s="85"/>
      <c r="Q664" s="94"/>
      <c r="R664" s="93"/>
      <c r="S664" s="85"/>
      <c r="U664" s="94"/>
      <c r="V664" s="93"/>
      <c r="W664" s="85"/>
      <c r="Y664" s="94"/>
      <c r="Z664" s="93"/>
      <c r="AA664" s="85"/>
      <c r="AC664" s="94"/>
      <c r="AD664" s="93"/>
      <c r="AE664" s="85"/>
    </row>
    <row r="665" spans="6:31" ht="14.5" customHeight="1" x14ac:dyDescent="0.35">
      <c r="F665" s="93"/>
      <c r="G665" s="85"/>
      <c r="H665" s="87"/>
      <c r="J665" s="93"/>
      <c r="K665" s="85"/>
      <c r="N665" s="93"/>
      <c r="O665" s="85"/>
      <c r="Q665" s="94"/>
      <c r="R665" s="93"/>
      <c r="S665" s="85"/>
      <c r="U665" s="94"/>
      <c r="V665" s="93"/>
      <c r="W665" s="85"/>
      <c r="Y665" s="94"/>
      <c r="Z665" s="93"/>
      <c r="AA665" s="85"/>
      <c r="AC665" s="94"/>
      <c r="AD665" s="93"/>
      <c r="AE665" s="85"/>
    </row>
    <row r="666" spans="6:31" ht="14.5" customHeight="1" x14ac:dyDescent="0.35">
      <c r="F666" s="93"/>
      <c r="G666" s="85"/>
      <c r="H666" s="87"/>
      <c r="J666" s="93"/>
      <c r="K666" s="85"/>
      <c r="N666" s="93"/>
      <c r="O666" s="85"/>
      <c r="Q666" s="94"/>
      <c r="R666" s="93"/>
      <c r="S666" s="85"/>
      <c r="U666" s="94"/>
      <c r="V666" s="93"/>
      <c r="W666" s="85"/>
      <c r="Y666" s="94"/>
      <c r="Z666" s="93"/>
      <c r="AA666" s="85"/>
      <c r="AC666" s="94"/>
      <c r="AD666" s="93"/>
      <c r="AE666" s="85"/>
    </row>
    <row r="667" spans="6:31" ht="14.5" customHeight="1" x14ac:dyDescent="0.35">
      <c r="F667" s="93"/>
      <c r="G667" s="85"/>
      <c r="H667" s="87"/>
      <c r="J667" s="93"/>
      <c r="K667" s="85"/>
      <c r="N667" s="93"/>
      <c r="O667" s="85"/>
      <c r="Q667" s="94"/>
      <c r="R667" s="93"/>
      <c r="S667" s="85"/>
      <c r="U667" s="94"/>
      <c r="V667" s="93"/>
      <c r="W667" s="85"/>
      <c r="Y667" s="94"/>
      <c r="Z667" s="93"/>
      <c r="AA667" s="85"/>
      <c r="AC667" s="94"/>
      <c r="AD667" s="93"/>
      <c r="AE667" s="85"/>
    </row>
    <row r="668" spans="6:31" ht="14.5" customHeight="1" x14ac:dyDescent="0.35">
      <c r="F668" s="93"/>
      <c r="G668" s="85"/>
      <c r="H668" s="87"/>
      <c r="J668" s="93"/>
      <c r="K668" s="85"/>
      <c r="N668" s="93"/>
      <c r="O668" s="85"/>
      <c r="Q668" s="94"/>
      <c r="R668" s="93"/>
      <c r="S668" s="85"/>
      <c r="U668" s="94"/>
      <c r="V668" s="93"/>
      <c r="W668" s="85"/>
      <c r="Y668" s="94"/>
      <c r="Z668" s="93"/>
      <c r="AA668" s="85"/>
      <c r="AC668" s="94"/>
      <c r="AD668" s="93"/>
      <c r="AE668" s="85"/>
    </row>
    <row r="669" spans="6:31" ht="14.5" customHeight="1" x14ac:dyDescent="0.35">
      <c r="F669" s="93"/>
      <c r="G669" s="85"/>
      <c r="H669" s="87"/>
      <c r="J669" s="93"/>
      <c r="K669" s="85"/>
      <c r="N669" s="93"/>
      <c r="O669" s="85"/>
      <c r="Q669" s="94"/>
      <c r="R669" s="93"/>
      <c r="S669" s="85"/>
      <c r="U669" s="94"/>
      <c r="V669" s="93"/>
      <c r="W669" s="85"/>
      <c r="Y669" s="94"/>
      <c r="Z669" s="93"/>
      <c r="AA669" s="85"/>
      <c r="AC669" s="94"/>
      <c r="AD669" s="93"/>
      <c r="AE669" s="85"/>
    </row>
    <row r="670" spans="6:31" ht="14.5" customHeight="1" x14ac:dyDescent="0.35">
      <c r="F670" s="93"/>
      <c r="G670" s="85"/>
      <c r="H670" s="87"/>
      <c r="J670" s="93"/>
      <c r="K670" s="85"/>
      <c r="N670" s="93"/>
      <c r="O670" s="85"/>
      <c r="Q670" s="94"/>
      <c r="R670" s="93"/>
      <c r="S670" s="85"/>
      <c r="U670" s="94"/>
      <c r="V670" s="93"/>
      <c r="W670" s="85"/>
      <c r="Y670" s="94"/>
      <c r="Z670" s="93"/>
      <c r="AA670" s="85"/>
      <c r="AC670" s="94"/>
      <c r="AD670" s="93"/>
      <c r="AE670" s="85"/>
    </row>
    <row r="671" spans="6:31" ht="14.5" customHeight="1" x14ac:dyDescent="0.35">
      <c r="F671" s="93"/>
      <c r="G671" s="85"/>
      <c r="H671" s="87"/>
      <c r="J671" s="93"/>
      <c r="K671" s="85"/>
      <c r="N671" s="93"/>
      <c r="O671" s="85"/>
      <c r="Q671" s="94"/>
      <c r="R671" s="93"/>
      <c r="S671" s="85"/>
      <c r="U671" s="94"/>
      <c r="V671" s="93"/>
      <c r="W671" s="85"/>
      <c r="Y671" s="94"/>
      <c r="Z671" s="93"/>
      <c r="AA671" s="85"/>
      <c r="AC671" s="94"/>
      <c r="AD671" s="93"/>
      <c r="AE671" s="85"/>
    </row>
    <row r="672" spans="6:31" ht="14.5" customHeight="1" x14ac:dyDescent="0.35">
      <c r="F672" s="93"/>
      <c r="G672" s="85"/>
      <c r="H672" s="87"/>
      <c r="J672" s="93"/>
      <c r="K672" s="85"/>
      <c r="N672" s="93"/>
      <c r="O672" s="85"/>
      <c r="Q672" s="94"/>
      <c r="R672" s="93"/>
      <c r="S672" s="85"/>
      <c r="U672" s="94"/>
      <c r="V672" s="93"/>
      <c r="W672" s="85"/>
      <c r="Y672" s="94"/>
      <c r="Z672" s="93"/>
      <c r="AA672" s="85"/>
      <c r="AC672" s="94"/>
      <c r="AD672" s="93"/>
      <c r="AE672" s="85"/>
    </row>
    <row r="673" spans="6:31" ht="14.5" customHeight="1" x14ac:dyDescent="0.35">
      <c r="F673" s="93"/>
      <c r="G673" s="85"/>
      <c r="H673" s="87"/>
      <c r="J673" s="93"/>
      <c r="K673" s="85"/>
      <c r="N673" s="93"/>
      <c r="O673" s="85"/>
      <c r="Q673" s="94"/>
      <c r="R673" s="93"/>
      <c r="S673" s="85"/>
      <c r="U673" s="94"/>
      <c r="V673" s="93"/>
      <c r="W673" s="85"/>
      <c r="Y673" s="94"/>
      <c r="Z673" s="93"/>
      <c r="AA673" s="85"/>
      <c r="AC673" s="94"/>
      <c r="AD673" s="93"/>
      <c r="AE673" s="85"/>
    </row>
    <row r="674" spans="6:31" ht="14.5" customHeight="1" x14ac:dyDescent="0.35">
      <c r="F674" s="93"/>
      <c r="G674" s="85"/>
      <c r="H674" s="87"/>
      <c r="J674" s="93"/>
      <c r="K674" s="85"/>
      <c r="N674" s="93"/>
      <c r="O674" s="85"/>
      <c r="Q674" s="94"/>
      <c r="R674" s="93"/>
      <c r="S674" s="85"/>
      <c r="U674" s="94"/>
      <c r="V674" s="93"/>
      <c r="W674" s="85"/>
      <c r="Y674" s="94"/>
      <c r="Z674" s="93"/>
      <c r="AA674" s="85"/>
      <c r="AC674" s="94"/>
      <c r="AD674" s="93"/>
      <c r="AE674" s="85"/>
    </row>
    <row r="675" spans="6:31" ht="14.5" customHeight="1" x14ac:dyDescent="0.35">
      <c r="F675" s="93"/>
      <c r="G675" s="85"/>
      <c r="H675" s="87"/>
      <c r="J675" s="93"/>
      <c r="K675" s="85"/>
      <c r="N675" s="93"/>
      <c r="O675" s="85"/>
      <c r="Q675" s="94"/>
      <c r="R675" s="93"/>
      <c r="S675" s="85"/>
      <c r="U675" s="94"/>
      <c r="V675" s="93"/>
      <c r="W675" s="85"/>
      <c r="Y675" s="94"/>
      <c r="Z675" s="93"/>
      <c r="AA675" s="85"/>
      <c r="AC675" s="94"/>
      <c r="AD675" s="93"/>
      <c r="AE675" s="85"/>
    </row>
    <row r="676" spans="6:31" ht="14.5" customHeight="1" x14ac:dyDescent="0.35">
      <c r="F676" s="93"/>
      <c r="G676" s="85"/>
      <c r="H676" s="87"/>
      <c r="J676" s="93"/>
      <c r="K676" s="85"/>
      <c r="N676" s="93"/>
      <c r="O676" s="85"/>
      <c r="Q676" s="94"/>
      <c r="R676" s="93"/>
      <c r="S676" s="85"/>
      <c r="U676" s="94"/>
      <c r="V676" s="93"/>
      <c r="W676" s="85"/>
      <c r="Y676" s="94"/>
      <c r="Z676" s="93"/>
      <c r="AA676" s="85"/>
      <c r="AC676" s="94"/>
      <c r="AD676" s="93"/>
      <c r="AE676" s="85"/>
    </row>
    <row r="677" spans="6:31" ht="14.5" customHeight="1" x14ac:dyDescent="0.35">
      <c r="F677" s="93"/>
      <c r="G677" s="85"/>
      <c r="H677" s="87"/>
      <c r="J677" s="93"/>
      <c r="K677" s="85"/>
      <c r="N677" s="93"/>
      <c r="O677" s="85"/>
      <c r="Q677" s="94"/>
      <c r="R677" s="93"/>
      <c r="S677" s="85"/>
      <c r="U677" s="94"/>
      <c r="V677" s="93"/>
      <c r="W677" s="85"/>
      <c r="Y677" s="94"/>
      <c r="Z677" s="93"/>
      <c r="AA677" s="85"/>
      <c r="AC677" s="94"/>
      <c r="AD677" s="93"/>
      <c r="AE677" s="85"/>
    </row>
    <row r="678" spans="6:31" ht="14.5" customHeight="1" x14ac:dyDescent="0.35">
      <c r="F678" s="93"/>
      <c r="G678" s="85"/>
      <c r="H678" s="87"/>
      <c r="J678" s="93"/>
      <c r="K678" s="85"/>
      <c r="N678" s="93"/>
      <c r="O678" s="85"/>
      <c r="Q678" s="94"/>
      <c r="R678" s="93"/>
      <c r="S678" s="85"/>
      <c r="U678" s="94"/>
      <c r="V678" s="93"/>
      <c r="W678" s="85"/>
      <c r="Y678" s="94"/>
      <c r="Z678" s="93"/>
      <c r="AA678" s="85"/>
      <c r="AC678" s="94"/>
      <c r="AD678" s="93"/>
      <c r="AE678" s="85"/>
    </row>
    <row r="679" spans="6:31" ht="14.5" customHeight="1" x14ac:dyDescent="0.35">
      <c r="F679" s="93"/>
      <c r="G679" s="85"/>
      <c r="H679" s="87"/>
      <c r="J679" s="93"/>
      <c r="K679" s="85"/>
      <c r="N679" s="93"/>
      <c r="O679" s="85"/>
      <c r="Q679" s="94"/>
      <c r="R679" s="93"/>
      <c r="S679" s="85"/>
      <c r="U679" s="94"/>
      <c r="V679" s="93"/>
      <c r="W679" s="85"/>
      <c r="Y679" s="94"/>
      <c r="Z679" s="93"/>
      <c r="AA679" s="85"/>
      <c r="AC679" s="94"/>
      <c r="AD679" s="93"/>
      <c r="AE679" s="85"/>
    </row>
    <row r="680" spans="6:31" ht="14.5" customHeight="1" x14ac:dyDescent="0.35">
      <c r="F680" s="93"/>
      <c r="G680" s="85"/>
      <c r="H680" s="87"/>
      <c r="J680" s="93"/>
      <c r="K680" s="85"/>
      <c r="N680" s="93"/>
      <c r="O680" s="85"/>
      <c r="Q680" s="94"/>
      <c r="R680" s="93"/>
      <c r="S680" s="85"/>
      <c r="U680" s="94"/>
      <c r="V680" s="93"/>
      <c r="W680" s="85"/>
      <c r="Y680" s="94"/>
      <c r="Z680" s="93"/>
      <c r="AA680" s="85"/>
      <c r="AC680" s="94"/>
      <c r="AD680" s="93"/>
      <c r="AE680" s="85"/>
    </row>
    <row r="681" spans="6:31" ht="14.5" customHeight="1" x14ac:dyDescent="0.35">
      <c r="F681" s="93"/>
      <c r="G681" s="85"/>
      <c r="H681" s="87"/>
      <c r="J681" s="93"/>
      <c r="K681" s="85"/>
      <c r="N681" s="93"/>
      <c r="O681" s="85"/>
      <c r="Q681" s="94"/>
      <c r="R681" s="93"/>
      <c r="S681" s="85"/>
      <c r="U681" s="94"/>
      <c r="V681" s="93"/>
      <c r="W681" s="85"/>
      <c r="Y681" s="94"/>
      <c r="Z681" s="93"/>
      <c r="AA681" s="85"/>
      <c r="AC681" s="94"/>
      <c r="AD681" s="93"/>
      <c r="AE681" s="85"/>
    </row>
    <row r="682" spans="6:31" ht="14.5" customHeight="1" x14ac:dyDescent="0.35">
      <c r="F682" s="93"/>
      <c r="G682" s="85"/>
      <c r="H682" s="87"/>
      <c r="J682" s="93"/>
      <c r="K682" s="85"/>
      <c r="N682" s="93"/>
      <c r="O682" s="85"/>
      <c r="Q682" s="94"/>
      <c r="R682" s="93"/>
      <c r="S682" s="85"/>
      <c r="U682" s="94"/>
      <c r="V682" s="93"/>
      <c r="W682" s="85"/>
      <c r="Y682" s="94"/>
      <c r="Z682" s="93"/>
      <c r="AA682" s="85"/>
      <c r="AC682" s="94"/>
      <c r="AD682" s="93"/>
      <c r="AE682" s="85"/>
    </row>
    <row r="683" spans="6:31" ht="14.5" customHeight="1" x14ac:dyDescent="0.35">
      <c r="F683" s="93"/>
      <c r="G683" s="85"/>
      <c r="H683" s="87"/>
      <c r="J683" s="93"/>
      <c r="K683" s="85"/>
      <c r="N683" s="93"/>
      <c r="O683" s="85"/>
      <c r="Q683" s="94"/>
      <c r="R683" s="93"/>
      <c r="S683" s="85"/>
      <c r="U683" s="94"/>
      <c r="V683" s="93"/>
      <c r="W683" s="85"/>
      <c r="Y683" s="94"/>
      <c r="Z683" s="93"/>
      <c r="AA683" s="85"/>
      <c r="AC683" s="94"/>
      <c r="AD683" s="93"/>
      <c r="AE683" s="85"/>
    </row>
    <row r="684" spans="6:31" ht="14.5" customHeight="1" x14ac:dyDescent="0.35">
      <c r="F684" s="93"/>
      <c r="G684" s="85"/>
      <c r="H684" s="87"/>
      <c r="J684" s="93"/>
      <c r="K684" s="85"/>
      <c r="N684" s="93"/>
      <c r="O684" s="85"/>
      <c r="Q684" s="94"/>
      <c r="R684" s="93"/>
      <c r="S684" s="85"/>
      <c r="U684" s="94"/>
      <c r="V684" s="93"/>
      <c r="W684" s="85"/>
      <c r="Y684" s="94"/>
      <c r="Z684" s="93"/>
      <c r="AA684" s="85"/>
      <c r="AC684" s="94"/>
      <c r="AD684" s="93"/>
      <c r="AE684" s="85"/>
    </row>
    <row r="685" spans="6:31" ht="14.5" customHeight="1" x14ac:dyDescent="0.35">
      <c r="F685" s="93"/>
      <c r="G685" s="85"/>
      <c r="H685" s="87"/>
      <c r="J685" s="93"/>
      <c r="K685" s="85"/>
      <c r="N685" s="93"/>
      <c r="O685" s="85"/>
      <c r="Q685" s="94"/>
      <c r="R685" s="93"/>
      <c r="S685" s="85"/>
      <c r="U685" s="94"/>
      <c r="V685" s="93"/>
      <c r="W685" s="85"/>
      <c r="Y685" s="94"/>
      <c r="Z685" s="93"/>
      <c r="AA685" s="85"/>
      <c r="AC685" s="94"/>
      <c r="AD685" s="93"/>
      <c r="AE685" s="85"/>
    </row>
    <row r="686" spans="6:31" ht="14.5" customHeight="1" x14ac:dyDescent="0.35">
      <c r="F686" s="93"/>
      <c r="G686" s="85"/>
      <c r="H686" s="87"/>
      <c r="J686" s="93"/>
      <c r="K686" s="85"/>
      <c r="N686" s="93"/>
      <c r="O686" s="85"/>
      <c r="Q686" s="94"/>
      <c r="R686" s="93"/>
      <c r="S686" s="85"/>
      <c r="U686" s="94"/>
      <c r="V686" s="93"/>
      <c r="W686" s="85"/>
      <c r="Y686" s="94"/>
      <c r="Z686" s="93"/>
      <c r="AA686" s="85"/>
      <c r="AC686" s="94"/>
      <c r="AD686" s="93"/>
      <c r="AE686" s="85"/>
    </row>
    <row r="687" spans="6:31" ht="14.5" customHeight="1" x14ac:dyDescent="0.35">
      <c r="F687" s="93"/>
      <c r="G687" s="85"/>
      <c r="H687" s="87"/>
      <c r="J687" s="93"/>
      <c r="K687" s="85"/>
      <c r="N687" s="93"/>
      <c r="O687" s="85"/>
      <c r="Q687" s="94"/>
      <c r="R687" s="93"/>
      <c r="S687" s="85"/>
      <c r="U687" s="94"/>
      <c r="V687" s="93"/>
      <c r="W687" s="85"/>
      <c r="Y687" s="94"/>
      <c r="Z687" s="93"/>
      <c r="AA687" s="85"/>
      <c r="AC687" s="94"/>
      <c r="AD687" s="93"/>
      <c r="AE687" s="85"/>
    </row>
    <row r="688" spans="6:31" ht="14.5" customHeight="1" x14ac:dyDescent="0.35">
      <c r="F688" s="93"/>
      <c r="G688" s="85"/>
      <c r="H688" s="87"/>
      <c r="J688" s="93"/>
      <c r="K688" s="85"/>
      <c r="N688" s="93"/>
      <c r="O688" s="85"/>
      <c r="Q688" s="94"/>
      <c r="R688" s="93"/>
      <c r="S688" s="85"/>
      <c r="U688" s="94"/>
      <c r="V688" s="93"/>
      <c r="W688" s="85"/>
      <c r="Y688" s="94"/>
      <c r="Z688" s="93"/>
      <c r="AA688" s="85"/>
      <c r="AC688" s="94"/>
      <c r="AD688" s="93"/>
      <c r="AE688" s="85"/>
    </row>
    <row r="689" spans="6:31" ht="14.5" customHeight="1" x14ac:dyDescent="0.35">
      <c r="F689" s="93"/>
      <c r="G689" s="85"/>
      <c r="H689" s="87"/>
      <c r="J689" s="93"/>
      <c r="K689" s="85"/>
      <c r="N689" s="93"/>
      <c r="O689" s="85"/>
      <c r="Q689" s="94"/>
      <c r="R689" s="93"/>
      <c r="S689" s="85"/>
      <c r="U689" s="94"/>
      <c r="V689" s="93"/>
      <c r="W689" s="85"/>
      <c r="Y689" s="94"/>
      <c r="Z689" s="93"/>
      <c r="AA689" s="85"/>
      <c r="AC689" s="94"/>
      <c r="AD689" s="93"/>
      <c r="AE689" s="85"/>
    </row>
    <row r="690" spans="6:31" ht="14.5" customHeight="1" x14ac:dyDescent="0.35">
      <c r="F690" s="93"/>
      <c r="G690" s="85"/>
      <c r="H690" s="87"/>
      <c r="J690" s="93"/>
      <c r="K690" s="85"/>
      <c r="N690" s="93"/>
      <c r="O690" s="85"/>
      <c r="Q690" s="94"/>
      <c r="R690" s="93"/>
      <c r="S690" s="85"/>
      <c r="U690" s="94"/>
      <c r="V690" s="93"/>
      <c r="W690" s="85"/>
      <c r="Y690" s="94"/>
      <c r="Z690" s="93"/>
      <c r="AA690" s="85"/>
      <c r="AC690" s="94"/>
      <c r="AD690" s="93"/>
      <c r="AE690" s="85"/>
    </row>
    <row r="691" spans="6:31" ht="14.5" customHeight="1" x14ac:dyDescent="0.35">
      <c r="F691" s="93"/>
      <c r="G691" s="85"/>
      <c r="H691" s="87"/>
      <c r="J691" s="93"/>
      <c r="K691" s="85"/>
      <c r="N691" s="93"/>
      <c r="O691" s="85"/>
      <c r="Q691" s="94"/>
      <c r="R691" s="93"/>
      <c r="S691" s="85"/>
      <c r="U691" s="94"/>
      <c r="V691" s="93"/>
      <c r="W691" s="85"/>
      <c r="Y691" s="94"/>
      <c r="Z691" s="93"/>
      <c r="AA691" s="85"/>
      <c r="AC691" s="94"/>
      <c r="AD691" s="93"/>
      <c r="AE691" s="85"/>
    </row>
    <row r="692" spans="6:31" ht="14.5" customHeight="1" x14ac:dyDescent="0.35">
      <c r="F692" s="93"/>
      <c r="G692" s="85"/>
      <c r="H692" s="87"/>
      <c r="J692" s="93"/>
      <c r="K692" s="85"/>
      <c r="N692" s="93"/>
      <c r="O692" s="85"/>
      <c r="Q692" s="94"/>
      <c r="R692" s="93"/>
      <c r="S692" s="85"/>
      <c r="U692" s="94"/>
      <c r="V692" s="93"/>
      <c r="W692" s="85"/>
      <c r="Y692" s="94"/>
      <c r="Z692" s="93"/>
      <c r="AA692" s="85"/>
      <c r="AC692" s="94"/>
      <c r="AD692" s="93"/>
      <c r="AE692" s="85"/>
    </row>
    <row r="693" spans="6:31" ht="14.5" customHeight="1" x14ac:dyDescent="0.35">
      <c r="F693" s="93"/>
      <c r="G693" s="85"/>
      <c r="H693" s="87"/>
      <c r="J693" s="93"/>
      <c r="K693" s="85"/>
      <c r="N693" s="93"/>
      <c r="O693" s="85"/>
      <c r="Q693" s="94"/>
      <c r="R693" s="93"/>
      <c r="S693" s="85"/>
      <c r="U693" s="94"/>
      <c r="V693" s="93"/>
      <c r="W693" s="85"/>
      <c r="Y693" s="94"/>
      <c r="Z693" s="93"/>
      <c r="AA693" s="85"/>
      <c r="AC693" s="94"/>
      <c r="AD693" s="93"/>
      <c r="AE693" s="85"/>
    </row>
    <row r="694" spans="6:31" ht="14.5" customHeight="1" x14ac:dyDescent="0.35">
      <c r="F694" s="93"/>
      <c r="G694" s="85"/>
      <c r="H694" s="87"/>
      <c r="J694" s="93"/>
      <c r="K694" s="85"/>
      <c r="N694" s="93"/>
      <c r="O694" s="85"/>
      <c r="Q694" s="94"/>
      <c r="R694" s="93"/>
      <c r="S694" s="85"/>
      <c r="U694" s="94"/>
      <c r="V694" s="93"/>
      <c r="W694" s="85"/>
      <c r="Y694" s="94"/>
      <c r="Z694" s="93"/>
      <c r="AA694" s="85"/>
      <c r="AC694" s="94"/>
      <c r="AD694" s="93"/>
      <c r="AE694" s="85"/>
    </row>
    <row r="695" spans="6:31" ht="14.5" customHeight="1" x14ac:dyDescent="0.35">
      <c r="F695" s="93"/>
      <c r="G695" s="85"/>
      <c r="H695" s="87"/>
      <c r="J695" s="93"/>
      <c r="K695" s="85"/>
      <c r="N695" s="93"/>
      <c r="O695" s="85"/>
      <c r="Q695" s="94"/>
      <c r="R695" s="93"/>
      <c r="S695" s="85"/>
      <c r="U695" s="94"/>
      <c r="V695" s="93"/>
      <c r="W695" s="85"/>
      <c r="Y695" s="94"/>
      <c r="Z695" s="93"/>
      <c r="AA695" s="85"/>
      <c r="AC695" s="94"/>
      <c r="AD695" s="93"/>
      <c r="AE695" s="85"/>
    </row>
    <row r="696" spans="6:31" ht="14.5" customHeight="1" x14ac:dyDescent="0.35">
      <c r="F696" s="93"/>
      <c r="G696" s="85"/>
      <c r="H696" s="87"/>
      <c r="J696" s="93"/>
      <c r="K696" s="85"/>
      <c r="N696" s="93"/>
      <c r="O696" s="85"/>
      <c r="Q696" s="94"/>
      <c r="R696" s="93"/>
      <c r="S696" s="85"/>
      <c r="U696" s="94"/>
      <c r="V696" s="93"/>
      <c r="W696" s="85"/>
      <c r="Y696" s="94"/>
      <c r="Z696" s="93"/>
      <c r="AA696" s="85"/>
      <c r="AC696" s="94"/>
      <c r="AD696" s="93"/>
      <c r="AE696" s="85"/>
    </row>
    <row r="697" spans="6:31" ht="14.5" customHeight="1" x14ac:dyDescent="0.35">
      <c r="F697" s="93"/>
      <c r="G697" s="85"/>
      <c r="H697" s="87"/>
      <c r="J697" s="93"/>
      <c r="K697" s="85"/>
      <c r="N697" s="93"/>
      <c r="O697" s="85"/>
      <c r="Q697" s="94"/>
      <c r="R697" s="93"/>
      <c r="S697" s="85"/>
      <c r="U697" s="94"/>
      <c r="V697" s="93"/>
      <c r="W697" s="85"/>
      <c r="Y697" s="94"/>
      <c r="Z697" s="93"/>
      <c r="AA697" s="85"/>
      <c r="AC697" s="94"/>
      <c r="AD697" s="93"/>
      <c r="AE697" s="85"/>
    </row>
    <row r="698" spans="6:31" ht="14.5" customHeight="1" x14ac:dyDescent="0.35">
      <c r="F698" s="93"/>
      <c r="G698" s="85"/>
      <c r="H698" s="87"/>
      <c r="J698" s="93"/>
      <c r="K698" s="85"/>
      <c r="N698" s="93"/>
      <c r="O698" s="85"/>
      <c r="Q698" s="94"/>
      <c r="R698" s="93"/>
      <c r="S698" s="85"/>
      <c r="U698" s="94"/>
      <c r="V698" s="93"/>
      <c r="W698" s="85"/>
      <c r="Y698" s="94"/>
      <c r="Z698" s="93"/>
      <c r="AA698" s="85"/>
      <c r="AC698" s="94"/>
      <c r="AD698" s="93"/>
      <c r="AE698" s="85"/>
    </row>
    <row r="699" spans="6:31" ht="14.5" customHeight="1" x14ac:dyDescent="0.35">
      <c r="F699" s="93"/>
      <c r="G699" s="85"/>
      <c r="H699" s="87"/>
      <c r="J699" s="93"/>
      <c r="K699" s="85"/>
      <c r="N699" s="93"/>
      <c r="O699" s="85"/>
      <c r="Q699" s="94"/>
      <c r="R699" s="93"/>
      <c r="S699" s="85"/>
      <c r="U699" s="94"/>
      <c r="V699" s="93"/>
      <c r="W699" s="85"/>
      <c r="Y699" s="94"/>
      <c r="Z699" s="93"/>
      <c r="AA699" s="85"/>
      <c r="AC699" s="94"/>
      <c r="AD699" s="93"/>
      <c r="AE699" s="85"/>
    </row>
    <row r="700" spans="6:31" ht="14.5" customHeight="1" x14ac:dyDescent="0.35">
      <c r="F700" s="93"/>
      <c r="G700" s="85"/>
      <c r="H700" s="87"/>
      <c r="J700" s="93"/>
      <c r="K700" s="85"/>
      <c r="N700" s="93"/>
      <c r="O700" s="85"/>
      <c r="Q700" s="94"/>
      <c r="R700" s="93"/>
      <c r="S700" s="85"/>
      <c r="U700" s="94"/>
      <c r="V700" s="93"/>
      <c r="W700" s="85"/>
      <c r="Y700" s="94"/>
      <c r="Z700" s="93"/>
      <c r="AA700" s="85"/>
      <c r="AC700" s="94"/>
      <c r="AD700" s="93"/>
      <c r="AE700" s="85"/>
    </row>
    <row r="701" spans="6:31" ht="14.5" customHeight="1" x14ac:dyDescent="0.35">
      <c r="F701" s="93"/>
      <c r="G701" s="85"/>
      <c r="H701" s="87"/>
      <c r="J701" s="93"/>
      <c r="K701" s="85"/>
      <c r="N701" s="93"/>
      <c r="O701" s="85"/>
      <c r="Q701" s="94"/>
      <c r="R701" s="93"/>
      <c r="S701" s="85"/>
      <c r="U701" s="94"/>
      <c r="V701" s="93"/>
      <c r="W701" s="85"/>
      <c r="Y701" s="94"/>
      <c r="Z701" s="93"/>
      <c r="AA701" s="85"/>
      <c r="AC701" s="94"/>
      <c r="AD701" s="93"/>
      <c r="AE701" s="85"/>
    </row>
    <row r="702" spans="6:31" ht="14.5" customHeight="1" x14ac:dyDescent="0.35">
      <c r="F702" s="93"/>
      <c r="G702" s="85"/>
      <c r="H702" s="87"/>
      <c r="J702" s="93"/>
      <c r="K702" s="85"/>
      <c r="N702" s="93"/>
      <c r="O702" s="85"/>
      <c r="Q702" s="94"/>
      <c r="R702" s="93"/>
      <c r="S702" s="85"/>
      <c r="U702" s="94"/>
      <c r="V702" s="93"/>
      <c r="W702" s="85"/>
      <c r="Y702" s="94"/>
      <c r="Z702" s="93"/>
      <c r="AA702" s="85"/>
      <c r="AC702" s="94"/>
      <c r="AD702" s="93"/>
      <c r="AE702" s="85"/>
    </row>
    <row r="703" spans="6:31" ht="14.5" customHeight="1" x14ac:dyDescent="0.35">
      <c r="F703" s="93"/>
      <c r="G703" s="85"/>
      <c r="H703" s="87"/>
      <c r="J703" s="93"/>
      <c r="K703" s="85"/>
      <c r="N703" s="93"/>
      <c r="O703" s="85"/>
      <c r="Q703" s="94"/>
      <c r="R703" s="93"/>
      <c r="S703" s="85"/>
      <c r="U703" s="94"/>
      <c r="V703" s="93"/>
      <c r="W703" s="85"/>
      <c r="Y703" s="94"/>
      <c r="Z703" s="93"/>
      <c r="AA703" s="85"/>
      <c r="AC703" s="94"/>
      <c r="AD703" s="93"/>
      <c r="AE703" s="85"/>
    </row>
    <row r="704" spans="6:31" ht="14.5" customHeight="1" x14ac:dyDescent="0.35">
      <c r="F704" s="93"/>
      <c r="G704" s="85"/>
      <c r="H704" s="87"/>
      <c r="J704" s="93"/>
      <c r="K704" s="85"/>
      <c r="N704" s="93"/>
      <c r="O704" s="85"/>
      <c r="Q704" s="94"/>
      <c r="R704" s="93"/>
      <c r="S704" s="85"/>
      <c r="U704" s="94"/>
      <c r="V704" s="93"/>
      <c r="W704" s="85"/>
      <c r="Y704" s="94"/>
      <c r="Z704" s="93"/>
      <c r="AA704" s="85"/>
      <c r="AC704" s="94"/>
      <c r="AD704" s="93"/>
      <c r="AE704" s="85"/>
    </row>
    <row r="705" spans="6:31" ht="14.5" customHeight="1" x14ac:dyDescent="0.35">
      <c r="F705" s="93"/>
      <c r="G705" s="85"/>
      <c r="H705" s="87"/>
      <c r="J705" s="93"/>
      <c r="K705" s="85"/>
      <c r="N705" s="93"/>
      <c r="O705" s="85"/>
      <c r="Q705" s="94"/>
      <c r="R705" s="93"/>
      <c r="S705" s="85"/>
      <c r="U705" s="94"/>
      <c r="V705" s="93"/>
      <c r="W705" s="85"/>
      <c r="Y705" s="94"/>
      <c r="Z705" s="93"/>
      <c r="AA705" s="85"/>
      <c r="AC705" s="94"/>
      <c r="AD705" s="93"/>
      <c r="AE705" s="85"/>
    </row>
    <row r="706" spans="6:31" ht="14.5" customHeight="1" x14ac:dyDescent="0.35">
      <c r="F706" s="93"/>
      <c r="G706" s="85"/>
      <c r="H706" s="87"/>
      <c r="J706" s="93"/>
      <c r="K706" s="85"/>
      <c r="N706" s="93"/>
      <c r="O706" s="85"/>
      <c r="Q706" s="94"/>
      <c r="R706" s="93"/>
      <c r="S706" s="85"/>
      <c r="U706" s="94"/>
      <c r="V706" s="93"/>
      <c r="W706" s="85"/>
      <c r="Y706" s="94"/>
      <c r="Z706" s="93"/>
      <c r="AA706" s="85"/>
      <c r="AC706" s="94"/>
      <c r="AD706" s="93"/>
      <c r="AE706" s="85"/>
    </row>
    <row r="707" spans="6:31" ht="14.5" customHeight="1" x14ac:dyDescent="0.35">
      <c r="F707" s="93"/>
      <c r="G707" s="85"/>
      <c r="H707" s="87"/>
      <c r="J707" s="93"/>
      <c r="K707" s="85"/>
      <c r="N707" s="93"/>
      <c r="O707" s="85"/>
      <c r="Q707" s="94"/>
      <c r="R707" s="93"/>
      <c r="S707" s="85"/>
      <c r="U707" s="94"/>
      <c r="V707" s="93"/>
      <c r="W707" s="85"/>
      <c r="Y707" s="94"/>
      <c r="Z707" s="93"/>
      <c r="AA707" s="85"/>
      <c r="AC707" s="94"/>
      <c r="AD707" s="93"/>
      <c r="AE707" s="85"/>
    </row>
    <row r="708" spans="6:31" ht="14.5" customHeight="1" x14ac:dyDescent="0.35">
      <c r="F708" s="93"/>
      <c r="G708" s="85"/>
      <c r="H708" s="87"/>
      <c r="J708" s="93"/>
      <c r="K708" s="85"/>
      <c r="N708" s="93"/>
      <c r="O708" s="85"/>
      <c r="Q708" s="94"/>
      <c r="R708" s="93"/>
      <c r="S708" s="85"/>
      <c r="U708" s="94"/>
      <c r="V708" s="93"/>
      <c r="W708" s="85"/>
      <c r="Y708" s="94"/>
      <c r="Z708" s="93"/>
      <c r="AA708" s="85"/>
      <c r="AC708" s="94"/>
      <c r="AD708" s="93"/>
      <c r="AE708" s="85"/>
    </row>
    <row r="709" spans="6:31" ht="14.5" customHeight="1" x14ac:dyDescent="0.35">
      <c r="F709" s="93"/>
      <c r="G709" s="85"/>
      <c r="H709" s="87"/>
      <c r="J709" s="93"/>
      <c r="K709" s="85"/>
      <c r="N709" s="93"/>
      <c r="O709" s="85"/>
      <c r="Q709" s="94"/>
      <c r="R709" s="93"/>
      <c r="S709" s="85"/>
      <c r="U709" s="94"/>
      <c r="V709" s="93"/>
      <c r="W709" s="85"/>
      <c r="Y709" s="94"/>
      <c r="Z709" s="93"/>
      <c r="AA709" s="85"/>
      <c r="AC709" s="94"/>
      <c r="AD709" s="93"/>
      <c r="AE709" s="85"/>
    </row>
    <row r="710" spans="6:31" ht="14.5" customHeight="1" x14ac:dyDescent="0.35">
      <c r="F710" s="93"/>
      <c r="G710" s="85"/>
      <c r="H710" s="87"/>
      <c r="J710" s="93"/>
      <c r="K710" s="85"/>
      <c r="N710" s="93"/>
      <c r="O710" s="85"/>
      <c r="Q710" s="94"/>
      <c r="R710" s="93"/>
      <c r="S710" s="85"/>
      <c r="U710" s="94"/>
      <c r="V710" s="93"/>
      <c r="W710" s="85"/>
      <c r="Y710" s="94"/>
      <c r="Z710" s="93"/>
      <c r="AA710" s="85"/>
      <c r="AC710" s="94"/>
      <c r="AD710" s="93"/>
      <c r="AE710" s="85"/>
    </row>
    <row r="711" spans="6:31" ht="14.5" customHeight="1" x14ac:dyDescent="0.35">
      <c r="F711" s="93"/>
      <c r="G711" s="85"/>
      <c r="H711" s="87"/>
      <c r="J711" s="93"/>
      <c r="K711" s="85"/>
      <c r="N711" s="93"/>
      <c r="O711" s="85"/>
      <c r="Q711" s="94"/>
      <c r="R711" s="93"/>
      <c r="S711" s="85"/>
      <c r="U711" s="94"/>
      <c r="V711" s="93"/>
      <c r="W711" s="85"/>
      <c r="Y711" s="94"/>
      <c r="Z711" s="93"/>
      <c r="AA711" s="85"/>
      <c r="AC711" s="94"/>
      <c r="AD711" s="93"/>
      <c r="AE711" s="85"/>
    </row>
    <row r="712" spans="6:31" ht="14.5" customHeight="1" x14ac:dyDescent="0.35">
      <c r="F712" s="93"/>
      <c r="G712" s="85"/>
      <c r="H712" s="87"/>
      <c r="J712" s="93"/>
      <c r="K712" s="85"/>
      <c r="N712" s="93"/>
      <c r="O712" s="85"/>
      <c r="Q712" s="94"/>
      <c r="R712" s="93"/>
      <c r="S712" s="85"/>
      <c r="U712" s="94"/>
      <c r="V712" s="93"/>
      <c r="W712" s="85"/>
      <c r="Y712" s="94"/>
      <c r="Z712" s="93"/>
      <c r="AA712" s="85"/>
      <c r="AC712" s="94"/>
      <c r="AD712" s="93"/>
      <c r="AE712" s="85"/>
    </row>
    <row r="713" spans="6:31" ht="14.5" customHeight="1" x14ac:dyDescent="0.35">
      <c r="F713" s="93"/>
      <c r="G713" s="85"/>
      <c r="H713" s="87"/>
      <c r="J713" s="93"/>
      <c r="K713" s="85"/>
      <c r="N713" s="93"/>
      <c r="O713" s="85"/>
      <c r="Q713" s="94"/>
      <c r="R713" s="93"/>
      <c r="S713" s="85"/>
      <c r="U713" s="94"/>
      <c r="V713" s="93"/>
      <c r="W713" s="85"/>
      <c r="Y713" s="94"/>
      <c r="Z713" s="93"/>
      <c r="AA713" s="85"/>
      <c r="AC713" s="94"/>
      <c r="AD713" s="93"/>
      <c r="AE713" s="85"/>
    </row>
    <row r="714" spans="6:31" ht="14.5" customHeight="1" x14ac:dyDescent="0.35">
      <c r="F714" s="93"/>
      <c r="G714" s="85"/>
      <c r="H714" s="87"/>
      <c r="J714" s="93"/>
      <c r="K714" s="85"/>
      <c r="N714" s="93"/>
      <c r="O714" s="85"/>
      <c r="Q714" s="94"/>
      <c r="R714" s="93"/>
      <c r="S714" s="85"/>
      <c r="U714" s="94"/>
      <c r="V714" s="93"/>
      <c r="W714" s="85"/>
      <c r="Y714" s="94"/>
      <c r="Z714" s="93"/>
      <c r="AA714" s="85"/>
      <c r="AC714" s="94"/>
      <c r="AD714" s="93"/>
      <c r="AE714" s="85"/>
    </row>
    <row r="715" spans="6:31" ht="14.5" customHeight="1" x14ac:dyDescent="0.35">
      <c r="F715" s="93"/>
      <c r="G715" s="85"/>
      <c r="H715" s="87"/>
      <c r="J715" s="93"/>
      <c r="K715" s="85"/>
      <c r="N715" s="93"/>
      <c r="O715" s="85"/>
      <c r="Q715" s="94"/>
      <c r="R715" s="93"/>
      <c r="S715" s="85"/>
      <c r="U715" s="94"/>
      <c r="V715" s="93"/>
      <c r="W715" s="85"/>
      <c r="Y715" s="94"/>
      <c r="Z715" s="93"/>
      <c r="AA715" s="85"/>
      <c r="AC715" s="94"/>
      <c r="AD715" s="93"/>
      <c r="AE715" s="85"/>
    </row>
    <row r="716" spans="6:31" ht="14.5" customHeight="1" x14ac:dyDescent="0.35">
      <c r="F716" s="93"/>
      <c r="G716" s="85"/>
      <c r="H716" s="87"/>
      <c r="J716" s="93"/>
      <c r="K716" s="85"/>
      <c r="N716" s="93"/>
      <c r="O716" s="85"/>
      <c r="Q716" s="94"/>
      <c r="R716" s="93"/>
      <c r="S716" s="85"/>
      <c r="U716" s="94"/>
      <c r="V716" s="93"/>
      <c r="W716" s="85"/>
      <c r="Y716" s="94"/>
      <c r="Z716" s="93"/>
      <c r="AA716" s="85"/>
      <c r="AC716" s="94"/>
      <c r="AD716" s="93"/>
      <c r="AE716" s="85"/>
    </row>
    <row r="717" spans="6:31" ht="14.5" customHeight="1" x14ac:dyDescent="0.35">
      <c r="F717" s="93"/>
      <c r="G717" s="85"/>
      <c r="H717" s="87"/>
      <c r="J717" s="93"/>
      <c r="K717" s="85"/>
      <c r="N717" s="93"/>
      <c r="O717" s="85"/>
      <c r="Q717" s="94"/>
      <c r="R717" s="93"/>
      <c r="S717" s="85"/>
      <c r="U717" s="94"/>
      <c r="V717" s="93"/>
      <c r="W717" s="85"/>
      <c r="Y717" s="94"/>
      <c r="Z717" s="93"/>
      <c r="AA717" s="85"/>
      <c r="AC717" s="94"/>
      <c r="AD717" s="93"/>
      <c r="AE717" s="85"/>
    </row>
    <row r="718" spans="6:31" ht="14.5" customHeight="1" x14ac:dyDescent="0.35">
      <c r="F718" s="93"/>
      <c r="G718" s="85"/>
      <c r="H718" s="87"/>
      <c r="J718" s="93"/>
      <c r="K718" s="85"/>
      <c r="N718" s="93"/>
      <c r="O718" s="85"/>
      <c r="Q718" s="94"/>
      <c r="R718" s="93"/>
      <c r="S718" s="85"/>
      <c r="U718" s="94"/>
      <c r="V718" s="93"/>
      <c r="W718" s="85"/>
      <c r="Y718" s="94"/>
      <c r="Z718" s="93"/>
      <c r="AA718" s="85"/>
      <c r="AC718" s="94"/>
      <c r="AD718" s="93"/>
      <c r="AE718" s="85"/>
    </row>
    <row r="719" spans="6:31" ht="14.5" customHeight="1" x14ac:dyDescent="0.35">
      <c r="F719" s="93"/>
      <c r="G719" s="85"/>
      <c r="H719" s="87"/>
      <c r="J719" s="93"/>
      <c r="K719" s="85"/>
      <c r="N719" s="93"/>
      <c r="O719" s="85"/>
      <c r="Q719" s="94"/>
      <c r="R719" s="93"/>
      <c r="S719" s="85"/>
      <c r="U719" s="94"/>
      <c r="V719" s="93"/>
      <c r="W719" s="85"/>
      <c r="Y719" s="94"/>
      <c r="Z719" s="93"/>
      <c r="AA719" s="85"/>
      <c r="AC719" s="94"/>
      <c r="AD719" s="93"/>
      <c r="AE719" s="85"/>
    </row>
    <row r="720" spans="6:31" ht="14.5" customHeight="1" x14ac:dyDescent="0.35">
      <c r="F720" s="93"/>
      <c r="G720" s="85"/>
      <c r="H720" s="87"/>
      <c r="J720" s="93"/>
      <c r="K720" s="85"/>
      <c r="N720" s="93"/>
      <c r="O720" s="85"/>
      <c r="Q720" s="94"/>
      <c r="R720" s="93"/>
      <c r="S720" s="85"/>
      <c r="U720" s="94"/>
      <c r="V720" s="93"/>
      <c r="W720" s="85"/>
      <c r="Y720" s="94"/>
      <c r="Z720" s="93"/>
      <c r="AA720" s="85"/>
      <c r="AC720" s="94"/>
      <c r="AD720" s="93"/>
      <c r="AE720" s="85"/>
    </row>
    <row r="721" spans="6:31" ht="14.5" customHeight="1" x14ac:dyDescent="0.35">
      <c r="F721" s="93"/>
      <c r="G721" s="85"/>
      <c r="H721" s="87"/>
      <c r="J721" s="93"/>
      <c r="K721" s="85"/>
      <c r="N721" s="93"/>
      <c r="O721" s="85"/>
      <c r="Q721" s="94"/>
      <c r="R721" s="93"/>
      <c r="S721" s="85"/>
      <c r="U721" s="94"/>
      <c r="V721" s="93"/>
      <c r="W721" s="85"/>
      <c r="Y721" s="94"/>
      <c r="Z721" s="93"/>
      <c r="AA721" s="85"/>
      <c r="AC721" s="94"/>
      <c r="AD721" s="93"/>
      <c r="AE721" s="85"/>
    </row>
    <row r="722" spans="6:31" ht="14.5" customHeight="1" x14ac:dyDescent="0.35">
      <c r="F722" s="93"/>
      <c r="G722" s="85"/>
      <c r="H722" s="87"/>
      <c r="J722" s="93"/>
      <c r="K722" s="85"/>
      <c r="N722" s="93"/>
      <c r="O722" s="85"/>
      <c r="Q722" s="94"/>
      <c r="R722" s="93"/>
      <c r="S722" s="85"/>
      <c r="U722" s="94"/>
      <c r="V722" s="93"/>
      <c r="W722" s="85"/>
      <c r="Y722" s="94"/>
      <c r="Z722" s="93"/>
      <c r="AA722" s="85"/>
      <c r="AC722" s="94"/>
      <c r="AD722" s="93"/>
      <c r="AE722" s="85"/>
    </row>
    <row r="723" spans="6:31" ht="14.5" customHeight="1" x14ac:dyDescent="0.35">
      <c r="F723" s="93"/>
      <c r="G723" s="85"/>
      <c r="H723" s="87"/>
      <c r="J723" s="93"/>
      <c r="K723" s="85"/>
      <c r="N723" s="93"/>
      <c r="O723" s="85"/>
      <c r="Q723" s="94"/>
      <c r="R723" s="93"/>
      <c r="S723" s="85"/>
      <c r="U723" s="94"/>
      <c r="V723" s="93"/>
      <c r="W723" s="85"/>
      <c r="Y723" s="94"/>
      <c r="Z723" s="93"/>
      <c r="AA723" s="85"/>
      <c r="AC723" s="94"/>
      <c r="AD723" s="93"/>
      <c r="AE723" s="85"/>
    </row>
    <row r="724" spans="6:31" ht="14.5" customHeight="1" x14ac:dyDescent="0.35">
      <c r="F724" s="93"/>
      <c r="G724" s="85"/>
      <c r="H724" s="87"/>
      <c r="J724" s="93"/>
      <c r="K724" s="85"/>
      <c r="N724" s="93"/>
      <c r="O724" s="85"/>
      <c r="Q724" s="94"/>
      <c r="R724" s="93"/>
      <c r="S724" s="85"/>
      <c r="U724" s="94"/>
      <c r="V724" s="93"/>
      <c r="W724" s="85"/>
      <c r="Y724" s="94"/>
      <c r="Z724" s="93"/>
      <c r="AA724" s="85"/>
      <c r="AC724" s="94"/>
      <c r="AD724" s="93"/>
      <c r="AE724" s="85"/>
    </row>
    <row r="725" spans="6:31" ht="14.5" customHeight="1" x14ac:dyDescent="0.35">
      <c r="F725" s="93"/>
      <c r="G725" s="85"/>
      <c r="H725" s="87"/>
      <c r="J725" s="93"/>
      <c r="K725" s="85"/>
      <c r="N725" s="93"/>
      <c r="O725" s="85"/>
      <c r="Q725" s="94"/>
      <c r="R725" s="93"/>
      <c r="S725" s="85"/>
      <c r="U725" s="94"/>
      <c r="V725" s="93"/>
      <c r="W725" s="85"/>
      <c r="Y725" s="94"/>
      <c r="Z725" s="93"/>
      <c r="AA725" s="85"/>
      <c r="AC725" s="94"/>
      <c r="AD725" s="93"/>
      <c r="AE725" s="85"/>
    </row>
    <row r="726" spans="6:31" ht="14.5" customHeight="1" x14ac:dyDescent="0.35">
      <c r="F726" s="93"/>
      <c r="G726" s="85"/>
      <c r="H726" s="87"/>
      <c r="J726" s="93"/>
      <c r="K726" s="85"/>
      <c r="N726" s="93"/>
      <c r="O726" s="85"/>
      <c r="Q726" s="94"/>
      <c r="R726" s="93"/>
      <c r="S726" s="85"/>
      <c r="U726" s="94"/>
      <c r="V726" s="93"/>
      <c r="W726" s="85"/>
      <c r="Y726" s="94"/>
      <c r="Z726" s="93"/>
      <c r="AA726" s="85"/>
      <c r="AC726" s="94"/>
      <c r="AD726" s="93"/>
      <c r="AE726" s="85"/>
    </row>
    <row r="727" spans="6:31" ht="14.5" customHeight="1" x14ac:dyDescent="0.35">
      <c r="F727" s="93"/>
      <c r="G727" s="85"/>
      <c r="H727" s="87"/>
      <c r="J727" s="93"/>
      <c r="K727" s="85"/>
      <c r="N727" s="93"/>
      <c r="O727" s="85"/>
      <c r="Q727" s="94"/>
      <c r="R727" s="93"/>
      <c r="S727" s="85"/>
      <c r="U727" s="94"/>
      <c r="V727" s="93"/>
      <c r="W727" s="85"/>
      <c r="Y727" s="94"/>
      <c r="Z727" s="93"/>
      <c r="AA727" s="85"/>
      <c r="AC727" s="94"/>
      <c r="AD727" s="93"/>
      <c r="AE727" s="85"/>
    </row>
    <row r="728" spans="6:31" ht="14.5" customHeight="1" x14ac:dyDescent="0.35">
      <c r="F728" s="93"/>
      <c r="G728" s="85"/>
      <c r="H728" s="87"/>
      <c r="J728" s="93"/>
      <c r="K728" s="85"/>
      <c r="N728" s="93"/>
      <c r="O728" s="85"/>
      <c r="Q728" s="94"/>
      <c r="R728" s="93"/>
      <c r="S728" s="85"/>
      <c r="U728" s="94"/>
      <c r="V728" s="93"/>
      <c r="W728" s="85"/>
      <c r="Y728" s="94"/>
      <c r="Z728" s="93"/>
      <c r="AA728" s="85"/>
      <c r="AC728" s="94"/>
      <c r="AD728" s="93"/>
      <c r="AE728" s="85"/>
    </row>
    <row r="729" spans="6:31" ht="14.5" customHeight="1" x14ac:dyDescent="0.35">
      <c r="F729" s="93"/>
      <c r="G729" s="85"/>
      <c r="H729" s="87"/>
      <c r="J729" s="93"/>
      <c r="K729" s="85"/>
      <c r="N729" s="93"/>
      <c r="O729" s="85"/>
      <c r="Q729" s="94"/>
      <c r="R729" s="93"/>
      <c r="S729" s="85"/>
      <c r="U729" s="94"/>
      <c r="V729" s="93"/>
      <c r="W729" s="85"/>
      <c r="Y729" s="94"/>
      <c r="Z729" s="93"/>
      <c r="AA729" s="85"/>
      <c r="AC729" s="94"/>
      <c r="AD729" s="93"/>
      <c r="AE729" s="85"/>
    </row>
    <row r="730" spans="6:31" ht="14.5" customHeight="1" x14ac:dyDescent="0.35">
      <c r="F730" s="93"/>
      <c r="G730" s="85"/>
      <c r="H730" s="87"/>
      <c r="J730" s="93"/>
      <c r="K730" s="85"/>
      <c r="N730" s="93"/>
      <c r="O730" s="85"/>
      <c r="Q730" s="94"/>
      <c r="R730" s="93"/>
      <c r="S730" s="85"/>
      <c r="U730" s="94"/>
      <c r="V730" s="93"/>
      <c r="W730" s="85"/>
      <c r="Y730" s="94"/>
      <c r="Z730" s="93"/>
      <c r="AA730" s="85"/>
      <c r="AC730" s="94"/>
      <c r="AD730" s="93"/>
      <c r="AE730" s="85"/>
    </row>
    <row r="731" spans="6:31" ht="14.5" customHeight="1" x14ac:dyDescent="0.35">
      <c r="F731" s="93"/>
      <c r="G731" s="85"/>
      <c r="H731" s="87"/>
      <c r="J731" s="93"/>
      <c r="K731" s="85"/>
      <c r="N731" s="93"/>
      <c r="O731" s="85"/>
      <c r="Q731" s="94"/>
      <c r="R731" s="93"/>
      <c r="S731" s="85"/>
      <c r="U731" s="94"/>
      <c r="V731" s="93"/>
      <c r="W731" s="85"/>
      <c r="Y731" s="94"/>
      <c r="Z731" s="93"/>
      <c r="AA731" s="85"/>
      <c r="AC731" s="94"/>
      <c r="AD731" s="93"/>
      <c r="AE731" s="85"/>
    </row>
    <row r="732" spans="6:31" ht="14.5" customHeight="1" x14ac:dyDescent="0.35">
      <c r="F732" s="93"/>
      <c r="G732" s="85"/>
      <c r="H732" s="87"/>
      <c r="J732" s="93"/>
      <c r="K732" s="85"/>
      <c r="N732" s="93"/>
      <c r="O732" s="85"/>
      <c r="Q732" s="94"/>
      <c r="R732" s="93"/>
      <c r="S732" s="85"/>
      <c r="U732" s="94"/>
      <c r="V732" s="93"/>
      <c r="W732" s="85"/>
      <c r="Y732" s="94"/>
      <c r="Z732" s="93"/>
      <c r="AA732" s="85"/>
      <c r="AC732" s="94"/>
      <c r="AD732" s="93"/>
      <c r="AE732" s="85"/>
    </row>
    <row r="733" spans="6:31" ht="14.5" customHeight="1" x14ac:dyDescent="0.35">
      <c r="F733" s="93"/>
      <c r="G733" s="85"/>
      <c r="H733" s="87"/>
      <c r="J733" s="93"/>
      <c r="K733" s="85"/>
      <c r="N733" s="93"/>
      <c r="O733" s="85"/>
      <c r="Q733" s="94"/>
      <c r="R733" s="93"/>
      <c r="S733" s="85"/>
      <c r="U733" s="94"/>
      <c r="V733" s="93"/>
      <c r="W733" s="85"/>
      <c r="Y733" s="94"/>
      <c r="Z733" s="93"/>
      <c r="AA733" s="85"/>
      <c r="AC733" s="94"/>
      <c r="AD733" s="93"/>
      <c r="AE733" s="85"/>
    </row>
    <row r="734" spans="6:31" ht="14.5" customHeight="1" x14ac:dyDescent="0.35">
      <c r="F734" s="93"/>
      <c r="G734" s="85"/>
      <c r="H734" s="87"/>
      <c r="J734" s="93"/>
      <c r="K734" s="85"/>
      <c r="N734" s="93"/>
      <c r="O734" s="85"/>
      <c r="Q734" s="94"/>
      <c r="R734" s="93"/>
      <c r="S734" s="85"/>
      <c r="U734" s="94"/>
      <c r="V734" s="93"/>
      <c r="W734" s="85"/>
      <c r="Y734" s="94"/>
      <c r="Z734" s="93"/>
      <c r="AA734" s="85"/>
      <c r="AC734" s="94"/>
      <c r="AD734" s="93"/>
      <c r="AE734" s="85"/>
    </row>
    <row r="735" spans="6:31" ht="14.5" customHeight="1" x14ac:dyDescent="0.35">
      <c r="F735" s="93"/>
      <c r="G735" s="85"/>
      <c r="H735" s="87"/>
      <c r="J735" s="93"/>
      <c r="K735" s="85"/>
      <c r="N735" s="93"/>
      <c r="O735" s="85"/>
      <c r="Q735" s="94"/>
      <c r="R735" s="93"/>
      <c r="S735" s="85"/>
      <c r="U735" s="94"/>
      <c r="V735" s="93"/>
      <c r="W735" s="85"/>
      <c r="Y735" s="94"/>
      <c r="Z735" s="93"/>
      <c r="AA735" s="85"/>
      <c r="AC735" s="94"/>
      <c r="AD735" s="93"/>
      <c r="AE735" s="85"/>
    </row>
    <row r="736" spans="6:31" ht="14.5" customHeight="1" x14ac:dyDescent="0.35">
      <c r="F736" s="93"/>
      <c r="G736" s="85"/>
      <c r="H736" s="87"/>
      <c r="J736" s="93"/>
      <c r="K736" s="85"/>
      <c r="N736" s="93"/>
      <c r="O736" s="85"/>
      <c r="Q736" s="94"/>
      <c r="R736" s="93"/>
      <c r="S736" s="85"/>
      <c r="U736" s="94"/>
      <c r="V736" s="93"/>
      <c r="W736" s="85"/>
      <c r="Y736" s="94"/>
      <c r="Z736" s="93"/>
      <c r="AA736" s="85"/>
      <c r="AC736" s="94"/>
      <c r="AD736" s="93"/>
      <c r="AE736" s="85"/>
    </row>
    <row r="737" spans="6:31" ht="14.5" customHeight="1" x14ac:dyDescent="0.35">
      <c r="F737" s="93"/>
      <c r="G737" s="85"/>
      <c r="H737" s="87"/>
      <c r="J737" s="93"/>
      <c r="K737" s="85"/>
      <c r="N737" s="93"/>
      <c r="O737" s="85"/>
      <c r="Q737" s="94"/>
      <c r="R737" s="93"/>
      <c r="S737" s="85"/>
      <c r="U737" s="94"/>
      <c r="V737" s="93"/>
      <c r="W737" s="85"/>
      <c r="Y737" s="94"/>
      <c r="Z737" s="93"/>
      <c r="AA737" s="85"/>
      <c r="AC737" s="94"/>
      <c r="AD737" s="93"/>
      <c r="AE737" s="85"/>
    </row>
    <row r="738" spans="6:31" ht="14.5" customHeight="1" x14ac:dyDescent="0.35">
      <c r="F738" s="93"/>
      <c r="G738" s="85"/>
      <c r="H738" s="87"/>
      <c r="J738" s="93"/>
      <c r="K738" s="85"/>
      <c r="N738" s="93"/>
      <c r="O738" s="85"/>
      <c r="Q738" s="94"/>
      <c r="R738" s="93"/>
      <c r="S738" s="85"/>
      <c r="U738" s="94"/>
      <c r="V738" s="93"/>
      <c r="W738" s="85"/>
      <c r="Y738" s="94"/>
      <c r="Z738" s="93"/>
      <c r="AA738" s="85"/>
      <c r="AC738" s="94"/>
      <c r="AD738" s="93"/>
      <c r="AE738" s="85"/>
    </row>
    <row r="739" spans="6:31" ht="14.5" customHeight="1" x14ac:dyDescent="0.35">
      <c r="F739" s="93"/>
      <c r="G739" s="85"/>
      <c r="H739" s="87"/>
      <c r="J739" s="93"/>
      <c r="K739" s="85"/>
      <c r="N739" s="93"/>
      <c r="O739" s="85"/>
      <c r="Q739" s="94"/>
      <c r="R739" s="93"/>
      <c r="S739" s="85"/>
      <c r="U739" s="94"/>
      <c r="V739" s="93"/>
      <c r="W739" s="85"/>
      <c r="Y739" s="94"/>
      <c r="Z739" s="93"/>
      <c r="AA739" s="85"/>
      <c r="AC739" s="94"/>
      <c r="AD739" s="93"/>
      <c r="AE739" s="85"/>
    </row>
    <row r="740" spans="6:31" ht="14.5" customHeight="1" x14ac:dyDescent="0.35">
      <c r="F740" s="93"/>
      <c r="G740" s="85"/>
      <c r="H740" s="87"/>
      <c r="J740" s="93"/>
      <c r="K740" s="85"/>
      <c r="N740" s="93"/>
      <c r="O740" s="85"/>
      <c r="Q740" s="94"/>
      <c r="R740" s="93"/>
      <c r="S740" s="85"/>
      <c r="U740" s="94"/>
      <c r="V740" s="93"/>
      <c r="W740" s="85"/>
      <c r="Y740" s="94"/>
      <c r="Z740" s="93"/>
      <c r="AA740" s="85"/>
      <c r="AC740" s="94"/>
      <c r="AD740" s="93"/>
      <c r="AE740" s="85"/>
    </row>
    <row r="741" spans="6:31" ht="14.5" customHeight="1" x14ac:dyDescent="0.35">
      <c r="F741" s="93"/>
      <c r="G741" s="85"/>
      <c r="H741" s="87"/>
      <c r="J741" s="93"/>
      <c r="K741" s="85"/>
      <c r="N741" s="93"/>
      <c r="O741" s="85"/>
      <c r="Q741" s="94"/>
      <c r="R741" s="93"/>
      <c r="S741" s="85"/>
      <c r="U741" s="94"/>
      <c r="V741" s="93"/>
      <c r="W741" s="85"/>
      <c r="Y741" s="94"/>
      <c r="Z741" s="93"/>
      <c r="AA741" s="85"/>
      <c r="AC741" s="94"/>
      <c r="AD741" s="93"/>
      <c r="AE741" s="85"/>
    </row>
    <row r="742" spans="6:31" ht="14.5" customHeight="1" x14ac:dyDescent="0.35">
      <c r="F742" s="93"/>
      <c r="G742" s="85"/>
      <c r="H742" s="87"/>
      <c r="J742" s="93"/>
      <c r="K742" s="85"/>
      <c r="N742" s="93"/>
      <c r="O742" s="85"/>
      <c r="Q742" s="94"/>
      <c r="R742" s="93"/>
      <c r="S742" s="85"/>
      <c r="U742" s="94"/>
      <c r="V742" s="93"/>
      <c r="W742" s="85"/>
      <c r="Y742" s="94"/>
      <c r="Z742" s="93"/>
      <c r="AA742" s="85"/>
      <c r="AC742" s="94"/>
      <c r="AD742" s="93"/>
      <c r="AE742" s="85"/>
    </row>
    <row r="743" spans="6:31" ht="14.5" customHeight="1" x14ac:dyDescent="0.35">
      <c r="F743" s="93"/>
      <c r="G743" s="85"/>
      <c r="H743" s="87"/>
      <c r="J743" s="93"/>
      <c r="K743" s="85"/>
      <c r="N743" s="93"/>
      <c r="O743" s="85"/>
      <c r="Q743" s="94"/>
      <c r="R743" s="93"/>
      <c r="S743" s="85"/>
      <c r="U743" s="94"/>
      <c r="V743" s="93"/>
      <c r="W743" s="85"/>
      <c r="Y743" s="94"/>
      <c r="Z743" s="93"/>
      <c r="AA743" s="85"/>
      <c r="AC743" s="94"/>
      <c r="AD743" s="93"/>
      <c r="AE743" s="85"/>
    </row>
    <row r="744" spans="6:31" ht="14.5" customHeight="1" x14ac:dyDescent="0.35">
      <c r="F744" s="93"/>
      <c r="G744" s="85"/>
      <c r="H744" s="87"/>
      <c r="J744" s="93"/>
      <c r="K744" s="85"/>
      <c r="N744" s="93"/>
      <c r="O744" s="85"/>
      <c r="Q744" s="94"/>
      <c r="R744" s="93"/>
      <c r="S744" s="85"/>
      <c r="U744" s="94"/>
      <c r="V744" s="93"/>
      <c r="W744" s="85"/>
      <c r="Y744" s="94"/>
      <c r="Z744" s="93"/>
      <c r="AA744" s="85"/>
      <c r="AC744" s="94"/>
      <c r="AD744" s="93"/>
      <c r="AE744" s="85"/>
    </row>
    <row r="745" spans="6:31" ht="14.5" customHeight="1" x14ac:dyDescent="0.35">
      <c r="F745" s="93"/>
      <c r="G745" s="85"/>
      <c r="H745" s="87"/>
      <c r="J745" s="93"/>
      <c r="K745" s="85"/>
      <c r="N745" s="93"/>
      <c r="O745" s="85"/>
      <c r="Q745" s="94"/>
      <c r="R745" s="93"/>
      <c r="S745" s="85"/>
      <c r="U745" s="94"/>
      <c r="V745" s="93"/>
      <c r="W745" s="85"/>
      <c r="Y745" s="94"/>
      <c r="Z745" s="93"/>
      <c r="AA745" s="85"/>
      <c r="AC745" s="94"/>
      <c r="AD745" s="93"/>
      <c r="AE745" s="85"/>
    </row>
    <row r="746" spans="6:31" ht="14.5" customHeight="1" x14ac:dyDescent="0.35">
      <c r="F746" s="93"/>
      <c r="G746" s="85"/>
      <c r="H746" s="87"/>
      <c r="J746" s="93"/>
      <c r="K746" s="85"/>
      <c r="N746" s="93"/>
      <c r="O746" s="85"/>
      <c r="Q746" s="94"/>
      <c r="R746" s="93"/>
      <c r="S746" s="85"/>
      <c r="U746" s="94"/>
      <c r="V746" s="93"/>
      <c r="W746" s="85"/>
      <c r="Y746" s="94"/>
      <c r="Z746" s="93"/>
      <c r="AA746" s="85"/>
      <c r="AC746" s="94"/>
      <c r="AD746" s="93"/>
      <c r="AE746" s="85"/>
    </row>
    <row r="747" spans="6:31" ht="14.5" customHeight="1" x14ac:dyDescent="0.35">
      <c r="F747" s="93"/>
      <c r="G747" s="85"/>
      <c r="H747" s="87"/>
      <c r="J747" s="93"/>
      <c r="K747" s="85"/>
      <c r="N747" s="93"/>
      <c r="O747" s="85"/>
      <c r="Q747" s="94"/>
      <c r="R747" s="93"/>
      <c r="S747" s="85"/>
      <c r="U747" s="94"/>
      <c r="V747" s="93"/>
      <c r="W747" s="85"/>
      <c r="Y747" s="94"/>
      <c r="Z747" s="93"/>
      <c r="AA747" s="85"/>
      <c r="AC747" s="94"/>
      <c r="AD747" s="93"/>
      <c r="AE747" s="85"/>
    </row>
    <row r="748" spans="6:31" ht="14.5" customHeight="1" x14ac:dyDescent="0.35">
      <c r="F748" s="93"/>
      <c r="G748" s="85"/>
      <c r="H748" s="87"/>
      <c r="J748" s="93"/>
      <c r="K748" s="85"/>
      <c r="N748" s="93"/>
      <c r="O748" s="85"/>
      <c r="Q748" s="94"/>
      <c r="R748" s="93"/>
      <c r="S748" s="85"/>
      <c r="U748" s="94"/>
      <c r="V748" s="93"/>
      <c r="W748" s="85"/>
      <c r="Y748" s="94"/>
      <c r="Z748" s="93"/>
      <c r="AA748" s="85"/>
      <c r="AC748" s="94"/>
      <c r="AD748" s="93"/>
      <c r="AE748" s="85"/>
    </row>
    <row r="749" spans="6:31" ht="14.5" customHeight="1" x14ac:dyDescent="0.35">
      <c r="F749" s="93"/>
      <c r="G749" s="85"/>
      <c r="H749" s="87"/>
      <c r="J749" s="93"/>
      <c r="K749" s="85"/>
      <c r="N749" s="93"/>
      <c r="O749" s="85"/>
      <c r="Q749" s="94"/>
      <c r="R749" s="93"/>
      <c r="S749" s="85"/>
      <c r="U749" s="94"/>
      <c r="V749" s="93"/>
      <c r="W749" s="85"/>
      <c r="Y749" s="94"/>
      <c r="Z749" s="93"/>
      <c r="AA749" s="85"/>
      <c r="AC749" s="94"/>
      <c r="AD749" s="93"/>
      <c r="AE749" s="85"/>
    </row>
    <row r="750" spans="6:31" ht="14.5" customHeight="1" x14ac:dyDescent="0.35">
      <c r="F750" s="93"/>
      <c r="G750" s="85"/>
      <c r="H750" s="87"/>
      <c r="J750" s="93"/>
      <c r="K750" s="85"/>
      <c r="N750" s="93"/>
      <c r="O750" s="85"/>
      <c r="Q750" s="94"/>
      <c r="R750" s="93"/>
      <c r="S750" s="85"/>
      <c r="U750" s="94"/>
      <c r="V750" s="93"/>
      <c r="W750" s="85"/>
      <c r="Y750" s="94"/>
      <c r="Z750" s="93"/>
      <c r="AA750" s="85"/>
      <c r="AC750" s="94"/>
      <c r="AD750" s="93"/>
      <c r="AE750" s="85"/>
    </row>
    <row r="751" spans="6:31" ht="14.5" customHeight="1" x14ac:dyDescent="0.35">
      <c r="F751" s="93"/>
      <c r="G751" s="85"/>
      <c r="H751" s="87"/>
      <c r="J751" s="93"/>
      <c r="K751" s="85"/>
      <c r="N751" s="93"/>
      <c r="O751" s="85"/>
      <c r="Q751" s="94"/>
      <c r="R751" s="93"/>
      <c r="S751" s="85"/>
      <c r="U751" s="94"/>
      <c r="V751" s="93"/>
      <c r="W751" s="85"/>
      <c r="Y751" s="94"/>
      <c r="Z751" s="93"/>
      <c r="AA751" s="85"/>
      <c r="AC751" s="94"/>
      <c r="AD751" s="93"/>
      <c r="AE751" s="85"/>
    </row>
    <row r="752" spans="6:31" ht="14.5" customHeight="1" x14ac:dyDescent="0.35">
      <c r="F752" s="93"/>
      <c r="G752" s="85"/>
      <c r="H752" s="87"/>
      <c r="J752" s="93"/>
      <c r="K752" s="85"/>
      <c r="N752" s="93"/>
      <c r="O752" s="85"/>
      <c r="Q752" s="94"/>
      <c r="R752" s="93"/>
      <c r="S752" s="85"/>
      <c r="U752" s="94"/>
      <c r="V752" s="93"/>
      <c r="W752" s="85"/>
      <c r="Y752" s="94"/>
      <c r="Z752" s="93"/>
      <c r="AA752" s="85"/>
      <c r="AC752" s="94"/>
      <c r="AD752" s="93"/>
      <c r="AE752" s="85"/>
    </row>
    <row r="753" spans="6:31" ht="14.5" customHeight="1" x14ac:dyDescent="0.35">
      <c r="F753" s="93"/>
      <c r="G753" s="85"/>
      <c r="H753" s="87"/>
      <c r="J753" s="93"/>
      <c r="K753" s="85"/>
      <c r="N753" s="93"/>
      <c r="O753" s="85"/>
      <c r="Q753" s="94"/>
      <c r="R753" s="93"/>
      <c r="S753" s="85"/>
      <c r="U753" s="94"/>
      <c r="V753" s="93"/>
      <c r="W753" s="85"/>
      <c r="Y753" s="94"/>
      <c r="Z753" s="93"/>
      <c r="AA753" s="85"/>
      <c r="AC753" s="94"/>
      <c r="AD753" s="93"/>
      <c r="AE753" s="85"/>
    </row>
    <row r="754" spans="6:31" ht="14.5" customHeight="1" x14ac:dyDescent="0.35">
      <c r="F754" s="93"/>
      <c r="G754" s="85"/>
      <c r="H754" s="87"/>
      <c r="J754" s="93"/>
      <c r="K754" s="85"/>
      <c r="N754" s="93"/>
      <c r="O754" s="85"/>
      <c r="Q754" s="94"/>
      <c r="R754" s="93"/>
      <c r="S754" s="85"/>
      <c r="U754" s="94"/>
      <c r="V754" s="93"/>
      <c r="W754" s="85"/>
      <c r="Y754" s="94"/>
      <c r="Z754" s="93"/>
      <c r="AA754" s="85"/>
      <c r="AC754" s="94"/>
      <c r="AD754" s="93"/>
      <c r="AE754" s="85"/>
    </row>
    <row r="755" spans="6:31" ht="14.5" customHeight="1" x14ac:dyDescent="0.35">
      <c r="F755" s="93"/>
      <c r="G755" s="85"/>
      <c r="H755" s="87"/>
      <c r="J755" s="93"/>
      <c r="K755" s="85"/>
      <c r="N755" s="93"/>
      <c r="O755" s="85"/>
      <c r="Q755" s="94"/>
      <c r="R755" s="93"/>
      <c r="S755" s="85"/>
      <c r="U755" s="94"/>
      <c r="V755" s="93"/>
      <c r="W755" s="85"/>
      <c r="Y755" s="94"/>
      <c r="Z755" s="93"/>
      <c r="AA755" s="85"/>
      <c r="AC755" s="94"/>
      <c r="AD755" s="93"/>
      <c r="AE755" s="85"/>
    </row>
    <row r="756" spans="6:31" ht="14.5" customHeight="1" x14ac:dyDescent="0.35">
      <c r="F756" s="93"/>
      <c r="G756" s="85"/>
      <c r="H756" s="87"/>
      <c r="J756" s="93"/>
      <c r="K756" s="85"/>
      <c r="N756" s="93"/>
      <c r="O756" s="85"/>
      <c r="Q756" s="94"/>
      <c r="R756" s="93"/>
      <c r="S756" s="85"/>
      <c r="U756" s="94"/>
      <c r="V756" s="93"/>
      <c r="W756" s="85"/>
      <c r="Y756" s="94"/>
      <c r="Z756" s="93"/>
      <c r="AA756" s="85"/>
      <c r="AC756" s="94"/>
      <c r="AD756" s="93"/>
      <c r="AE756" s="85"/>
    </row>
    <row r="757" spans="6:31" ht="14.5" customHeight="1" x14ac:dyDescent="0.35">
      <c r="F757" s="93"/>
      <c r="G757" s="85"/>
      <c r="H757" s="87"/>
      <c r="J757" s="93"/>
      <c r="K757" s="85"/>
      <c r="N757" s="93"/>
      <c r="O757" s="85"/>
      <c r="Q757" s="94"/>
      <c r="R757" s="93"/>
      <c r="S757" s="85"/>
      <c r="U757" s="94"/>
      <c r="V757" s="93"/>
      <c r="W757" s="85"/>
      <c r="Y757" s="94"/>
      <c r="Z757" s="93"/>
      <c r="AA757" s="85"/>
      <c r="AC757" s="94"/>
      <c r="AD757" s="93"/>
      <c r="AE757" s="85"/>
    </row>
    <row r="758" spans="6:31" ht="14.5" customHeight="1" x14ac:dyDescent="0.35">
      <c r="F758" s="93"/>
      <c r="G758" s="85"/>
      <c r="H758" s="87"/>
      <c r="J758" s="93"/>
      <c r="K758" s="85"/>
      <c r="N758" s="93"/>
      <c r="O758" s="85"/>
      <c r="Q758" s="94"/>
      <c r="R758" s="93"/>
      <c r="S758" s="85"/>
      <c r="U758" s="94"/>
      <c r="V758" s="93"/>
      <c r="W758" s="85"/>
      <c r="Y758" s="94"/>
      <c r="Z758" s="93"/>
      <c r="AA758" s="85"/>
      <c r="AC758" s="94"/>
      <c r="AD758" s="93"/>
      <c r="AE758" s="85"/>
    </row>
    <row r="759" spans="6:31" ht="14.5" customHeight="1" x14ac:dyDescent="0.35">
      <c r="F759" s="93"/>
      <c r="G759" s="85"/>
      <c r="H759" s="87"/>
      <c r="J759" s="93"/>
      <c r="K759" s="85"/>
      <c r="N759" s="93"/>
      <c r="O759" s="85"/>
      <c r="Q759" s="94"/>
      <c r="R759" s="93"/>
      <c r="S759" s="85"/>
      <c r="U759" s="94"/>
      <c r="V759" s="93"/>
      <c r="W759" s="85"/>
      <c r="Y759" s="94"/>
      <c r="Z759" s="93"/>
      <c r="AA759" s="85"/>
      <c r="AC759" s="94"/>
      <c r="AD759" s="93"/>
      <c r="AE759" s="85"/>
    </row>
    <row r="760" spans="6:31" ht="14.5" customHeight="1" x14ac:dyDescent="0.35">
      <c r="F760" s="93"/>
      <c r="G760" s="85"/>
      <c r="H760" s="87"/>
      <c r="J760" s="93"/>
      <c r="K760" s="85"/>
      <c r="N760" s="93"/>
      <c r="O760" s="85"/>
      <c r="Q760" s="94"/>
      <c r="R760" s="93"/>
      <c r="S760" s="85"/>
      <c r="U760" s="94"/>
      <c r="V760" s="93"/>
      <c r="W760" s="85"/>
      <c r="Y760" s="94"/>
      <c r="Z760" s="93"/>
      <c r="AA760" s="85"/>
      <c r="AC760" s="94"/>
      <c r="AD760" s="93"/>
      <c r="AE760" s="85"/>
    </row>
    <row r="761" spans="6:31" ht="14.5" customHeight="1" x14ac:dyDescent="0.35">
      <c r="F761" s="93"/>
      <c r="G761" s="85"/>
      <c r="H761" s="87"/>
      <c r="J761" s="93"/>
      <c r="K761" s="85"/>
      <c r="N761" s="93"/>
      <c r="O761" s="85"/>
      <c r="Q761" s="94"/>
      <c r="R761" s="93"/>
      <c r="S761" s="85"/>
      <c r="U761" s="94"/>
      <c r="V761" s="93"/>
      <c r="W761" s="85"/>
      <c r="Y761" s="94"/>
      <c r="Z761" s="93"/>
      <c r="AA761" s="85"/>
      <c r="AC761" s="94"/>
      <c r="AD761" s="93"/>
      <c r="AE761" s="85"/>
    </row>
    <row r="762" spans="6:31" ht="14.5" customHeight="1" x14ac:dyDescent="0.35">
      <c r="F762" s="93"/>
      <c r="G762" s="85"/>
      <c r="H762" s="87"/>
      <c r="J762" s="93"/>
      <c r="K762" s="85"/>
      <c r="N762" s="93"/>
      <c r="O762" s="85"/>
      <c r="Q762" s="94"/>
      <c r="R762" s="93"/>
      <c r="S762" s="85"/>
      <c r="U762" s="94"/>
      <c r="V762" s="93"/>
      <c r="W762" s="85"/>
      <c r="Y762" s="94"/>
      <c r="Z762" s="93"/>
      <c r="AA762" s="85"/>
      <c r="AC762" s="94"/>
      <c r="AD762" s="93"/>
      <c r="AE762" s="85"/>
    </row>
    <row r="763" spans="6:31" ht="14.5" customHeight="1" x14ac:dyDescent="0.35">
      <c r="F763" s="93"/>
      <c r="G763" s="85"/>
      <c r="H763" s="87"/>
      <c r="J763" s="93"/>
      <c r="K763" s="85"/>
      <c r="N763" s="93"/>
      <c r="O763" s="85"/>
      <c r="Q763" s="94"/>
      <c r="R763" s="93"/>
      <c r="S763" s="85"/>
      <c r="U763" s="94"/>
      <c r="V763" s="93"/>
      <c r="W763" s="85"/>
      <c r="Y763" s="94"/>
      <c r="Z763" s="93"/>
      <c r="AA763" s="85"/>
      <c r="AC763" s="94"/>
      <c r="AD763" s="93"/>
      <c r="AE763" s="85"/>
    </row>
    <row r="764" spans="6:31" ht="14.5" customHeight="1" x14ac:dyDescent="0.35">
      <c r="F764" s="93"/>
      <c r="G764" s="85"/>
      <c r="H764" s="87"/>
      <c r="J764" s="93"/>
      <c r="K764" s="85"/>
      <c r="N764" s="93"/>
      <c r="O764" s="85"/>
      <c r="Q764" s="94"/>
      <c r="R764" s="93"/>
      <c r="S764" s="85"/>
      <c r="U764" s="94"/>
      <c r="V764" s="93"/>
      <c r="W764" s="85"/>
      <c r="Y764" s="94"/>
      <c r="Z764" s="93"/>
      <c r="AA764" s="85"/>
      <c r="AC764" s="94"/>
      <c r="AD764" s="93"/>
      <c r="AE764" s="85"/>
    </row>
    <row r="765" spans="6:31" ht="14.5" customHeight="1" x14ac:dyDescent="0.35">
      <c r="F765" s="93"/>
      <c r="G765" s="85"/>
      <c r="H765" s="87"/>
      <c r="J765" s="93"/>
      <c r="K765" s="85"/>
      <c r="N765" s="93"/>
      <c r="O765" s="85"/>
      <c r="Q765" s="94"/>
      <c r="R765" s="93"/>
      <c r="S765" s="85"/>
      <c r="U765" s="94"/>
      <c r="V765" s="93"/>
      <c r="W765" s="85"/>
      <c r="Y765" s="94"/>
      <c r="Z765" s="93"/>
      <c r="AA765" s="85"/>
      <c r="AC765" s="94"/>
      <c r="AD765" s="93"/>
      <c r="AE765" s="85"/>
    </row>
    <row r="766" spans="6:31" ht="14.5" customHeight="1" x14ac:dyDescent="0.35">
      <c r="F766" s="93"/>
      <c r="G766" s="85"/>
      <c r="H766" s="87"/>
      <c r="J766" s="93"/>
      <c r="K766" s="85"/>
      <c r="N766" s="93"/>
      <c r="O766" s="85"/>
      <c r="Q766" s="94"/>
      <c r="R766" s="93"/>
      <c r="S766" s="85"/>
      <c r="U766" s="94"/>
      <c r="V766" s="93"/>
      <c r="W766" s="85"/>
      <c r="Y766" s="94"/>
      <c r="Z766" s="93"/>
      <c r="AA766" s="85"/>
      <c r="AC766" s="94"/>
      <c r="AD766" s="93"/>
      <c r="AE766" s="85"/>
    </row>
    <row r="767" spans="6:31" ht="14.5" customHeight="1" x14ac:dyDescent="0.35">
      <c r="F767" s="93"/>
      <c r="G767" s="85"/>
      <c r="H767" s="87"/>
      <c r="J767" s="93"/>
      <c r="K767" s="85"/>
      <c r="N767" s="93"/>
      <c r="O767" s="85"/>
      <c r="Q767" s="94"/>
      <c r="R767" s="93"/>
      <c r="S767" s="85"/>
      <c r="U767" s="94"/>
      <c r="V767" s="93"/>
      <c r="W767" s="85"/>
      <c r="Y767" s="94"/>
      <c r="Z767" s="93"/>
      <c r="AA767" s="85"/>
      <c r="AC767" s="94"/>
      <c r="AD767" s="93"/>
      <c r="AE767" s="85"/>
    </row>
    <row r="768" spans="6:31" ht="14.5" customHeight="1" x14ac:dyDescent="0.35">
      <c r="F768" s="93"/>
      <c r="G768" s="85"/>
      <c r="H768" s="87"/>
      <c r="J768" s="93"/>
      <c r="K768" s="85"/>
      <c r="N768" s="93"/>
      <c r="O768" s="85"/>
      <c r="Q768" s="94"/>
      <c r="R768" s="93"/>
      <c r="S768" s="85"/>
      <c r="U768" s="94"/>
      <c r="V768" s="93"/>
      <c r="W768" s="85"/>
      <c r="Y768" s="94"/>
      <c r="Z768" s="93"/>
      <c r="AA768" s="85"/>
      <c r="AC768" s="94"/>
      <c r="AD768" s="93"/>
      <c r="AE768" s="85"/>
    </row>
    <row r="769" spans="6:31" ht="14.5" customHeight="1" x14ac:dyDescent="0.35">
      <c r="F769" s="93"/>
      <c r="G769" s="85"/>
      <c r="H769" s="87"/>
      <c r="J769" s="93"/>
      <c r="K769" s="85"/>
      <c r="N769" s="93"/>
      <c r="O769" s="85"/>
      <c r="Q769" s="94"/>
      <c r="R769" s="93"/>
      <c r="S769" s="85"/>
      <c r="U769" s="94"/>
      <c r="V769" s="93"/>
      <c r="W769" s="85"/>
      <c r="Y769" s="94"/>
      <c r="Z769" s="93"/>
      <c r="AA769" s="85"/>
      <c r="AC769" s="94"/>
      <c r="AD769" s="93"/>
      <c r="AE769" s="85"/>
    </row>
    <row r="770" spans="6:31" ht="14.5" customHeight="1" x14ac:dyDescent="0.35">
      <c r="F770" s="93"/>
      <c r="G770" s="85"/>
      <c r="H770" s="87"/>
      <c r="J770" s="93"/>
      <c r="K770" s="85"/>
      <c r="N770" s="93"/>
      <c r="O770" s="85"/>
      <c r="Q770" s="94"/>
      <c r="R770" s="93"/>
      <c r="S770" s="85"/>
      <c r="U770" s="94"/>
      <c r="V770" s="93"/>
      <c r="W770" s="85"/>
      <c r="Y770" s="94"/>
      <c r="Z770" s="93"/>
      <c r="AA770" s="85"/>
      <c r="AC770" s="94"/>
      <c r="AD770" s="93"/>
      <c r="AE770" s="85"/>
    </row>
    <row r="771" spans="6:31" ht="14.5" customHeight="1" x14ac:dyDescent="0.35">
      <c r="F771" s="93"/>
      <c r="G771" s="85"/>
      <c r="H771" s="87"/>
      <c r="J771" s="93"/>
      <c r="K771" s="85"/>
      <c r="N771" s="93"/>
      <c r="O771" s="85"/>
      <c r="Q771" s="94"/>
      <c r="R771" s="93"/>
      <c r="S771" s="85"/>
      <c r="U771" s="94"/>
      <c r="V771" s="93"/>
      <c r="W771" s="85"/>
      <c r="Y771" s="94"/>
      <c r="Z771" s="93"/>
      <c r="AA771" s="85"/>
      <c r="AC771" s="94"/>
      <c r="AD771" s="93"/>
      <c r="AE771" s="85"/>
    </row>
    <row r="772" spans="6:31" ht="14.5" customHeight="1" x14ac:dyDescent="0.35">
      <c r="F772" s="93"/>
      <c r="G772" s="85"/>
      <c r="H772" s="87"/>
      <c r="J772" s="93"/>
      <c r="K772" s="85"/>
      <c r="N772" s="93"/>
      <c r="O772" s="85"/>
      <c r="Q772" s="94"/>
      <c r="R772" s="93"/>
      <c r="S772" s="85"/>
      <c r="U772" s="94"/>
      <c r="V772" s="93"/>
      <c r="W772" s="85"/>
      <c r="Y772" s="94"/>
      <c r="Z772" s="93"/>
      <c r="AA772" s="85"/>
      <c r="AC772" s="94"/>
      <c r="AD772" s="93"/>
      <c r="AE772" s="85"/>
    </row>
    <row r="773" spans="6:31" ht="14.5" customHeight="1" x14ac:dyDescent="0.35">
      <c r="F773" s="93"/>
      <c r="G773" s="85"/>
      <c r="H773" s="87"/>
      <c r="J773" s="93"/>
      <c r="K773" s="85"/>
      <c r="N773" s="93"/>
      <c r="O773" s="85"/>
      <c r="Q773" s="94"/>
      <c r="R773" s="93"/>
      <c r="S773" s="85"/>
      <c r="U773" s="94"/>
      <c r="V773" s="93"/>
      <c r="W773" s="85"/>
      <c r="Y773" s="94"/>
      <c r="Z773" s="93"/>
      <c r="AA773" s="85"/>
      <c r="AC773" s="94"/>
      <c r="AD773" s="93"/>
      <c r="AE773" s="85"/>
    </row>
    <row r="774" spans="6:31" ht="14.5" customHeight="1" x14ac:dyDescent="0.35">
      <c r="F774" s="93"/>
      <c r="G774" s="85"/>
      <c r="H774" s="87"/>
      <c r="J774" s="93"/>
      <c r="K774" s="85"/>
      <c r="N774" s="93"/>
      <c r="O774" s="85"/>
      <c r="Q774" s="94"/>
      <c r="R774" s="93"/>
      <c r="S774" s="85"/>
      <c r="U774" s="94"/>
      <c r="V774" s="93"/>
      <c r="W774" s="85"/>
      <c r="Y774" s="94"/>
      <c r="Z774" s="93"/>
      <c r="AA774" s="85"/>
      <c r="AC774" s="94"/>
      <c r="AD774" s="93"/>
      <c r="AE774" s="85"/>
    </row>
    <row r="775" spans="6:31" ht="14.5" customHeight="1" x14ac:dyDescent="0.35">
      <c r="F775" s="93"/>
      <c r="G775" s="85"/>
      <c r="H775" s="87"/>
      <c r="J775" s="93"/>
      <c r="K775" s="85"/>
      <c r="N775" s="93"/>
      <c r="O775" s="85"/>
      <c r="Q775" s="94"/>
      <c r="R775" s="93"/>
      <c r="S775" s="85"/>
      <c r="U775" s="94"/>
      <c r="V775" s="93"/>
      <c r="W775" s="85"/>
      <c r="Y775" s="94"/>
      <c r="Z775" s="93"/>
      <c r="AA775" s="85"/>
      <c r="AC775" s="94"/>
      <c r="AD775" s="93"/>
      <c r="AE775" s="85"/>
    </row>
    <row r="776" spans="6:31" ht="14.5" customHeight="1" x14ac:dyDescent="0.35">
      <c r="F776" s="93"/>
      <c r="G776" s="85"/>
      <c r="H776" s="87"/>
      <c r="J776" s="93"/>
      <c r="K776" s="85"/>
      <c r="N776" s="93"/>
      <c r="O776" s="85"/>
      <c r="Q776" s="94"/>
      <c r="R776" s="93"/>
      <c r="S776" s="85"/>
      <c r="U776" s="94"/>
      <c r="V776" s="93"/>
      <c r="W776" s="85"/>
      <c r="Y776" s="94"/>
      <c r="Z776" s="93"/>
      <c r="AA776" s="85"/>
      <c r="AC776" s="94"/>
      <c r="AD776" s="93"/>
      <c r="AE776" s="85"/>
    </row>
    <row r="777" spans="6:31" ht="14.5" customHeight="1" x14ac:dyDescent="0.35">
      <c r="F777" s="93"/>
      <c r="G777" s="85"/>
      <c r="H777" s="87"/>
      <c r="J777" s="93"/>
      <c r="K777" s="85"/>
      <c r="N777" s="93"/>
      <c r="O777" s="85"/>
      <c r="Q777" s="94"/>
      <c r="R777" s="93"/>
      <c r="S777" s="85"/>
      <c r="U777" s="94"/>
      <c r="V777" s="93"/>
      <c r="W777" s="85"/>
      <c r="Y777" s="94"/>
      <c r="Z777" s="93"/>
      <c r="AA777" s="85"/>
      <c r="AC777" s="94"/>
      <c r="AD777" s="93"/>
      <c r="AE777" s="85"/>
    </row>
    <row r="778" spans="6:31" ht="14.5" customHeight="1" x14ac:dyDescent="0.35">
      <c r="F778" s="93"/>
      <c r="G778" s="85"/>
      <c r="H778" s="87"/>
      <c r="J778" s="93"/>
      <c r="K778" s="85"/>
      <c r="N778" s="93"/>
      <c r="O778" s="85"/>
      <c r="Q778" s="94"/>
      <c r="R778" s="93"/>
      <c r="S778" s="85"/>
      <c r="U778" s="94"/>
      <c r="V778" s="93"/>
      <c r="W778" s="85"/>
      <c r="Y778" s="94"/>
      <c r="Z778" s="93"/>
      <c r="AA778" s="85"/>
      <c r="AC778" s="94"/>
      <c r="AD778" s="93"/>
      <c r="AE778" s="85"/>
    </row>
    <row r="779" spans="6:31" ht="14.5" customHeight="1" x14ac:dyDescent="0.35">
      <c r="F779" s="93"/>
      <c r="G779" s="85"/>
      <c r="H779" s="87"/>
      <c r="J779" s="93"/>
      <c r="K779" s="85"/>
      <c r="N779" s="93"/>
      <c r="O779" s="85"/>
      <c r="Q779" s="94"/>
      <c r="R779" s="93"/>
      <c r="S779" s="85"/>
      <c r="U779" s="94"/>
      <c r="V779" s="93"/>
      <c r="W779" s="85"/>
      <c r="Y779" s="94"/>
      <c r="Z779" s="93"/>
      <c r="AA779" s="85"/>
      <c r="AC779" s="94"/>
      <c r="AD779" s="93"/>
      <c r="AE779" s="85"/>
    </row>
    <row r="780" spans="6:31" ht="14.5" customHeight="1" x14ac:dyDescent="0.35">
      <c r="F780" s="93"/>
      <c r="G780" s="85"/>
      <c r="H780" s="87"/>
      <c r="J780" s="93"/>
      <c r="K780" s="85"/>
      <c r="N780" s="93"/>
      <c r="O780" s="85"/>
      <c r="Q780" s="94"/>
      <c r="R780" s="93"/>
      <c r="S780" s="85"/>
      <c r="U780" s="94"/>
      <c r="V780" s="93"/>
      <c r="W780" s="85"/>
      <c r="Y780" s="94"/>
      <c r="Z780" s="93"/>
      <c r="AA780" s="85"/>
      <c r="AC780" s="94"/>
      <c r="AD780" s="93"/>
      <c r="AE780" s="85"/>
    </row>
    <row r="781" spans="6:31" ht="14.5" customHeight="1" x14ac:dyDescent="0.35">
      <c r="F781" s="93"/>
      <c r="G781" s="85"/>
      <c r="H781" s="87"/>
      <c r="J781" s="93"/>
      <c r="K781" s="85"/>
      <c r="N781" s="93"/>
      <c r="O781" s="85"/>
      <c r="Q781" s="94"/>
      <c r="R781" s="93"/>
      <c r="S781" s="85"/>
      <c r="U781" s="94"/>
      <c r="V781" s="93"/>
      <c r="W781" s="85"/>
      <c r="Y781" s="94"/>
      <c r="Z781" s="93"/>
      <c r="AA781" s="85"/>
      <c r="AC781" s="94"/>
      <c r="AD781" s="93"/>
      <c r="AE781" s="85"/>
    </row>
    <row r="782" spans="6:31" ht="14.5" customHeight="1" x14ac:dyDescent="0.35">
      <c r="F782" s="93"/>
      <c r="G782" s="85"/>
      <c r="H782" s="87"/>
      <c r="J782" s="93"/>
      <c r="K782" s="85"/>
      <c r="N782" s="93"/>
      <c r="O782" s="85"/>
      <c r="Q782" s="94"/>
      <c r="R782" s="93"/>
      <c r="S782" s="85"/>
      <c r="U782" s="94"/>
      <c r="V782" s="93"/>
      <c r="W782" s="85"/>
      <c r="Y782" s="94"/>
      <c r="Z782" s="93"/>
      <c r="AA782" s="85"/>
      <c r="AC782" s="94"/>
      <c r="AD782" s="93"/>
      <c r="AE782" s="85"/>
    </row>
    <row r="783" spans="6:31" ht="14.5" customHeight="1" x14ac:dyDescent="0.35">
      <c r="F783" s="93"/>
      <c r="G783" s="85"/>
      <c r="H783" s="87"/>
      <c r="J783" s="93"/>
      <c r="K783" s="85"/>
      <c r="N783" s="93"/>
      <c r="O783" s="85"/>
      <c r="Q783" s="94"/>
      <c r="R783" s="93"/>
      <c r="S783" s="85"/>
      <c r="U783" s="94"/>
      <c r="V783" s="93"/>
      <c r="W783" s="85"/>
      <c r="Y783" s="94"/>
      <c r="Z783" s="93"/>
      <c r="AA783" s="85"/>
      <c r="AC783" s="94"/>
      <c r="AD783" s="93"/>
      <c r="AE783" s="85"/>
    </row>
    <row r="784" spans="6:31" ht="14.5" customHeight="1" x14ac:dyDescent="0.35">
      <c r="F784" s="93"/>
      <c r="G784" s="85"/>
      <c r="H784" s="87"/>
      <c r="J784" s="93"/>
      <c r="K784" s="85"/>
      <c r="N784" s="93"/>
      <c r="O784" s="85"/>
      <c r="Q784" s="94"/>
      <c r="R784" s="93"/>
      <c r="S784" s="85"/>
      <c r="U784" s="94"/>
      <c r="V784" s="93"/>
      <c r="W784" s="85"/>
      <c r="Y784" s="94"/>
      <c r="Z784" s="93"/>
      <c r="AA784" s="85"/>
      <c r="AC784" s="94"/>
      <c r="AD784" s="93"/>
      <c r="AE784" s="85"/>
    </row>
    <row r="785" spans="6:31" ht="14.5" customHeight="1" x14ac:dyDescent="0.35">
      <c r="F785" s="93"/>
      <c r="G785" s="85"/>
      <c r="H785" s="87"/>
      <c r="J785" s="93"/>
      <c r="K785" s="85"/>
      <c r="N785" s="93"/>
      <c r="O785" s="85"/>
      <c r="Q785" s="94"/>
      <c r="R785" s="93"/>
      <c r="S785" s="85"/>
      <c r="U785" s="94"/>
      <c r="V785" s="93"/>
      <c r="W785" s="85"/>
      <c r="Y785" s="94"/>
      <c r="Z785" s="93"/>
      <c r="AA785" s="85"/>
      <c r="AC785" s="94"/>
      <c r="AD785" s="93"/>
      <c r="AE785" s="85"/>
    </row>
    <row r="786" spans="6:31" ht="14.5" customHeight="1" x14ac:dyDescent="0.35">
      <c r="F786" s="93"/>
      <c r="G786" s="85"/>
      <c r="H786" s="87"/>
      <c r="J786" s="93"/>
      <c r="K786" s="85"/>
      <c r="N786" s="93"/>
      <c r="O786" s="85"/>
      <c r="Q786" s="94"/>
      <c r="R786" s="93"/>
      <c r="S786" s="85"/>
      <c r="U786" s="94"/>
      <c r="V786" s="93"/>
      <c r="W786" s="85"/>
      <c r="Y786" s="94"/>
      <c r="Z786" s="93"/>
      <c r="AA786" s="85"/>
      <c r="AC786" s="94"/>
      <c r="AD786" s="93"/>
      <c r="AE786" s="85"/>
    </row>
    <row r="787" spans="6:31" ht="14.5" customHeight="1" x14ac:dyDescent="0.35">
      <c r="F787" s="93"/>
      <c r="G787" s="85"/>
      <c r="H787" s="87"/>
      <c r="J787" s="93"/>
      <c r="K787" s="85"/>
      <c r="N787" s="93"/>
      <c r="O787" s="85"/>
      <c r="Q787" s="94"/>
      <c r="R787" s="93"/>
      <c r="S787" s="85"/>
      <c r="U787" s="94"/>
      <c r="V787" s="93"/>
      <c r="W787" s="85"/>
      <c r="Y787" s="94"/>
      <c r="Z787" s="93"/>
      <c r="AA787" s="85"/>
      <c r="AC787" s="94"/>
      <c r="AD787" s="93"/>
      <c r="AE787" s="85"/>
    </row>
    <row r="788" spans="6:31" ht="14.5" customHeight="1" x14ac:dyDescent="0.35">
      <c r="F788" s="93"/>
      <c r="G788" s="85"/>
      <c r="H788" s="87"/>
      <c r="J788" s="93"/>
      <c r="K788" s="85"/>
      <c r="N788" s="93"/>
      <c r="O788" s="85"/>
      <c r="Q788" s="94"/>
      <c r="R788" s="93"/>
      <c r="S788" s="85"/>
      <c r="U788" s="94"/>
      <c r="V788" s="93"/>
      <c r="W788" s="85"/>
      <c r="Y788" s="94"/>
      <c r="Z788" s="93"/>
      <c r="AA788" s="85"/>
      <c r="AC788" s="94"/>
      <c r="AD788" s="93"/>
      <c r="AE788" s="85"/>
    </row>
    <row r="789" spans="6:31" ht="14.5" customHeight="1" x14ac:dyDescent="0.35">
      <c r="F789" s="93"/>
      <c r="G789" s="85"/>
      <c r="H789" s="87"/>
      <c r="J789" s="93"/>
      <c r="K789" s="85"/>
      <c r="N789" s="93"/>
      <c r="O789" s="85"/>
      <c r="Q789" s="94"/>
      <c r="R789" s="93"/>
      <c r="S789" s="85"/>
      <c r="U789" s="94"/>
      <c r="V789" s="93"/>
      <c r="W789" s="85"/>
      <c r="Y789" s="94"/>
      <c r="Z789" s="93"/>
      <c r="AA789" s="85"/>
      <c r="AC789" s="94"/>
      <c r="AD789" s="93"/>
      <c r="AE789" s="85"/>
    </row>
    <row r="790" spans="6:31" ht="14.5" customHeight="1" x14ac:dyDescent="0.35">
      <c r="F790" s="93"/>
      <c r="G790" s="85"/>
      <c r="H790" s="87"/>
      <c r="J790" s="93"/>
      <c r="K790" s="85"/>
      <c r="N790" s="93"/>
      <c r="O790" s="85"/>
      <c r="Q790" s="94"/>
      <c r="R790" s="93"/>
      <c r="S790" s="85"/>
      <c r="U790" s="94"/>
      <c r="V790" s="93"/>
      <c r="W790" s="85"/>
      <c r="Y790" s="94"/>
      <c r="Z790" s="93"/>
      <c r="AA790" s="85"/>
      <c r="AC790" s="94"/>
      <c r="AD790" s="93"/>
      <c r="AE790" s="85"/>
    </row>
    <row r="791" spans="6:31" ht="14.5" customHeight="1" x14ac:dyDescent="0.35">
      <c r="F791" s="93"/>
      <c r="G791" s="85"/>
      <c r="H791" s="87"/>
      <c r="J791" s="93"/>
      <c r="K791" s="85"/>
      <c r="N791" s="93"/>
      <c r="O791" s="85"/>
      <c r="Q791" s="94"/>
      <c r="R791" s="93"/>
      <c r="S791" s="85"/>
      <c r="U791" s="94"/>
      <c r="V791" s="93"/>
      <c r="W791" s="85"/>
      <c r="Y791" s="94"/>
      <c r="Z791" s="93"/>
      <c r="AA791" s="85"/>
      <c r="AC791" s="94"/>
      <c r="AD791" s="93"/>
      <c r="AE791" s="85"/>
    </row>
    <row r="792" spans="6:31" ht="14.5" customHeight="1" x14ac:dyDescent="0.35">
      <c r="F792" s="93"/>
      <c r="G792" s="85"/>
      <c r="H792" s="87"/>
      <c r="J792" s="93"/>
      <c r="K792" s="85"/>
      <c r="N792" s="93"/>
      <c r="O792" s="85"/>
      <c r="Q792" s="94"/>
      <c r="R792" s="93"/>
      <c r="S792" s="85"/>
      <c r="U792" s="94"/>
      <c r="V792" s="93"/>
      <c r="W792" s="85"/>
      <c r="Y792" s="94"/>
      <c r="Z792" s="93"/>
      <c r="AA792" s="85"/>
      <c r="AC792" s="94"/>
      <c r="AD792" s="93"/>
      <c r="AE792" s="85"/>
    </row>
    <row r="793" spans="6:31" ht="14.5" customHeight="1" x14ac:dyDescent="0.35">
      <c r="F793" s="93"/>
      <c r="G793" s="85"/>
      <c r="H793" s="87"/>
      <c r="J793" s="93"/>
      <c r="K793" s="85"/>
      <c r="N793" s="93"/>
      <c r="O793" s="85"/>
      <c r="Q793" s="94"/>
      <c r="R793" s="93"/>
      <c r="S793" s="85"/>
      <c r="U793" s="94"/>
      <c r="V793" s="93"/>
      <c r="W793" s="85"/>
      <c r="Y793" s="94"/>
      <c r="Z793" s="93"/>
      <c r="AA793" s="85"/>
      <c r="AC793" s="94"/>
      <c r="AD793" s="93"/>
      <c r="AE793" s="85"/>
    </row>
    <row r="794" spans="6:31" ht="14.5" customHeight="1" x14ac:dyDescent="0.35">
      <c r="F794" s="93"/>
      <c r="G794" s="85"/>
      <c r="H794" s="87"/>
      <c r="J794" s="93"/>
      <c r="K794" s="85"/>
      <c r="N794" s="93"/>
      <c r="O794" s="85"/>
      <c r="Q794" s="94"/>
      <c r="R794" s="93"/>
      <c r="S794" s="85"/>
      <c r="U794" s="94"/>
      <c r="V794" s="93"/>
      <c r="W794" s="85"/>
      <c r="Y794" s="94"/>
      <c r="Z794" s="93"/>
      <c r="AA794" s="85"/>
      <c r="AC794" s="94"/>
      <c r="AD794" s="93"/>
      <c r="AE794" s="85"/>
    </row>
    <row r="795" spans="6:31" ht="14.5" customHeight="1" x14ac:dyDescent="0.35">
      <c r="F795" s="93"/>
      <c r="G795" s="85"/>
      <c r="H795" s="87"/>
      <c r="J795" s="93"/>
      <c r="K795" s="85"/>
      <c r="N795" s="93"/>
      <c r="O795" s="85"/>
      <c r="Q795" s="94"/>
      <c r="R795" s="93"/>
      <c r="S795" s="85"/>
      <c r="U795" s="94"/>
      <c r="V795" s="93"/>
      <c r="W795" s="85"/>
      <c r="Y795" s="94"/>
      <c r="Z795" s="93"/>
      <c r="AA795" s="85"/>
      <c r="AC795" s="94"/>
      <c r="AD795" s="93"/>
      <c r="AE795" s="85"/>
    </row>
    <row r="796" spans="6:31" ht="14.5" customHeight="1" x14ac:dyDescent="0.35">
      <c r="F796" s="93"/>
      <c r="G796" s="85"/>
      <c r="H796" s="87"/>
      <c r="J796" s="93"/>
      <c r="K796" s="85"/>
      <c r="N796" s="93"/>
      <c r="O796" s="85"/>
      <c r="Q796" s="94"/>
      <c r="R796" s="93"/>
      <c r="S796" s="85"/>
      <c r="U796" s="94"/>
      <c r="V796" s="93"/>
      <c r="W796" s="85"/>
      <c r="Y796" s="94"/>
      <c r="Z796" s="93"/>
      <c r="AA796" s="85"/>
      <c r="AC796" s="94"/>
      <c r="AD796" s="93"/>
      <c r="AE796" s="85"/>
    </row>
    <row r="797" spans="6:31" ht="14.5" customHeight="1" x14ac:dyDescent="0.35">
      <c r="F797" s="93"/>
      <c r="G797" s="85"/>
      <c r="H797" s="87"/>
      <c r="J797" s="93"/>
      <c r="K797" s="85"/>
      <c r="N797" s="93"/>
      <c r="O797" s="85"/>
      <c r="Q797" s="94"/>
      <c r="R797" s="93"/>
      <c r="S797" s="85"/>
      <c r="U797" s="94"/>
      <c r="V797" s="93"/>
      <c r="W797" s="85"/>
      <c r="Y797" s="94"/>
      <c r="Z797" s="93"/>
      <c r="AA797" s="85"/>
      <c r="AC797" s="94"/>
      <c r="AD797" s="93"/>
      <c r="AE797" s="85"/>
    </row>
    <row r="798" spans="6:31" ht="14.5" customHeight="1" x14ac:dyDescent="0.35">
      <c r="F798" s="93"/>
      <c r="G798" s="85"/>
      <c r="H798" s="87"/>
      <c r="J798" s="93"/>
      <c r="K798" s="85"/>
      <c r="N798" s="93"/>
      <c r="O798" s="85"/>
      <c r="Q798" s="94"/>
      <c r="R798" s="93"/>
      <c r="S798" s="85"/>
      <c r="U798" s="94"/>
      <c r="V798" s="93"/>
      <c r="W798" s="85"/>
      <c r="Y798" s="94"/>
      <c r="Z798" s="93"/>
      <c r="AA798" s="85"/>
      <c r="AC798" s="94"/>
      <c r="AD798" s="93"/>
      <c r="AE798" s="85"/>
    </row>
    <row r="799" spans="6:31" ht="14.5" customHeight="1" x14ac:dyDescent="0.35">
      <c r="F799" s="93"/>
      <c r="G799" s="85"/>
      <c r="H799" s="87"/>
      <c r="J799" s="93"/>
      <c r="K799" s="85"/>
      <c r="N799" s="93"/>
      <c r="O799" s="85"/>
      <c r="Q799" s="94"/>
      <c r="R799" s="93"/>
      <c r="S799" s="85"/>
      <c r="U799" s="94"/>
      <c r="V799" s="93"/>
      <c r="W799" s="85"/>
      <c r="Y799" s="94"/>
      <c r="Z799" s="93"/>
      <c r="AA799" s="85"/>
      <c r="AC799" s="94"/>
      <c r="AD799" s="93"/>
      <c r="AE799" s="85"/>
    </row>
    <row r="800" spans="6:31" ht="14.5" customHeight="1" x14ac:dyDescent="0.35">
      <c r="F800" s="93"/>
      <c r="G800" s="85"/>
      <c r="H800" s="87"/>
      <c r="J800" s="93"/>
      <c r="K800" s="85"/>
      <c r="N800" s="93"/>
      <c r="O800" s="85"/>
      <c r="Q800" s="94"/>
      <c r="R800" s="93"/>
      <c r="S800" s="85"/>
      <c r="U800" s="94"/>
      <c r="V800" s="93"/>
      <c r="W800" s="85"/>
      <c r="Y800" s="94"/>
      <c r="Z800" s="93"/>
      <c r="AA800" s="85"/>
      <c r="AC800" s="94"/>
      <c r="AD800" s="93"/>
      <c r="AE800" s="85"/>
    </row>
    <row r="801" spans="6:31" ht="14.5" customHeight="1" x14ac:dyDescent="0.35">
      <c r="F801" s="93"/>
      <c r="G801" s="85"/>
      <c r="H801" s="87"/>
      <c r="J801" s="93"/>
      <c r="K801" s="85"/>
      <c r="N801" s="93"/>
      <c r="O801" s="85"/>
      <c r="Q801" s="94"/>
      <c r="R801" s="93"/>
      <c r="S801" s="85"/>
      <c r="U801" s="94"/>
      <c r="V801" s="93"/>
      <c r="W801" s="85"/>
      <c r="Y801" s="94"/>
      <c r="Z801" s="93"/>
      <c r="AA801" s="85"/>
      <c r="AC801" s="94"/>
      <c r="AD801" s="93"/>
      <c r="AE801" s="85"/>
    </row>
    <row r="802" spans="6:31" ht="14.5" customHeight="1" x14ac:dyDescent="0.35">
      <c r="F802" s="93"/>
      <c r="G802" s="85"/>
      <c r="H802" s="87"/>
      <c r="J802" s="93"/>
      <c r="K802" s="85"/>
      <c r="N802" s="93"/>
      <c r="O802" s="85"/>
      <c r="Q802" s="94"/>
      <c r="R802" s="93"/>
      <c r="S802" s="85"/>
      <c r="U802" s="94"/>
      <c r="V802" s="93"/>
      <c r="W802" s="85"/>
      <c r="Y802" s="94"/>
      <c r="Z802" s="93"/>
      <c r="AA802" s="85"/>
      <c r="AC802" s="94"/>
      <c r="AD802" s="93"/>
      <c r="AE802" s="85"/>
    </row>
    <row r="803" spans="6:31" ht="14.5" customHeight="1" x14ac:dyDescent="0.35">
      <c r="F803" s="93"/>
      <c r="G803" s="85"/>
      <c r="H803" s="87"/>
      <c r="J803" s="93"/>
      <c r="K803" s="85"/>
      <c r="N803" s="93"/>
      <c r="O803" s="85"/>
      <c r="Q803" s="94"/>
      <c r="R803" s="93"/>
      <c r="S803" s="85"/>
      <c r="U803" s="94"/>
      <c r="V803" s="93"/>
      <c r="W803" s="85"/>
      <c r="Y803" s="94"/>
      <c r="Z803" s="93"/>
      <c r="AA803" s="85"/>
      <c r="AC803" s="94"/>
      <c r="AD803" s="93"/>
      <c r="AE803" s="85"/>
    </row>
    <row r="804" spans="6:31" ht="14.5" customHeight="1" x14ac:dyDescent="0.35">
      <c r="F804" s="93"/>
      <c r="G804" s="85"/>
      <c r="H804" s="87"/>
      <c r="J804" s="93"/>
      <c r="K804" s="85"/>
      <c r="N804" s="93"/>
      <c r="O804" s="85"/>
      <c r="Q804" s="94"/>
      <c r="R804" s="93"/>
      <c r="S804" s="85"/>
      <c r="U804" s="94"/>
      <c r="V804" s="93"/>
      <c r="W804" s="85"/>
      <c r="Y804" s="94"/>
      <c r="Z804" s="93"/>
      <c r="AA804" s="85"/>
      <c r="AC804" s="94"/>
      <c r="AD804" s="93"/>
      <c r="AE804" s="85"/>
    </row>
    <row r="805" spans="6:31" ht="14.5" customHeight="1" x14ac:dyDescent="0.35">
      <c r="F805" s="93"/>
      <c r="G805" s="85"/>
      <c r="H805" s="87"/>
      <c r="J805" s="93"/>
      <c r="K805" s="85"/>
      <c r="N805" s="93"/>
      <c r="O805" s="85"/>
      <c r="Q805" s="94"/>
      <c r="R805" s="93"/>
      <c r="S805" s="85"/>
      <c r="U805" s="94"/>
      <c r="V805" s="93"/>
      <c r="W805" s="85"/>
      <c r="Y805" s="94"/>
      <c r="Z805" s="93"/>
      <c r="AA805" s="85"/>
      <c r="AC805" s="94"/>
      <c r="AD805" s="93"/>
      <c r="AE805" s="85"/>
    </row>
    <row r="806" spans="6:31" ht="14.5" customHeight="1" x14ac:dyDescent="0.35">
      <c r="F806" s="93"/>
      <c r="G806" s="85"/>
      <c r="H806" s="87"/>
      <c r="J806" s="93"/>
      <c r="K806" s="85"/>
      <c r="N806" s="93"/>
      <c r="O806" s="85"/>
      <c r="Q806" s="94"/>
      <c r="R806" s="93"/>
      <c r="S806" s="85"/>
      <c r="U806" s="94"/>
      <c r="V806" s="93"/>
      <c r="W806" s="85"/>
      <c r="Y806" s="94"/>
      <c r="Z806" s="93"/>
      <c r="AA806" s="85"/>
      <c r="AC806" s="94"/>
      <c r="AD806" s="93"/>
      <c r="AE806" s="85"/>
    </row>
    <row r="807" spans="6:31" ht="14.5" customHeight="1" x14ac:dyDescent="0.35">
      <c r="F807" s="93"/>
      <c r="G807" s="85"/>
      <c r="H807" s="87"/>
      <c r="J807" s="93"/>
      <c r="K807" s="85"/>
      <c r="N807" s="93"/>
      <c r="O807" s="85"/>
      <c r="Q807" s="94"/>
      <c r="R807" s="93"/>
      <c r="S807" s="85"/>
      <c r="U807" s="94"/>
      <c r="V807" s="93"/>
      <c r="W807" s="85"/>
      <c r="Y807" s="94"/>
      <c r="Z807" s="93"/>
      <c r="AA807" s="85"/>
      <c r="AC807" s="94"/>
      <c r="AD807" s="93"/>
      <c r="AE807" s="85"/>
    </row>
    <row r="808" spans="6:31" ht="14.5" customHeight="1" x14ac:dyDescent="0.35">
      <c r="F808" s="93"/>
      <c r="G808" s="85"/>
      <c r="H808" s="87"/>
      <c r="J808" s="93"/>
      <c r="K808" s="85"/>
      <c r="N808" s="93"/>
      <c r="O808" s="85"/>
      <c r="Q808" s="94"/>
      <c r="R808" s="93"/>
      <c r="S808" s="85"/>
      <c r="U808" s="94"/>
      <c r="V808" s="93"/>
      <c r="W808" s="85"/>
      <c r="Y808" s="94"/>
      <c r="Z808" s="93"/>
      <c r="AA808" s="85"/>
      <c r="AC808" s="94"/>
      <c r="AD808" s="93"/>
      <c r="AE808" s="85"/>
    </row>
    <row r="809" spans="6:31" ht="14.5" customHeight="1" x14ac:dyDescent="0.35">
      <c r="F809" s="93"/>
      <c r="G809" s="85"/>
      <c r="H809" s="87"/>
      <c r="J809" s="93"/>
      <c r="K809" s="85"/>
      <c r="N809" s="93"/>
      <c r="O809" s="85"/>
      <c r="Q809" s="94"/>
      <c r="R809" s="93"/>
      <c r="S809" s="85"/>
      <c r="U809" s="94"/>
      <c r="V809" s="93"/>
      <c r="W809" s="85"/>
      <c r="Y809" s="94"/>
      <c r="Z809" s="93"/>
      <c r="AA809" s="85"/>
      <c r="AC809" s="94"/>
      <c r="AD809" s="93"/>
      <c r="AE809" s="85"/>
    </row>
    <row r="810" spans="6:31" ht="14.5" customHeight="1" x14ac:dyDescent="0.35">
      <c r="F810" s="93"/>
      <c r="G810" s="85"/>
      <c r="H810" s="87"/>
      <c r="J810" s="93"/>
      <c r="K810" s="85"/>
      <c r="N810" s="93"/>
      <c r="O810" s="85"/>
      <c r="Q810" s="94"/>
      <c r="R810" s="93"/>
      <c r="S810" s="85"/>
      <c r="U810" s="94"/>
      <c r="V810" s="93"/>
      <c r="W810" s="85"/>
      <c r="Y810" s="94"/>
      <c r="Z810" s="93"/>
      <c r="AA810" s="85"/>
      <c r="AC810" s="94"/>
      <c r="AD810" s="93"/>
      <c r="AE810" s="85"/>
    </row>
    <row r="811" spans="6:31" ht="14.5" customHeight="1" x14ac:dyDescent="0.35">
      <c r="F811" s="93"/>
      <c r="G811" s="85"/>
      <c r="H811" s="87"/>
      <c r="J811" s="93"/>
      <c r="K811" s="85"/>
      <c r="N811" s="93"/>
      <c r="O811" s="85"/>
      <c r="Q811" s="94"/>
      <c r="R811" s="93"/>
      <c r="S811" s="85"/>
      <c r="U811" s="94"/>
      <c r="V811" s="93"/>
      <c r="W811" s="85"/>
      <c r="Y811" s="94"/>
      <c r="Z811" s="93"/>
      <c r="AA811" s="85"/>
      <c r="AC811" s="94"/>
      <c r="AD811" s="93"/>
      <c r="AE811" s="85"/>
    </row>
    <row r="812" spans="6:31" ht="14.5" customHeight="1" x14ac:dyDescent="0.35">
      <c r="F812" s="93"/>
      <c r="G812" s="85"/>
      <c r="H812" s="87"/>
      <c r="J812" s="93"/>
      <c r="K812" s="85"/>
      <c r="N812" s="93"/>
      <c r="O812" s="85"/>
      <c r="Q812" s="94"/>
      <c r="R812" s="93"/>
      <c r="S812" s="85"/>
      <c r="U812" s="94"/>
      <c r="V812" s="93"/>
      <c r="W812" s="85"/>
      <c r="Y812" s="94"/>
      <c r="Z812" s="93"/>
      <c r="AA812" s="85"/>
      <c r="AC812" s="94"/>
      <c r="AD812" s="93"/>
      <c r="AE812" s="85"/>
    </row>
    <row r="813" spans="6:31" ht="14.5" customHeight="1" x14ac:dyDescent="0.35">
      <c r="F813" s="93"/>
      <c r="G813" s="85"/>
      <c r="H813" s="87"/>
      <c r="J813" s="93"/>
      <c r="K813" s="85"/>
      <c r="N813" s="93"/>
      <c r="O813" s="85"/>
      <c r="Q813" s="94"/>
      <c r="R813" s="93"/>
      <c r="S813" s="85"/>
      <c r="U813" s="94"/>
      <c r="V813" s="93"/>
      <c r="W813" s="85"/>
      <c r="Y813" s="94"/>
      <c r="Z813" s="93"/>
      <c r="AA813" s="85"/>
      <c r="AC813" s="94"/>
      <c r="AD813" s="93"/>
      <c r="AE813" s="85"/>
    </row>
    <row r="814" spans="6:31" ht="14.5" customHeight="1" x14ac:dyDescent="0.35">
      <c r="F814" s="93"/>
      <c r="G814" s="85"/>
      <c r="H814" s="87"/>
      <c r="J814" s="93"/>
      <c r="K814" s="85"/>
      <c r="N814" s="93"/>
      <c r="O814" s="85"/>
      <c r="Q814" s="94"/>
      <c r="R814" s="93"/>
      <c r="S814" s="85"/>
      <c r="U814" s="94"/>
      <c r="V814" s="93"/>
      <c r="W814" s="85"/>
      <c r="Y814" s="94"/>
      <c r="Z814" s="93"/>
      <c r="AA814" s="85"/>
      <c r="AC814" s="94"/>
      <c r="AD814" s="93"/>
      <c r="AE814" s="85"/>
    </row>
    <row r="815" spans="6:31" ht="14.5" customHeight="1" x14ac:dyDescent="0.35">
      <c r="F815" s="93"/>
      <c r="G815" s="85"/>
      <c r="H815" s="87"/>
      <c r="J815" s="93"/>
      <c r="K815" s="85"/>
      <c r="N815" s="93"/>
      <c r="O815" s="85"/>
      <c r="Q815" s="94"/>
      <c r="R815" s="93"/>
      <c r="S815" s="85"/>
      <c r="U815" s="94"/>
      <c r="V815" s="93"/>
      <c r="W815" s="85"/>
      <c r="Y815" s="94"/>
      <c r="Z815" s="93"/>
      <c r="AA815" s="85"/>
      <c r="AC815" s="94"/>
      <c r="AD815" s="93"/>
      <c r="AE815" s="85"/>
    </row>
    <row r="816" spans="6:31" ht="14.5" customHeight="1" x14ac:dyDescent="0.35">
      <c r="F816" s="93"/>
      <c r="G816" s="85"/>
      <c r="H816" s="87"/>
      <c r="J816" s="93"/>
      <c r="K816" s="85"/>
      <c r="N816" s="93"/>
      <c r="O816" s="85"/>
      <c r="Q816" s="94"/>
      <c r="R816" s="93"/>
      <c r="S816" s="85"/>
      <c r="U816" s="94"/>
      <c r="V816" s="93"/>
      <c r="W816" s="85"/>
      <c r="Y816" s="94"/>
      <c r="Z816" s="93"/>
      <c r="AA816" s="85"/>
      <c r="AC816" s="94"/>
      <c r="AD816" s="93"/>
      <c r="AE816" s="85"/>
    </row>
    <row r="817" spans="6:31" ht="14.5" customHeight="1" x14ac:dyDescent="0.35">
      <c r="F817" s="93"/>
      <c r="G817" s="85"/>
      <c r="H817" s="87"/>
      <c r="J817" s="93"/>
      <c r="K817" s="85"/>
      <c r="N817" s="93"/>
      <c r="O817" s="85"/>
      <c r="Q817" s="94"/>
      <c r="R817" s="93"/>
      <c r="S817" s="85"/>
      <c r="U817" s="94"/>
      <c r="V817" s="93"/>
      <c r="W817" s="85"/>
      <c r="Y817" s="94"/>
      <c r="Z817" s="93"/>
      <c r="AA817" s="85"/>
      <c r="AC817" s="94"/>
      <c r="AD817" s="93"/>
      <c r="AE817" s="85"/>
    </row>
    <row r="818" spans="6:31" ht="14.5" customHeight="1" x14ac:dyDescent="0.35">
      <c r="F818" s="93"/>
      <c r="G818" s="85"/>
      <c r="H818" s="87"/>
      <c r="J818" s="93"/>
      <c r="K818" s="85"/>
      <c r="N818" s="93"/>
      <c r="O818" s="85"/>
      <c r="Q818" s="94"/>
      <c r="R818" s="93"/>
      <c r="S818" s="85"/>
      <c r="U818" s="94"/>
      <c r="V818" s="93"/>
      <c r="W818" s="85"/>
      <c r="Y818" s="94"/>
      <c r="Z818" s="93"/>
      <c r="AA818" s="85"/>
      <c r="AC818" s="94"/>
      <c r="AD818" s="93"/>
      <c r="AE818" s="85"/>
    </row>
    <row r="819" spans="6:31" ht="14.5" customHeight="1" x14ac:dyDescent="0.35">
      <c r="F819" s="93"/>
      <c r="G819" s="85"/>
      <c r="H819" s="87"/>
      <c r="J819" s="93"/>
      <c r="K819" s="85"/>
      <c r="N819" s="93"/>
      <c r="O819" s="85"/>
      <c r="Q819" s="94"/>
      <c r="R819" s="93"/>
      <c r="S819" s="85"/>
      <c r="U819" s="94"/>
      <c r="V819" s="93"/>
      <c r="W819" s="85"/>
      <c r="Y819" s="94"/>
      <c r="Z819" s="93"/>
      <c r="AA819" s="85"/>
      <c r="AC819" s="94"/>
      <c r="AD819" s="93"/>
      <c r="AE819" s="85"/>
    </row>
    <row r="820" spans="6:31" ht="14.5" customHeight="1" x14ac:dyDescent="0.35">
      <c r="F820" s="93"/>
      <c r="G820" s="85"/>
      <c r="H820" s="87"/>
      <c r="J820" s="93"/>
      <c r="K820" s="85"/>
      <c r="N820" s="93"/>
      <c r="O820" s="85"/>
      <c r="Q820" s="94"/>
      <c r="R820" s="93"/>
      <c r="S820" s="85"/>
      <c r="U820" s="94"/>
      <c r="V820" s="93"/>
      <c r="W820" s="85"/>
      <c r="Y820" s="94"/>
      <c r="Z820" s="93"/>
      <c r="AA820" s="85"/>
      <c r="AC820" s="94"/>
      <c r="AD820" s="93"/>
      <c r="AE820" s="85"/>
    </row>
    <row r="821" spans="6:31" ht="14.5" customHeight="1" x14ac:dyDescent="0.35">
      <c r="F821" s="93"/>
      <c r="G821" s="85"/>
      <c r="H821" s="87"/>
      <c r="J821" s="93"/>
      <c r="K821" s="85"/>
      <c r="N821" s="93"/>
      <c r="O821" s="85"/>
      <c r="Q821" s="94"/>
      <c r="R821" s="93"/>
      <c r="S821" s="85"/>
      <c r="U821" s="94"/>
      <c r="V821" s="93"/>
      <c r="W821" s="85"/>
      <c r="Y821" s="94"/>
      <c r="Z821" s="93"/>
      <c r="AA821" s="85"/>
      <c r="AC821" s="94"/>
      <c r="AD821" s="93"/>
      <c r="AE821" s="85"/>
    </row>
    <row r="822" spans="6:31" ht="14.5" customHeight="1" x14ac:dyDescent="0.35">
      <c r="F822" s="93"/>
      <c r="G822" s="85"/>
      <c r="H822" s="87"/>
      <c r="J822" s="93"/>
      <c r="K822" s="85"/>
      <c r="N822" s="93"/>
      <c r="O822" s="85"/>
      <c r="Q822" s="94"/>
      <c r="R822" s="93"/>
      <c r="S822" s="85"/>
      <c r="U822" s="94"/>
      <c r="V822" s="93"/>
      <c r="W822" s="85"/>
      <c r="Y822" s="94"/>
      <c r="Z822" s="93"/>
      <c r="AA822" s="85"/>
      <c r="AC822" s="94"/>
      <c r="AD822" s="93"/>
      <c r="AE822" s="85"/>
    </row>
    <row r="823" spans="6:31" ht="14.5" customHeight="1" x14ac:dyDescent="0.35">
      <c r="F823" s="93"/>
      <c r="G823" s="85"/>
      <c r="H823" s="87"/>
      <c r="J823" s="93"/>
      <c r="K823" s="85"/>
      <c r="N823" s="93"/>
      <c r="O823" s="85"/>
      <c r="Q823" s="94"/>
      <c r="R823" s="93"/>
      <c r="S823" s="85"/>
      <c r="U823" s="94"/>
      <c r="V823" s="93"/>
      <c r="W823" s="85"/>
      <c r="Y823" s="94"/>
      <c r="Z823" s="93"/>
      <c r="AA823" s="85"/>
      <c r="AC823" s="94"/>
      <c r="AD823" s="93"/>
      <c r="AE823" s="85"/>
    </row>
    <row r="824" spans="6:31" ht="14.5" customHeight="1" x14ac:dyDescent="0.35">
      <c r="F824" s="93"/>
      <c r="G824" s="85"/>
      <c r="H824" s="87"/>
      <c r="J824" s="93"/>
      <c r="K824" s="85"/>
      <c r="N824" s="93"/>
      <c r="O824" s="85"/>
      <c r="Q824" s="94"/>
      <c r="R824" s="93"/>
      <c r="S824" s="85"/>
      <c r="U824" s="94"/>
      <c r="V824" s="93"/>
      <c r="W824" s="85"/>
      <c r="Y824" s="94"/>
      <c r="Z824" s="93"/>
      <c r="AA824" s="85"/>
      <c r="AC824" s="94"/>
      <c r="AD824" s="93"/>
      <c r="AE824" s="85"/>
    </row>
    <row r="825" spans="6:31" ht="14.5" customHeight="1" x14ac:dyDescent="0.35">
      <c r="F825" s="93"/>
      <c r="G825" s="85"/>
      <c r="H825" s="87"/>
      <c r="J825" s="93"/>
      <c r="K825" s="85"/>
      <c r="N825" s="93"/>
      <c r="O825" s="85"/>
      <c r="Q825" s="94"/>
      <c r="R825" s="93"/>
      <c r="S825" s="85"/>
      <c r="U825" s="94"/>
      <c r="V825" s="93"/>
      <c r="W825" s="85"/>
      <c r="Y825" s="94"/>
      <c r="Z825" s="93"/>
      <c r="AA825" s="85"/>
      <c r="AC825" s="94"/>
      <c r="AD825" s="93"/>
      <c r="AE825" s="85"/>
    </row>
    <row r="826" spans="6:31" ht="14.5" customHeight="1" x14ac:dyDescent="0.35">
      <c r="F826" s="93"/>
      <c r="G826" s="85"/>
      <c r="H826" s="87"/>
      <c r="J826" s="93"/>
      <c r="K826" s="85"/>
      <c r="N826" s="93"/>
      <c r="O826" s="85"/>
      <c r="Q826" s="94"/>
      <c r="R826" s="93"/>
      <c r="S826" s="85"/>
      <c r="U826" s="94"/>
      <c r="V826" s="93"/>
      <c r="W826" s="85"/>
      <c r="Y826" s="94"/>
      <c r="Z826" s="93"/>
      <c r="AA826" s="85"/>
      <c r="AC826" s="94"/>
      <c r="AD826" s="93"/>
      <c r="AE826" s="85"/>
    </row>
    <row r="827" spans="6:31" ht="14.5" customHeight="1" x14ac:dyDescent="0.35">
      <c r="F827" s="93"/>
      <c r="G827" s="85"/>
      <c r="H827" s="87"/>
      <c r="J827" s="93"/>
      <c r="K827" s="85"/>
      <c r="N827" s="93"/>
      <c r="O827" s="85"/>
      <c r="Q827" s="94"/>
      <c r="R827" s="93"/>
      <c r="S827" s="85"/>
      <c r="U827" s="94"/>
      <c r="V827" s="93"/>
      <c r="W827" s="85"/>
      <c r="Y827" s="94"/>
      <c r="Z827" s="93"/>
      <c r="AA827" s="85"/>
      <c r="AC827" s="94"/>
      <c r="AD827" s="93"/>
      <c r="AE827" s="85"/>
    </row>
    <row r="828" spans="6:31" ht="14.5" customHeight="1" x14ac:dyDescent="0.35">
      <c r="F828" s="93"/>
      <c r="G828" s="85"/>
      <c r="H828" s="87"/>
      <c r="J828" s="93"/>
      <c r="K828" s="85"/>
      <c r="N828" s="93"/>
      <c r="O828" s="85"/>
      <c r="Q828" s="94"/>
      <c r="R828" s="93"/>
      <c r="S828" s="85"/>
      <c r="U828" s="94"/>
      <c r="V828" s="93"/>
      <c r="W828" s="85"/>
      <c r="Y828" s="94"/>
      <c r="Z828" s="93"/>
      <c r="AA828" s="85"/>
      <c r="AC828" s="94"/>
      <c r="AD828" s="93"/>
      <c r="AE828" s="85"/>
    </row>
    <row r="829" spans="6:31" ht="14.5" customHeight="1" x14ac:dyDescent="0.35">
      <c r="F829" s="93"/>
      <c r="G829" s="85"/>
      <c r="H829" s="87"/>
      <c r="J829" s="93"/>
      <c r="K829" s="85"/>
      <c r="N829" s="93"/>
      <c r="O829" s="85"/>
      <c r="Q829" s="94"/>
      <c r="R829" s="93"/>
      <c r="S829" s="85"/>
      <c r="U829" s="94"/>
      <c r="V829" s="93"/>
      <c r="W829" s="85"/>
      <c r="Y829" s="94"/>
      <c r="Z829" s="93"/>
      <c r="AA829" s="85"/>
      <c r="AC829" s="94"/>
      <c r="AD829" s="93"/>
      <c r="AE829" s="85"/>
    </row>
    <row r="830" spans="6:31" ht="14.5" customHeight="1" x14ac:dyDescent="0.35">
      <c r="F830" s="93"/>
      <c r="G830" s="85"/>
      <c r="H830" s="87"/>
      <c r="J830" s="93"/>
      <c r="K830" s="85"/>
      <c r="N830" s="93"/>
      <c r="O830" s="85"/>
      <c r="Q830" s="94"/>
      <c r="R830" s="93"/>
      <c r="S830" s="85"/>
      <c r="U830" s="94"/>
      <c r="V830" s="93"/>
      <c r="W830" s="85"/>
      <c r="Y830" s="94"/>
      <c r="Z830" s="93"/>
      <c r="AA830" s="85"/>
      <c r="AC830" s="94"/>
      <c r="AD830" s="93"/>
      <c r="AE830" s="85"/>
    </row>
    <row r="831" spans="6:31" ht="14.5" customHeight="1" x14ac:dyDescent="0.35">
      <c r="F831" s="93"/>
      <c r="G831" s="85"/>
      <c r="H831" s="87"/>
      <c r="J831" s="93"/>
      <c r="K831" s="85"/>
      <c r="N831" s="93"/>
      <c r="O831" s="85"/>
      <c r="Q831" s="94"/>
      <c r="R831" s="93"/>
      <c r="S831" s="85"/>
      <c r="U831" s="94"/>
      <c r="V831" s="93"/>
      <c r="W831" s="85"/>
      <c r="Y831" s="94"/>
      <c r="Z831" s="93"/>
      <c r="AA831" s="85"/>
      <c r="AC831" s="94"/>
      <c r="AD831" s="93"/>
      <c r="AE831" s="85"/>
    </row>
    <row r="832" spans="6:31" ht="14.5" customHeight="1" x14ac:dyDescent="0.35">
      <c r="F832" s="93"/>
      <c r="G832" s="85"/>
      <c r="H832" s="87"/>
      <c r="J832" s="93"/>
      <c r="K832" s="85"/>
      <c r="N832" s="93"/>
      <c r="O832" s="85"/>
      <c r="Q832" s="94"/>
      <c r="R832" s="93"/>
      <c r="S832" s="85"/>
      <c r="U832" s="94"/>
      <c r="V832" s="93"/>
      <c r="W832" s="85"/>
      <c r="Y832" s="94"/>
      <c r="Z832" s="93"/>
      <c r="AA832" s="85"/>
      <c r="AC832" s="94"/>
      <c r="AD832" s="93"/>
      <c r="AE832" s="85"/>
    </row>
    <row r="833" spans="6:31" ht="14.5" customHeight="1" x14ac:dyDescent="0.35">
      <c r="F833" s="93"/>
      <c r="G833" s="85"/>
      <c r="H833" s="87"/>
      <c r="J833" s="93"/>
      <c r="K833" s="85"/>
      <c r="N833" s="93"/>
      <c r="O833" s="85"/>
      <c r="Q833" s="94"/>
      <c r="R833" s="93"/>
      <c r="S833" s="85"/>
      <c r="U833" s="94"/>
      <c r="V833" s="93"/>
      <c r="W833" s="85"/>
      <c r="Y833" s="94"/>
      <c r="Z833" s="93"/>
      <c r="AA833" s="85"/>
      <c r="AC833" s="94"/>
      <c r="AD833" s="93"/>
      <c r="AE833" s="85"/>
    </row>
    <row r="834" spans="6:31" ht="14.5" customHeight="1" x14ac:dyDescent="0.35">
      <c r="F834" s="93"/>
      <c r="G834" s="85"/>
      <c r="H834" s="87"/>
      <c r="J834" s="93"/>
      <c r="K834" s="85"/>
      <c r="N834" s="93"/>
      <c r="O834" s="85"/>
      <c r="Q834" s="94"/>
      <c r="R834" s="93"/>
      <c r="S834" s="85"/>
      <c r="U834" s="94"/>
      <c r="V834" s="93"/>
      <c r="W834" s="85"/>
      <c r="Y834" s="94"/>
      <c r="Z834" s="93"/>
      <c r="AA834" s="85"/>
      <c r="AC834" s="94"/>
      <c r="AD834" s="93"/>
      <c r="AE834" s="85"/>
    </row>
    <row r="835" spans="6:31" ht="14.5" customHeight="1" x14ac:dyDescent="0.35">
      <c r="F835" s="93"/>
      <c r="G835" s="85"/>
      <c r="H835" s="87"/>
      <c r="J835" s="93"/>
      <c r="K835" s="85"/>
      <c r="N835" s="93"/>
      <c r="O835" s="85"/>
      <c r="Q835" s="94"/>
      <c r="R835" s="93"/>
      <c r="S835" s="85"/>
      <c r="U835" s="94"/>
      <c r="V835" s="93"/>
      <c r="W835" s="85"/>
      <c r="Y835" s="94"/>
      <c r="Z835" s="93"/>
      <c r="AA835" s="85"/>
      <c r="AC835" s="94"/>
      <c r="AD835" s="93"/>
      <c r="AE835" s="85"/>
    </row>
    <row r="836" spans="6:31" ht="14.5" customHeight="1" x14ac:dyDescent="0.35">
      <c r="F836" s="93"/>
      <c r="G836" s="85"/>
      <c r="H836" s="87"/>
      <c r="J836" s="93"/>
      <c r="K836" s="85"/>
      <c r="N836" s="93"/>
      <c r="O836" s="85"/>
      <c r="Q836" s="94"/>
      <c r="R836" s="93"/>
      <c r="S836" s="85"/>
      <c r="U836" s="94"/>
      <c r="V836" s="93"/>
      <c r="W836" s="85"/>
      <c r="Y836" s="94"/>
      <c r="Z836" s="93"/>
      <c r="AA836" s="85"/>
      <c r="AC836" s="94"/>
      <c r="AD836" s="93"/>
      <c r="AE836" s="85"/>
    </row>
    <row r="837" spans="6:31" ht="14.5" customHeight="1" x14ac:dyDescent="0.35">
      <c r="F837" s="93"/>
      <c r="G837" s="85"/>
      <c r="H837" s="87"/>
      <c r="J837" s="93"/>
      <c r="K837" s="85"/>
      <c r="N837" s="93"/>
      <c r="O837" s="85"/>
      <c r="Q837" s="94"/>
      <c r="R837" s="93"/>
      <c r="S837" s="85"/>
      <c r="U837" s="94"/>
      <c r="V837" s="93"/>
      <c r="W837" s="85"/>
      <c r="Y837" s="94"/>
      <c r="Z837" s="93"/>
      <c r="AA837" s="85"/>
      <c r="AC837" s="94"/>
      <c r="AD837" s="93"/>
      <c r="AE837" s="85"/>
    </row>
    <row r="838" spans="6:31" ht="14.5" customHeight="1" x14ac:dyDescent="0.35">
      <c r="F838" s="93"/>
      <c r="G838" s="85"/>
      <c r="H838" s="87"/>
      <c r="J838" s="93"/>
      <c r="K838" s="85"/>
      <c r="N838" s="93"/>
      <c r="O838" s="85"/>
      <c r="Q838" s="94"/>
      <c r="R838" s="93"/>
      <c r="S838" s="85"/>
      <c r="U838" s="94"/>
      <c r="V838" s="93"/>
      <c r="W838" s="85"/>
      <c r="Y838" s="94"/>
      <c r="Z838" s="93"/>
      <c r="AA838" s="85"/>
      <c r="AC838" s="94"/>
      <c r="AD838" s="93"/>
      <c r="AE838" s="85"/>
    </row>
    <row r="839" spans="6:31" ht="14.5" customHeight="1" x14ac:dyDescent="0.35">
      <c r="F839" s="93"/>
      <c r="G839" s="85"/>
      <c r="H839" s="87"/>
      <c r="J839" s="93"/>
      <c r="K839" s="85"/>
      <c r="N839" s="93"/>
      <c r="O839" s="85"/>
      <c r="Q839" s="94"/>
      <c r="R839" s="93"/>
      <c r="S839" s="85"/>
      <c r="U839" s="94"/>
      <c r="V839" s="93"/>
      <c r="W839" s="85"/>
      <c r="Y839" s="94"/>
      <c r="Z839" s="93"/>
      <c r="AA839" s="85"/>
      <c r="AC839" s="94"/>
      <c r="AD839" s="93"/>
      <c r="AE839" s="85"/>
    </row>
    <row r="840" spans="6:31" ht="14.5" customHeight="1" x14ac:dyDescent="0.35">
      <c r="F840" s="93"/>
      <c r="G840" s="85"/>
      <c r="H840" s="87"/>
      <c r="J840" s="93"/>
      <c r="K840" s="85"/>
      <c r="N840" s="93"/>
      <c r="O840" s="85"/>
      <c r="Q840" s="94"/>
      <c r="R840" s="93"/>
      <c r="S840" s="85"/>
      <c r="U840" s="94"/>
      <c r="V840" s="93"/>
      <c r="W840" s="85"/>
      <c r="Y840" s="94"/>
      <c r="Z840" s="93"/>
      <c r="AA840" s="85"/>
      <c r="AC840" s="94"/>
      <c r="AD840" s="93"/>
      <c r="AE840" s="85"/>
    </row>
    <row r="841" spans="6:31" ht="14.5" customHeight="1" x14ac:dyDescent="0.35">
      <c r="F841" s="93"/>
      <c r="G841" s="85"/>
      <c r="H841" s="87"/>
      <c r="J841" s="93"/>
      <c r="K841" s="85"/>
      <c r="N841" s="93"/>
      <c r="O841" s="85"/>
      <c r="Q841" s="94"/>
      <c r="R841" s="93"/>
      <c r="S841" s="85"/>
      <c r="U841" s="94"/>
      <c r="V841" s="93"/>
      <c r="W841" s="85"/>
      <c r="Y841" s="94"/>
      <c r="Z841" s="93"/>
      <c r="AA841" s="85"/>
      <c r="AC841" s="94"/>
      <c r="AD841" s="93"/>
      <c r="AE841" s="85"/>
    </row>
    <row r="842" spans="6:31" ht="14.5" customHeight="1" x14ac:dyDescent="0.35">
      <c r="F842" s="93"/>
      <c r="G842" s="85"/>
      <c r="H842" s="87"/>
      <c r="J842" s="93"/>
      <c r="K842" s="85"/>
      <c r="N842" s="93"/>
      <c r="O842" s="85"/>
      <c r="Q842" s="94"/>
      <c r="R842" s="93"/>
      <c r="S842" s="85"/>
      <c r="U842" s="94"/>
      <c r="V842" s="93"/>
      <c r="W842" s="85"/>
      <c r="Y842" s="94"/>
      <c r="Z842" s="93"/>
      <c r="AA842" s="85"/>
      <c r="AC842" s="94"/>
      <c r="AD842" s="93"/>
      <c r="AE842" s="85"/>
    </row>
    <row r="843" spans="6:31" ht="14.5" customHeight="1" x14ac:dyDescent="0.35">
      <c r="F843" s="93"/>
      <c r="G843" s="85"/>
      <c r="H843" s="87"/>
      <c r="J843" s="93"/>
      <c r="K843" s="85"/>
      <c r="N843" s="93"/>
      <c r="O843" s="85"/>
      <c r="Q843" s="94"/>
      <c r="R843" s="93"/>
      <c r="S843" s="85"/>
      <c r="U843" s="94"/>
      <c r="V843" s="93"/>
      <c r="W843" s="85"/>
      <c r="Y843" s="94"/>
      <c r="Z843" s="93"/>
      <c r="AA843" s="85"/>
      <c r="AC843" s="94"/>
      <c r="AD843" s="93"/>
      <c r="AE843" s="85"/>
    </row>
    <row r="844" spans="6:31" ht="14.5" customHeight="1" x14ac:dyDescent="0.35">
      <c r="F844" s="93"/>
      <c r="G844" s="85"/>
      <c r="H844" s="87"/>
      <c r="J844" s="93"/>
      <c r="K844" s="85"/>
      <c r="N844" s="93"/>
      <c r="O844" s="85"/>
      <c r="Q844" s="94"/>
      <c r="R844" s="93"/>
      <c r="S844" s="85"/>
      <c r="U844" s="94"/>
      <c r="V844" s="93"/>
      <c r="W844" s="85"/>
      <c r="Y844" s="94"/>
      <c r="Z844" s="93"/>
      <c r="AA844" s="85"/>
      <c r="AC844" s="94"/>
      <c r="AD844" s="93"/>
      <c r="AE844" s="85"/>
    </row>
    <row r="845" spans="6:31" ht="14.5" customHeight="1" x14ac:dyDescent="0.35">
      <c r="F845" s="93"/>
      <c r="G845" s="85"/>
      <c r="H845" s="87"/>
      <c r="J845" s="93"/>
      <c r="K845" s="85"/>
      <c r="N845" s="93"/>
      <c r="O845" s="85"/>
      <c r="Q845" s="94"/>
      <c r="R845" s="93"/>
      <c r="S845" s="85"/>
      <c r="U845" s="94"/>
      <c r="V845" s="93"/>
      <c r="W845" s="85"/>
      <c r="Y845" s="94"/>
      <c r="Z845" s="93"/>
      <c r="AA845" s="85"/>
      <c r="AC845" s="94"/>
      <c r="AD845" s="93"/>
      <c r="AE845" s="85"/>
    </row>
    <row r="846" spans="6:31" ht="14.5" customHeight="1" x14ac:dyDescent="0.35">
      <c r="F846" s="93"/>
      <c r="G846" s="85"/>
      <c r="H846" s="87"/>
      <c r="J846" s="93"/>
      <c r="K846" s="85"/>
      <c r="N846" s="93"/>
      <c r="O846" s="85"/>
      <c r="Q846" s="94"/>
      <c r="R846" s="93"/>
      <c r="S846" s="85"/>
      <c r="U846" s="94"/>
      <c r="V846" s="93"/>
      <c r="W846" s="85"/>
      <c r="Y846" s="94"/>
      <c r="Z846" s="93"/>
      <c r="AA846" s="85"/>
      <c r="AC846" s="94"/>
      <c r="AD846" s="93"/>
      <c r="AE846" s="85"/>
    </row>
    <row r="847" spans="6:31" ht="14.5" customHeight="1" x14ac:dyDescent="0.35">
      <c r="F847" s="93"/>
      <c r="G847" s="85"/>
      <c r="H847" s="87"/>
      <c r="J847" s="93"/>
      <c r="K847" s="85"/>
      <c r="N847" s="93"/>
      <c r="O847" s="85"/>
      <c r="Q847" s="94"/>
      <c r="R847" s="93"/>
      <c r="S847" s="85"/>
      <c r="U847" s="94"/>
      <c r="V847" s="93"/>
      <c r="W847" s="85"/>
      <c r="Y847" s="94"/>
      <c r="Z847" s="93"/>
      <c r="AA847" s="85"/>
      <c r="AC847" s="94"/>
      <c r="AD847" s="93"/>
      <c r="AE847" s="85"/>
    </row>
    <row r="848" spans="6:31" ht="14.5" customHeight="1" x14ac:dyDescent="0.35">
      <c r="F848" s="93"/>
      <c r="G848" s="85"/>
      <c r="H848" s="87"/>
      <c r="J848" s="93"/>
      <c r="K848" s="85"/>
      <c r="N848" s="93"/>
      <c r="O848" s="85"/>
      <c r="Q848" s="94"/>
      <c r="R848" s="93"/>
      <c r="S848" s="85"/>
      <c r="U848" s="94"/>
      <c r="V848" s="93"/>
      <c r="W848" s="85"/>
      <c r="Y848" s="94"/>
      <c r="Z848" s="93"/>
      <c r="AA848" s="85"/>
      <c r="AC848" s="94"/>
      <c r="AD848" s="93"/>
      <c r="AE848" s="85"/>
    </row>
    <row r="849" spans="6:31" ht="14.5" customHeight="1" x14ac:dyDescent="0.35">
      <c r="F849" s="93"/>
      <c r="G849" s="85"/>
      <c r="H849" s="87"/>
      <c r="J849" s="93"/>
      <c r="K849" s="85"/>
      <c r="N849" s="93"/>
      <c r="O849" s="85"/>
      <c r="Q849" s="94"/>
      <c r="R849" s="93"/>
      <c r="S849" s="85"/>
      <c r="U849" s="94"/>
      <c r="V849" s="93"/>
      <c r="W849" s="85"/>
      <c r="Y849" s="94"/>
      <c r="Z849" s="93"/>
      <c r="AA849" s="85"/>
      <c r="AC849" s="94"/>
      <c r="AD849" s="93"/>
      <c r="AE849" s="85"/>
    </row>
    <row r="850" spans="6:31" ht="14.5" customHeight="1" x14ac:dyDescent="0.35">
      <c r="F850" s="93"/>
      <c r="G850" s="85"/>
      <c r="H850" s="87"/>
      <c r="J850" s="93"/>
      <c r="K850" s="85"/>
      <c r="N850" s="93"/>
      <c r="O850" s="85"/>
      <c r="Q850" s="94"/>
      <c r="R850" s="93"/>
      <c r="S850" s="85"/>
      <c r="U850" s="94"/>
      <c r="V850" s="93"/>
      <c r="W850" s="85"/>
      <c r="Y850" s="94"/>
      <c r="Z850" s="93"/>
      <c r="AA850" s="85"/>
      <c r="AC850" s="94"/>
      <c r="AD850" s="93"/>
      <c r="AE850" s="85"/>
    </row>
    <row r="851" spans="6:31" ht="14.5" customHeight="1" x14ac:dyDescent="0.35">
      <c r="F851" s="93"/>
      <c r="G851" s="85"/>
      <c r="H851" s="87"/>
      <c r="J851" s="93"/>
      <c r="K851" s="85"/>
      <c r="N851" s="93"/>
      <c r="O851" s="85"/>
      <c r="Q851" s="94"/>
      <c r="R851" s="93"/>
      <c r="S851" s="85"/>
      <c r="U851" s="94"/>
      <c r="V851" s="93"/>
      <c r="W851" s="85"/>
      <c r="Y851" s="94"/>
      <c r="Z851" s="93"/>
      <c r="AA851" s="85"/>
      <c r="AC851" s="94"/>
      <c r="AD851" s="93"/>
      <c r="AE851" s="85"/>
    </row>
    <row r="852" spans="6:31" ht="14.5" customHeight="1" x14ac:dyDescent="0.35">
      <c r="F852" s="93"/>
      <c r="G852" s="85"/>
      <c r="H852" s="87"/>
      <c r="J852" s="93"/>
      <c r="K852" s="85"/>
      <c r="N852" s="93"/>
      <c r="O852" s="85"/>
      <c r="Q852" s="94"/>
      <c r="R852" s="93"/>
      <c r="S852" s="85"/>
      <c r="U852" s="94"/>
      <c r="V852" s="93"/>
      <c r="W852" s="85"/>
      <c r="Y852" s="94"/>
      <c r="Z852" s="93"/>
      <c r="AA852" s="85"/>
      <c r="AC852" s="94"/>
      <c r="AD852" s="93"/>
      <c r="AE852" s="85"/>
    </row>
    <row r="853" spans="6:31" ht="14.5" customHeight="1" x14ac:dyDescent="0.35">
      <c r="F853" s="93"/>
      <c r="G853" s="85"/>
      <c r="H853" s="87"/>
      <c r="J853" s="93"/>
      <c r="K853" s="85"/>
      <c r="N853" s="93"/>
      <c r="O853" s="85"/>
      <c r="Q853" s="94"/>
      <c r="R853" s="93"/>
      <c r="S853" s="85"/>
      <c r="U853" s="94"/>
      <c r="V853" s="93"/>
      <c r="W853" s="85"/>
      <c r="Y853" s="94"/>
      <c r="Z853" s="93"/>
      <c r="AA853" s="85"/>
      <c r="AC853" s="94"/>
      <c r="AD853" s="93"/>
      <c r="AE853" s="85"/>
    </row>
    <row r="854" spans="6:31" ht="14.5" customHeight="1" x14ac:dyDescent="0.35">
      <c r="F854" s="93"/>
      <c r="G854" s="85"/>
      <c r="H854" s="87"/>
      <c r="J854" s="93"/>
      <c r="K854" s="85"/>
      <c r="N854" s="93"/>
      <c r="O854" s="85"/>
      <c r="Q854" s="94"/>
      <c r="R854" s="93"/>
      <c r="S854" s="85"/>
      <c r="U854" s="94"/>
      <c r="V854" s="93"/>
      <c r="W854" s="85"/>
      <c r="Y854" s="94"/>
      <c r="Z854" s="93"/>
      <c r="AA854" s="85"/>
      <c r="AC854" s="94"/>
      <c r="AD854" s="93"/>
      <c r="AE854" s="85"/>
    </row>
    <row r="855" spans="6:31" ht="14.5" customHeight="1" x14ac:dyDescent="0.35">
      <c r="F855" s="93"/>
      <c r="G855" s="85"/>
      <c r="H855" s="87"/>
      <c r="J855" s="93"/>
      <c r="K855" s="85"/>
      <c r="N855" s="93"/>
      <c r="O855" s="85"/>
      <c r="Q855" s="94"/>
      <c r="R855" s="93"/>
      <c r="S855" s="85"/>
      <c r="U855" s="94"/>
      <c r="V855" s="93"/>
      <c r="W855" s="85"/>
      <c r="Y855" s="94"/>
      <c r="Z855" s="93"/>
      <c r="AA855" s="85"/>
      <c r="AC855" s="94"/>
      <c r="AD855" s="93"/>
      <c r="AE855" s="85"/>
    </row>
    <row r="856" spans="6:31" ht="14.5" customHeight="1" x14ac:dyDescent="0.35">
      <c r="F856" s="93"/>
      <c r="G856" s="85"/>
      <c r="H856" s="87"/>
      <c r="J856" s="93"/>
      <c r="K856" s="85"/>
      <c r="N856" s="93"/>
      <c r="O856" s="85"/>
      <c r="Q856" s="94"/>
      <c r="R856" s="93"/>
      <c r="S856" s="85"/>
      <c r="U856" s="94"/>
      <c r="V856" s="93"/>
      <c r="W856" s="85"/>
      <c r="Y856" s="94"/>
      <c r="Z856" s="93"/>
      <c r="AA856" s="85"/>
      <c r="AC856" s="94"/>
      <c r="AD856" s="93"/>
      <c r="AE856" s="85"/>
    </row>
    <row r="857" spans="6:31" ht="14.5" customHeight="1" x14ac:dyDescent="0.35">
      <c r="F857" s="93"/>
      <c r="G857" s="85"/>
      <c r="H857" s="87"/>
      <c r="J857" s="93"/>
      <c r="K857" s="85"/>
      <c r="N857" s="93"/>
      <c r="O857" s="85"/>
      <c r="Q857" s="94"/>
      <c r="R857" s="93"/>
      <c r="S857" s="85"/>
      <c r="U857" s="94"/>
      <c r="V857" s="93"/>
      <c r="W857" s="85"/>
      <c r="Y857" s="94"/>
      <c r="Z857" s="93"/>
      <c r="AA857" s="85"/>
      <c r="AC857" s="94"/>
      <c r="AD857" s="93"/>
      <c r="AE857" s="85"/>
    </row>
    <row r="858" spans="6:31" ht="14.5" customHeight="1" x14ac:dyDescent="0.35">
      <c r="F858" s="93"/>
      <c r="G858" s="85"/>
      <c r="H858" s="87"/>
      <c r="J858" s="93"/>
      <c r="K858" s="85"/>
      <c r="N858" s="93"/>
      <c r="O858" s="85"/>
      <c r="Q858" s="94"/>
      <c r="R858" s="93"/>
      <c r="S858" s="85"/>
      <c r="U858" s="94"/>
      <c r="V858" s="93"/>
      <c r="W858" s="85"/>
      <c r="Y858" s="94"/>
      <c r="Z858" s="93"/>
      <c r="AA858" s="85"/>
      <c r="AC858" s="94"/>
      <c r="AD858" s="93"/>
      <c r="AE858" s="85"/>
    </row>
    <row r="859" spans="6:31" ht="14.5" customHeight="1" x14ac:dyDescent="0.35">
      <c r="F859" s="93"/>
      <c r="G859" s="85"/>
      <c r="H859" s="87"/>
      <c r="J859" s="93"/>
      <c r="K859" s="85"/>
      <c r="N859" s="93"/>
      <c r="O859" s="85"/>
      <c r="Q859" s="94"/>
      <c r="R859" s="93"/>
      <c r="S859" s="85"/>
      <c r="U859" s="94"/>
      <c r="V859" s="93"/>
      <c r="W859" s="85"/>
      <c r="Y859" s="94"/>
      <c r="Z859" s="93"/>
      <c r="AA859" s="85"/>
      <c r="AC859" s="94"/>
      <c r="AD859" s="93"/>
      <c r="AE859" s="85"/>
    </row>
    <row r="860" spans="6:31" ht="14.5" customHeight="1" x14ac:dyDescent="0.35">
      <c r="F860" s="93"/>
      <c r="G860" s="85"/>
      <c r="H860" s="87"/>
      <c r="J860" s="93"/>
      <c r="K860" s="85"/>
      <c r="N860" s="93"/>
      <c r="O860" s="85"/>
      <c r="Q860" s="94"/>
      <c r="R860" s="93"/>
      <c r="S860" s="85"/>
      <c r="U860" s="94"/>
      <c r="V860" s="93"/>
      <c r="W860" s="85"/>
      <c r="Y860" s="94"/>
      <c r="Z860" s="93"/>
      <c r="AA860" s="85"/>
      <c r="AC860" s="94"/>
      <c r="AD860" s="93"/>
      <c r="AE860" s="85"/>
    </row>
    <row r="861" spans="6:31" ht="14.5" customHeight="1" x14ac:dyDescent="0.35">
      <c r="F861" s="93"/>
      <c r="G861" s="85"/>
      <c r="H861" s="87"/>
      <c r="J861" s="93"/>
      <c r="K861" s="85"/>
      <c r="N861" s="93"/>
      <c r="O861" s="85"/>
      <c r="Q861" s="94"/>
      <c r="R861" s="93"/>
      <c r="S861" s="85"/>
      <c r="U861" s="94"/>
      <c r="V861" s="93"/>
      <c r="W861" s="85"/>
      <c r="Y861" s="94"/>
      <c r="Z861" s="93"/>
      <c r="AA861" s="85"/>
      <c r="AC861" s="94"/>
      <c r="AD861" s="93"/>
      <c r="AE861" s="85"/>
    </row>
    <row r="862" spans="6:31" ht="14.5" customHeight="1" x14ac:dyDescent="0.35">
      <c r="F862" s="93"/>
      <c r="G862" s="85"/>
      <c r="H862" s="87"/>
      <c r="J862" s="93"/>
      <c r="K862" s="85"/>
      <c r="N862" s="93"/>
      <c r="O862" s="85"/>
      <c r="Q862" s="94"/>
      <c r="R862" s="93"/>
      <c r="S862" s="85"/>
      <c r="U862" s="94"/>
      <c r="V862" s="93"/>
      <c r="W862" s="85"/>
      <c r="Y862" s="94"/>
      <c r="Z862" s="93"/>
      <c r="AA862" s="85"/>
      <c r="AC862" s="94"/>
      <c r="AD862" s="93"/>
      <c r="AE862" s="85"/>
    </row>
    <row r="863" spans="6:31" ht="14.5" customHeight="1" x14ac:dyDescent="0.35">
      <c r="F863" s="93"/>
      <c r="G863" s="85"/>
      <c r="H863" s="87"/>
      <c r="J863" s="93"/>
      <c r="K863" s="85"/>
      <c r="N863" s="93"/>
      <c r="O863" s="85"/>
      <c r="Q863" s="94"/>
      <c r="R863" s="93"/>
      <c r="S863" s="85"/>
      <c r="U863" s="94"/>
      <c r="V863" s="93"/>
      <c r="W863" s="85"/>
      <c r="Y863" s="94"/>
      <c r="Z863" s="93"/>
      <c r="AA863" s="85"/>
      <c r="AC863" s="94"/>
      <c r="AD863" s="93"/>
      <c r="AE863" s="85"/>
    </row>
    <row r="864" spans="6:31" ht="14.5" customHeight="1" x14ac:dyDescent="0.35">
      <c r="F864" s="93"/>
      <c r="G864" s="85"/>
      <c r="H864" s="87"/>
      <c r="J864" s="93"/>
      <c r="K864" s="85"/>
      <c r="N864" s="93"/>
      <c r="O864" s="85"/>
      <c r="Q864" s="94"/>
      <c r="R864" s="93"/>
      <c r="S864" s="85"/>
      <c r="U864" s="94"/>
      <c r="V864" s="93"/>
      <c r="W864" s="85"/>
      <c r="Y864" s="94"/>
      <c r="Z864" s="93"/>
      <c r="AA864" s="85"/>
      <c r="AC864" s="94"/>
      <c r="AD864" s="93"/>
      <c r="AE864" s="85"/>
    </row>
    <row r="865" spans="6:31" ht="14.5" customHeight="1" x14ac:dyDescent="0.35">
      <c r="F865" s="93"/>
      <c r="G865" s="85"/>
      <c r="H865" s="87"/>
      <c r="J865" s="93"/>
      <c r="K865" s="85"/>
      <c r="N865" s="93"/>
      <c r="O865" s="85"/>
      <c r="Q865" s="94"/>
      <c r="R865" s="93"/>
      <c r="S865" s="85"/>
      <c r="U865" s="94"/>
      <c r="V865" s="93"/>
      <c r="W865" s="85"/>
      <c r="Y865" s="94"/>
      <c r="Z865" s="93"/>
      <c r="AA865" s="85"/>
      <c r="AC865" s="94"/>
      <c r="AD865" s="93"/>
      <c r="AE865" s="85"/>
    </row>
    <row r="866" spans="6:31" ht="14.5" customHeight="1" x14ac:dyDescent="0.35">
      <c r="F866" s="93"/>
      <c r="G866" s="85"/>
      <c r="H866" s="87"/>
      <c r="J866" s="93"/>
      <c r="K866" s="85"/>
      <c r="N866" s="93"/>
      <c r="O866" s="85"/>
      <c r="Q866" s="94"/>
      <c r="R866" s="93"/>
      <c r="S866" s="85"/>
      <c r="U866" s="94"/>
      <c r="V866" s="93"/>
      <c r="W866" s="85"/>
      <c r="Y866" s="94"/>
      <c r="Z866" s="93"/>
      <c r="AA866" s="85"/>
      <c r="AC866" s="94"/>
      <c r="AD866" s="93"/>
      <c r="AE866" s="85"/>
    </row>
    <row r="867" spans="6:31" ht="14.5" customHeight="1" x14ac:dyDescent="0.35">
      <c r="F867" s="93"/>
      <c r="G867" s="85"/>
      <c r="H867" s="87"/>
      <c r="J867" s="93"/>
      <c r="K867" s="85"/>
      <c r="N867" s="93"/>
      <c r="O867" s="85"/>
      <c r="Q867" s="94"/>
      <c r="R867" s="93"/>
      <c r="S867" s="85"/>
      <c r="U867" s="94"/>
      <c r="V867" s="93"/>
      <c r="W867" s="85"/>
      <c r="Y867" s="94"/>
      <c r="Z867" s="93"/>
      <c r="AA867" s="85"/>
      <c r="AC867" s="94"/>
      <c r="AD867" s="93"/>
      <c r="AE867" s="85"/>
    </row>
    <row r="868" spans="6:31" ht="14.5" customHeight="1" x14ac:dyDescent="0.35">
      <c r="F868" s="93"/>
      <c r="G868" s="85"/>
      <c r="H868" s="87"/>
      <c r="J868" s="93"/>
      <c r="K868" s="85"/>
      <c r="N868" s="93"/>
      <c r="O868" s="85"/>
      <c r="Q868" s="94"/>
      <c r="R868" s="93"/>
      <c r="S868" s="85"/>
      <c r="U868" s="94"/>
      <c r="V868" s="93"/>
      <c r="W868" s="85"/>
      <c r="Y868" s="94"/>
      <c r="Z868" s="93"/>
      <c r="AA868" s="85"/>
      <c r="AC868" s="94"/>
      <c r="AD868" s="93"/>
      <c r="AE868" s="85"/>
    </row>
    <row r="869" spans="6:31" ht="14.5" customHeight="1" x14ac:dyDescent="0.35">
      <c r="F869" s="93"/>
      <c r="G869" s="85"/>
      <c r="H869" s="87"/>
      <c r="J869" s="93"/>
      <c r="K869" s="85"/>
      <c r="N869" s="93"/>
      <c r="O869" s="85"/>
      <c r="Q869" s="94"/>
      <c r="R869" s="93"/>
      <c r="S869" s="85"/>
      <c r="U869" s="94"/>
      <c r="V869" s="93"/>
      <c r="W869" s="85"/>
      <c r="Y869" s="94"/>
      <c r="Z869" s="93"/>
      <c r="AA869" s="85"/>
      <c r="AC869" s="94"/>
      <c r="AD869" s="93"/>
      <c r="AE869" s="85"/>
    </row>
    <row r="870" spans="6:31" ht="14.5" customHeight="1" x14ac:dyDescent="0.35">
      <c r="F870" s="93"/>
      <c r="G870" s="85"/>
      <c r="H870" s="87"/>
      <c r="J870" s="93"/>
      <c r="K870" s="85"/>
      <c r="N870" s="93"/>
      <c r="O870" s="85"/>
      <c r="Q870" s="94"/>
      <c r="R870" s="93"/>
      <c r="S870" s="85"/>
      <c r="U870" s="94"/>
      <c r="V870" s="93"/>
      <c r="W870" s="85"/>
      <c r="Y870" s="94"/>
      <c r="Z870" s="93"/>
      <c r="AA870" s="85"/>
      <c r="AC870" s="94"/>
      <c r="AD870" s="93"/>
      <c r="AE870" s="85"/>
    </row>
    <row r="871" spans="6:31" ht="14.5" customHeight="1" x14ac:dyDescent="0.35">
      <c r="F871" s="93"/>
      <c r="G871" s="85"/>
      <c r="H871" s="87"/>
      <c r="J871" s="93"/>
      <c r="K871" s="85"/>
      <c r="N871" s="93"/>
      <c r="O871" s="85"/>
      <c r="Q871" s="94"/>
      <c r="R871" s="93"/>
      <c r="S871" s="85"/>
      <c r="U871" s="94"/>
      <c r="V871" s="93"/>
      <c r="W871" s="85"/>
      <c r="Y871" s="94"/>
      <c r="Z871" s="93"/>
      <c r="AA871" s="85"/>
      <c r="AC871" s="94"/>
      <c r="AD871" s="93"/>
      <c r="AE871" s="85"/>
    </row>
    <row r="872" spans="6:31" ht="14.5" customHeight="1" x14ac:dyDescent="0.35">
      <c r="F872" s="93"/>
      <c r="G872" s="85"/>
      <c r="H872" s="87"/>
      <c r="J872" s="93"/>
      <c r="K872" s="85"/>
      <c r="N872" s="93"/>
      <c r="O872" s="85"/>
      <c r="Q872" s="94"/>
      <c r="R872" s="93"/>
      <c r="S872" s="85"/>
      <c r="U872" s="94"/>
      <c r="V872" s="93"/>
      <c r="W872" s="85"/>
      <c r="Y872" s="94"/>
      <c r="Z872" s="93"/>
      <c r="AA872" s="85"/>
      <c r="AC872" s="94"/>
      <c r="AD872" s="93"/>
      <c r="AE872" s="85"/>
    </row>
    <row r="873" spans="6:31" ht="14.5" customHeight="1" x14ac:dyDescent="0.35">
      <c r="F873" s="93"/>
      <c r="G873" s="85"/>
      <c r="H873" s="87"/>
      <c r="J873" s="93"/>
      <c r="K873" s="85"/>
      <c r="N873" s="93"/>
      <c r="O873" s="85"/>
      <c r="Q873" s="94"/>
      <c r="R873" s="93"/>
      <c r="S873" s="85"/>
      <c r="U873" s="94"/>
      <c r="V873" s="93"/>
      <c r="W873" s="85"/>
      <c r="Y873" s="94"/>
      <c r="Z873" s="93"/>
      <c r="AA873" s="85"/>
      <c r="AC873" s="94"/>
      <c r="AD873" s="93"/>
      <c r="AE873" s="85"/>
    </row>
    <row r="874" spans="6:31" ht="14.5" customHeight="1" x14ac:dyDescent="0.35">
      <c r="F874" s="93"/>
      <c r="G874" s="85"/>
      <c r="H874" s="87"/>
      <c r="J874" s="93"/>
      <c r="K874" s="85"/>
      <c r="N874" s="93"/>
      <c r="O874" s="85"/>
      <c r="Q874" s="94"/>
      <c r="R874" s="93"/>
      <c r="S874" s="85"/>
      <c r="U874" s="94"/>
      <c r="V874" s="93"/>
      <c r="W874" s="85"/>
      <c r="Y874" s="94"/>
      <c r="Z874" s="93"/>
      <c r="AA874" s="85"/>
      <c r="AC874" s="94"/>
      <c r="AD874" s="93"/>
      <c r="AE874" s="85"/>
    </row>
    <row r="875" spans="6:31" ht="14.5" customHeight="1" x14ac:dyDescent="0.35">
      <c r="F875" s="93"/>
      <c r="G875" s="85"/>
      <c r="H875" s="87"/>
      <c r="J875" s="93"/>
      <c r="K875" s="85"/>
      <c r="N875" s="93"/>
      <c r="O875" s="85"/>
      <c r="Q875" s="94"/>
      <c r="R875" s="93"/>
      <c r="S875" s="85"/>
      <c r="U875" s="94"/>
      <c r="V875" s="93"/>
      <c r="W875" s="85"/>
      <c r="Y875" s="94"/>
      <c r="Z875" s="93"/>
      <c r="AA875" s="85"/>
      <c r="AC875" s="94"/>
      <c r="AD875" s="93"/>
      <c r="AE875" s="85"/>
    </row>
    <row r="876" spans="6:31" ht="14.5" customHeight="1" x14ac:dyDescent="0.35">
      <c r="F876" s="93"/>
      <c r="G876" s="85"/>
      <c r="H876" s="87"/>
      <c r="J876" s="93"/>
      <c r="K876" s="85"/>
      <c r="N876" s="93"/>
      <c r="O876" s="85"/>
      <c r="Q876" s="94"/>
      <c r="R876" s="93"/>
      <c r="S876" s="85"/>
      <c r="U876" s="94"/>
      <c r="V876" s="93"/>
      <c r="W876" s="85"/>
      <c r="Y876" s="94"/>
      <c r="Z876" s="93"/>
      <c r="AA876" s="85"/>
      <c r="AC876" s="94"/>
      <c r="AD876" s="93"/>
      <c r="AE876" s="85"/>
    </row>
    <row r="877" spans="6:31" ht="14.5" customHeight="1" x14ac:dyDescent="0.35">
      <c r="F877" s="93"/>
      <c r="G877" s="85"/>
      <c r="H877" s="87"/>
      <c r="J877" s="93"/>
      <c r="K877" s="85"/>
      <c r="N877" s="93"/>
      <c r="O877" s="85"/>
      <c r="Q877" s="94"/>
      <c r="R877" s="93"/>
      <c r="S877" s="85"/>
      <c r="U877" s="94"/>
      <c r="V877" s="93"/>
      <c r="W877" s="85"/>
      <c r="Y877" s="94"/>
      <c r="Z877" s="93"/>
      <c r="AA877" s="85"/>
      <c r="AC877" s="94"/>
      <c r="AD877" s="93"/>
      <c r="AE877" s="85"/>
    </row>
    <row r="878" spans="6:31" ht="14.5" customHeight="1" x14ac:dyDescent="0.35">
      <c r="F878" s="93"/>
      <c r="G878" s="85"/>
      <c r="H878" s="87"/>
      <c r="J878" s="93"/>
      <c r="K878" s="85"/>
      <c r="N878" s="93"/>
      <c r="O878" s="85"/>
      <c r="Q878" s="94"/>
      <c r="R878" s="93"/>
      <c r="S878" s="85"/>
      <c r="U878" s="94"/>
      <c r="V878" s="93"/>
      <c r="W878" s="85"/>
      <c r="Y878" s="94"/>
      <c r="Z878" s="93"/>
      <c r="AA878" s="85"/>
      <c r="AC878" s="94"/>
      <c r="AD878" s="93"/>
      <c r="AE878" s="85"/>
    </row>
    <row r="879" spans="6:31" ht="14.5" customHeight="1" x14ac:dyDescent="0.35">
      <c r="F879" s="93"/>
      <c r="G879" s="85"/>
      <c r="H879" s="87"/>
      <c r="J879" s="93"/>
      <c r="K879" s="85"/>
      <c r="N879" s="93"/>
      <c r="O879" s="85"/>
      <c r="Q879" s="94"/>
      <c r="R879" s="93"/>
      <c r="S879" s="85"/>
      <c r="U879" s="94"/>
      <c r="V879" s="93"/>
      <c r="W879" s="85"/>
      <c r="Y879" s="94"/>
      <c r="Z879" s="93"/>
      <c r="AA879" s="85"/>
      <c r="AC879" s="94"/>
      <c r="AD879" s="93"/>
      <c r="AE879" s="85"/>
    </row>
    <row r="880" spans="6:31" ht="14.5" customHeight="1" x14ac:dyDescent="0.35">
      <c r="F880" s="93"/>
      <c r="G880" s="85"/>
      <c r="H880" s="87"/>
      <c r="J880" s="93"/>
      <c r="K880" s="85"/>
      <c r="N880" s="93"/>
      <c r="O880" s="85"/>
      <c r="Q880" s="94"/>
      <c r="R880" s="93"/>
      <c r="S880" s="85"/>
      <c r="U880" s="94"/>
      <c r="V880" s="93"/>
      <c r="W880" s="85"/>
      <c r="Y880" s="94"/>
      <c r="Z880" s="93"/>
      <c r="AA880" s="85"/>
      <c r="AC880" s="94"/>
      <c r="AD880" s="93"/>
      <c r="AE880" s="85"/>
    </row>
    <row r="881" spans="6:31" ht="14.5" customHeight="1" x14ac:dyDescent="0.35">
      <c r="F881" s="93"/>
      <c r="G881" s="85"/>
      <c r="H881" s="87"/>
      <c r="J881" s="93"/>
      <c r="K881" s="85"/>
      <c r="N881" s="93"/>
      <c r="O881" s="85"/>
      <c r="Q881" s="94"/>
      <c r="R881" s="93"/>
      <c r="S881" s="85"/>
      <c r="U881" s="94"/>
      <c r="V881" s="93"/>
      <c r="W881" s="85"/>
      <c r="Y881" s="94"/>
      <c r="Z881" s="93"/>
      <c r="AA881" s="85"/>
      <c r="AC881" s="94"/>
      <c r="AD881" s="93"/>
      <c r="AE881" s="85"/>
    </row>
    <row r="882" spans="6:31" ht="14.5" customHeight="1" x14ac:dyDescent="0.35">
      <c r="F882" s="93"/>
      <c r="G882" s="85"/>
      <c r="H882" s="87"/>
      <c r="J882" s="93"/>
      <c r="K882" s="85"/>
      <c r="N882" s="93"/>
      <c r="O882" s="85"/>
      <c r="Q882" s="94"/>
      <c r="R882" s="93"/>
      <c r="S882" s="85"/>
      <c r="U882" s="94"/>
      <c r="V882" s="93"/>
      <c r="W882" s="85"/>
      <c r="Y882" s="94"/>
      <c r="Z882" s="93"/>
      <c r="AA882" s="85"/>
      <c r="AC882" s="94"/>
      <c r="AD882" s="93"/>
      <c r="AE882" s="85"/>
    </row>
    <row r="883" spans="6:31" ht="14.5" customHeight="1" x14ac:dyDescent="0.35">
      <c r="F883" s="93"/>
      <c r="G883" s="85"/>
      <c r="H883" s="87"/>
      <c r="J883" s="93"/>
      <c r="K883" s="85"/>
      <c r="N883" s="93"/>
      <c r="O883" s="85"/>
      <c r="Q883" s="94"/>
      <c r="R883" s="93"/>
      <c r="S883" s="85"/>
      <c r="U883" s="94"/>
      <c r="V883" s="93"/>
      <c r="W883" s="85"/>
      <c r="Y883" s="94"/>
      <c r="Z883" s="93"/>
      <c r="AA883" s="85"/>
      <c r="AC883" s="94"/>
      <c r="AD883" s="93"/>
      <c r="AE883" s="85"/>
    </row>
    <row r="884" spans="6:31" ht="14.5" customHeight="1" x14ac:dyDescent="0.35">
      <c r="F884" s="93"/>
      <c r="G884" s="85"/>
      <c r="H884" s="87"/>
      <c r="J884" s="93"/>
      <c r="K884" s="85"/>
      <c r="N884" s="93"/>
      <c r="O884" s="85"/>
      <c r="Q884" s="94"/>
      <c r="R884" s="93"/>
      <c r="S884" s="85"/>
      <c r="U884" s="94"/>
      <c r="V884" s="93"/>
      <c r="W884" s="85"/>
      <c r="Y884" s="94"/>
      <c r="Z884" s="93"/>
      <c r="AA884" s="85"/>
      <c r="AC884" s="94"/>
      <c r="AD884" s="93"/>
      <c r="AE884" s="85"/>
    </row>
    <row r="885" spans="6:31" ht="14.5" customHeight="1" x14ac:dyDescent="0.35">
      <c r="F885" s="93"/>
      <c r="G885" s="85"/>
      <c r="H885" s="87"/>
      <c r="J885" s="93"/>
      <c r="K885" s="85"/>
      <c r="N885" s="93"/>
      <c r="O885" s="85"/>
      <c r="Q885" s="94"/>
      <c r="R885" s="93"/>
      <c r="S885" s="85"/>
      <c r="U885" s="94"/>
      <c r="V885" s="93"/>
      <c r="W885" s="85"/>
      <c r="Y885" s="94"/>
      <c r="Z885" s="93"/>
      <c r="AA885" s="85"/>
      <c r="AC885" s="94"/>
      <c r="AD885" s="93"/>
      <c r="AE885" s="85"/>
    </row>
    <row r="886" spans="6:31" ht="14.5" customHeight="1" x14ac:dyDescent="0.35">
      <c r="F886" s="93"/>
      <c r="G886" s="85"/>
      <c r="H886" s="87"/>
      <c r="J886" s="93"/>
      <c r="K886" s="85"/>
      <c r="N886" s="93"/>
      <c r="O886" s="85"/>
      <c r="Q886" s="94"/>
      <c r="R886" s="93"/>
      <c r="S886" s="85"/>
      <c r="U886" s="94"/>
      <c r="V886" s="93"/>
      <c r="W886" s="85"/>
      <c r="Y886" s="94"/>
      <c r="Z886" s="93"/>
      <c r="AA886" s="85"/>
      <c r="AC886" s="94"/>
      <c r="AD886" s="93"/>
      <c r="AE886" s="85"/>
    </row>
    <row r="887" spans="6:31" ht="14.5" customHeight="1" x14ac:dyDescent="0.35">
      <c r="F887" s="93"/>
      <c r="G887" s="85"/>
      <c r="H887" s="87"/>
      <c r="J887" s="93"/>
      <c r="K887" s="85"/>
      <c r="N887" s="93"/>
      <c r="O887" s="85"/>
      <c r="Q887" s="94"/>
      <c r="R887" s="93"/>
      <c r="S887" s="85"/>
      <c r="U887" s="94"/>
      <c r="V887" s="93"/>
      <c r="W887" s="85"/>
      <c r="Y887" s="94"/>
      <c r="Z887" s="93"/>
      <c r="AA887" s="85"/>
      <c r="AC887" s="94"/>
      <c r="AD887" s="93"/>
      <c r="AE887" s="85"/>
    </row>
    <row r="888" spans="6:31" ht="14.5" customHeight="1" x14ac:dyDescent="0.35">
      <c r="F888" s="93"/>
      <c r="G888" s="85"/>
      <c r="H888" s="87"/>
      <c r="J888" s="93"/>
      <c r="K888" s="85"/>
      <c r="N888" s="93"/>
      <c r="O888" s="85"/>
      <c r="Q888" s="94"/>
      <c r="R888" s="93"/>
      <c r="S888" s="85"/>
      <c r="U888" s="94"/>
      <c r="V888" s="93"/>
      <c r="W888" s="85"/>
      <c r="Y888" s="94"/>
      <c r="Z888" s="93"/>
      <c r="AA888" s="85"/>
      <c r="AC888" s="94"/>
      <c r="AD888" s="93"/>
      <c r="AE888" s="85"/>
    </row>
    <row r="889" spans="6:31" ht="14.5" customHeight="1" x14ac:dyDescent="0.35">
      <c r="F889" s="93"/>
      <c r="G889" s="85"/>
      <c r="H889" s="87"/>
      <c r="J889" s="93"/>
      <c r="K889" s="85"/>
      <c r="N889" s="93"/>
      <c r="O889" s="85"/>
      <c r="Q889" s="94"/>
      <c r="R889" s="93"/>
      <c r="S889" s="85"/>
      <c r="U889" s="94"/>
      <c r="V889" s="93"/>
      <c r="W889" s="85"/>
      <c r="Y889" s="94"/>
      <c r="Z889" s="93"/>
      <c r="AA889" s="85"/>
      <c r="AC889" s="94"/>
      <c r="AD889" s="93"/>
      <c r="AE889" s="85"/>
    </row>
    <row r="890" spans="6:31" ht="14.5" customHeight="1" x14ac:dyDescent="0.35">
      <c r="F890" s="93"/>
      <c r="G890" s="85"/>
      <c r="H890" s="87"/>
      <c r="J890" s="93"/>
      <c r="K890" s="85"/>
      <c r="N890" s="93"/>
      <c r="O890" s="85"/>
      <c r="Q890" s="94"/>
      <c r="R890" s="93"/>
      <c r="S890" s="85"/>
      <c r="U890" s="94"/>
      <c r="V890" s="93"/>
      <c r="W890" s="85"/>
      <c r="Y890" s="94"/>
      <c r="Z890" s="93"/>
      <c r="AA890" s="85"/>
      <c r="AC890" s="94"/>
      <c r="AD890" s="93"/>
      <c r="AE890" s="85"/>
    </row>
    <row r="891" spans="6:31" ht="14.5" customHeight="1" x14ac:dyDescent="0.35">
      <c r="F891" s="93"/>
      <c r="G891" s="85"/>
      <c r="H891" s="87"/>
      <c r="J891" s="93"/>
      <c r="K891" s="85"/>
      <c r="N891" s="93"/>
      <c r="O891" s="85"/>
      <c r="Q891" s="94"/>
      <c r="R891" s="93"/>
      <c r="S891" s="85"/>
      <c r="U891" s="94"/>
      <c r="V891" s="93"/>
      <c r="W891" s="85"/>
      <c r="Y891" s="94"/>
      <c r="Z891" s="93"/>
      <c r="AA891" s="85"/>
      <c r="AC891" s="94"/>
      <c r="AD891" s="93"/>
      <c r="AE891" s="85"/>
    </row>
    <row r="892" spans="6:31" ht="14.5" customHeight="1" x14ac:dyDescent="0.35">
      <c r="F892" s="93"/>
      <c r="G892" s="85"/>
      <c r="H892" s="87"/>
      <c r="J892" s="93"/>
      <c r="K892" s="85"/>
      <c r="N892" s="93"/>
      <c r="O892" s="85"/>
      <c r="Q892" s="94"/>
      <c r="R892" s="93"/>
      <c r="S892" s="85"/>
      <c r="U892" s="94"/>
      <c r="V892" s="93"/>
      <c r="W892" s="85"/>
      <c r="Y892" s="94"/>
      <c r="Z892" s="93"/>
      <c r="AA892" s="85"/>
      <c r="AC892" s="94"/>
      <c r="AD892" s="93"/>
      <c r="AE892" s="85"/>
    </row>
    <row r="893" spans="6:31" ht="14.5" customHeight="1" x14ac:dyDescent="0.35">
      <c r="F893" s="93"/>
      <c r="G893" s="85"/>
      <c r="H893" s="87"/>
      <c r="J893" s="93"/>
      <c r="K893" s="85"/>
      <c r="N893" s="93"/>
      <c r="O893" s="85"/>
      <c r="Q893" s="94"/>
      <c r="R893" s="93"/>
      <c r="S893" s="85"/>
      <c r="U893" s="94"/>
      <c r="V893" s="93"/>
      <c r="W893" s="85"/>
      <c r="Y893" s="94"/>
      <c r="Z893" s="93"/>
      <c r="AA893" s="85"/>
      <c r="AC893" s="94"/>
      <c r="AD893" s="93"/>
      <c r="AE893" s="85"/>
    </row>
    <row r="894" spans="6:31" ht="14.5" customHeight="1" x14ac:dyDescent="0.35">
      <c r="F894" s="93"/>
      <c r="G894" s="85"/>
      <c r="H894" s="87"/>
      <c r="J894" s="93"/>
      <c r="K894" s="85"/>
      <c r="N894" s="93"/>
      <c r="O894" s="85"/>
      <c r="Q894" s="94"/>
      <c r="R894" s="93"/>
      <c r="S894" s="85"/>
      <c r="U894" s="94"/>
      <c r="V894" s="93"/>
      <c r="W894" s="85"/>
      <c r="Y894" s="94"/>
      <c r="Z894" s="93"/>
      <c r="AA894" s="85"/>
      <c r="AC894" s="94"/>
      <c r="AD894" s="93"/>
      <c r="AE894" s="85"/>
    </row>
    <row r="895" spans="6:31" ht="14.5" customHeight="1" x14ac:dyDescent="0.35">
      <c r="F895" s="93"/>
      <c r="G895" s="85"/>
      <c r="H895" s="87"/>
      <c r="J895" s="93"/>
      <c r="K895" s="85"/>
      <c r="N895" s="93"/>
      <c r="O895" s="85"/>
      <c r="Q895" s="94"/>
      <c r="R895" s="93"/>
      <c r="S895" s="85"/>
      <c r="U895" s="94"/>
      <c r="V895" s="93"/>
      <c r="W895" s="85"/>
      <c r="Y895" s="94"/>
      <c r="Z895" s="93"/>
      <c r="AA895" s="85"/>
      <c r="AC895" s="94"/>
      <c r="AD895" s="93"/>
      <c r="AE895" s="85"/>
    </row>
    <row r="896" spans="6:31" ht="14.5" customHeight="1" x14ac:dyDescent="0.35">
      <c r="F896" s="93"/>
      <c r="G896" s="85"/>
      <c r="H896" s="87"/>
      <c r="J896" s="93"/>
      <c r="K896" s="85"/>
      <c r="N896" s="93"/>
      <c r="O896" s="85"/>
      <c r="Q896" s="94"/>
      <c r="R896" s="93"/>
      <c r="S896" s="85"/>
      <c r="U896" s="94"/>
      <c r="V896" s="93"/>
      <c r="W896" s="85"/>
      <c r="Y896" s="94"/>
      <c r="Z896" s="93"/>
      <c r="AA896" s="85"/>
      <c r="AC896" s="94"/>
      <c r="AD896" s="93"/>
      <c r="AE896" s="85"/>
    </row>
    <row r="897" spans="6:31" ht="14.5" customHeight="1" x14ac:dyDescent="0.35">
      <c r="F897" s="93"/>
      <c r="G897" s="85"/>
      <c r="H897" s="87"/>
      <c r="J897" s="93"/>
      <c r="K897" s="85"/>
      <c r="N897" s="93"/>
      <c r="O897" s="85"/>
      <c r="Q897" s="94"/>
      <c r="R897" s="93"/>
      <c r="S897" s="85"/>
      <c r="U897" s="94"/>
      <c r="V897" s="93"/>
      <c r="W897" s="85"/>
      <c r="Y897" s="94"/>
      <c r="Z897" s="93"/>
      <c r="AA897" s="85"/>
      <c r="AC897" s="94"/>
      <c r="AD897" s="93"/>
      <c r="AE897" s="85"/>
    </row>
    <row r="898" spans="6:31" ht="14.5" customHeight="1" x14ac:dyDescent="0.35">
      <c r="F898" s="93"/>
      <c r="G898" s="85"/>
      <c r="H898" s="87"/>
      <c r="J898" s="93"/>
      <c r="K898" s="85"/>
      <c r="N898" s="93"/>
      <c r="O898" s="85"/>
      <c r="Q898" s="94"/>
      <c r="R898" s="93"/>
      <c r="S898" s="85"/>
      <c r="U898" s="94"/>
      <c r="V898" s="93"/>
      <c r="W898" s="85"/>
      <c r="Y898" s="94"/>
      <c r="Z898" s="93"/>
      <c r="AA898" s="85"/>
      <c r="AC898" s="94"/>
      <c r="AD898" s="93"/>
      <c r="AE898" s="85"/>
    </row>
    <row r="899" spans="6:31" ht="14.5" customHeight="1" x14ac:dyDescent="0.35">
      <c r="F899" s="93"/>
      <c r="G899" s="85"/>
      <c r="H899" s="87"/>
      <c r="J899" s="93"/>
      <c r="K899" s="85"/>
      <c r="N899" s="93"/>
      <c r="O899" s="85"/>
      <c r="Q899" s="94"/>
      <c r="R899" s="93"/>
      <c r="S899" s="85"/>
      <c r="U899" s="94"/>
      <c r="V899" s="93"/>
      <c r="W899" s="85"/>
      <c r="Y899" s="94"/>
      <c r="Z899" s="93"/>
      <c r="AA899" s="85"/>
      <c r="AC899" s="94"/>
      <c r="AD899" s="93"/>
      <c r="AE899" s="85"/>
    </row>
    <row r="900" spans="6:31" ht="14.5" customHeight="1" x14ac:dyDescent="0.35">
      <c r="F900" s="93"/>
      <c r="G900" s="85"/>
      <c r="H900" s="87"/>
      <c r="J900" s="93"/>
      <c r="K900" s="85"/>
      <c r="N900" s="93"/>
      <c r="O900" s="85"/>
      <c r="Q900" s="94"/>
      <c r="R900" s="93"/>
      <c r="S900" s="85"/>
      <c r="U900" s="94"/>
      <c r="V900" s="93"/>
      <c r="W900" s="85"/>
      <c r="Y900" s="94"/>
      <c r="Z900" s="93"/>
      <c r="AA900" s="85"/>
      <c r="AC900" s="94"/>
      <c r="AD900" s="93"/>
      <c r="AE900" s="85"/>
    </row>
    <row r="901" spans="6:31" ht="14.5" customHeight="1" x14ac:dyDescent="0.35">
      <c r="F901" s="93"/>
      <c r="G901" s="85"/>
      <c r="H901" s="87"/>
      <c r="J901" s="93"/>
      <c r="K901" s="85"/>
      <c r="N901" s="93"/>
      <c r="O901" s="85"/>
      <c r="Q901" s="94"/>
      <c r="R901" s="93"/>
      <c r="S901" s="85"/>
      <c r="U901" s="94"/>
      <c r="V901" s="93"/>
      <c r="W901" s="85"/>
      <c r="Y901" s="94"/>
      <c r="Z901" s="93"/>
      <c r="AA901" s="85"/>
      <c r="AC901" s="94"/>
      <c r="AD901" s="93"/>
      <c r="AE901" s="85"/>
    </row>
    <row r="902" spans="6:31" ht="14.5" customHeight="1" x14ac:dyDescent="0.35">
      <c r="F902" s="93"/>
      <c r="G902" s="85"/>
      <c r="H902" s="87"/>
      <c r="J902" s="93"/>
      <c r="K902" s="85"/>
      <c r="N902" s="93"/>
      <c r="O902" s="85"/>
      <c r="Q902" s="94"/>
      <c r="R902" s="93"/>
      <c r="S902" s="85"/>
      <c r="U902" s="94"/>
      <c r="V902" s="93"/>
      <c r="W902" s="85"/>
      <c r="Y902" s="94"/>
      <c r="Z902" s="93"/>
      <c r="AA902" s="85"/>
      <c r="AC902" s="94"/>
      <c r="AD902" s="93"/>
      <c r="AE902" s="85"/>
    </row>
    <row r="903" spans="6:31" ht="14.5" customHeight="1" x14ac:dyDescent="0.35">
      <c r="F903" s="93"/>
      <c r="G903" s="85"/>
      <c r="H903" s="87"/>
      <c r="J903" s="93"/>
      <c r="K903" s="85"/>
      <c r="N903" s="93"/>
      <c r="O903" s="85"/>
      <c r="Q903" s="94"/>
      <c r="R903" s="93"/>
      <c r="S903" s="85"/>
      <c r="U903" s="94"/>
      <c r="V903" s="93"/>
      <c r="W903" s="85"/>
      <c r="Y903" s="94"/>
      <c r="Z903" s="93"/>
      <c r="AA903" s="85"/>
      <c r="AC903" s="94"/>
      <c r="AD903" s="93"/>
      <c r="AE903" s="85"/>
    </row>
    <row r="904" spans="6:31" ht="14.5" customHeight="1" x14ac:dyDescent="0.35">
      <c r="F904" s="93"/>
      <c r="G904" s="85"/>
      <c r="H904" s="87"/>
      <c r="J904" s="93"/>
      <c r="K904" s="85"/>
      <c r="N904" s="93"/>
      <c r="O904" s="85"/>
      <c r="Q904" s="94"/>
      <c r="R904" s="93"/>
      <c r="S904" s="85"/>
      <c r="U904" s="94"/>
      <c r="V904" s="93"/>
      <c r="W904" s="85"/>
      <c r="Y904" s="94"/>
      <c r="Z904" s="93"/>
      <c r="AA904" s="85"/>
      <c r="AC904" s="94"/>
      <c r="AD904" s="93"/>
      <c r="AE904" s="85"/>
    </row>
    <row r="905" spans="6:31" ht="14.5" customHeight="1" x14ac:dyDescent="0.35">
      <c r="F905" s="93"/>
      <c r="G905" s="85"/>
      <c r="H905" s="87"/>
      <c r="J905" s="93"/>
      <c r="K905" s="85"/>
      <c r="N905" s="93"/>
      <c r="O905" s="85"/>
      <c r="Q905" s="94"/>
      <c r="R905" s="93"/>
      <c r="S905" s="85"/>
      <c r="U905" s="94"/>
      <c r="V905" s="93"/>
      <c r="W905" s="85"/>
      <c r="Y905" s="94"/>
      <c r="Z905" s="93"/>
      <c r="AA905" s="85"/>
      <c r="AC905" s="94"/>
      <c r="AD905" s="93"/>
      <c r="AE905" s="85"/>
    </row>
    <row r="906" spans="6:31" ht="14.5" customHeight="1" x14ac:dyDescent="0.35">
      <c r="F906" s="93"/>
      <c r="G906" s="85"/>
      <c r="H906" s="87"/>
      <c r="J906" s="93"/>
      <c r="K906" s="85"/>
      <c r="N906" s="93"/>
      <c r="O906" s="85"/>
      <c r="Q906" s="94"/>
      <c r="R906" s="93"/>
      <c r="S906" s="85"/>
      <c r="U906" s="94"/>
      <c r="V906" s="93"/>
      <c r="W906" s="85"/>
      <c r="Y906" s="94"/>
      <c r="Z906" s="93"/>
      <c r="AA906" s="85"/>
      <c r="AC906" s="94"/>
      <c r="AD906" s="93"/>
      <c r="AE906" s="85"/>
    </row>
    <row r="907" spans="6:31" ht="14.5" customHeight="1" x14ac:dyDescent="0.35">
      <c r="F907" s="93"/>
      <c r="G907" s="85"/>
      <c r="H907" s="87"/>
      <c r="J907" s="93"/>
      <c r="K907" s="85"/>
      <c r="N907" s="93"/>
      <c r="O907" s="85"/>
      <c r="Q907" s="94"/>
      <c r="R907" s="93"/>
      <c r="S907" s="85"/>
      <c r="U907" s="94"/>
      <c r="V907" s="93"/>
      <c r="W907" s="85"/>
      <c r="Y907" s="94"/>
      <c r="Z907" s="93"/>
      <c r="AA907" s="85"/>
      <c r="AC907" s="94"/>
      <c r="AD907" s="93"/>
      <c r="AE907" s="85"/>
    </row>
    <row r="908" spans="6:31" ht="14.5" customHeight="1" x14ac:dyDescent="0.35">
      <c r="F908" s="93"/>
      <c r="G908" s="85"/>
      <c r="H908" s="87"/>
      <c r="J908" s="93"/>
      <c r="K908" s="85"/>
      <c r="N908" s="93"/>
      <c r="O908" s="85"/>
      <c r="Q908" s="94"/>
      <c r="R908" s="93"/>
      <c r="S908" s="85"/>
      <c r="U908" s="94"/>
      <c r="V908" s="93"/>
      <c r="W908" s="85"/>
      <c r="Y908" s="94"/>
      <c r="Z908" s="93"/>
      <c r="AA908" s="85"/>
      <c r="AC908" s="94"/>
      <c r="AD908" s="93"/>
      <c r="AE908" s="85"/>
    </row>
    <row r="909" spans="6:31" ht="14.5" customHeight="1" x14ac:dyDescent="0.35">
      <c r="F909" s="93"/>
      <c r="G909" s="85"/>
      <c r="H909" s="87"/>
      <c r="J909" s="93"/>
      <c r="K909" s="85"/>
      <c r="N909" s="93"/>
      <c r="O909" s="85"/>
      <c r="Q909" s="94"/>
      <c r="R909" s="93"/>
      <c r="S909" s="85"/>
      <c r="U909" s="94"/>
      <c r="V909" s="93"/>
      <c r="W909" s="85"/>
      <c r="Y909" s="94"/>
      <c r="Z909" s="93"/>
      <c r="AA909" s="85"/>
      <c r="AC909" s="94"/>
      <c r="AD909" s="93"/>
      <c r="AE909" s="85"/>
    </row>
    <row r="910" spans="6:31" ht="14.5" customHeight="1" x14ac:dyDescent="0.35">
      <c r="F910" s="93"/>
      <c r="G910" s="85"/>
      <c r="H910" s="87"/>
      <c r="J910" s="93"/>
      <c r="K910" s="85"/>
      <c r="N910" s="93"/>
      <c r="O910" s="85"/>
      <c r="Q910" s="94"/>
      <c r="R910" s="93"/>
      <c r="S910" s="85"/>
      <c r="U910" s="94"/>
      <c r="V910" s="93"/>
      <c r="W910" s="85"/>
      <c r="Y910" s="94"/>
      <c r="Z910" s="93"/>
      <c r="AA910" s="85"/>
      <c r="AC910" s="94"/>
      <c r="AD910" s="93"/>
      <c r="AE910" s="85"/>
    </row>
    <row r="911" spans="6:31" ht="14.5" customHeight="1" x14ac:dyDescent="0.35">
      <c r="F911" s="93"/>
      <c r="G911" s="85"/>
      <c r="H911" s="87"/>
      <c r="J911" s="93"/>
      <c r="K911" s="85"/>
      <c r="N911" s="93"/>
      <c r="O911" s="85"/>
      <c r="Q911" s="94"/>
      <c r="R911" s="93"/>
      <c r="S911" s="85"/>
      <c r="U911" s="94"/>
      <c r="V911" s="93"/>
      <c r="W911" s="85"/>
      <c r="Y911" s="94"/>
      <c r="Z911" s="93"/>
      <c r="AA911" s="85"/>
      <c r="AC911" s="94"/>
      <c r="AD911" s="93"/>
      <c r="AE911" s="85"/>
    </row>
    <row r="912" spans="6:31" ht="14.5" customHeight="1" x14ac:dyDescent="0.35">
      <c r="F912" s="93"/>
      <c r="G912" s="85"/>
      <c r="H912" s="87"/>
      <c r="J912" s="93"/>
      <c r="K912" s="85"/>
      <c r="N912" s="93"/>
      <c r="O912" s="85"/>
      <c r="Q912" s="94"/>
      <c r="R912" s="93"/>
      <c r="S912" s="85"/>
      <c r="U912" s="94"/>
      <c r="V912" s="93"/>
      <c r="W912" s="85"/>
      <c r="Y912" s="94"/>
      <c r="Z912" s="93"/>
      <c r="AA912" s="85"/>
      <c r="AC912" s="94"/>
      <c r="AD912" s="93"/>
      <c r="AE912" s="85"/>
    </row>
    <row r="913" spans="6:31" ht="14.5" customHeight="1" x14ac:dyDescent="0.35">
      <c r="F913" s="93"/>
      <c r="G913" s="85"/>
      <c r="H913" s="87"/>
      <c r="J913" s="93"/>
      <c r="K913" s="85"/>
      <c r="N913" s="93"/>
      <c r="O913" s="85"/>
      <c r="Q913" s="94"/>
      <c r="R913" s="93"/>
      <c r="S913" s="85"/>
      <c r="U913" s="94"/>
      <c r="V913" s="93"/>
      <c r="W913" s="85"/>
      <c r="Y913" s="94"/>
      <c r="Z913" s="93"/>
      <c r="AA913" s="85"/>
      <c r="AC913" s="94"/>
      <c r="AD913" s="93"/>
      <c r="AE913" s="85"/>
    </row>
    <row r="914" spans="6:31" ht="14.5" customHeight="1" x14ac:dyDescent="0.35">
      <c r="F914" s="93"/>
      <c r="G914" s="85"/>
      <c r="H914" s="87"/>
      <c r="J914" s="93"/>
      <c r="K914" s="85"/>
      <c r="N914" s="93"/>
      <c r="O914" s="85"/>
      <c r="Q914" s="94"/>
      <c r="R914" s="93"/>
      <c r="S914" s="85"/>
      <c r="U914" s="94"/>
      <c r="V914" s="93"/>
      <c r="W914" s="85"/>
      <c r="Y914" s="94"/>
      <c r="Z914" s="93"/>
      <c r="AA914" s="85"/>
      <c r="AC914" s="94"/>
      <c r="AD914" s="93"/>
      <c r="AE914" s="85"/>
    </row>
    <row r="915" spans="6:31" ht="14.5" customHeight="1" x14ac:dyDescent="0.35">
      <c r="F915" s="93"/>
      <c r="G915" s="85"/>
      <c r="H915" s="87"/>
      <c r="J915" s="93"/>
      <c r="K915" s="85"/>
      <c r="N915" s="93"/>
      <c r="O915" s="85"/>
      <c r="Q915" s="94"/>
      <c r="R915" s="93"/>
      <c r="S915" s="85"/>
      <c r="U915" s="94"/>
      <c r="V915" s="93"/>
      <c r="W915" s="85"/>
      <c r="Y915" s="94"/>
      <c r="Z915" s="93"/>
      <c r="AA915" s="85"/>
      <c r="AC915" s="94"/>
      <c r="AD915" s="93"/>
      <c r="AE915" s="85"/>
    </row>
    <row r="916" spans="6:31" ht="14.5" customHeight="1" x14ac:dyDescent="0.35">
      <c r="F916" s="93"/>
      <c r="G916" s="85"/>
      <c r="H916" s="87"/>
      <c r="J916" s="93"/>
      <c r="K916" s="85"/>
      <c r="N916" s="93"/>
      <c r="O916" s="85"/>
      <c r="Q916" s="94"/>
      <c r="R916" s="93"/>
      <c r="S916" s="85"/>
      <c r="U916" s="94"/>
      <c r="V916" s="93"/>
      <c r="W916" s="85"/>
      <c r="Y916" s="94"/>
      <c r="Z916" s="93"/>
      <c r="AA916" s="85"/>
      <c r="AC916" s="94"/>
      <c r="AD916" s="93"/>
      <c r="AE916" s="85"/>
    </row>
    <row r="917" spans="6:31" ht="14.5" customHeight="1" x14ac:dyDescent="0.35">
      <c r="F917" s="93"/>
      <c r="G917" s="85"/>
      <c r="H917" s="87"/>
      <c r="J917" s="93"/>
      <c r="K917" s="85"/>
      <c r="N917" s="93"/>
      <c r="O917" s="85"/>
      <c r="Q917" s="94"/>
      <c r="R917" s="93"/>
      <c r="S917" s="85"/>
      <c r="U917" s="94"/>
      <c r="V917" s="93"/>
      <c r="W917" s="85"/>
      <c r="Y917" s="94"/>
      <c r="Z917" s="93"/>
      <c r="AA917" s="85"/>
      <c r="AC917" s="94"/>
      <c r="AD917" s="93"/>
      <c r="AE917" s="85"/>
    </row>
    <row r="918" spans="6:31" ht="14.5" customHeight="1" x14ac:dyDescent="0.35">
      <c r="F918" s="93"/>
      <c r="G918" s="85"/>
      <c r="H918" s="87"/>
      <c r="J918" s="93"/>
      <c r="K918" s="85"/>
      <c r="N918" s="93"/>
      <c r="O918" s="85"/>
      <c r="Q918" s="94"/>
      <c r="R918" s="93"/>
      <c r="S918" s="85"/>
      <c r="U918" s="94"/>
      <c r="V918" s="93"/>
      <c r="W918" s="85"/>
      <c r="Y918" s="94"/>
      <c r="Z918" s="93"/>
      <c r="AA918" s="85"/>
      <c r="AC918" s="94"/>
      <c r="AD918" s="93"/>
      <c r="AE918" s="85"/>
    </row>
    <row r="919" spans="6:31" ht="14.5" customHeight="1" x14ac:dyDescent="0.35">
      <c r="F919" s="93"/>
      <c r="G919" s="85"/>
      <c r="H919" s="87"/>
      <c r="J919" s="93"/>
      <c r="K919" s="85"/>
      <c r="N919" s="93"/>
      <c r="O919" s="85"/>
      <c r="Q919" s="94"/>
      <c r="R919" s="93"/>
      <c r="S919" s="85"/>
      <c r="U919" s="94"/>
      <c r="V919" s="93"/>
      <c r="W919" s="85"/>
      <c r="Y919" s="94"/>
      <c r="Z919" s="93"/>
      <c r="AA919" s="85"/>
      <c r="AC919" s="94"/>
      <c r="AD919" s="93"/>
      <c r="AE919" s="85"/>
    </row>
    <row r="920" spans="6:31" ht="14.5" customHeight="1" x14ac:dyDescent="0.35">
      <c r="F920" s="93"/>
      <c r="G920" s="85"/>
      <c r="H920" s="87"/>
      <c r="J920" s="93"/>
      <c r="K920" s="85"/>
      <c r="N920" s="93"/>
      <c r="O920" s="85"/>
      <c r="Q920" s="94"/>
      <c r="R920" s="93"/>
      <c r="S920" s="85"/>
      <c r="U920" s="94"/>
      <c r="V920" s="93"/>
      <c r="W920" s="85"/>
      <c r="Y920" s="94"/>
      <c r="Z920" s="93"/>
      <c r="AA920" s="85"/>
      <c r="AC920" s="94"/>
      <c r="AD920" s="93"/>
      <c r="AE920" s="85"/>
    </row>
    <row r="921" spans="6:31" ht="14.5" customHeight="1" x14ac:dyDescent="0.35">
      <c r="F921" s="93"/>
      <c r="G921" s="85"/>
      <c r="H921" s="87"/>
      <c r="J921" s="93"/>
      <c r="K921" s="85"/>
      <c r="N921" s="93"/>
      <c r="O921" s="85"/>
      <c r="Q921" s="94"/>
      <c r="R921" s="93"/>
      <c r="S921" s="85"/>
      <c r="U921" s="94"/>
      <c r="V921" s="93"/>
      <c r="W921" s="85"/>
      <c r="Y921" s="94"/>
      <c r="Z921" s="93"/>
      <c r="AA921" s="85"/>
      <c r="AC921" s="94"/>
      <c r="AD921" s="93"/>
      <c r="AE921" s="85"/>
    </row>
    <row r="922" spans="6:31" ht="14.5" customHeight="1" x14ac:dyDescent="0.35">
      <c r="F922" s="93"/>
      <c r="G922" s="85"/>
      <c r="H922" s="87"/>
      <c r="J922" s="93"/>
      <c r="K922" s="85"/>
      <c r="N922" s="93"/>
      <c r="O922" s="85"/>
      <c r="Q922" s="94"/>
      <c r="R922" s="93"/>
      <c r="S922" s="85"/>
      <c r="U922" s="94"/>
      <c r="V922" s="93"/>
      <c r="W922" s="85"/>
      <c r="Y922" s="94"/>
      <c r="Z922" s="93"/>
      <c r="AA922" s="85"/>
      <c r="AC922" s="94"/>
      <c r="AD922" s="93"/>
      <c r="AE922" s="85"/>
    </row>
    <row r="923" spans="6:31" ht="14.5" customHeight="1" x14ac:dyDescent="0.35">
      <c r="F923" s="93"/>
      <c r="G923" s="85"/>
      <c r="H923" s="87"/>
      <c r="J923" s="93"/>
      <c r="K923" s="85"/>
      <c r="N923" s="93"/>
      <c r="O923" s="85"/>
      <c r="Q923" s="94"/>
      <c r="R923" s="93"/>
      <c r="S923" s="85"/>
      <c r="U923" s="94"/>
      <c r="V923" s="93"/>
      <c r="W923" s="85"/>
      <c r="Y923" s="94"/>
      <c r="Z923" s="93"/>
      <c r="AA923" s="85"/>
      <c r="AC923" s="94"/>
      <c r="AD923" s="93"/>
      <c r="AE923" s="85"/>
    </row>
    <row r="924" spans="6:31" ht="14.5" customHeight="1" x14ac:dyDescent="0.35">
      <c r="F924" s="93"/>
      <c r="G924" s="85"/>
      <c r="H924" s="87"/>
      <c r="J924" s="93"/>
      <c r="K924" s="85"/>
      <c r="N924" s="93"/>
      <c r="O924" s="85"/>
      <c r="Q924" s="94"/>
      <c r="R924" s="93"/>
      <c r="S924" s="85"/>
      <c r="U924" s="94"/>
      <c r="V924" s="93"/>
      <c r="W924" s="85"/>
      <c r="Y924" s="94"/>
      <c r="Z924" s="93"/>
      <c r="AA924" s="85"/>
      <c r="AC924" s="94"/>
      <c r="AD924" s="93"/>
      <c r="AE924" s="85"/>
    </row>
    <row r="925" spans="6:31" ht="14.5" customHeight="1" x14ac:dyDescent="0.35">
      <c r="F925" s="93"/>
      <c r="G925" s="85"/>
      <c r="H925" s="87"/>
      <c r="J925" s="93"/>
      <c r="K925" s="85"/>
      <c r="N925" s="93"/>
      <c r="O925" s="85"/>
      <c r="Q925" s="94"/>
      <c r="R925" s="93"/>
      <c r="S925" s="85"/>
      <c r="U925" s="94"/>
      <c r="V925" s="93"/>
      <c r="W925" s="85"/>
      <c r="Y925" s="94"/>
      <c r="Z925" s="93"/>
      <c r="AA925" s="85"/>
      <c r="AC925" s="94"/>
      <c r="AD925" s="93"/>
      <c r="AE925" s="85"/>
    </row>
    <row r="926" spans="6:31" ht="14.5" customHeight="1" x14ac:dyDescent="0.35">
      <c r="F926" s="93"/>
      <c r="G926" s="85"/>
      <c r="H926" s="87"/>
      <c r="J926" s="93"/>
      <c r="K926" s="85"/>
      <c r="N926" s="93"/>
      <c r="O926" s="85"/>
      <c r="Q926" s="94"/>
      <c r="R926" s="93"/>
      <c r="S926" s="85"/>
      <c r="U926" s="94"/>
      <c r="V926" s="93"/>
      <c r="W926" s="85"/>
      <c r="Y926" s="94"/>
      <c r="Z926" s="93"/>
      <c r="AA926" s="85"/>
      <c r="AC926" s="94"/>
      <c r="AD926" s="93"/>
      <c r="AE926" s="85"/>
    </row>
    <row r="927" spans="6:31" ht="14.5" customHeight="1" x14ac:dyDescent="0.35">
      <c r="F927" s="93"/>
      <c r="G927" s="85"/>
      <c r="H927" s="87"/>
      <c r="J927" s="93"/>
      <c r="K927" s="85"/>
      <c r="N927" s="93"/>
      <c r="O927" s="85"/>
      <c r="Q927" s="94"/>
      <c r="R927" s="93"/>
      <c r="S927" s="85"/>
      <c r="U927" s="94"/>
      <c r="V927" s="93"/>
      <c r="W927" s="85"/>
      <c r="Y927" s="94"/>
      <c r="Z927" s="93"/>
      <c r="AA927" s="85"/>
      <c r="AC927" s="94"/>
      <c r="AD927" s="93"/>
      <c r="AE927" s="85"/>
    </row>
    <row r="928" spans="6:31" ht="14.5" customHeight="1" x14ac:dyDescent="0.35">
      <c r="F928" s="93"/>
      <c r="G928" s="85"/>
      <c r="H928" s="87"/>
      <c r="J928" s="93"/>
      <c r="K928" s="85"/>
      <c r="N928" s="93"/>
      <c r="O928" s="85"/>
      <c r="Q928" s="94"/>
      <c r="R928" s="93"/>
      <c r="S928" s="85"/>
      <c r="U928" s="94"/>
      <c r="V928" s="93"/>
      <c r="W928" s="85"/>
      <c r="Y928" s="94"/>
      <c r="Z928" s="93"/>
      <c r="AA928" s="85"/>
      <c r="AC928" s="94"/>
      <c r="AD928" s="93"/>
      <c r="AE928" s="85"/>
    </row>
    <row r="929" spans="6:31" ht="14.5" customHeight="1" x14ac:dyDescent="0.35">
      <c r="F929" s="93"/>
      <c r="G929" s="85"/>
      <c r="H929" s="87"/>
      <c r="J929" s="93"/>
      <c r="K929" s="85"/>
      <c r="N929" s="93"/>
      <c r="O929" s="85"/>
      <c r="Q929" s="94"/>
      <c r="R929" s="93"/>
      <c r="S929" s="85"/>
      <c r="U929" s="94"/>
      <c r="V929" s="93"/>
      <c r="W929" s="85"/>
      <c r="Y929" s="94"/>
      <c r="Z929" s="93"/>
      <c r="AA929" s="85"/>
      <c r="AC929" s="94"/>
      <c r="AD929" s="93"/>
      <c r="AE929" s="85"/>
    </row>
    <row r="930" spans="6:31" ht="14.5" customHeight="1" x14ac:dyDescent="0.35">
      <c r="F930" s="93"/>
      <c r="G930" s="85"/>
      <c r="H930" s="87"/>
      <c r="J930" s="93"/>
      <c r="K930" s="85"/>
      <c r="N930" s="93"/>
      <c r="O930" s="85"/>
      <c r="Q930" s="94"/>
      <c r="R930" s="93"/>
      <c r="S930" s="85"/>
      <c r="U930" s="94"/>
      <c r="V930" s="93"/>
      <c r="W930" s="85"/>
      <c r="Y930" s="94"/>
      <c r="Z930" s="93"/>
      <c r="AA930" s="85"/>
      <c r="AC930" s="94"/>
      <c r="AD930" s="93"/>
      <c r="AE930" s="85"/>
    </row>
    <row r="931" spans="6:31" ht="14.5" customHeight="1" x14ac:dyDescent="0.35">
      <c r="F931" s="93"/>
      <c r="G931" s="85"/>
      <c r="H931" s="87"/>
      <c r="J931" s="93"/>
      <c r="K931" s="85"/>
      <c r="N931" s="93"/>
      <c r="O931" s="85"/>
      <c r="Q931" s="94"/>
      <c r="R931" s="93"/>
      <c r="S931" s="85"/>
      <c r="U931" s="94"/>
      <c r="V931" s="93"/>
      <c r="W931" s="85"/>
      <c r="Y931" s="94"/>
      <c r="Z931" s="93"/>
      <c r="AA931" s="85"/>
      <c r="AC931" s="94"/>
      <c r="AD931" s="93"/>
      <c r="AE931" s="85"/>
    </row>
    <row r="932" spans="6:31" ht="14.5" customHeight="1" x14ac:dyDescent="0.35">
      <c r="F932" s="93"/>
      <c r="G932" s="85"/>
      <c r="H932" s="87"/>
      <c r="J932" s="93"/>
      <c r="K932" s="85"/>
      <c r="N932" s="93"/>
      <c r="O932" s="85"/>
      <c r="Q932" s="94"/>
      <c r="R932" s="93"/>
      <c r="S932" s="85"/>
      <c r="U932" s="94"/>
      <c r="V932" s="93"/>
      <c r="W932" s="85"/>
      <c r="Y932" s="94"/>
      <c r="Z932" s="93"/>
      <c r="AA932" s="85"/>
      <c r="AC932" s="94"/>
      <c r="AD932" s="93"/>
      <c r="AE932" s="85"/>
    </row>
    <row r="933" spans="6:31" ht="14.5" customHeight="1" x14ac:dyDescent="0.35">
      <c r="F933" s="93"/>
      <c r="G933" s="85"/>
      <c r="H933" s="87"/>
      <c r="J933" s="93"/>
      <c r="K933" s="85"/>
      <c r="N933" s="93"/>
      <c r="O933" s="85"/>
      <c r="Q933" s="94"/>
      <c r="R933" s="93"/>
      <c r="S933" s="85"/>
      <c r="U933" s="94"/>
      <c r="V933" s="93"/>
      <c r="W933" s="85"/>
      <c r="Y933" s="94"/>
      <c r="Z933" s="93"/>
      <c r="AA933" s="85"/>
      <c r="AC933" s="94"/>
      <c r="AD933" s="93"/>
      <c r="AE933" s="85"/>
    </row>
    <row r="934" spans="6:31" ht="14.5" customHeight="1" x14ac:dyDescent="0.35">
      <c r="F934" s="93"/>
      <c r="G934" s="85"/>
      <c r="H934" s="87"/>
      <c r="J934" s="93"/>
      <c r="K934" s="85"/>
      <c r="N934" s="93"/>
      <c r="O934" s="85"/>
      <c r="Q934" s="94"/>
      <c r="R934" s="93"/>
      <c r="S934" s="85"/>
      <c r="U934" s="94"/>
      <c r="V934" s="93"/>
      <c r="W934" s="85"/>
      <c r="Y934" s="94"/>
      <c r="Z934" s="93"/>
      <c r="AA934" s="85"/>
      <c r="AC934" s="94"/>
      <c r="AD934" s="93"/>
      <c r="AE934" s="85"/>
    </row>
    <row r="935" spans="6:31" ht="14.5" customHeight="1" x14ac:dyDescent="0.35">
      <c r="F935" s="93"/>
      <c r="G935" s="85"/>
      <c r="H935" s="87"/>
      <c r="J935" s="93"/>
      <c r="K935" s="85"/>
      <c r="N935" s="93"/>
      <c r="O935" s="85"/>
      <c r="Q935" s="94"/>
      <c r="R935" s="93"/>
      <c r="S935" s="85"/>
      <c r="U935" s="94"/>
      <c r="V935" s="93"/>
      <c r="W935" s="85"/>
      <c r="Y935" s="94"/>
      <c r="Z935" s="93"/>
      <c r="AA935" s="85"/>
      <c r="AC935" s="94"/>
      <c r="AD935" s="93"/>
      <c r="AE935" s="85"/>
    </row>
    <row r="936" spans="6:31" ht="14.5" customHeight="1" x14ac:dyDescent="0.35">
      <c r="F936" s="93"/>
      <c r="G936" s="85"/>
      <c r="H936" s="87"/>
      <c r="J936" s="93"/>
      <c r="K936" s="85"/>
      <c r="N936" s="93"/>
      <c r="O936" s="85"/>
      <c r="Q936" s="94"/>
      <c r="R936" s="93"/>
      <c r="S936" s="85"/>
      <c r="U936" s="94"/>
      <c r="V936" s="93"/>
      <c r="W936" s="85"/>
      <c r="Y936" s="94"/>
      <c r="Z936" s="93"/>
      <c r="AA936" s="85"/>
      <c r="AC936" s="94"/>
      <c r="AD936" s="93"/>
      <c r="AE936" s="85"/>
    </row>
    <row r="937" spans="6:31" ht="14.5" customHeight="1" x14ac:dyDescent="0.35">
      <c r="F937" s="93"/>
      <c r="G937" s="85"/>
      <c r="H937" s="87"/>
      <c r="J937" s="93"/>
      <c r="K937" s="85"/>
      <c r="N937" s="93"/>
      <c r="O937" s="85"/>
      <c r="Q937" s="94"/>
      <c r="R937" s="93"/>
      <c r="S937" s="85"/>
      <c r="U937" s="94"/>
      <c r="V937" s="93"/>
      <c r="W937" s="85"/>
      <c r="Y937" s="94"/>
      <c r="Z937" s="93"/>
      <c r="AA937" s="85"/>
      <c r="AC937" s="94"/>
      <c r="AD937" s="93"/>
      <c r="AE937" s="85"/>
    </row>
    <row r="938" spans="6:31" ht="14.5" customHeight="1" x14ac:dyDescent="0.35">
      <c r="F938" s="93"/>
      <c r="G938" s="85"/>
      <c r="H938" s="87"/>
      <c r="J938" s="93"/>
      <c r="K938" s="85"/>
      <c r="N938" s="93"/>
      <c r="O938" s="85"/>
      <c r="Q938" s="94"/>
      <c r="R938" s="93"/>
      <c r="S938" s="85"/>
      <c r="U938" s="94"/>
      <c r="V938" s="93"/>
      <c r="W938" s="85"/>
      <c r="Y938" s="94"/>
      <c r="Z938" s="93"/>
      <c r="AA938" s="85"/>
      <c r="AC938" s="94"/>
      <c r="AD938" s="93"/>
      <c r="AE938" s="85"/>
    </row>
    <row r="939" spans="6:31" ht="14.5" customHeight="1" x14ac:dyDescent="0.35">
      <c r="F939" s="93"/>
      <c r="G939" s="85"/>
      <c r="H939" s="87"/>
      <c r="J939" s="93"/>
      <c r="K939" s="85"/>
      <c r="N939" s="93"/>
      <c r="O939" s="85"/>
      <c r="Q939" s="94"/>
      <c r="R939" s="93"/>
      <c r="S939" s="85"/>
      <c r="U939" s="94"/>
      <c r="V939" s="93"/>
      <c r="W939" s="85"/>
      <c r="Y939" s="94"/>
      <c r="Z939" s="93"/>
      <c r="AA939" s="85"/>
      <c r="AC939" s="94"/>
      <c r="AD939" s="93"/>
      <c r="AE939" s="85"/>
    </row>
    <row r="940" spans="6:31" ht="14.5" customHeight="1" x14ac:dyDescent="0.35">
      <c r="F940" s="93"/>
      <c r="G940" s="85"/>
      <c r="H940" s="87"/>
      <c r="J940" s="93"/>
      <c r="K940" s="85"/>
      <c r="N940" s="93"/>
      <c r="O940" s="85"/>
      <c r="Q940" s="94"/>
      <c r="R940" s="93"/>
      <c r="S940" s="85"/>
      <c r="U940" s="94"/>
      <c r="V940" s="93"/>
      <c r="W940" s="85"/>
      <c r="Y940" s="94"/>
      <c r="Z940" s="93"/>
      <c r="AA940" s="85"/>
      <c r="AC940" s="94"/>
      <c r="AD940" s="93"/>
      <c r="AE940" s="85"/>
    </row>
    <row r="941" spans="6:31" ht="14.5" customHeight="1" x14ac:dyDescent="0.35">
      <c r="F941" s="93"/>
      <c r="G941" s="85"/>
      <c r="H941" s="87"/>
      <c r="J941" s="93"/>
      <c r="K941" s="85"/>
      <c r="N941" s="93"/>
      <c r="O941" s="85"/>
      <c r="Q941" s="94"/>
      <c r="R941" s="93"/>
      <c r="S941" s="85"/>
      <c r="U941" s="94"/>
      <c r="V941" s="93"/>
      <c r="W941" s="85"/>
      <c r="Y941" s="94"/>
      <c r="Z941" s="93"/>
      <c r="AA941" s="85"/>
      <c r="AC941" s="94"/>
      <c r="AD941" s="93"/>
      <c r="AE941" s="85"/>
    </row>
    <row r="942" spans="6:31" ht="14.5" customHeight="1" x14ac:dyDescent="0.35">
      <c r="F942" s="93"/>
      <c r="G942" s="85"/>
      <c r="H942" s="87"/>
      <c r="J942" s="93"/>
      <c r="K942" s="85"/>
      <c r="N942" s="93"/>
      <c r="O942" s="85"/>
      <c r="Q942" s="94"/>
      <c r="R942" s="93"/>
      <c r="S942" s="85"/>
      <c r="U942" s="94"/>
      <c r="V942" s="93"/>
      <c r="W942" s="85"/>
      <c r="Y942" s="94"/>
      <c r="Z942" s="93"/>
      <c r="AA942" s="85"/>
      <c r="AC942" s="94"/>
      <c r="AD942" s="93"/>
      <c r="AE942" s="85"/>
    </row>
    <row r="943" spans="6:31" ht="14.5" customHeight="1" x14ac:dyDescent="0.35">
      <c r="F943" s="93"/>
      <c r="G943" s="85"/>
      <c r="H943" s="87"/>
      <c r="J943" s="93"/>
      <c r="K943" s="85"/>
      <c r="N943" s="93"/>
      <c r="O943" s="85"/>
      <c r="Q943" s="94"/>
      <c r="R943" s="93"/>
      <c r="S943" s="85"/>
      <c r="U943" s="94"/>
      <c r="V943" s="93"/>
      <c r="W943" s="85"/>
      <c r="Y943" s="94"/>
      <c r="Z943" s="93"/>
      <c r="AA943" s="85"/>
      <c r="AC943" s="94"/>
      <c r="AD943" s="93"/>
      <c r="AE943" s="85"/>
    </row>
    <row r="944" spans="6:31" ht="14.5" customHeight="1" x14ac:dyDescent="0.35">
      <c r="F944" s="93"/>
      <c r="G944" s="85"/>
      <c r="H944" s="87"/>
      <c r="J944" s="93"/>
      <c r="K944" s="85"/>
      <c r="N944" s="93"/>
      <c r="O944" s="85"/>
      <c r="Q944" s="94"/>
      <c r="R944" s="93"/>
      <c r="S944" s="85"/>
      <c r="U944" s="94"/>
      <c r="V944" s="93"/>
      <c r="W944" s="85"/>
      <c r="Y944" s="94"/>
      <c r="Z944" s="93"/>
      <c r="AA944" s="85"/>
      <c r="AC944" s="94"/>
      <c r="AD944" s="93"/>
      <c r="AE944" s="85"/>
    </row>
    <row r="945" spans="6:31" ht="14.5" customHeight="1" x14ac:dyDescent="0.35">
      <c r="F945" s="93"/>
      <c r="G945" s="85"/>
      <c r="H945" s="87"/>
      <c r="J945" s="93"/>
      <c r="K945" s="85"/>
      <c r="N945" s="93"/>
      <c r="O945" s="85"/>
      <c r="Q945" s="94"/>
      <c r="R945" s="93"/>
      <c r="S945" s="85"/>
      <c r="U945" s="94"/>
      <c r="V945" s="93"/>
      <c r="W945" s="85"/>
      <c r="Y945" s="94"/>
      <c r="Z945" s="93"/>
      <c r="AA945" s="85"/>
      <c r="AC945" s="94"/>
      <c r="AD945" s="93"/>
      <c r="AE945" s="85"/>
    </row>
    <row r="946" spans="6:31" ht="14.5" customHeight="1" x14ac:dyDescent="0.35">
      <c r="F946" s="93"/>
      <c r="G946" s="85"/>
      <c r="H946" s="87"/>
      <c r="J946" s="93"/>
      <c r="K946" s="85"/>
      <c r="N946" s="93"/>
      <c r="O946" s="85"/>
      <c r="Q946" s="94"/>
      <c r="R946" s="93"/>
      <c r="S946" s="85"/>
      <c r="U946" s="94"/>
      <c r="V946" s="93"/>
      <c r="W946" s="85"/>
      <c r="Y946" s="94"/>
      <c r="Z946" s="93"/>
      <c r="AA946" s="85"/>
      <c r="AC946" s="94"/>
      <c r="AD946" s="93"/>
      <c r="AE946" s="85"/>
    </row>
    <row r="947" spans="6:31" ht="14.5" customHeight="1" x14ac:dyDescent="0.35">
      <c r="F947" s="93"/>
      <c r="G947" s="85"/>
      <c r="H947" s="87"/>
      <c r="J947" s="93"/>
      <c r="K947" s="85"/>
      <c r="N947" s="93"/>
      <c r="O947" s="85"/>
      <c r="Q947" s="94"/>
      <c r="R947" s="93"/>
      <c r="S947" s="85"/>
      <c r="U947" s="94"/>
      <c r="V947" s="93"/>
      <c r="W947" s="85"/>
      <c r="Y947" s="94"/>
      <c r="Z947" s="93"/>
      <c r="AA947" s="85"/>
      <c r="AC947" s="94"/>
      <c r="AD947" s="93"/>
      <c r="AE947" s="85"/>
    </row>
    <row r="948" spans="6:31" ht="14.5" customHeight="1" x14ac:dyDescent="0.35">
      <c r="F948" s="93"/>
      <c r="G948" s="85"/>
      <c r="H948" s="87"/>
      <c r="J948" s="93"/>
      <c r="K948" s="85"/>
      <c r="N948" s="93"/>
      <c r="O948" s="85"/>
      <c r="Q948" s="94"/>
      <c r="R948" s="93"/>
      <c r="S948" s="85"/>
      <c r="U948" s="94"/>
      <c r="V948" s="93"/>
      <c r="W948" s="85"/>
      <c r="Y948" s="94"/>
      <c r="Z948" s="93"/>
      <c r="AA948" s="85"/>
      <c r="AC948" s="94"/>
      <c r="AD948" s="93"/>
      <c r="AE948" s="85"/>
    </row>
    <row r="949" spans="6:31" ht="14.5" customHeight="1" x14ac:dyDescent="0.35">
      <c r="F949" s="93"/>
      <c r="G949" s="85"/>
      <c r="H949" s="87"/>
      <c r="J949" s="93"/>
      <c r="K949" s="85"/>
      <c r="N949" s="93"/>
      <c r="O949" s="85"/>
      <c r="Q949" s="94"/>
      <c r="R949" s="93"/>
      <c r="S949" s="85"/>
      <c r="U949" s="94"/>
      <c r="V949" s="93"/>
      <c r="W949" s="85"/>
      <c r="Y949" s="94"/>
      <c r="Z949" s="93"/>
      <c r="AA949" s="85"/>
      <c r="AC949" s="94"/>
      <c r="AD949" s="93"/>
      <c r="AE949" s="85"/>
    </row>
    <row r="950" spans="6:31" ht="14.5" customHeight="1" x14ac:dyDescent="0.35">
      <c r="F950" s="93"/>
      <c r="G950" s="85"/>
      <c r="H950" s="87"/>
      <c r="J950" s="93"/>
      <c r="K950" s="85"/>
      <c r="N950" s="93"/>
      <c r="O950" s="85"/>
      <c r="Q950" s="94"/>
      <c r="R950" s="93"/>
      <c r="S950" s="85"/>
      <c r="U950" s="94"/>
      <c r="V950" s="93"/>
      <c r="W950" s="85"/>
      <c r="Y950" s="94"/>
      <c r="Z950" s="93"/>
      <c r="AA950" s="85"/>
      <c r="AC950" s="94"/>
      <c r="AD950" s="93"/>
      <c r="AE950" s="85"/>
    </row>
    <row r="951" spans="6:31" ht="14.5" customHeight="1" x14ac:dyDescent="0.35">
      <c r="F951" s="93"/>
      <c r="G951" s="85"/>
      <c r="H951" s="87"/>
      <c r="J951" s="93"/>
      <c r="K951" s="85"/>
      <c r="N951" s="93"/>
      <c r="O951" s="85"/>
      <c r="Q951" s="94"/>
      <c r="R951" s="93"/>
      <c r="S951" s="85"/>
      <c r="U951" s="94"/>
      <c r="V951" s="93"/>
      <c r="W951" s="85"/>
      <c r="Y951" s="94"/>
      <c r="Z951" s="93"/>
      <c r="AA951" s="85"/>
      <c r="AC951" s="94"/>
      <c r="AD951" s="93"/>
      <c r="AE951" s="85"/>
    </row>
    <row r="952" spans="6:31" ht="14.5" customHeight="1" x14ac:dyDescent="0.35">
      <c r="F952" s="93"/>
      <c r="G952" s="85"/>
      <c r="H952" s="87"/>
      <c r="J952" s="93"/>
      <c r="K952" s="85"/>
      <c r="N952" s="93"/>
      <c r="O952" s="85"/>
      <c r="Q952" s="94"/>
      <c r="R952" s="93"/>
      <c r="S952" s="85"/>
      <c r="U952" s="94"/>
      <c r="V952" s="93"/>
      <c r="W952" s="85"/>
      <c r="Y952" s="94"/>
      <c r="Z952" s="93"/>
      <c r="AA952" s="85"/>
      <c r="AC952" s="94"/>
      <c r="AD952" s="93"/>
      <c r="AE952" s="85"/>
    </row>
    <row r="953" spans="6:31" ht="14.5" customHeight="1" x14ac:dyDescent="0.35">
      <c r="F953" s="93"/>
      <c r="G953" s="85"/>
      <c r="H953" s="87"/>
      <c r="J953" s="93"/>
      <c r="K953" s="85"/>
      <c r="N953" s="93"/>
      <c r="O953" s="85"/>
      <c r="Q953" s="94"/>
      <c r="R953" s="93"/>
      <c r="S953" s="85"/>
      <c r="U953" s="94"/>
      <c r="V953" s="93"/>
      <c r="W953" s="85"/>
      <c r="Y953" s="94"/>
      <c r="Z953" s="93"/>
      <c r="AA953" s="85"/>
      <c r="AC953" s="94"/>
      <c r="AD953" s="93"/>
      <c r="AE953" s="85"/>
    </row>
    <row r="954" spans="6:31" ht="14.5" customHeight="1" x14ac:dyDescent="0.35">
      <c r="F954" s="93"/>
      <c r="G954" s="85"/>
      <c r="H954" s="87"/>
      <c r="J954" s="93"/>
      <c r="K954" s="85"/>
      <c r="N954" s="93"/>
      <c r="O954" s="85"/>
      <c r="Q954" s="94"/>
      <c r="R954" s="93"/>
      <c r="S954" s="85"/>
      <c r="U954" s="94"/>
      <c r="V954" s="93"/>
      <c r="W954" s="85"/>
      <c r="Y954" s="94"/>
      <c r="Z954" s="93"/>
      <c r="AA954" s="85"/>
      <c r="AC954" s="94"/>
      <c r="AD954" s="93"/>
      <c r="AE954" s="85"/>
    </row>
    <row r="955" spans="6:31" ht="14.5" customHeight="1" x14ac:dyDescent="0.35">
      <c r="F955" s="93"/>
      <c r="G955" s="85"/>
      <c r="H955" s="87"/>
      <c r="J955" s="93"/>
      <c r="K955" s="85"/>
      <c r="N955" s="93"/>
      <c r="O955" s="85"/>
      <c r="Q955" s="94"/>
      <c r="R955" s="93"/>
      <c r="S955" s="85"/>
      <c r="U955" s="94"/>
      <c r="V955" s="93"/>
      <c r="W955" s="85"/>
      <c r="Y955" s="94"/>
      <c r="Z955" s="93"/>
      <c r="AA955" s="85"/>
      <c r="AC955" s="94"/>
      <c r="AD955" s="93"/>
      <c r="AE955" s="85"/>
    </row>
    <row r="956" spans="6:31" ht="14.5" customHeight="1" x14ac:dyDescent="0.35">
      <c r="F956" s="93"/>
      <c r="G956" s="85"/>
      <c r="H956" s="87"/>
      <c r="J956" s="93"/>
      <c r="K956" s="85"/>
      <c r="N956" s="93"/>
      <c r="O956" s="85"/>
      <c r="Q956" s="94"/>
      <c r="R956" s="93"/>
      <c r="S956" s="85"/>
      <c r="U956" s="94"/>
      <c r="V956" s="93"/>
      <c r="W956" s="85"/>
      <c r="Y956" s="94"/>
      <c r="Z956" s="93"/>
      <c r="AA956" s="85"/>
      <c r="AC956" s="94"/>
      <c r="AD956" s="93"/>
      <c r="AE956" s="85"/>
    </row>
    <row r="957" spans="6:31" ht="14.5" customHeight="1" x14ac:dyDescent="0.35">
      <c r="F957" s="93"/>
      <c r="G957" s="85"/>
      <c r="H957" s="87"/>
      <c r="J957" s="93"/>
      <c r="K957" s="85"/>
      <c r="N957" s="93"/>
      <c r="O957" s="85"/>
      <c r="Q957" s="94"/>
      <c r="R957" s="93"/>
      <c r="S957" s="85"/>
      <c r="U957" s="94"/>
      <c r="V957" s="93"/>
      <c r="W957" s="85"/>
      <c r="Y957" s="94"/>
      <c r="Z957" s="93"/>
      <c r="AA957" s="85"/>
      <c r="AC957" s="94"/>
      <c r="AD957" s="93"/>
      <c r="AE957" s="85"/>
    </row>
    <row r="958" spans="6:31" ht="14.5" customHeight="1" x14ac:dyDescent="0.35">
      <c r="F958" s="93"/>
      <c r="G958" s="85"/>
      <c r="H958" s="87"/>
      <c r="J958" s="93"/>
      <c r="K958" s="85"/>
      <c r="N958" s="93"/>
      <c r="O958" s="85"/>
      <c r="Q958" s="94"/>
      <c r="R958" s="93"/>
      <c r="S958" s="85"/>
      <c r="U958" s="94"/>
      <c r="V958" s="93"/>
      <c r="W958" s="85"/>
      <c r="Y958" s="94"/>
      <c r="Z958" s="93"/>
      <c r="AA958" s="85"/>
      <c r="AC958" s="94"/>
      <c r="AD958" s="93"/>
      <c r="AE958" s="85"/>
    </row>
    <row r="959" spans="6:31" ht="14.5" customHeight="1" x14ac:dyDescent="0.35">
      <c r="F959" s="93"/>
      <c r="G959" s="85"/>
      <c r="H959" s="87"/>
      <c r="J959" s="93"/>
      <c r="K959" s="85"/>
      <c r="N959" s="93"/>
      <c r="O959" s="85"/>
      <c r="Q959" s="94"/>
      <c r="R959" s="93"/>
      <c r="S959" s="85"/>
      <c r="U959" s="94"/>
      <c r="V959" s="93"/>
      <c r="W959" s="85"/>
      <c r="Y959" s="94"/>
      <c r="Z959" s="93"/>
      <c r="AA959" s="85"/>
      <c r="AC959" s="94"/>
      <c r="AD959" s="93"/>
      <c r="AE959" s="85"/>
    </row>
    <row r="960" spans="6:31" ht="14.5" customHeight="1" x14ac:dyDescent="0.35">
      <c r="F960" s="93"/>
      <c r="G960" s="85"/>
      <c r="H960" s="87"/>
      <c r="J960" s="93"/>
      <c r="K960" s="85"/>
      <c r="N960" s="93"/>
      <c r="O960" s="85"/>
      <c r="Q960" s="94"/>
      <c r="R960" s="93"/>
      <c r="S960" s="85"/>
      <c r="U960" s="94"/>
      <c r="V960" s="93"/>
      <c r="W960" s="85"/>
      <c r="Y960" s="94"/>
      <c r="Z960" s="93"/>
      <c r="AA960" s="85"/>
      <c r="AC960" s="94"/>
      <c r="AD960" s="93"/>
      <c r="AE960" s="85"/>
    </row>
    <row r="961" spans="6:31" ht="14.5" customHeight="1" x14ac:dyDescent="0.35">
      <c r="F961" s="93"/>
      <c r="G961" s="85"/>
      <c r="H961" s="87"/>
      <c r="J961" s="93"/>
      <c r="K961" s="85"/>
      <c r="N961" s="93"/>
      <c r="O961" s="85"/>
      <c r="Q961" s="94"/>
      <c r="R961" s="93"/>
      <c r="S961" s="85"/>
      <c r="U961" s="94"/>
      <c r="V961" s="93"/>
      <c r="W961" s="85"/>
      <c r="Y961" s="94"/>
      <c r="Z961" s="93"/>
      <c r="AA961" s="85"/>
      <c r="AC961" s="94"/>
      <c r="AD961" s="93"/>
      <c r="AE961" s="85"/>
    </row>
    <row r="962" spans="6:31" ht="14.5" customHeight="1" x14ac:dyDescent="0.35">
      <c r="F962" s="93"/>
      <c r="G962" s="85"/>
      <c r="H962" s="87"/>
      <c r="J962" s="93"/>
      <c r="K962" s="85"/>
      <c r="N962" s="93"/>
      <c r="O962" s="85"/>
      <c r="Q962" s="94"/>
      <c r="R962" s="93"/>
      <c r="S962" s="85"/>
      <c r="U962" s="94"/>
      <c r="V962" s="93"/>
      <c r="W962" s="85"/>
      <c r="Y962" s="94"/>
      <c r="Z962" s="93"/>
      <c r="AA962" s="85"/>
      <c r="AC962" s="94"/>
      <c r="AD962" s="93"/>
      <c r="AE962" s="85"/>
    </row>
    <row r="963" spans="6:31" ht="14.5" customHeight="1" x14ac:dyDescent="0.35">
      <c r="F963" s="93"/>
      <c r="G963" s="85"/>
      <c r="H963" s="87"/>
      <c r="J963" s="93"/>
      <c r="K963" s="85"/>
      <c r="N963" s="93"/>
      <c r="O963" s="85"/>
      <c r="Q963" s="94"/>
      <c r="R963" s="93"/>
      <c r="S963" s="85"/>
      <c r="U963" s="94"/>
      <c r="V963" s="93"/>
      <c r="W963" s="85"/>
      <c r="Y963" s="94"/>
      <c r="Z963" s="93"/>
      <c r="AA963" s="85"/>
      <c r="AC963" s="94"/>
      <c r="AD963" s="93"/>
      <c r="AE963" s="85"/>
    </row>
    <row r="964" spans="6:31" ht="14.5" customHeight="1" x14ac:dyDescent="0.35">
      <c r="F964" s="93"/>
      <c r="G964" s="85"/>
      <c r="H964" s="87"/>
      <c r="J964" s="93"/>
      <c r="K964" s="85"/>
      <c r="N964" s="93"/>
      <c r="O964" s="85"/>
      <c r="Q964" s="94"/>
      <c r="R964" s="93"/>
      <c r="S964" s="85"/>
      <c r="U964" s="94"/>
      <c r="V964" s="93"/>
      <c r="W964" s="85"/>
      <c r="Y964" s="94"/>
      <c r="Z964" s="93"/>
      <c r="AA964" s="85"/>
      <c r="AC964" s="94"/>
      <c r="AD964" s="93"/>
      <c r="AE964" s="85"/>
    </row>
    <row r="965" spans="6:31" ht="14.5" customHeight="1" x14ac:dyDescent="0.35">
      <c r="F965" s="93"/>
      <c r="G965" s="85"/>
      <c r="H965" s="87"/>
      <c r="J965" s="93"/>
      <c r="K965" s="85"/>
      <c r="N965" s="93"/>
      <c r="O965" s="85"/>
      <c r="Q965" s="94"/>
      <c r="R965" s="93"/>
      <c r="S965" s="85"/>
      <c r="U965" s="94"/>
      <c r="V965" s="93"/>
      <c r="W965" s="85"/>
      <c r="Y965" s="94"/>
      <c r="Z965" s="93"/>
      <c r="AA965" s="85"/>
      <c r="AC965" s="94"/>
      <c r="AD965" s="93"/>
      <c r="AE965" s="85"/>
    </row>
    <row r="966" spans="6:31" ht="14.5" customHeight="1" x14ac:dyDescent="0.35">
      <c r="F966" s="93"/>
      <c r="G966" s="85"/>
      <c r="H966" s="87"/>
      <c r="J966" s="93"/>
      <c r="K966" s="85"/>
      <c r="N966" s="93"/>
      <c r="O966" s="85"/>
      <c r="Q966" s="94"/>
      <c r="R966" s="93"/>
      <c r="S966" s="85"/>
      <c r="U966" s="94"/>
      <c r="V966" s="93"/>
      <c r="W966" s="85"/>
      <c r="Y966" s="94"/>
      <c r="Z966" s="93"/>
      <c r="AA966" s="85"/>
      <c r="AC966" s="94"/>
      <c r="AD966" s="93"/>
      <c r="AE966" s="85"/>
    </row>
    <row r="967" spans="6:31" ht="14.5" customHeight="1" x14ac:dyDescent="0.35">
      <c r="F967" s="93"/>
      <c r="G967" s="85"/>
      <c r="H967" s="87"/>
      <c r="J967" s="93"/>
      <c r="K967" s="85"/>
      <c r="N967" s="93"/>
      <c r="O967" s="85"/>
      <c r="Q967" s="94"/>
      <c r="R967" s="93"/>
      <c r="S967" s="85"/>
      <c r="U967" s="94"/>
      <c r="V967" s="93"/>
      <c r="W967" s="85"/>
      <c r="Y967" s="94"/>
      <c r="Z967" s="93"/>
      <c r="AA967" s="85"/>
      <c r="AC967" s="94"/>
      <c r="AD967" s="93"/>
      <c r="AE967" s="85"/>
    </row>
    <row r="968" spans="6:31" ht="14.5" customHeight="1" x14ac:dyDescent="0.35">
      <c r="F968" s="93"/>
      <c r="G968" s="85"/>
      <c r="H968" s="87"/>
      <c r="J968" s="93"/>
      <c r="K968" s="85"/>
      <c r="N968" s="93"/>
      <c r="O968" s="85"/>
      <c r="Q968" s="94"/>
      <c r="R968" s="93"/>
      <c r="S968" s="85"/>
      <c r="U968" s="94"/>
      <c r="V968" s="93"/>
      <c r="W968" s="85"/>
      <c r="Y968" s="94"/>
      <c r="Z968" s="93"/>
      <c r="AA968" s="85"/>
      <c r="AC968" s="94"/>
      <c r="AD968" s="93"/>
      <c r="AE968" s="85"/>
    </row>
    <row r="969" spans="6:31" ht="14.5" customHeight="1" x14ac:dyDescent="0.35">
      <c r="F969" s="93"/>
      <c r="G969" s="85"/>
      <c r="H969" s="87"/>
      <c r="J969" s="93"/>
      <c r="K969" s="85"/>
      <c r="N969" s="93"/>
      <c r="O969" s="85"/>
      <c r="Q969" s="94"/>
      <c r="R969" s="93"/>
      <c r="S969" s="85"/>
      <c r="U969" s="94"/>
      <c r="V969" s="93"/>
      <c r="W969" s="85"/>
      <c r="Y969" s="94"/>
      <c r="Z969" s="93"/>
      <c r="AA969" s="85"/>
      <c r="AC969" s="94"/>
      <c r="AD969" s="93"/>
      <c r="AE969" s="85"/>
    </row>
    <row r="970" spans="6:31" ht="14.5" customHeight="1" x14ac:dyDescent="0.35">
      <c r="F970" s="93"/>
      <c r="G970" s="85"/>
      <c r="H970" s="87"/>
      <c r="J970" s="93"/>
      <c r="K970" s="85"/>
      <c r="N970" s="93"/>
      <c r="O970" s="85"/>
      <c r="Q970" s="94"/>
      <c r="R970" s="93"/>
      <c r="S970" s="85"/>
      <c r="U970" s="94"/>
      <c r="V970" s="93"/>
      <c r="W970" s="85"/>
      <c r="Y970" s="94"/>
      <c r="Z970" s="93"/>
      <c r="AA970" s="85"/>
      <c r="AC970" s="94"/>
      <c r="AD970" s="93"/>
      <c r="AE970" s="85"/>
    </row>
    <row r="971" spans="6:31" ht="14.5" customHeight="1" x14ac:dyDescent="0.35">
      <c r="F971" s="93"/>
      <c r="G971" s="85"/>
      <c r="H971" s="87"/>
      <c r="J971" s="93"/>
      <c r="K971" s="85"/>
      <c r="N971" s="93"/>
      <c r="O971" s="85"/>
      <c r="Q971" s="94"/>
      <c r="R971" s="93"/>
      <c r="S971" s="85"/>
      <c r="U971" s="94"/>
      <c r="V971" s="93"/>
      <c r="W971" s="85"/>
      <c r="Y971" s="94"/>
      <c r="Z971" s="93"/>
      <c r="AA971" s="85"/>
      <c r="AC971" s="94"/>
      <c r="AD971" s="93"/>
      <c r="AE971" s="85"/>
    </row>
    <row r="972" spans="6:31" ht="14.5" customHeight="1" x14ac:dyDescent="0.35">
      <c r="F972" s="93"/>
      <c r="G972" s="85"/>
      <c r="H972" s="87"/>
      <c r="J972" s="93"/>
      <c r="K972" s="85"/>
      <c r="N972" s="93"/>
      <c r="O972" s="85"/>
      <c r="Q972" s="94"/>
      <c r="R972" s="93"/>
      <c r="S972" s="85"/>
      <c r="U972" s="94"/>
      <c r="V972" s="93"/>
      <c r="W972" s="85"/>
      <c r="Y972" s="94"/>
      <c r="Z972" s="93"/>
      <c r="AA972" s="85"/>
      <c r="AC972" s="94"/>
      <c r="AD972" s="93"/>
      <c r="AE972" s="85"/>
    </row>
    <row r="973" spans="6:31" ht="14.5" customHeight="1" x14ac:dyDescent="0.35">
      <c r="F973" s="93"/>
      <c r="G973" s="85"/>
      <c r="H973" s="87"/>
      <c r="J973" s="93"/>
      <c r="K973" s="85"/>
      <c r="N973" s="93"/>
      <c r="O973" s="85"/>
      <c r="Q973" s="94"/>
      <c r="R973" s="93"/>
      <c r="S973" s="85"/>
      <c r="U973" s="94"/>
      <c r="V973" s="93"/>
      <c r="W973" s="85"/>
      <c r="Y973" s="94"/>
      <c r="Z973" s="93"/>
      <c r="AA973" s="85"/>
      <c r="AC973" s="94"/>
      <c r="AD973" s="93"/>
      <c r="AE973" s="85"/>
    </row>
    <row r="974" spans="6:31" ht="14.5" customHeight="1" x14ac:dyDescent="0.35">
      <c r="F974" s="93"/>
      <c r="G974" s="85"/>
      <c r="H974" s="87"/>
      <c r="J974" s="93"/>
      <c r="K974" s="85"/>
      <c r="N974" s="93"/>
      <c r="O974" s="85"/>
      <c r="Q974" s="94"/>
      <c r="R974" s="93"/>
      <c r="S974" s="85"/>
      <c r="U974" s="94"/>
      <c r="V974" s="93"/>
      <c r="W974" s="85"/>
      <c r="Y974" s="94"/>
      <c r="Z974" s="93"/>
      <c r="AA974" s="85"/>
      <c r="AC974" s="94"/>
      <c r="AD974" s="93"/>
      <c r="AE974" s="85"/>
    </row>
    <row r="975" spans="6:31" ht="14.5" customHeight="1" x14ac:dyDescent="0.35">
      <c r="F975" s="93"/>
      <c r="G975" s="85"/>
      <c r="H975" s="87"/>
      <c r="J975" s="93"/>
      <c r="K975" s="85"/>
      <c r="N975" s="93"/>
      <c r="O975" s="85"/>
      <c r="Q975" s="94"/>
      <c r="R975" s="93"/>
      <c r="S975" s="85"/>
      <c r="U975" s="94"/>
      <c r="V975" s="93"/>
      <c r="W975" s="85"/>
      <c r="Y975" s="94"/>
      <c r="Z975" s="93"/>
      <c r="AA975" s="85"/>
      <c r="AC975" s="94"/>
      <c r="AD975" s="93"/>
      <c r="AE975" s="85"/>
    </row>
    <row r="976" spans="6:31" ht="14.5" customHeight="1" x14ac:dyDescent="0.35">
      <c r="F976" s="93"/>
      <c r="G976" s="85"/>
      <c r="H976" s="87"/>
      <c r="J976" s="93"/>
      <c r="K976" s="85"/>
      <c r="N976" s="93"/>
      <c r="O976" s="85"/>
      <c r="Q976" s="94"/>
      <c r="R976" s="93"/>
      <c r="S976" s="85"/>
      <c r="U976" s="94"/>
      <c r="V976" s="93"/>
      <c r="W976" s="85"/>
      <c r="Y976" s="94"/>
      <c r="Z976" s="93"/>
      <c r="AA976" s="85"/>
      <c r="AC976" s="94"/>
      <c r="AD976" s="93"/>
      <c r="AE976" s="85"/>
    </row>
    <row r="977" spans="6:31" ht="14.5" customHeight="1" x14ac:dyDescent="0.35">
      <c r="F977" s="93"/>
      <c r="G977" s="85"/>
      <c r="H977" s="87"/>
      <c r="J977" s="93"/>
      <c r="K977" s="85"/>
      <c r="N977" s="93"/>
      <c r="O977" s="85"/>
      <c r="Q977" s="94"/>
      <c r="R977" s="93"/>
      <c r="S977" s="85"/>
      <c r="U977" s="94"/>
      <c r="V977" s="93"/>
      <c r="W977" s="85"/>
      <c r="Y977" s="94"/>
      <c r="Z977" s="93"/>
      <c r="AA977" s="85"/>
      <c r="AC977" s="94"/>
      <c r="AD977" s="93"/>
      <c r="AE977" s="85"/>
    </row>
    <row r="978" spans="6:31" ht="14.5" customHeight="1" x14ac:dyDescent="0.35">
      <c r="F978" s="93"/>
      <c r="G978" s="85"/>
      <c r="H978" s="87"/>
      <c r="J978" s="93"/>
      <c r="K978" s="85"/>
      <c r="N978" s="93"/>
      <c r="O978" s="85"/>
      <c r="Q978" s="94"/>
      <c r="R978" s="93"/>
      <c r="S978" s="85"/>
      <c r="U978" s="94"/>
      <c r="V978" s="93"/>
      <c r="W978" s="85"/>
      <c r="Y978" s="94"/>
      <c r="Z978" s="93"/>
      <c r="AA978" s="85"/>
      <c r="AC978" s="94"/>
      <c r="AD978" s="93"/>
      <c r="AE978" s="85"/>
    </row>
    <row r="979" spans="6:31" ht="14.5" customHeight="1" x14ac:dyDescent="0.35">
      <c r="F979" s="93"/>
      <c r="G979" s="85"/>
      <c r="H979" s="87"/>
      <c r="J979" s="93"/>
      <c r="K979" s="85"/>
      <c r="N979" s="93"/>
      <c r="O979" s="85"/>
      <c r="Q979" s="94"/>
      <c r="R979" s="93"/>
      <c r="S979" s="85"/>
      <c r="U979" s="94"/>
      <c r="V979" s="93"/>
      <c r="W979" s="85"/>
      <c r="Y979" s="94"/>
      <c r="Z979" s="93"/>
      <c r="AA979" s="85"/>
      <c r="AC979" s="94"/>
      <c r="AD979" s="93"/>
      <c r="AE979" s="85"/>
    </row>
    <row r="980" spans="6:31" ht="14.5" customHeight="1" x14ac:dyDescent="0.35">
      <c r="F980" s="93"/>
      <c r="G980" s="85"/>
      <c r="H980" s="87"/>
      <c r="J980" s="93"/>
      <c r="K980" s="85"/>
      <c r="N980" s="93"/>
      <c r="O980" s="85"/>
      <c r="Q980" s="94"/>
      <c r="R980" s="93"/>
      <c r="S980" s="85"/>
      <c r="U980" s="94"/>
      <c r="V980" s="93"/>
      <c r="W980" s="85"/>
      <c r="Y980" s="94"/>
      <c r="Z980" s="93"/>
      <c r="AA980" s="85"/>
      <c r="AC980" s="94"/>
      <c r="AD980" s="93"/>
      <c r="AE980" s="85"/>
    </row>
    <row r="981" spans="6:31" ht="14.5" customHeight="1" x14ac:dyDescent="0.35">
      <c r="F981" s="93"/>
      <c r="G981" s="85"/>
      <c r="H981" s="87"/>
      <c r="J981" s="93"/>
      <c r="K981" s="85"/>
      <c r="N981" s="93"/>
      <c r="O981" s="85"/>
      <c r="Q981" s="94"/>
      <c r="R981" s="93"/>
      <c r="S981" s="85"/>
      <c r="U981" s="94"/>
      <c r="V981" s="93"/>
      <c r="W981" s="85"/>
      <c r="Y981" s="94"/>
      <c r="Z981" s="93"/>
      <c r="AA981" s="85"/>
      <c r="AC981" s="94"/>
      <c r="AD981" s="93"/>
      <c r="AE981" s="85"/>
    </row>
    <row r="982" spans="6:31" ht="14.5" customHeight="1" x14ac:dyDescent="0.35">
      <c r="F982" s="93"/>
      <c r="G982" s="85"/>
      <c r="H982" s="87"/>
      <c r="J982" s="93"/>
      <c r="K982" s="85"/>
      <c r="N982" s="93"/>
      <c r="O982" s="85"/>
      <c r="Q982" s="94"/>
      <c r="R982" s="93"/>
      <c r="S982" s="85"/>
      <c r="U982" s="94"/>
      <c r="V982" s="93"/>
      <c r="W982" s="85"/>
      <c r="Y982" s="94"/>
      <c r="Z982" s="93"/>
      <c r="AA982" s="85"/>
      <c r="AC982" s="94"/>
      <c r="AD982" s="93"/>
      <c r="AE982" s="85"/>
    </row>
    <row r="983" spans="6:31" ht="14.5" customHeight="1" x14ac:dyDescent="0.35">
      <c r="F983" s="93"/>
      <c r="G983" s="85"/>
      <c r="H983" s="87"/>
      <c r="J983" s="93"/>
      <c r="K983" s="85"/>
      <c r="N983" s="93"/>
      <c r="O983" s="85"/>
      <c r="Q983" s="94"/>
      <c r="R983" s="93"/>
      <c r="S983" s="85"/>
      <c r="U983" s="94"/>
      <c r="V983" s="93"/>
      <c r="W983" s="85"/>
      <c r="Y983" s="94"/>
      <c r="Z983" s="93"/>
      <c r="AA983" s="85"/>
      <c r="AC983" s="94"/>
      <c r="AD983" s="93"/>
      <c r="AE983" s="85"/>
    </row>
    <row r="984" spans="6:31" ht="14.5" customHeight="1" x14ac:dyDescent="0.35">
      <c r="F984" s="93"/>
      <c r="G984" s="85"/>
      <c r="H984" s="87"/>
      <c r="J984" s="93"/>
      <c r="K984" s="85"/>
      <c r="N984" s="93"/>
      <c r="O984" s="85"/>
      <c r="Q984" s="94"/>
      <c r="R984" s="93"/>
      <c r="S984" s="85"/>
      <c r="U984" s="94"/>
      <c r="V984" s="93"/>
      <c r="W984" s="85"/>
      <c r="Y984" s="94"/>
      <c r="Z984" s="93"/>
      <c r="AA984" s="85"/>
      <c r="AC984" s="94"/>
      <c r="AD984" s="93"/>
      <c r="AE984" s="85"/>
    </row>
    <row r="985" spans="6:31" ht="14.5" customHeight="1" x14ac:dyDescent="0.35">
      <c r="F985" s="93"/>
      <c r="G985" s="85"/>
      <c r="H985" s="87"/>
      <c r="J985" s="93"/>
      <c r="K985" s="85"/>
      <c r="N985" s="93"/>
      <c r="O985" s="85"/>
      <c r="Q985" s="94"/>
      <c r="R985" s="93"/>
      <c r="S985" s="85"/>
      <c r="U985" s="94"/>
      <c r="V985" s="93"/>
      <c r="W985" s="85"/>
      <c r="Y985" s="94"/>
      <c r="Z985" s="93"/>
      <c r="AA985" s="85"/>
      <c r="AC985" s="94"/>
      <c r="AD985" s="93"/>
      <c r="AE985" s="85"/>
    </row>
    <row r="986" spans="6:31" ht="14.5" customHeight="1" x14ac:dyDescent="0.35">
      <c r="F986" s="93"/>
      <c r="G986" s="85"/>
      <c r="H986" s="87"/>
      <c r="J986" s="93"/>
      <c r="K986" s="85"/>
      <c r="N986" s="93"/>
      <c r="O986" s="85"/>
      <c r="Q986" s="94"/>
      <c r="R986" s="93"/>
      <c r="S986" s="85"/>
      <c r="U986" s="94"/>
      <c r="V986" s="93"/>
      <c r="W986" s="85"/>
      <c r="Y986" s="94"/>
      <c r="Z986" s="93"/>
      <c r="AA986" s="85"/>
      <c r="AC986" s="94"/>
      <c r="AD986" s="93"/>
      <c r="AE986" s="85"/>
    </row>
    <row r="987" spans="6:31" ht="14.5" customHeight="1" x14ac:dyDescent="0.35">
      <c r="F987" s="93"/>
      <c r="G987" s="85"/>
      <c r="H987" s="87"/>
      <c r="J987" s="93"/>
      <c r="K987" s="85"/>
      <c r="N987" s="93"/>
      <c r="O987" s="85"/>
      <c r="Q987" s="94"/>
      <c r="R987" s="93"/>
      <c r="S987" s="85"/>
      <c r="U987" s="94"/>
      <c r="V987" s="93"/>
      <c r="W987" s="85"/>
      <c r="Y987" s="94"/>
      <c r="Z987" s="93"/>
      <c r="AA987" s="85"/>
      <c r="AC987" s="94"/>
      <c r="AD987" s="93"/>
      <c r="AE987" s="85"/>
    </row>
    <row r="988" spans="6:31" ht="14.5" customHeight="1" x14ac:dyDescent="0.35">
      <c r="F988" s="93"/>
      <c r="G988" s="85"/>
      <c r="H988" s="87"/>
      <c r="J988" s="93"/>
      <c r="K988" s="85"/>
      <c r="N988" s="93"/>
      <c r="O988" s="85"/>
      <c r="Q988" s="94"/>
      <c r="R988" s="93"/>
      <c r="S988" s="85"/>
      <c r="U988" s="94"/>
      <c r="V988" s="93"/>
      <c r="W988" s="85"/>
      <c r="Y988" s="94"/>
      <c r="Z988" s="93"/>
      <c r="AA988" s="85"/>
      <c r="AC988" s="94"/>
      <c r="AD988" s="93"/>
      <c r="AE988" s="85"/>
    </row>
    <row r="989" spans="6:31" ht="14.5" customHeight="1" x14ac:dyDescent="0.35">
      <c r="F989" s="93"/>
      <c r="G989" s="85"/>
      <c r="H989" s="87"/>
      <c r="J989" s="93"/>
      <c r="K989" s="85"/>
      <c r="N989" s="93"/>
      <c r="O989" s="85"/>
      <c r="Q989" s="94"/>
      <c r="R989" s="93"/>
      <c r="S989" s="85"/>
      <c r="U989" s="94"/>
      <c r="V989" s="93"/>
      <c r="W989" s="85"/>
      <c r="Y989" s="94"/>
      <c r="Z989" s="93"/>
      <c r="AA989" s="85"/>
      <c r="AC989" s="94"/>
      <c r="AD989" s="93"/>
      <c r="AE989" s="85"/>
    </row>
    <row r="990" spans="6:31" ht="14.5" customHeight="1" x14ac:dyDescent="0.35">
      <c r="F990" s="93"/>
      <c r="G990" s="85"/>
      <c r="H990" s="87"/>
      <c r="J990" s="93"/>
      <c r="K990" s="85"/>
      <c r="N990" s="93"/>
      <c r="O990" s="85"/>
      <c r="Q990" s="94"/>
      <c r="R990" s="93"/>
      <c r="S990" s="85"/>
      <c r="U990" s="94"/>
      <c r="V990" s="93"/>
      <c r="W990" s="85"/>
      <c r="Y990" s="94"/>
      <c r="Z990" s="93"/>
      <c r="AA990" s="85"/>
      <c r="AC990" s="94"/>
      <c r="AD990" s="93"/>
      <c r="AE990" s="85"/>
    </row>
    <row r="991" spans="6:31" ht="14.5" customHeight="1" x14ac:dyDescent="0.35">
      <c r="F991" s="93"/>
      <c r="G991" s="85"/>
      <c r="H991" s="87"/>
      <c r="J991" s="93"/>
      <c r="K991" s="85"/>
      <c r="N991" s="93"/>
      <c r="O991" s="85"/>
      <c r="Q991" s="94"/>
      <c r="R991" s="93"/>
      <c r="S991" s="85"/>
      <c r="U991" s="94"/>
      <c r="V991" s="93"/>
      <c r="W991" s="85"/>
      <c r="Y991" s="94"/>
      <c r="Z991" s="93"/>
      <c r="AA991" s="85"/>
      <c r="AC991" s="94"/>
      <c r="AD991" s="93"/>
      <c r="AE991" s="85"/>
    </row>
    <row r="992" spans="6:31" ht="14.5" customHeight="1" x14ac:dyDescent="0.35">
      <c r="F992" s="93"/>
      <c r="G992" s="85"/>
      <c r="H992" s="87"/>
      <c r="J992" s="93"/>
      <c r="K992" s="85"/>
      <c r="N992" s="93"/>
      <c r="O992" s="85"/>
      <c r="Q992" s="94"/>
      <c r="R992" s="93"/>
      <c r="S992" s="85"/>
      <c r="U992" s="94"/>
      <c r="V992" s="93"/>
      <c r="W992" s="85"/>
      <c r="Y992" s="94"/>
      <c r="Z992" s="93"/>
      <c r="AA992" s="85"/>
      <c r="AC992" s="94"/>
      <c r="AD992" s="93"/>
      <c r="AE992" s="85"/>
    </row>
    <row r="993" spans="6:31" ht="14.5" customHeight="1" x14ac:dyDescent="0.35">
      <c r="F993" s="93"/>
      <c r="G993" s="85"/>
      <c r="H993" s="87"/>
      <c r="J993" s="93"/>
      <c r="K993" s="85"/>
      <c r="N993" s="93"/>
      <c r="O993" s="85"/>
      <c r="Q993" s="94"/>
      <c r="R993" s="93"/>
      <c r="S993" s="85"/>
      <c r="U993" s="94"/>
      <c r="V993" s="93"/>
      <c r="W993" s="85"/>
      <c r="Y993" s="94"/>
      <c r="Z993" s="93"/>
      <c r="AA993" s="85"/>
      <c r="AC993" s="94"/>
      <c r="AD993" s="93"/>
      <c r="AE993" s="85"/>
    </row>
    <row r="994" spans="6:31" ht="14.5" customHeight="1" x14ac:dyDescent="0.35">
      <c r="F994" s="93"/>
      <c r="G994" s="85"/>
      <c r="H994" s="87"/>
      <c r="J994" s="93"/>
      <c r="K994" s="85"/>
      <c r="N994" s="93"/>
      <c r="O994" s="85"/>
      <c r="Q994" s="94"/>
      <c r="R994" s="93"/>
      <c r="S994" s="85"/>
      <c r="U994" s="94"/>
      <c r="V994" s="93"/>
      <c r="W994" s="85"/>
      <c r="Y994" s="94"/>
      <c r="Z994" s="93"/>
      <c r="AA994" s="85"/>
      <c r="AC994" s="94"/>
      <c r="AD994" s="93"/>
      <c r="AE994" s="85"/>
    </row>
    <row r="995" spans="6:31" ht="14.5" customHeight="1" x14ac:dyDescent="0.35">
      <c r="F995" s="93"/>
      <c r="G995" s="85"/>
      <c r="H995" s="87"/>
      <c r="J995" s="93"/>
      <c r="K995" s="85"/>
      <c r="N995" s="93"/>
      <c r="O995" s="85"/>
      <c r="Q995" s="94"/>
      <c r="R995" s="93"/>
      <c r="S995" s="85"/>
      <c r="U995" s="94"/>
      <c r="V995" s="93"/>
      <c r="W995" s="85"/>
      <c r="Y995" s="94"/>
      <c r="Z995" s="93"/>
      <c r="AA995" s="85"/>
      <c r="AC995" s="94"/>
      <c r="AD995" s="93"/>
      <c r="AE995" s="85"/>
    </row>
    <row r="996" spans="6:31" ht="14.5" customHeight="1" x14ac:dyDescent="0.35">
      <c r="F996" s="93"/>
      <c r="G996" s="85"/>
      <c r="H996" s="87"/>
      <c r="J996" s="93"/>
      <c r="K996" s="85"/>
      <c r="N996" s="93"/>
      <c r="O996" s="85"/>
      <c r="Q996" s="94"/>
      <c r="R996" s="93"/>
      <c r="S996" s="85"/>
      <c r="U996" s="94"/>
      <c r="V996" s="93"/>
      <c r="W996" s="85"/>
      <c r="Y996" s="94"/>
      <c r="Z996" s="93"/>
      <c r="AA996" s="85"/>
      <c r="AC996" s="94"/>
      <c r="AD996" s="93"/>
      <c r="AE996" s="85"/>
    </row>
    <row r="997" spans="6:31" ht="14.5" customHeight="1" x14ac:dyDescent="0.35">
      <c r="F997" s="93"/>
      <c r="G997" s="85"/>
      <c r="H997" s="87"/>
      <c r="J997" s="93"/>
      <c r="K997" s="85"/>
      <c r="N997" s="93"/>
      <c r="O997" s="85"/>
      <c r="Q997" s="94"/>
      <c r="R997" s="93"/>
      <c r="S997" s="85"/>
      <c r="U997" s="94"/>
      <c r="V997" s="93"/>
      <c r="W997" s="85"/>
      <c r="Y997" s="94"/>
      <c r="Z997" s="93"/>
      <c r="AA997" s="85"/>
      <c r="AC997" s="94"/>
      <c r="AD997" s="93"/>
      <c r="AE997" s="85"/>
    </row>
    <row r="998" spans="6:31" ht="14.5" customHeight="1" x14ac:dyDescent="0.35">
      <c r="F998" s="93"/>
      <c r="G998" s="85"/>
      <c r="H998" s="87"/>
      <c r="J998" s="93"/>
      <c r="K998" s="85"/>
      <c r="N998" s="93"/>
      <c r="O998" s="85"/>
      <c r="Q998" s="94"/>
      <c r="R998" s="93"/>
      <c r="S998" s="85"/>
      <c r="U998" s="94"/>
      <c r="V998" s="93"/>
      <c r="W998" s="85"/>
      <c r="Y998" s="94"/>
      <c r="Z998" s="93"/>
      <c r="AA998" s="85"/>
      <c r="AC998" s="94"/>
      <c r="AD998" s="93"/>
      <c r="AE998" s="85"/>
    </row>
    <row r="999" spans="6:31" ht="14.5" customHeight="1" x14ac:dyDescent="0.35">
      <c r="F999" s="93"/>
      <c r="G999" s="85"/>
      <c r="H999" s="87"/>
      <c r="J999" s="93"/>
      <c r="K999" s="85"/>
      <c r="N999" s="93"/>
      <c r="O999" s="85"/>
      <c r="Q999" s="94"/>
      <c r="R999" s="93"/>
      <c r="S999" s="85"/>
      <c r="U999" s="94"/>
      <c r="V999" s="93"/>
      <c r="W999" s="85"/>
      <c r="Y999" s="94"/>
      <c r="Z999" s="93"/>
      <c r="AA999" s="85"/>
      <c r="AC999" s="94"/>
      <c r="AD999" s="93"/>
      <c r="AE999" s="85"/>
    </row>
    <row r="1000" spans="6:31" ht="14.5" customHeight="1" x14ac:dyDescent="0.35">
      <c r="F1000" s="93"/>
      <c r="G1000" s="85"/>
      <c r="H1000" s="87"/>
      <c r="N1000" s="93"/>
      <c r="O1000" s="85"/>
      <c r="Q1000" s="94"/>
      <c r="R1000" s="93"/>
      <c r="S1000" s="85"/>
      <c r="U1000" s="94"/>
      <c r="V1000" s="93"/>
      <c r="W1000" s="85"/>
      <c r="Y1000" s="94"/>
      <c r="Z1000" s="93"/>
      <c r="AA1000" s="85"/>
      <c r="AC1000" s="94"/>
      <c r="AD1000" s="93"/>
      <c r="AE1000" s="85"/>
    </row>
  </sheetData>
  <conditionalFormatting sqref="A1:AG20 A27:AG1048576 A21:L24 P21:AG22 A25:M26 Q23:AG26">
    <cfRule type="expression" dxfId="67" priority="1">
      <formula>$A4="Spend to Date"</formula>
    </cfRule>
    <cfRule type="expression" dxfId="66" priority="2">
      <formula>$A4="Spend to Date"</formula>
    </cfRule>
  </conditionalFormatting>
  <conditionalFormatting sqref="N23:P26">
    <cfRule type="expression" dxfId="65" priority="53">
      <formula>$A24="Spend to Date"</formula>
    </cfRule>
    <cfRule type="expression" dxfId="64" priority="54">
      <formula>$A24="Spend to Date"</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5"/>
  <dimension ref="A2:S45"/>
  <sheetViews>
    <sheetView tabSelected="1" zoomScale="120" zoomScaleNormal="120" workbookViewId="0">
      <selection activeCell="N17" sqref="N17"/>
    </sheetView>
  </sheetViews>
  <sheetFormatPr defaultRowHeight="14.5" x14ac:dyDescent="0.35"/>
  <cols>
    <col min="1" max="1" width="49.453125" style="1" bestFit="1" customWidth="1"/>
    <col min="2" max="9" width="0" style="1" hidden="1" customWidth="1"/>
    <col min="10" max="10" width="13.54296875" style="1" customWidth="1"/>
    <col min="11" max="11" width="12.81640625" style="1" bestFit="1" customWidth="1"/>
    <col min="12" max="14" width="13.81640625" style="1" customWidth="1"/>
    <col min="15" max="15" width="13.81640625" style="1" hidden="1" customWidth="1"/>
    <col min="16" max="16" width="17.26953125" customWidth="1"/>
    <col min="17" max="17" width="12.54296875" customWidth="1"/>
    <col min="18" max="18" width="12.54296875" bestFit="1" customWidth="1"/>
    <col min="19" max="19" width="10.81640625" bestFit="1" customWidth="1"/>
  </cols>
  <sheetData>
    <row r="2" spans="1:19" x14ac:dyDescent="0.35">
      <c r="A2" s="22" t="s">
        <v>307</v>
      </c>
      <c r="B2" s="13" t="s">
        <v>308</v>
      </c>
      <c r="C2" s="13" t="s">
        <v>309</v>
      </c>
      <c r="D2" s="13" t="s">
        <v>310</v>
      </c>
      <c r="E2" s="13" t="s">
        <v>311</v>
      </c>
      <c r="F2" s="13" t="s">
        <v>312</v>
      </c>
      <c r="G2" s="13" t="s">
        <v>313</v>
      </c>
      <c r="H2" s="13" t="s">
        <v>314</v>
      </c>
      <c r="I2" s="13" t="s">
        <v>315</v>
      </c>
      <c r="J2" s="13" t="s">
        <v>316</v>
      </c>
      <c r="K2" s="13" t="s">
        <v>2428</v>
      </c>
      <c r="L2" s="13" t="s">
        <v>317</v>
      </c>
      <c r="M2" s="13" t="s">
        <v>2429</v>
      </c>
      <c r="N2" s="13" t="s">
        <v>318</v>
      </c>
      <c r="O2" s="13" t="s">
        <v>2430</v>
      </c>
      <c r="P2" s="13" t="s">
        <v>319</v>
      </c>
      <c r="Q2" s="13" t="s">
        <v>2315</v>
      </c>
    </row>
    <row r="3" spans="1:19" x14ac:dyDescent="0.35">
      <c r="A3" s="22" t="s">
        <v>320</v>
      </c>
      <c r="B3" s="13"/>
      <c r="C3" s="13"/>
      <c r="D3" s="13"/>
      <c r="E3" s="13"/>
      <c r="F3" s="13"/>
      <c r="G3" s="13"/>
      <c r="H3" s="13"/>
      <c r="I3" s="13"/>
      <c r="J3" s="13">
        <v>303517</v>
      </c>
      <c r="K3" s="13">
        <v>-114517</v>
      </c>
      <c r="L3" s="13">
        <f>'1-General'!J15</f>
        <v>186185.65</v>
      </c>
      <c r="M3" s="13">
        <f>'1-General'!K15</f>
        <v>26959.23000000001</v>
      </c>
      <c r="N3" s="13">
        <f>'1-General'!M15</f>
        <v>293606</v>
      </c>
      <c r="O3" s="13">
        <f>'1-General'!N15</f>
        <v>167055.26200000013</v>
      </c>
      <c r="P3" s="13">
        <f>'1-General'!P15</f>
        <v>127366</v>
      </c>
      <c r="Q3" s="13">
        <f>'1-General'!S15</f>
        <v>337204</v>
      </c>
    </row>
    <row r="4" spans="1:19" x14ac:dyDescent="0.35">
      <c r="A4" s="22" t="s">
        <v>321</v>
      </c>
      <c r="B4" s="13"/>
      <c r="C4" s="13"/>
      <c r="D4" s="13"/>
      <c r="E4" s="13"/>
      <c r="F4" s="13"/>
      <c r="G4" s="13"/>
      <c r="H4" s="13"/>
      <c r="I4" s="13"/>
      <c r="J4" s="13">
        <v>599311</v>
      </c>
      <c r="K4" s="13">
        <v>450668</v>
      </c>
      <c r="L4" s="13">
        <f>'1-Parks'!J37</f>
        <v>852608</v>
      </c>
      <c r="M4" s="13">
        <f>'1-Parks'!K37</f>
        <v>1008987.01</v>
      </c>
      <c r="N4" s="13">
        <f>'1-Parks'!M37</f>
        <v>397034</v>
      </c>
      <c r="O4" s="13">
        <f>'1-Parks'!N37</f>
        <v>535600.23999999976</v>
      </c>
      <c r="P4" s="13">
        <f>'1-Parks'!P37</f>
        <v>369941</v>
      </c>
      <c r="Q4" s="13">
        <f>'1-Parks'!S37</f>
        <v>682439</v>
      </c>
    </row>
    <row r="5" spans="1:19" x14ac:dyDescent="0.35">
      <c r="A5" s="22" t="s">
        <v>322</v>
      </c>
      <c r="B5" s="13"/>
      <c r="C5" s="13"/>
      <c r="D5" s="13"/>
      <c r="E5" s="13"/>
      <c r="F5" s="13"/>
      <c r="G5" s="13"/>
      <c r="H5" s="13"/>
      <c r="I5" s="13"/>
      <c r="J5" s="13">
        <v>764234</v>
      </c>
      <c r="K5" s="13">
        <v>594501</v>
      </c>
      <c r="L5" s="13">
        <f>'1-Buildings'!J23</f>
        <v>789061.26</v>
      </c>
      <c r="M5" s="13">
        <f>'1-Buildings'!K23</f>
        <v>898987.28</v>
      </c>
      <c r="N5" s="13">
        <f>'1-Buildings'!M23</f>
        <v>1137218</v>
      </c>
      <c r="O5" s="13">
        <f>'1-Buildings'!N23</f>
        <v>1361630.9911666668</v>
      </c>
      <c r="P5" s="13">
        <f>'1-Buildings'!P23</f>
        <v>1380969</v>
      </c>
      <c r="Q5" s="13">
        <f>'1-Buildings'!S23</f>
        <v>1349608.02</v>
      </c>
    </row>
    <row r="6" spans="1:19" x14ac:dyDescent="0.35">
      <c r="A6" s="22" t="s">
        <v>323</v>
      </c>
      <c r="B6" s="13"/>
      <c r="C6" s="13"/>
      <c r="D6" s="13"/>
      <c r="E6" s="13"/>
      <c r="F6" s="13"/>
      <c r="G6" s="13"/>
      <c r="H6" s="13"/>
      <c r="I6" s="13"/>
      <c r="J6" s="13">
        <v>98183</v>
      </c>
      <c r="K6" s="13">
        <v>91996</v>
      </c>
      <c r="L6" s="13">
        <f>'1-Civic'!J15</f>
        <v>39371.339999999997</v>
      </c>
      <c r="M6" s="13">
        <f>'1-Civic'!K15</f>
        <v>55064.619999999995</v>
      </c>
      <c r="N6" s="13">
        <f>'1-Civic'!M15</f>
        <v>147932</v>
      </c>
      <c r="O6" s="13">
        <f>'1-Civic'!N15</f>
        <v>150267.21000000002</v>
      </c>
      <c r="P6" s="13">
        <f>'1-Civic'!P15</f>
        <v>211946</v>
      </c>
      <c r="Q6" s="13">
        <f>'1-Civic'!S15</f>
        <v>209813</v>
      </c>
    </row>
    <row r="8" spans="1:19" x14ac:dyDescent="0.35">
      <c r="A8" s="10" t="s">
        <v>324</v>
      </c>
      <c r="B8" s="11">
        <f>B1</f>
        <v>0</v>
      </c>
      <c r="C8" s="11">
        <f>B8</f>
        <v>0</v>
      </c>
      <c r="D8" s="11">
        <f>D1</f>
        <v>0</v>
      </c>
      <c r="E8" s="11">
        <f>E1</f>
        <v>0</v>
      </c>
      <c r="F8" s="11">
        <f>F1</f>
        <v>0</v>
      </c>
      <c r="G8" s="11">
        <f>G1</f>
        <v>0</v>
      </c>
      <c r="H8" s="11">
        <f>H1</f>
        <v>0</v>
      </c>
      <c r="I8" s="12"/>
      <c r="J8" s="13">
        <v>1765245</v>
      </c>
      <c r="K8" s="13">
        <f>SUM(K3:K6)</f>
        <v>1022648</v>
      </c>
      <c r="L8" s="13">
        <v>1867228</v>
      </c>
      <c r="M8" s="13">
        <f>SUM(M3:M6)</f>
        <v>1989998.1400000001</v>
      </c>
      <c r="N8" s="13">
        <f>SUM(N3:N6)</f>
        <v>1975790</v>
      </c>
      <c r="O8" s="13">
        <f>SUM(O3:O6)</f>
        <v>2214553.7031666669</v>
      </c>
      <c r="P8" s="13">
        <f>SUM(P3:P6)</f>
        <v>2090222</v>
      </c>
      <c r="Q8" s="13">
        <f>SUM(Q3:Q6)</f>
        <v>2579064.02</v>
      </c>
      <c r="R8" s="1"/>
      <c r="S8" s="1"/>
    </row>
    <row r="9" spans="1:19" x14ac:dyDescent="0.35">
      <c r="A9" s="10" t="s">
        <v>325</v>
      </c>
      <c r="B9" s="14">
        <f t="shared" ref="B9:H9" si="0">B8/B12</f>
        <v>0</v>
      </c>
      <c r="C9" s="14">
        <f t="shared" si="0"/>
        <v>0</v>
      </c>
      <c r="D9" s="14">
        <f t="shared" si="0"/>
        <v>0</v>
      </c>
      <c r="E9" s="14">
        <f t="shared" si="0"/>
        <v>0</v>
      </c>
      <c r="F9" s="14">
        <f t="shared" si="0"/>
        <v>0</v>
      </c>
      <c r="G9" s="14">
        <f t="shared" si="0"/>
        <v>0</v>
      </c>
      <c r="H9" s="14">
        <f t="shared" si="0"/>
        <v>0</v>
      </c>
      <c r="I9" s="12"/>
      <c r="J9" s="13">
        <v>142.68214910114639</v>
      </c>
      <c r="K9" s="13"/>
      <c r="L9" s="13">
        <v>146.63466493323301</v>
      </c>
      <c r="M9" s="13"/>
      <c r="N9" s="13">
        <f>N8/N12</f>
        <v>152.8531100326704</v>
      </c>
      <c r="O9" s="13"/>
      <c r="P9" s="13">
        <f>P8/P12</f>
        <v>160.38189856653759</v>
      </c>
      <c r="Q9" s="13">
        <f>Q8/Q12</f>
        <v>196.90602125727537</v>
      </c>
      <c r="R9" s="1"/>
    </row>
    <row r="10" spans="1:19" x14ac:dyDescent="0.35">
      <c r="A10" s="10" t="s">
        <v>326</v>
      </c>
      <c r="B10" s="14">
        <f t="shared" ref="B10:H10" si="1">B9*7/9</f>
        <v>0</v>
      </c>
      <c r="C10" s="14">
        <f t="shared" si="1"/>
        <v>0</v>
      </c>
      <c r="D10" s="14">
        <f t="shared" si="1"/>
        <v>0</v>
      </c>
      <c r="E10" s="14">
        <f t="shared" si="1"/>
        <v>0</v>
      </c>
      <c r="F10" s="14">
        <f t="shared" si="1"/>
        <v>0</v>
      </c>
      <c r="G10" s="14">
        <f t="shared" si="1"/>
        <v>0</v>
      </c>
      <c r="H10" s="14">
        <f t="shared" si="1"/>
        <v>0</v>
      </c>
      <c r="I10" s="12"/>
      <c r="J10" s="13">
        <f t="shared" ref="J10:Q10" si="2">J9*7/9</f>
        <v>110.9750048564472</v>
      </c>
      <c r="K10" s="13"/>
      <c r="L10" s="13">
        <f t="shared" si="2"/>
        <v>114.049183836959</v>
      </c>
      <c r="M10" s="13"/>
      <c r="N10" s="13">
        <f t="shared" si="2"/>
        <v>118.88575224763252</v>
      </c>
      <c r="O10" s="13"/>
      <c r="P10" s="13">
        <f t="shared" si="2"/>
        <v>124.74147666286257</v>
      </c>
      <c r="Q10" s="13">
        <f t="shared" si="2"/>
        <v>153.14912764454752</v>
      </c>
      <c r="R10" s="1"/>
    </row>
    <row r="11" spans="1:19" x14ac:dyDescent="0.35">
      <c r="A11" s="10" t="s">
        <v>327</v>
      </c>
      <c r="B11" s="15" t="s">
        <v>328</v>
      </c>
      <c r="C11" s="15" t="s">
        <v>328</v>
      </c>
      <c r="D11" s="16" t="e">
        <f>(D9-C9)/C9</f>
        <v>#DIV/0!</v>
      </c>
      <c r="E11" s="16" t="e">
        <f>(E9-D9)/D9</f>
        <v>#DIV/0!</v>
      </c>
      <c r="F11" s="16" t="e">
        <f>(F9-E9)/E9</f>
        <v>#DIV/0!</v>
      </c>
      <c r="G11" s="16" t="e">
        <f>(G9-F9)/F9</f>
        <v>#DIV/0!</v>
      </c>
      <c r="H11" s="16" t="e">
        <f>(H9-G9)/G9</f>
        <v>#DIV/0!</v>
      </c>
      <c r="I11" s="12"/>
      <c r="J11" s="17">
        <v>-1.5355492770806998E-2</v>
      </c>
      <c r="K11" s="17"/>
      <c r="L11" s="17">
        <v>2.7701544005234561E-2</v>
      </c>
      <c r="M11" s="17"/>
      <c r="N11" s="17">
        <f>(N9-L9)/L9</f>
        <v>4.2407742413902105E-2</v>
      </c>
      <c r="O11" s="17"/>
      <c r="P11" s="17">
        <f>(P9-N9)/N9</f>
        <v>4.9255056257985222E-2</v>
      </c>
      <c r="Q11" s="17">
        <f>(Q9-P9)/P9</f>
        <v>0.22773220056118137</v>
      </c>
    </row>
    <row r="12" spans="1:19" x14ac:dyDescent="0.35">
      <c r="A12" s="10" t="s">
        <v>329</v>
      </c>
      <c r="B12" s="18">
        <v>12173.9</v>
      </c>
      <c r="C12" s="18">
        <v>12173.9</v>
      </c>
      <c r="D12" s="18">
        <v>12413.92</v>
      </c>
      <c r="E12" s="19">
        <v>12554.29</v>
      </c>
      <c r="F12" s="19">
        <v>12682.12</v>
      </c>
      <c r="G12" s="19">
        <v>12371.87</v>
      </c>
      <c r="H12" s="19">
        <f>ROUND(G12*1.005,2)</f>
        <v>12433.73</v>
      </c>
      <c r="I12" s="12"/>
      <c r="J12" s="19">
        <v>12371.87</v>
      </c>
      <c r="K12" s="12"/>
      <c r="L12" s="19">
        <v>12733.88</v>
      </c>
      <c r="M12" s="19"/>
      <c r="N12" s="19">
        <v>12926.07</v>
      </c>
      <c r="O12" s="19"/>
      <c r="P12" s="19">
        <v>13032.78</v>
      </c>
      <c r="Q12" s="54">
        <f>P12*1.005</f>
        <v>13097.943899999998</v>
      </c>
    </row>
    <row r="13" spans="1:19" x14ac:dyDescent="0.35">
      <c r="A13"/>
      <c r="B13"/>
      <c r="C13"/>
      <c r="D13"/>
      <c r="E13"/>
      <c r="F13"/>
      <c r="G13" s="20"/>
      <c r="H13"/>
      <c r="I13"/>
      <c r="J13"/>
      <c r="K13"/>
      <c r="L13"/>
      <c r="M13"/>
      <c r="N13"/>
      <c r="O13"/>
    </row>
    <row r="14" spans="1:19" x14ac:dyDescent="0.35">
      <c r="A14"/>
      <c r="B14"/>
      <c r="C14"/>
      <c r="D14"/>
      <c r="E14"/>
      <c r="F14"/>
      <c r="G14" s="8"/>
      <c r="H14"/>
      <c r="I14"/>
      <c r="J14"/>
      <c r="K14"/>
      <c r="L14"/>
      <c r="M14"/>
      <c r="N14"/>
      <c r="O14"/>
    </row>
    <row r="15" spans="1:19" x14ac:dyDescent="0.35">
      <c r="A15"/>
      <c r="B15"/>
      <c r="C15"/>
      <c r="D15"/>
      <c r="E15"/>
      <c r="F15"/>
      <c r="G15"/>
      <c r="H15"/>
      <c r="I15"/>
      <c r="J15"/>
      <c r="K15"/>
      <c r="L15"/>
      <c r="M15"/>
      <c r="N15"/>
      <c r="O15" s="25"/>
    </row>
    <row r="16" spans="1:19" x14ac:dyDescent="0.35">
      <c r="A16"/>
      <c r="B16"/>
      <c r="C16"/>
      <c r="D16"/>
      <c r="E16"/>
      <c r="F16"/>
      <c r="G16"/>
      <c r="H16"/>
      <c r="I16"/>
      <c r="J16"/>
      <c r="K16"/>
      <c r="L16"/>
      <c r="M16"/>
      <c r="N16"/>
    </row>
    <row r="17" spans="1:15" x14ac:dyDescent="0.35">
      <c r="A17"/>
      <c r="B17"/>
      <c r="C17"/>
      <c r="D17"/>
      <c r="E17"/>
      <c r="F17"/>
      <c r="G17"/>
      <c r="H17"/>
      <c r="I17"/>
      <c r="J17"/>
      <c r="K17"/>
      <c r="L17"/>
      <c r="M17"/>
      <c r="N17"/>
    </row>
    <row r="18" spans="1:15" x14ac:dyDescent="0.35">
      <c r="A18"/>
      <c r="B18"/>
      <c r="C18"/>
      <c r="D18"/>
      <c r="E18"/>
      <c r="F18"/>
      <c r="G18"/>
      <c r="H18"/>
      <c r="I18"/>
      <c r="J18"/>
      <c r="K18"/>
      <c r="L18"/>
      <c r="M18"/>
      <c r="N18"/>
    </row>
    <row r="19" spans="1:15" x14ac:dyDescent="0.35">
      <c r="A19"/>
      <c r="B19"/>
      <c r="C19"/>
      <c r="D19"/>
      <c r="E19"/>
      <c r="F19"/>
      <c r="G19"/>
      <c r="H19"/>
      <c r="I19"/>
      <c r="J19"/>
      <c r="K19"/>
      <c r="L19"/>
      <c r="M19"/>
      <c r="N19"/>
    </row>
    <row r="20" spans="1:15" x14ac:dyDescent="0.35">
      <c r="A20"/>
      <c r="B20"/>
      <c r="C20"/>
      <c r="D20"/>
      <c r="E20"/>
      <c r="F20"/>
      <c r="G20"/>
      <c r="H20"/>
      <c r="I20"/>
      <c r="J20"/>
      <c r="K20"/>
      <c r="L20"/>
      <c r="M20"/>
      <c r="N20"/>
    </row>
    <row r="21" spans="1:15" x14ac:dyDescent="0.35">
      <c r="A21"/>
      <c r="B21"/>
      <c r="C21"/>
      <c r="D21"/>
      <c r="E21"/>
      <c r="F21"/>
      <c r="G21"/>
      <c r="H21"/>
      <c r="I21"/>
      <c r="J21"/>
      <c r="K21"/>
      <c r="L21"/>
      <c r="M21"/>
      <c r="N21"/>
    </row>
    <row r="22" spans="1:15" x14ac:dyDescent="0.35">
      <c r="A22"/>
      <c r="B22"/>
      <c r="C22"/>
      <c r="D22"/>
      <c r="E22"/>
      <c r="F22"/>
      <c r="G22"/>
      <c r="H22"/>
      <c r="I22"/>
      <c r="J22"/>
      <c r="K22"/>
      <c r="L22"/>
      <c r="M22"/>
      <c r="N22"/>
    </row>
    <row r="23" spans="1:15" x14ac:dyDescent="0.35">
      <c r="A23"/>
      <c r="B23"/>
      <c r="C23"/>
      <c r="D23"/>
      <c r="E23"/>
      <c r="F23"/>
      <c r="G23"/>
      <c r="H23"/>
      <c r="I23"/>
      <c r="J23"/>
      <c r="K23"/>
      <c r="L23"/>
      <c r="M23"/>
      <c r="N23"/>
    </row>
    <row r="24" spans="1:15" x14ac:dyDescent="0.35">
      <c r="A24"/>
      <c r="E24"/>
      <c r="F24"/>
      <c r="G24"/>
      <c r="H24"/>
      <c r="I24"/>
      <c r="K24"/>
    </row>
    <row r="26" spans="1:15" x14ac:dyDescent="0.35">
      <c r="A26"/>
      <c r="B26"/>
      <c r="C26"/>
      <c r="D26"/>
      <c r="E26"/>
      <c r="F26"/>
      <c r="G26"/>
      <c r="H26"/>
      <c r="I26"/>
      <c r="J26"/>
      <c r="K26"/>
      <c r="L26"/>
      <c r="M26"/>
      <c r="N26"/>
      <c r="O26"/>
    </row>
    <row r="27" spans="1:15" x14ac:dyDescent="0.35">
      <c r="A27"/>
      <c r="B27"/>
      <c r="C27"/>
      <c r="D27"/>
      <c r="E27"/>
      <c r="F27"/>
      <c r="G27"/>
      <c r="H27"/>
      <c r="I27"/>
      <c r="J27"/>
      <c r="K27"/>
      <c r="L27"/>
      <c r="M27"/>
      <c r="N27"/>
      <c r="O27"/>
    </row>
    <row r="28" spans="1:15" x14ac:dyDescent="0.35">
      <c r="A28"/>
      <c r="B28"/>
      <c r="C28"/>
      <c r="D28"/>
      <c r="E28"/>
      <c r="F28"/>
      <c r="G28"/>
      <c r="H28"/>
      <c r="I28"/>
      <c r="J28"/>
      <c r="K28"/>
      <c r="L28"/>
      <c r="M28"/>
      <c r="N28"/>
      <c r="O28"/>
    </row>
    <row r="29" spans="1:15" x14ac:dyDescent="0.35">
      <c r="A29"/>
      <c r="B29"/>
      <c r="C29"/>
      <c r="D29"/>
      <c r="E29"/>
      <c r="F29"/>
      <c r="G29"/>
      <c r="H29"/>
      <c r="I29"/>
      <c r="J29"/>
      <c r="K29"/>
      <c r="L29"/>
      <c r="M29"/>
      <c r="N29"/>
      <c r="O29"/>
    </row>
    <row r="30" spans="1:15" x14ac:dyDescent="0.35">
      <c r="A30"/>
      <c r="B30"/>
      <c r="C30"/>
      <c r="D30"/>
      <c r="E30"/>
      <c r="F30"/>
      <c r="G30"/>
      <c r="H30"/>
      <c r="I30"/>
      <c r="J30"/>
      <c r="K30"/>
      <c r="L30"/>
      <c r="M30"/>
      <c r="N30"/>
      <c r="O30"/>
    </row>
    <row r="31" spans="1:15" x14ac:dyDescent="0.35">
      <c r="A31"/>
      <c r="B31"/>
      <c r="C31"/>
      <c r="D31"/>
      <c r="E31"/>
      <c r="F31"/>
      <c r="G31"/>
      <c r="H31"/>
      <c r="I31"/>
      <c r="J31"/>
      <c r="K31"/>
      <c r="L31"/>
      <c r="M31"/>
      <c r="N31"/>
      <c r="O31"/>
    </row>
    <row r="32" spans="1:15" x14ac:dyDescent="0.35">
      <c r="A32"/>
      <c r="B32"/>
      <c r="C32"/>
      <c r="D32"/>
      <c r="E32"/>
      <c r="F32"/>
      <c r="G32"/>
      <c r="H32"/>
      <c r="I32"/>
      <c r="J32"/>
      <c r="K32"/>
      <c r="L32"/>
      <c r="M32"/>
      <c r="N32"/>
      <c r="O32"/>
    </row>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FA6F-A61A-4B24-9AC0-D3242E440CEA}">
  <sheetPr codeName="Sheet10"/>
  <dimension ref="A1:AG1013"/>
  <sheetViews>
    <sheetView zoomScaleNormal="100" workbookViewId="0">
      <pane xSplit="2" ySplit="1" topLeftCell="I3" activePane="bottomRight" state="frozen"/>
      <selection pane="topRight" activeCell="C1" sqref="C1"/>
      <selection pane="bottomLeft" activeCell="A2" sqref="A2"/>
      <selection pane="bottomRight" activeCell="N16" sqref="N16"/>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4.1796875" style="85" bestFit="1" customWidth="1"/>
    <col min="6" max="6" width="30.453125" style="87" bestFit="1" customWidth="1"/>
    <col min="7" max="7" width="57.54296875" style="87" bestFit="1" customWidth="1"/>
    <col min="8" max="8" width="12.7265625" style="88" bestFit="1" customWidth="1"/>
    <col min="9" max="9" width="13.81640625" style="89" bestFit="1" customWidth="1"/>
    <col min="10" max="10" width="19.54296875" style="87" bestFit="1" customWidth="1"/>
    <col min="11" max="11" width="19.453125" style="87" customWidth="1"/>
    <col min="12" max="12" width="24.26953125" style="87" customWidth="1"/>
    <col min="13" max="13" width="28.26953125" style="89" customWidth="1"/>
    <col min="14" max="14" width="13.81640625" style="87" customWidth="1"/>
    <col min="15" max="15" width="11.54296875" style="87" bestFit="1" customWidth="1"/>
    <col min="16" max="16" width="31"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110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SUM(E3:E6)</f>
        <v>22770</v>
      </c>
      <c r="F2" s="87">
        <f>SUM(F3:F3)</f>
        <v>-80607.839999999997</v>
      </c>
      <c r="I2" s="89">
        <f>SUM(I3:I6)</f>
        <v>-123800</v>
      </c>
      <c r="J2" s="87">
        <f>SUM(J3:J6)</f>
        <v>89586.15</v>
      </c>
      <c r="M2" s="89">
        <f>SUM(M3:M6)</f>
        <v>-125000</v>
      </c>
      <c r="N2" s="87">
        <f>SUM(N3:N6)</f>
        <v>95000</v>
      </c>
      <c r="Q2" s="89">
        <f>SUM(Q3:Q6)</f>
        <v>0</v>
      </c>
      <c r="R2" s="87">
        <f>SUM(R3:R6)</f>
        <v>0</v>
      </c>
      <c r="U2" s="89">
        <f>SUM(U3:U6)</f>
        <v>0</v>
      </c>
      <c r="V2" s="87">
        <f>SUM(V3:V6)</f>
        <v>0</v>
      </c>
      <c r="Y2" s="89">
        <f>SUM(Y3:Y6)</f>
        <v>0</v>
      </c>
      <c r="Z2" s="87">
        <f>SUM(Z3:Z6)</f>
        <v>0</v>
      </c>
      <c r="AC2" s="89">
        <f>SUM(AC3:AC6)</f>
        <v>0</v>
      </c>
      <c r="AD2" s="87">
        <f>SUM(AD3:AD6)</f>
        <v>0</v>
      </c>
    </row>
    <row r="3" spans="1:33" ht="43.5" x14ac:dyDescent="0.35">
      <c r="A3" s="86" t="s">
        <v>110</v>
      </c>
      <c r="B3" s="85">
        <v>1</v>
      </c>
      <c r="D3" s="86">
        <v>98377.42</v>
      </c>
      <c r="E3" s="87">
        <f>15000+48500-40730</f>
        <v>22770</v>
      </c>
      <c r="F3" s="87">
        <f>SUMIFS(H$22:H$1007,E$22:E$1007,B3)</f>
        <v>-80607.839999999997</v>
      </c>
      <c r="G3" s="87">
        <f>D3+E3-F3+SUMIFS(E$9:E$15,$C$9:$C$15,$A3)-SUMIFS(F$9:F$15,$C$9:$C$15,$A3)</f>
        <v>205639.25</v>
      </c>
      <c r="I3" s="91">
        <f>-(75000+48800)</f>
        <v>-123800</v>
      </c>
      <c r="J3" s="87">
        <f>SUMIFS(L$22:L$1018,I$22:I$1018,B3)</f>
        <v>38724.080000000002</v>
      </c>
      <c r="K3" s="87">
        <f>G3+I3-J3+SUMIFS(I$9:I$15,$C$9:$C$15,$A3)-SUMIFS(J$9:J$15,$C$9:$C$15,$A3)</f>
        <v>133653.43</v>
      </c>
      <c r="L3" s="84" t="s">
        <v>111</v>
      </c>
      <c r="M3" s="89">
        <v>-125000</v>
      </c>
      <c r="N3" s="87">
        <f>SUMIFS(P$22:P$1007,M$22:M$1007,1)</f>
        <v>5000</v>
      </c>
      <c r="O3" s="87">
        <f>K3+M3-N3+SUMIFS(M$9:M$15,$C$9:$C$15,$A3)-SUMIFS(N$9:N$15,$C$9:$C$15,$A3)</f>
        <v>33653.429999999993</v>
      </c>
      <c r="R3" s="87">
        <f>SUMIFS(T$22:T$1007,Q$22:Q$1007,1)</f>
        <v>0</v>
      </c>
      <c r="S3" s="87">
        <f>O3+Q3-R3+SUMIFS(Q$9:Q$15,$C$9:$C$15,$A3)-SUMIFS(R$9:R$15,$C$9:$C$15,$A3)</f>
        <v>33653.429999999993</v>
      </c>
      <c r="V3" s="87">
        <f>SUMIFS(X$22:X$1007,U$22:U$1007,1)</f>
        <v>0</v>
      </c>
      <c r="W3" s="87">
        <f>S3+U3-V3+SUMIFS(U$9:U$15,$C$9:$C$15,$A3)-SUMIFS(V$9:V$15,$C$9:$C$15,$A3)</f>
        <v>33653.429999999993</v>
      </c>
      <c r="Z3" s="87">
        <f>SUMIFS(AB$22:AB$1007,Y$22:Y$1007,1)</f>
        <v>0</v>
      </c>
      <c r="AA3" s="87">
        <f>W3+Y3-Z3+SUMIFS(Y$9:Y$15,$C$9:$C$15,$A3)-SUMIFS(Z$9:Z$15,$C$9:$C$15,$A3)</f>
        <v>33653.429999999993</v>
      </c>
      <c r="AD3" s="87">
        <f>SUMIFS(AF$22:AF$1007,AC$22:AC$1007,1)</f>
        <v>0</v>
      </c>
      <c r="AE3" s="87">
        <f>AA3+AC3-AD3+SUMIFS(AC$9:AC$15,$C$9:$C$15,$A3)-SUMIFS(AD$9:AD$15,$C$9:$C$15,$A3)</f>
        <v>33653.429999999993</v>
      </c>
      <c r="AG3" s="87">
        <v>150000</v>
      </c>
    </row>
    <row r="4" spans="1:33" x14ac:dyDescent="0.35">
      <c r="A4" s="86" t="s">
        <v>112</v>
      </c>
      <c r="B4" s="85">
        <v>2</v>
      </c>
      <c r="D4" s="86">
        <v>55960</v>
      </c>
      <c r="E4" s="87">
        <v>0</v>
      </c>
      <c r="F4" s="87">
        <f>SUMIFS(H$22:H$1007,E$22:E$1007,B4)</f>
        <v>49940.24</v>
      </c>
      <c r="G4" s="87">
        <f>D4+E4-F4+SUMIFS(E$9:E$15,$C$9:$C$15,$A4)-SUMIFS(F$9:F$15,$C$9:$C$15,$A4)</f>
        <v>6019.760000000002</v>
      </c>
      <c r="J4" s="87">
        <f>SUMIFS(L$22:L$1018,I$22:I$1018,B4)</f>
        <v>6019.76</v>
      </c>
      <c r="K4" s="87">
        <f>G4+I4-J4+SUMIFS(I$9:I$15,$C$9:$C$15,$A4)-SUMIFS(J$9:J$15,$C$9:$C$15,$A4)</f>
        <v>1.8189894035458565E-12</v>
      </c>
      <c r="L4" s="86"/>
      <c r="N4" s="87">
        <f>SUMIFS(P$22:P$1007,M$22:M$1007,2)</f>
        <v>0</v>
      </c>
      <c r="O4" s="87">
        <f>K4+M4-N4+SUMIFS(M$9:M$15,$C$9:$C$15,$A4)-SUMIFS(N$9:N$15,$C$9:$C$15,$A4)</f>
        <v>1.8189894035458565E-12</v>
      </c>
      <c r="R4" s="87">
        <f>SUMIFS(T$22:T$1007,Q$22:Q$1007,1)</f>
        <v>0</v>
      </c>
      <c r="S4" s="87">
        <f>O4+Q4-R4+SUMIFS(Q$9:Q$15,$C$9:$C$15,$A4)-SUMIFS(R$9:R$15,$C$9:$C$15,$A4)</f>
        <v>1.8189894035458565E-12</v>
      </c>
      <c r="V4" s="87">
        <f>SUMIFS(X$22:X$1007,U$22:U$1007,1)</f>
        <v>0</v>
      </c>
      <c r="W4" s="87">
        <f>S4+U4-V4+SUMIFS(U$9:U$15,$C$9:$C$15,$A4)-SUMIFS(V$9:V$15,$C$9:$C$15,$A4)</f>
        <v>1.8189894035458565E-12</v>
      </c>
      <c r="Z4" s="87">
        <f>SUMIFS(AB$22:AB$1007,Y$22:Y$1007,1)</f>
        <v>0</v>
      </c>
      <c r="AA4" s="87">
        <f>W4+Y4-Z4+SUMIFS(Y$9:Y$15,$C$9:$C$15,$A4)-SUMIFS(Z$9:Z$15,$C$9:$C$15,$A4)</f>
        <v>1.8189894035458565E-12</v>
      </c>
      <c r="AD4" s="87">
        <f>SUMIFS(AF$22:AF$1007,AC$22:AC$1007,1)</f>
        <v>0</v>
      </c>
      <c r="AE4" s="87">
        <f>AA4+AC4-AD4+SUMIFS(AC$9:AC$15,$C$9:$C$15,$A4)-SUMIFS(AD$9:AD$15,$C$9:$C$15,$A4)</f>
        <v>1.8189894035458565E-12</v>
      </c>
    </row>
    <row r="5" spans="1:33" ht="29" x14ac:dyDescent="0.35">
      <c r="A5" s="86" t="s">
        <v>82</v>
      </c>
      <c r="B5" s="85">
        <v>3</v>
      </c>
      <c r="D5" s="86">
        <v>52000</v>
      </c>
      <c r="E5" s="87">
        <v>0</v>
      </c>
      <c r="F5" s="87">
        <f>SUMIFS(H$22:H$1007,E$22:E$1007,B5)</f>
        <v>42344</v>
      </c>
      <c r="G5" s="87">
        <f>D5+E5-F5+SUMIFS('2-Parks and Open Spaces'!E$7:E$14,'2-Parks and Open Spaces'!$C$7:$C$14,$A5)-SUMIFS('2-Parks and Open Spaces'!F$7:F$14,'2-Parks and Open Spaces'!$C$7:$C$14,$A5)</f>
        <v>9656</v>
      </c>
      <c r="J5" s="87">
        <f>SUMIFS(L$22:L$1018,I$22:I$1018,B5)</f>
        <v>0</v>
      </c>
      <c r="K5" s="87">
        <f>G5+I5-J5+SUMIFS('2-Parks and Open Spaces'!I$7:I$14,'2-Parks and Open Spaces'!$C$7:$C$14,$A5)-SUMIFS('2-Parks and Open Spaces'!J$7:J$14,'2-Parks and Open Spaces'!$C$7:$C$14,$A5)</f>
        <v>9656</v>
      </c>
      <c r="L5" s="86"/>
      <c r="N5" s="87">
        <f>SUMIFS('2-Parks and Open Spaces'!P$19:P$1001,'2-Parks and Open Spaces'!M$19:M$1001,2)</f>
        <v>0</v>
      </c>
      <c r="O5" s="87">
        <f>K5+M5-N5+SUMIFS('2-Parks and Open Spaces'!M$7:M$14,'2-Parks and Open Spaces'!$C$7:$C$14,$A5)-SUMIFS('2-Parks and Open Spaces'!N$7:N$14,'2-Parks and Open Spaces'!$C$7:$C$14,$A5)</f>
        <v>9656</v>
      </c>
      <c r="R5" s="87">
        <f>SUMIFS('2-Parks and Open Spaces'!T$20:T$1002,'2-Parks and Open Spaces'!Q$20:Q$1002,2)</f>
        <v>0</v>
      </c>
      <c r="S5" s="87">
        <f>O5+Q5-R5+SUMIFS('2-Parks and Open Spaces'!Q$7:Q$14,'2-Parks and Open Spaces'!$C$7:$C$14,$A5)-SUMIFS('2-Parks and Open Spaces'!R$7:R$14,'2-Parks and Open Spaces'!$C$7:$C$14,$A5)</f>
        <v>9656</v>
      </c>
      <c r="V5" s="87">
        <f>SUMIFS('2-Parks and Open Spaces'!X$20:X$1002,'2-Parks and Open Spaces'!U$20:U$1002,2)</f>
        <v>0</v>
      </c>
      <c r="W5" s="87">
        <f>S5+U5-V5+SUMIFS('2-Parks and Open Spaces'!U$7:U$14,'2-Parks and Open Spaces'!$C$7:$C$14,$A5)-SUMIFS('2-Parks and Open Spaces'!V$7:V$14,'2-Parks and Open Spaces'!$C$7:$C$14,$A5)</f>
        <v>9656</v>
      </c>
      <c r="Z5" s="87">
        <f>SUMIFS('2-Parks and Open Spaces'!AB$20:AB$1002,'2-Parks and Open Spaces'!Y$20:Y$1002,2)</f>
        <v>0</v>
      </c>
      <c r="AA5" s="87">
        <f>W5+Y5-Z5+SUMIFS('2-Parks and Open Spaces'!Y$7:Y$14,'2-Parks and Open Spaces'!$C$7:$C$14,$A5)-SUMIFS('2-Parks and Open Spaces'!Z$7:Z$14,'2-Parks and Open Spaces'!$C$7:$C$14,$A5)</f>
        <v>9656</v>
      </c>
      <c r="AD5" s="87">
        <f>SUMIFS('2-Parks and Open Spaces'!AF$20:AF$1002,'2-Parks and Open Spaces'!AC$20:AC$1002,2)</f>
        <v>0</v>
      </c>
      <c r="AE5" s="87">
        <f>AA5+AC5-AD5+SUMIFS('2-Parks and Open Spaces'!AC$7:AC$14,'2-Parks and Open Spaces'!$C$7:$C$14,$A5)-SUMIFS('2-Parks and Open Spaces'!AD$7:AD$14,'2-Parks and Open Spaces'!$C$7:$C$14,$A5)</f>
        <v>9656</v>
      </c>
      <c r="AG5" s="87">
        <v>75000</v>
      </c>
    </row>
    <row r="6" spans="1:33" x14ac:dyDescent="0.35">
      <c r="A6" s="86" t="s">
        <v>72</v>
      </c>
      <c r="B6" s="85">
        <v>4</v>
      </c>
      <c r="D6" s="86">
        <v>0</v>
      </c>
      <c r="E6" s="87">
        <v>0</v>
      </c>
      <c r="F6" s="87">
        <f>SUMIFS(H$22:H$1007,E$22:E$1007,B6)</f>
        <v>0</v>
      </c>
      <c r="G6" s="87">
        <f>D6+E6-F6+SUMIFS(E$9:E$15,$C$9:$C$15,$A6)-SUMIFS(F$9:F$15,$C$9:$C$15,$A6)</f>
        <v>44842.31</v>
      </c>
      <c r="J6" s="87">
        <f>SUMIFS(L$22:L$1018,I$22:I$1018,B6)</f>
        <v>44842.31</v>
      </c>
      <c r="K6" s="87">
        <f>G6+I6-J6+SUMIFS(I$9:I$15,$C$9:$C$15,$A6)-SUMIFS(J$9:J$15,$C$9:$C$15,$A6)</f>
        <v>90000</v>
      </c>
      <c r="L6" s="86"/>
      <c r="N6" s="87">
        <f>SUMIFS(P$22:P$1007,M$22:M$1007,4)</f>
        <v>90000</v>
      </c>
      <c r="O6" s="87">
        <f>K6+M6-N6+SUMIFS(M$9:M$15,$C$9:$C$15,$A6)-SUMIFS(N$9:N$15,$C$9:$C$15,$A6)</f>
        <v>130000</v>
      </c>
      <c r="R6" s="87">
        <f>SUMIFS(T$22:T$1007,Q$22:Q$1007,2)</f>
        <v>0</v>
      </c>
      <c r="S6" s="87">
        <f>O6+Q6-R6+SUMIFS(Q$9:Q$15,$C$9:$C$15,$A6)-SUMIFS(R$9:R$15,$C$9:$C$15,$A6)</f>
        <v>130000</v>
      </c>
      <c r="V6" s="87">
        <f>SUMIFS(X$22:X$1007,U$22:U$1007,2)</f>
        <v>0</v>
      </c>
      <c r="W6" s="87">
        <f>S6+U6-V6+SUMIFS(U$9:U$15,$C$9:$C$15,$A6)-SUMIFS(V$9:V$15,$C$9:$C$15,$A6)</f>
        <v>130000</v>
      </c>
      <c r="Z6" s="87">
        <f>SUMIFS(AB$22:AB$1007,Y$22:Y$1007,2)</f>
        <v>0</v>
      </c>
      <c r="AA6" s="87">
        <f>W6+Y6-Z6+SUMIFS(Y$9:Y$15,$C$9:$C$15,$A6)-SUMIFS(Z$9:Z$15,$C$9:$C$15,$A6)</f>
        <v>130000</v>
      </c>
      <c r="AD6" s="87">
        <f>SUMIFS(AF$22:AF$1007,AC$22:AC$1007,2)</f>
        <v>0</v>
      </c>
      <c r="AE6" s="87">
        <f>AA6+AC6-AD6+SUMIFS(AC$9:AC$15,$C$9:$C$15,$A6)-SUMIFS(AD$9:AD$15,$C$9:$C$15,$A6)</f>
        <v>130000</v>
      </c>
    </row>
    <row r="7" spans="1:33" ht="14.5" customHeight="1" x14ac:dyDescent="0.35">
      <c r="E7" s="87"/>
    </row>
    <row r="8" spans="1:33" ht="14.5" customHeight="1" x14ac:dyDescent="0.35">
      <c r="A8" s="84" t="s">
        <v>113</v>
      </c>
      <c r="D8" s="84"/>
      <c r="E8" s="89">
        <f>SUM(E9:E16)</f>
        <v>120730</v>
      </c>
      <c r="F8" s="89">
        <f>SUM(F9:F16)</f>
        <v>72003.700000000012</v>
      </c>
      <c r="G8" s="87">
        <f>E8*1.1</f>
        <v>132803</v>
      </c>
      <c r="I8" s="89">
        <f>SUM(I9:I16)</f>
        <v>198800</v>
      </c>
      <c r="J8" s="89">
        <f>SUM(J9:J16)</f>
        <v>18261.739999999998</v>
      </c>
      <c r="M8" s="89">
        <f>SUM(M9:M16)</f>
        <v>185000</v>
      </c>
      <c r="N8" s="89">
        <f>SUM(N9:N16)</f>
        <v>0</v>
      </c>
      <c r="Q8" s="89">
        <f>SUM(Q9:Q15)</f>
        <v>164800</v>
      </c>
      <c r="R8" s="87">
        <f>$Q$8</f>
        <v>164800</v>
      </c>
      <c r="U8" s="89">
        <f>SUM(U9:U15)</f>
        <v>169744</v>
      </c>
      <c r="V8" s="87">
        <f>$U$8</f>
        <v>169744</v>
      </c>
      <c r="Y8" s="89">
        <f>SUM(Y9:Y15)</f>
        <v>174837</v>
      </c>
      <c r="Z8" s="87">
        <f>$Y$8</f>
        <v>174837</v>
      </c>
      <c r="AC8" s="89">
        <f>SUM(AC9:AC15)</f>
        <v>180083</v>
      </c>
      <c r="AD8" s="87">
        <f>$AC$8</f>
        <v>180083</v>
      </c>
    </row>
    <row r="9" spans="1:33" ht="14.5" customHeight="1" x14ac:dyDescent="0.35">
      <c r="A9" s="86" t="s">
        <v>113</v>
      </c>
      <c r="B9" s="85">
        <v>5</v>
      </c>
      <c r="C9" s="86" t="s">
        <v>110</v>
      </c>
      <c r="D9" s="84"/>
      <c r="E9" s="87">
        <v>0</v>
      </c>
      <c r="F9" s="87">
        <f t="shared" ref="F9:F15" si="0">SUMIFS(H$22:H$1007,E$22:E$1007,$B9)</f>
        <v>0</v>
      </c>
      <c r="I9" s="91">
        <v>5000</v>
      </c>
      <c r="J9" s="87">
        <f t="shared" ref="J9:J15" si="1">SUMIFS(L$22:L$1018,I$22:I$1018,B9)</f>
        <v>0</v>
      </c>
      <c r="L9" s="90"/>
      <c r="M9" s="89">
        <v>0</v>
      </c>
      <c r="N9" s="87">
        <f t="shared" ref="N9:N16" si="2">SUMIFS(P$22:P$1018,M$22:M$1018,F9)</f>
        <v>0</v>
      </c>
      <c r="Q9" s="89">
        <f t="shared" ref="Q9:Q15" si="3">ROUNDUP((M9)*RPI,0)</f>
        <v>0</v>
      </c>
      <c r="R9" s="87">
        <f>$Q$9</f>
        <v>0</v>
      </c>
      <c r="U9" s="89">
        <f t="shared" ref="U9:U15" si="4">ROUNDUP((Q9)*RPI,0)</f>
        <v>0</v>
      </c>
      <c r="V9" s="87">
        <f>$U$9</f>
        <v>0</v>
      </c>
      <c r="Y9" s="89">
        <f t="shared" ref="Y9:Y15" si="5">ROUNDUP((U9)*RPI,0)</f>
        <v>0</v>
      </c>
      <c r="Z9" s="87">
        <f>$Y$9</f>
        <v>0</v>
      </c>
      <c r="AC9" s="89">
        <f t="shared" ref="AC9:AC15" si="6">ROUNDUP((Y9)*RPI,0)</f>
        <v>0</v>
      </c>
      <c r="AD9" s="87">
        <f>$AC$9</f>
        <v>0</v>
      </c>
    </row>
    <row r="10" spans="1:33" ht="14.5" customHeight="1" x14ac:dyDescent="0.35">
      <c r="A10" s="86" t="s">
        <v>76</v>
      </c>
      <c r="B10" s="85">
        <v>6</v>
      </c>
      <c r="C10" s="86" t="s">
        <v>110</v>
      </c>
      <c r="D10" s="84"/>
      <c r="E10" s="87">
        <v>0</v>
      </c>
      <c r="F10" s="87">
        <f t="shared" si="0"/>
        <v>0</v>
      </c>
      <c r="I10" s="91">
        <f>55000+48800</f>
        <v>103800</v>
      </c>
      <c r="J10" s="87">
        <f t="shared" si="1"/>
        <v>18261.739999999998</v>
      </c>
      <c r="M10" s="89">
        <v>30000</v>
      </c>
      <c r="N10" s="87">
        <f t="shared" si="2"/>
        <v>0</v>
      </c>
      <c r="Q10" s="89">
        <f t="shared" si="3"/>
        <v>30900</v>
      </c>
      <c r="R10" s="87">
        <f>$Q$10</f>
        <v>30900</v>
      </c>
      <c r="U10" s="89">
        <f t="shared" si="4"/>
        <v>31827</v>
      </c>
      <c r="V10" s="87">
        <f>$U$10</f>
        <v>31827</v>
      </c>
      <c r="Y10" s="89">
        <f t="shared" si="5"/>
        <v>32782</v>
      </c>
      <c r="Z10" s="87">
        <f>$Y$10</f>
        <v>32782</v>
      </c>
      <c r="AC10" s="89">
        <f t="shared" si="6"/>
        <v>33766</v>
      </c>
      <c r="AD10" s="87">
        <f>$AC$10</f>
        <v>33766</v>
      </c>
    </row>
    <row r="11" spans="1:33" s="102" customFormat="1" ht="14.5" customHeight="1" x14ac:dyDescent="0.35">
      <c r="A11" s="100" t="s">
        <v>115</v>
      </c>
      <c r="B11" s="101">
        <v>7</v>
      </c>
      <c r="C11" s="100" t="s">
        <v>110</v>
      </c>
      <c r="D11" s="118"/>
      <c r="E11" s="102">
        <v>0</v>
      </c>
      <c r="F11" s="102">
        <f t="shared" si="0"/>
        <v>0</v>
      </c>
      <c r="H11" s="103"/>
      <c r="I11" s="104">
        <f>ROUNDUP((E11)*RPICurrent,0)</f>
        <v>0</v>
      </c>
      <c r="J11" s="102">
        <f t="shared" si="1"/>
        <v>0</v>
      </c>
      <c r="M11" s="104">
        <f>ROUNDUP((I11)*RPI,0)</f>
        <v>0</v>
      </c>
      <c r="N11" s="87">
        <f t="shared" si="2"/>
        <v>0</v>
      </c>
      <c r="Q11" s="104">
        <f t="shared" si="3"/>
        <v>0</v>
      </c>
      <c r="R11" s="102">
        <f>$Q$11</f>
        <v>0</v>
      </c>
      <c r="U11" s="104">
        <f t="shared" si="4"/>
        <v>0</v>
      </c>
      <c r="V11" s="102">
        <f>$U$11</f>
        <v>0</v>
      </c>
      <c r="Y11" s="104">
        <f t="shared" si="5"/>
        <v>0</v>
      </c>
      <c r="Z11" s="102">
        <f>$Y$11</f>
        <v>0</v>
      </c>
      <c r="AC11" s="104">
        <f t="shared" si="6"/>
        <v>0</v>
      </c>
      <c r="AD11" s="102">
        <f>$AC$11</f>
        <v>0</v>
      </c>
    </row>
    <row r="12" spans="1:33" s="102" customFormat="1" ht="14.5" customHeight="1" x14ac:dyDescent="0.35">
      <c r="A12" s="100" t="s">
        <v>80</v>
      </c>
      <c r="B12" s="101">
        <v>8</v>
      </c>
      <c r="C12" s="100" t="s">
        <v>110</v>
      </c>
      <c r="D12" s="118"/>
      <c r="E12" s="102">
        <v>40730</v>
      </c>
      <c r="F12" s="102">
        <f t="shared" si="0"/>
        <v>36846.01</v>
      </c>
      <c r="H12" s="103"/>
      <c r="I12" s="104">
        <v>0</v>
      </c>
      <c r="J12" s="102">
        <f t="shared" si="1"/>
        <v>0</v>
      </c>
      <c r="M12" s="104">
        <f>ROUNDUP((I12)*RPI,0)</f>
        <v>0</v>
      </c>
      <c r="N12" s="87">
        <f t="shared" si="2"/>
        <v>0</v>
      </c>
      <c r="Q12" s="104">
        <f t="shared" si="3"/>
        <v>0</v>
      </c>
      <c r="R12" s="102">
        <f>$Q$12</f>
        <v>0</v>
      </c>
      <c r="U12" s="104">
        <f t="shared" si="4"/>
        <v>0</v>
      </c>
      <c r="V12" s="102">
        <f>$U$12</f>
        <v>0</v>
      </c>
      <c r="Y12" s="104">
        <f t="shared" si="5"/>
        <v>0</v>
      </c>
      <c r="Z12" s="102">
        <f>$Y$12</f>
        <v>0</v>
      </c>
      <c r="AC12" s="104">
        <f t="shared" si="6"/>
        <v>0</v>
      </c>
      <c r="AD12" s="102">
        <f>$AC$12</f>
        <v>0</v>
      </c>
    </row>
    <row r="13" spans="1:33" ht="14.5" customHeight="1" x14ac:dyDescent="0.35">
      <c r="A13" s="86" t="s">
        <v>116</v>
      </c>
      <c r="B13" s="85">
        <v>9</v>
      </c>
      <c r="C13" s="86" t="s">
        <v>72</v>
      </c>
      <c r="D13" s="84"/>
      <c r="E13" s="87">
        <v>80000</v>
      </c>
      <c r="F13" s="87">
        <f t="shared" si="0"/>
        <v>35157.69</v>
      </c>
      <c r="I13" s="91">
        <f>90000</f>
        <v>90000</v>
      </c>
      <c r="J13" s="87">
        <f t="shared" si="1"/>
        <v>0</v>
      </c>
      <c r="L13" s="96" t="s">
        <v>1123</v>
      </c>
      <c r="M13" s="89">
        <v>130000</v>
      </c>
      <c r="N13" s="87">
        <f t="shared" si="2"/>
        <v>0</v>
      </c>
      <c r="P13" s="105" t="s">
        <v>1124</v>
      </c>
      <c r="Q13" s="89">
        <f t="shared" si="3"/>
        <v>133900</v>
      </c>
      <c r="R13" s="87">
        <f>$Q$13</f>
        <v>133900</v>
      </c>
      <c r="U13" s="89">
        <f t="shared" si="4"/>
        <v>137917</v>
      </c>
      <c r="V13" s="87">
        <f>$U$13</f>
        <v>137917</v>
      </c>
      <c r="Y13" s="89">
        <f t="shared" si="5"/>
        <v>142055</v>
      </c>
      <c r="Z13" s="87">
        <f>$Y$13</f>
        <v>142055</v>
      </c>
      <c r="AC13" s="89">
        <f t="shared" si="6"/>
        <v>146317</v>
      </c>
      <c r="AD13" s="87">
        <f>$AC$13</f>
        <v>146317</v>
      </c>
    </row>
    <row r="14" spans="1:33" s="102" customFormat="1" ht="14.5" customHeight="1" x14ac:dyDescent="0.35">
      <c r="A14" s="100" t="s">
        <v>117</v>
      </c>
      <c r="B14" s="101">
        <v>10</v>
      </c>
      <c r="C14" s="100" t="s">
        <v>110</v>
      </c>
      <c r="D14" s="118"/>
      <c r="E14" s="102">
        <v>0</v>
      </c>
      <c r="F14" s="102">
        <f t="shared" si="0"/>
        <v>0</v>
      </c>
      <c r="H14" s="103"/>
      <c r="I14" s="104">
        <f>ROUNDUP((E14)*RPICurrent,0)</f>
        <v>0</v>
      </c>
      <c r="J14" s="102">
        <f t="shared" si="1"/>
        <v>0</v>
      </c>
      <c r="M14" s="104">
        <f>ROUNDUP((I14)*RPI,0)</f>
        <v>0</v>
      </c>
      <c r="N14" s="87">
        <f t="shared" si="2"/>
        <v>0</v>
      </c>
      <c r="Q14" s="104">
        <f t="shared" si="3"/>
        <v>0</v>
      </c>
      <c r="R14" s="102">
        <f>$Q$14</f>
        <v>0</v>
      </c>
      <c r="U14" s="104">
        <f t="shared" si="4"/>
        <v>0</v>
      </c>
      <c r="V14" s="102">
        <f>$U$14</f>
        <v>0</v>
      </c>
      <c r="Y14" s="104">
        <f t="shared" si="5"/>
        <v>0</v>
      </c>
      <c r="Z14" s="102">
        <f>$Y$14</f>
        <v>0</v>
      </c>
      <c r="AC14" s="104">
        <f t="shared" si="6"/>
        <v>0</v>
      </c>
      <c r="AD14" s="102">
        <f>$AC$14</f>
        <v>0</v>
      </c>
    </row>
    <row r="15" spans="1:33" s="102" customFormat="1" ht="14.5" customHeight="1" x14ac:dyDescent="0.35">
      <c r="A15" s="100" t="s">
        <v>118</v>
      </c>
      <c r="B15" s="101">
        <v>11</v>
      </c>
      <c r="C15" s="100" t="s">
        <v>110</v>
      </c>
      <c r="D15" s="118"/>
      <c r="E15" s="102">
        <v>0</v>
      </c>
      <c r="F15" s="102">
        <f t="shared" si="0"/>
        <v>0</v>
      </c>
      <c r="H15" s="103"/>
      <c r="I15" s="104">
        <f>ROUNDUP((E15)*RPICurrent,0)</f>
        <v>0</v>
      </c>
      <c r="J15" s="102">
        <f t="shared" si="1"/>
        <v>0</v>
      </c>
      <c r="M15" s="104">
        <f>ROUNDUP((I15)*RPI,0)</f>
        <v>0</v>
      </c>
      <c r="N15" s="87">
        <f t="shared" si="2"/>
        <v>0</v>
      </c>
      <c r="Q15" s="104">
        <f t="shared" si="3"/>
        <v>0</v>
      </c>
      <c r="R15" s="102">
        <f>$Q$15</f>
        <v>0</v>
      </c>
      <c r="U15" s="104">
        <f t="shared" si="4"/>
        <v>0</v>
      </c>
      <c r="V15" s="102">
        <f>$U$15</f>
        <v>0</v>
      </c>
      <c r="Y15" s="104">
        <f t="shared" si="5"/>
        <v>0</v>
      </c>
      <c r="Z15" s="102">
        <f>$Y$15</f>
        <v>0</v>
      </c>
      <c r="AC15" s="104">
        <f t="shared" si="6"/>
        <v>0</v>
      </c>
      <c r="AD15" s="102">
        <f>$AC$15</f>
        <v>0</v>
      </c>
    </row>
    <row r="16" spans="1:33" ht="57.65" customHeight="1" x14ac:dyDescent="0.35">
      <c r="A16" s="105" t="s">
        <v>2107</v>
      </c>
      <c r="B16" s="85">
        <v>12</v>
      </c>
      <c r="D16" s="87">
        <v>0</v>
      </c>
      <c r="E16" s="87">
        <v>0</v>
      </c>
      <c r="F16" s="87">
        <v>0</v>
      </c>
      <c r="G16" s="87">
        <v>0</v>
      </c>
      <c r="H16" s="96"/>
      <c r="I16" s="87">
        <v>0</v>
      </c>
      <c r="J16" s="102">
        <f t="shared" ref="J16" si="7">SUMIFS(L$24:L$1018,I$24:I$1018,$B16)</f>
        <v>0</v>
      </c>
      <c r="K16" s="87">
        <v>0</v>
      </c>
      <c r="L16" s="96"/>
      <c r="M16" s="87">
        <v>25000</v>
      </c>
      <c r="N16" s="87">
        <f t="shared" si="2"/>
        <v>0</v>
      </c>
      <c r="O16" s="96"/>
      <c r="P16" s="86" t="s">
        <v>1125</v>
      </c>
    </row>
    <row r="17" spans="1:31" x14ac:dyDescent="0.35">
      <c r="E17" s="87"/>
    </row>
    <row r="18" spans="1:31" x14ac:dyDescent="0.35">
      <c r="E18" s="87"/>
    </row>
    <row r="19" spans="1:31" x14ac:dyDescent="0.35">
      <c r="E19" s="87"/>
    </row>
    <row r="20" spans="1:31" x14ac:dyDescent="0.35">
      <c r="A20" s="84" t="s">
        <v>487</v>
      </c>
      <c r="F20" s="93"/>
      <c r="G20" s="85"/>
      <c r="H20" s="87"/>
      <c r="I20" s="94"/>
      <c r="J20" s="93"/>
      <c r="K20" s="85"/>
      <c r="M20" s="94"/>
      <c r="N20" s="93"/>
      <c r="O20" s="85"/>
      <c r="Q20" s="94"/>
      <c r="R20" s="93"/>
      <c r="S20" s="85"/>
      <c r="U20" s="94"/>
      <c r="V20" s="93"/>
      <c r="W20" s="85"/>
      <c r="Y20" s="94"/>
      <c r="Z20" s="93"/>
      <c r="AA20" s="85"/>
      <c r="AC20" s="94"/>
      <c r="AD20" s="93"/>
      <c r="AE20" s="85"/>
    </row>
    <row r="21" spans="1:31" ht="14.5" customHeight="1" x14ac:dyDescent="0.35">
      <c r="E21" s="85" t="s">
        <v>484</v>
      </c>
      <c r="F21" s="93" t="s">
        <v>488</v>
      </c>
      <c r="G21" s="85" t="s">
        <v>489</v>
      </c>
      <c r="H21" s="87" t="s">
        <v>475</v>
      </c>
      <c r="I21" s="94" t="s">
        <v>484</v>
      </c>
      <c r="J21" s="93" t="s">
        <v>488</v>
      </c>
      <c r="K21" s="85" t="s">
        <v>489</v>
      </c>
      <c r="L21" s="87" t="s">
        <v>475</v>
      </c>
      <c r="M21" s="85" t="s">
        <v>484</v>
      </c>
      <c r="N21" s="93" t="s">
        <v>488</v>
      </c>
      <c r="O21" s="85" t="s">
        <v>489</v>
      </c>
      <c r="P21" s="87" t="s">
        <v>475</v>
      </c>
      <c r="Q21" s="94"/>
      <c r="R21" s="93"/>
      <c r="S21" s="85"/>
      <c r="U21" s="94"/>
      <c r="V21" s="93"/>
      <c r="W21" s="85"/>
      <c r="Y21" s="94"/>
      <c r="Z21" s="93"/>
      <c r="AA21" s="85"/>
      <c r="AC21" s="94"/>
      <c r="AD21" s="93"/>
      <c r="AE21" s="85"/>
    </row>
    <row r="22" spans="1:31" ht="14.5" customHeight="1" x14ac:dyDescent="0.35">
      <c r="A22" s="85"/>
      <c r="D22" s="85"/>
      <c r="E22" s="85">
        <v>8</v>
      </c>
      <c r="F22" s="93" t="s">
        <v>967</v>
      </c>
      <c r="G22" s="85" t="s">
        <v>968</v>
      </c>
      <c r="H22" s="87">
        <v>36846.01</v>
      </c>
      <c r="I22" s="94">
        <v>1</v>
      </c>
      <c r="J22" s="93">
        <v>45310</v>
      </c>
      <c r="K22" s="85" t="s">
        <v>1126</v>
      </c>
      <c r="L22" s="87">
        <v>5520</v>
      </c>
      <c r="M22" s="94">
        <v>1</v>
      </c>
      <c r="N22" s="93" t="s">
        <v>676</v>
      </c>
      <c r="O22" s="85" t="s">
        <v>1128</v>
      </c>
      <c r="P22" s="87">
        <v>5000</v>
      </c>
      <c r="Q22" s="94"/>
      <c r="R22" s="93"/>
      <c r="S22" s="85"/>
      <c r="U22" s="94"/>
      <c r="V22" s="93"/>
      <c r="W22" s="85"/>
      <c r="Y22" s="94"/>
      <c r="Z22" s="93"/>
      <c r="AA22" s="85"/>
      <c r="AC22" s="94"/>
      <c r="AD22" s="93"/>
      <c r="AE22" s="85"/>
    </row>
    <row r="23" spans="1:31" ht="14.5" customHeight="1" x14ac:dyDescent="0.35">
      <c r="E23" s="85">
        <v>2</v>
      </c>
      <c r="F23" s="93">
        <v>44711</v>
      </c>
      <c r="G23" s="85" t="s">
        <v>1127</v>
      </c>
      <c r="H23" s="87">
        <v>49030.239999999998</v>
      </c>
      <c r="I23" s="94" t="s">
        <v>23</v>
      </c>
      <c r="J23" s="93" t="s">
        <v>676</v>
      </c>
      <c r="K23" s="85" t="s">
        <v>1128</v>
      </c>
      <c r="L23" s="87">
        <v>5000</v>
      </c>
      <c r="M23" s="94">
        <v>4</v>
      </c>
      <c r="N23" s="93" t="s">
        <v>491</v>
      </c>
      <c r="O23" s="85" t="s">
        <v>1140</v>
      </c>
      <c r="P23" s="87">
        <f>90000-SUMIF(M29:M57,4,P29:P57)</f>
        <v>84025</v>
      </c>
      <c r="Q23" s="94"/>
      <c r="R23" s="93"/>
      <c r="S23" s="85"/>
      <c r="U23" s="94"/>
      <c r="V23" s="93"/>
      <c r="W23" s="85"/>
      <c r="Y23" s="94"/>
      <c r="Z23" s="93"/>
      <c r="AA23" s="85"/>
      <c r="AC23" s="94"/>
      <c r="AD23" s="93"/>
      <c r="AE23" s="85"/>
    </row>
    <row r="24" spans="1:31" ht="14.5" customHeight="1" x14ac:dyDescent="0.35">
      <c r="E24" s="85">
        <v>2</v>
      </c>
      <c r="F24" s="93">
        <v>44735</v>
      </c>
      <c r="G24" s="85" t="s">
        <v>1129</v>
      </c>
      <c r="H24" s="87">
        <v>910</v>
      </c>
      <c r="I24" s="94">
        <v>1</v>
      </c>
      <c r="J24" s="93">
        <v>45033</v>
      </c>
      <c r="K24" s="93" t="s">
        <v>1130</v>
      </c>
      <c r="L24" s="87">
        <v>1500</v>
      </c>
      <c r="M24" s="94">
        <v>6</v>
      </c>
      <c r="N24" s="93">
        <v>45463</v>
      </c>
      <c r="O24" s="85" t="s">
        <v>2947</v>
      </c>
      <c r="P24" s="148">
        <v>10.32</v>
      </c>
      <c r="Q24" s="94"/>
      <c r="R24" s="93"/>
      <c r="S24" s="85"/>
      <c r="U24" s="94"/>
      <c r="V24" s="93"/>
      <c r="W24" s="85"/>
      <c r="Y24" s="94"/>
      <c r="Z24" s="93"/>
      <c r="AA24" s="85"/>
      <c r="AC24" s="94"/>
      <c r="AD24" s="93"/>
      <c r="AE24" s="85"/>
    </row>
    <row r="25" spans="1:31" ht="14.5" customHeight="1" x14ac:dyDescent="0.35">
      <c r="E25" s="85">
        <v>1</v>
      </c>
      <c r="F25" s="93">
        <v>44755</v>
      </c>
      <c r="G25" s="85" t="s">
        <v>1131</v>
      </c>
      <c r="H25" s="87">
        <v>8375</v>
      </c>
      <c r="I25" s="94">
        <v>6</v>
      </c>
      <c r="J25" s="93">
        <v>45033</v>
      </c>
      <c r="K25" s="85" t="s">
        <v>1132</v>
      </c>
      <c r="L25" s="87">
        <v>2775</v>
      </c>
      <c r="M25" s="94">
        <v>6</v>
      </c>
      <c r="N25" s="93">
        <v>45443</v>
      </c>
      <c r="O25" s="85" t="s">
        <v>2947</v>
      </c>
      <c r="P25" s="148">
        <v>10.5</v>
      </c>
      <c r="Q25" s="94"/>
      <c r="R25" s="93"/>
      <c r="S25" s="85"/>
      <c r="U25" s="94"/>
      <c r="V25" s="93"/>
      <c r="W25" s="85"/>
      <c r="Y25" s="94"/>
      <c r="Z25" s="93"/>
      <c r="AA25" s="85"/>
      <c r="AC25" s="94"/>
      <c r="AD25" s="93"/>
      <c r="AE25" s="85"/>
    </row>
    <row r="26" spans="1:31" ht="14.5" customHeight="1" x14ac:dyDescent="0.35">
      <c r="E26" s="85">
        <v>9</v>
      </c>
      <c r="F26" s="93">
        <v>44798</v>
      </c>
      <c r="G26" s="85" t="s">
        <v>1133</v>
      </c>
      <c r="H26" s="87">
        <f>29826.33-58.9</f>
        <v>29767.43</v>
      </c>
      <c r="I26" s="94">
        <v>6</v>
      </c>
      <c r="J26" s="93">
        <v>45044</v>
      </c>
      <c r="K26" s="85" t="s">
        <v>1134</v>
      </c>
      <c r="L26" s="87">
        <v>959</v>
      </c>
      <c r="M26" s="94">
        <v>6</v>
      </c>
      <c r="N26" s="93">
        <v>45428</v>
      </c>
      <c r="O26" s="85" t="s">
        <v>2998</v>
      </c>
      <c r="P26" s="148">
        <v>12.63</v>
      </c>
      <c r="Q26" s="94"/>
      <c r="R26" s="93"/>
      <c r="S26" s="85"/>
      <c r="U26" s="94"/>
      <c r="V26" s="93"/>
      <c r="W26" s="85"/>
      <c r="Y26" s="94"/>
      <c r="Z26" s="93"/>
      <c r="AA26" s="85"/>
      <c r="AC26" s="94"/>
      <c r="AD26" s="93"/>
      <c r="AE26" s="85"/>
    </row>
    <row r="27" spans="1:31" ht="14.5" customHeight="1" x14ac:dyDescent="0.35">
      <c r="E27" s="85">
        <v>9</v>
      </c>
      <c r="F27" s="93">
        <v>44812</v>
      </c>
      <c r="G27" s="85" t="s">
        <v>1135</v>
      </c>
      <c r="H27" s="87">
        <v>434.04</v>
      </c>
      <c r="I27" s="94">
        <v>1</v>
      </c>
      <c r="J27" s="93">
        <v>45033</v>
      </c>
      <c r="K27" s="85" t="s">
        <v>1136</v>
      </c>
      <c r="L27" s="87">
        <v>1500</v>
      </c>
      <c r="M27" s="94">
        <v>6</v>
      </c>
      <c r="N27" s="93">
        <v>45428</v>
      </c>
      <c r="O27" s="85" t="s">
        <v>2998</v>
      </c>
      <c r="P27" s="148">
        <v>3.32</v>
      </c>
      <c r="Q27" s="94"/>
      <c r="R27" s="93"/>
      <c r="S27" s="85"/>
      <c r="U27" s="94"/>
      <c r="V27" s="93"/>
      <c r="W27" s="85"/>
      <c r="Y27" s="94"/>
      <c r="Z27" s="93"/>
      <c r="AA27" s="85"/>
      <c r="AC27" s="94"/>
      <c r="AD27" s="93"/>
      <c r="AE27" s="85"/>
    </row>
    <row r="28" spans="1:31" ht="14.5" customHeight="1" x14ac:dyDescent="0.35">
      <c r="E28" s="85">
        <v>9</v>
      </c>
      <c r="F28" s="93">
        <v>44824</v>
      </c>
      <c r="G28" s="85" t="s">
        <v>1137</v>
      </c>
      <c r="H28" s="87">
        <v>4956.22</v>
      </c>
      <c r="I28" s="94">
        <v>1</v>
      </c>
      <c r="J28" s="93">
        <v>45070</v>
      </c>
      <c r="K28" s="85" t="s">
        <v>1138</v>
      </c>
      <c r="L28" s="87">
        <v>51354.94</v>
      </c>
      <c r="M28" s="94">
        <v>6</v>
      </c>
      <c r="N28" s="93">
        <v>45483</v>
      </c>
      <c r="O28" s="85" t="s">
        <v>615</v>
      </c>
      <c r="P28" s="87">
        <v>37.29</v>
      </c>
      <c r="Q28" s="94"/>
      <c r="R28" s="93"/>
      <c r="S28" s="85"/>
      <c r="U28" s="94"/>
      <c r="V28" s="93"/>
      <c r="W28" s="85"/>
      <c r="Y28" s="94"/>
      <c r="Z28" s="93"/>
      <c r="AA28" s="85"/>
      <c r="AC28" s="94"/>
      <c r="AD28" s="93"/>
      <c r="AE28" s="85"/>
    </row>
    <row r="29" spans="1:31" ht="14.5" customHeight="1" x14ac:dyDescent="0.35">
      <c r="E29" s="85">
        <v>1</v>
      </c>
      <c r="F29" s="93" t="s">
        <v>1</v>
      </c>
      <c r="G29" s="85" t="s">
        <v>1139</v>
      </c>
      <c r="H29" s="87">
        <v>36578.160000000003</v>
      </c>
      <c r="I29" s="94" t="s">
        <v>23</v>
      </c>
      <c r="J29" s="93" t="s">
        <v>491</v>
      </c>
      <c r="K29" s="85" t="s">
        <v>1140</v>
      </c>
      <c r="L29" s="87">
        <v>90000</v>
      </c>
      <c r="M29" s="94">
        <v>4</v>
      </c>
      <c r="N29" s="93">
        <v>45477</v>
      </c>
      <c r="O29" s="85" t="s">
        <v>3066</v>
      </c>
      <c r="P29" s="87">
        <v>5225</v>
      </c>
      <c r="Q29" s="94"/>
      <c r="R29" s="93"/>
      <c r="S29" s="85"/>
      <c r="U29" s="94"/>
      <c r="V29" s="93"/>
      <c r="W29" s="85"/>
      <c r="Y29" s="94"/>
      <c r="Z29" s="93"/>
      <c r="AA29" s="85"/>
      <c r="AC29" s="94"/>
      <c r="AD29" s="93"/>
      <c r="AE29" s="85"/>
    </row>
    <row r="30" spans="1:31" ht="14.5" customHeight="1" x14ac:dyDescent="0.35">
      <c r="E30" s="85" t="s">
        <v>867</v>
      </c>
      <c r="F30" s="93" t="s">
        <v>491</v>
      </c>
      <c r="G30" s="85" t="s">
        <v>109</v>
      </c>
      <c r="H30" s="87">
        <v>48350</v>
      </c>
      <c r="I30" s="94">
        <v>6</v>
      </c>
      <c r="J30" s="93">
        <v>45084</v>
      </c>
      <c r="K30" s="85" t="s">
        <v>1141</v>
      </c>
      <c r="L30" s="87">
        <v>103.46</v>
      </c>
      <c r="M30" s="94">
        <v>4</v>
      </c>
      <c r="N30" s="93">
        <v>45504</v>
      </c>
      <c r="O30" s="85" t="s">
        <v>3194</v>
      </c>
      <c r="P30" s="87">
        <v>750</v>
      </c>
      <c r="Q30" s="94"/>
      <c r="R30" s="93"/>
      <c r="S30" s="85"/>
      <c r="U30" s="94"/>
      <c r="V30" s="93"/>
      <c r="W30" s="85"/>
      <c r="Y30" s="94"/>
      <c r="Z30" s="93"/>
      <c r="AA30" s="85"/>
      <c r="AC30" s="94"/>
      <c r="AD30" s="93"/>
      <c r="AE30" s="85"/>
    </row>
    <row r="31" spans="1:31" ht="14.5" customHeight="1" x14ac:dyDescent="0.35">
      <c r="E31" s="85">
        <v>3</v>
      </c>
      <c r="F31" s="93">
        <v>44651</v>
      </c>
      <c r="G31" s="85" t="s">
        <v>1142</v>
      </c>
      <c r="H31" s="87">
        <v>19750</v>
      </c>
      <c r="I31" s="94">
        <v>6</v>
      </c>
      <c r="J31" s="93">
        <v>45043</v>
      </c>
      <c r="K31" s="85" t="s">
        <v>1141</v>
      </c>
      <c r="L31" s="87">
        <v>187.17</v>
      </c>
      <c r="M31" s="94"/>
      <c r="N31" s="93"/>
      <c r="O31" s="85"/>
      <c r="Q31" s="94"/>
      <c r="R31" s="93"/>
      <c r="S31" s="85"/>
      <c r="U31" s="94"/>
      <c r="V31" s="93"/>
      <c r="W31" s="85"/>
      <c r="Y31" s="94"/>
      <c r="Z31" s="93"/>
      <c r="AA31" s="85"/>
      <c r="AC31" s="94"/>
      <c r="AD31" s="93"/>
      <c r="AE31" s="85"/>
    </row>
    <row r="32" spans="1:31" ht="14.5" customHeight="1" x14ac:dyDescent="0.35">
      <c r="E32" s="85">
        <v>3</v>
      </c>
      <c r="F32" s="93">
        <v>44692</v>
      </c>
      <c r="G32" s="85" t="s">
        <v>1143</v>
      </c>
      <c r="H32" s="87">
        <f>23500+595+2043-1190-2354</f>
        <v>22594</v>
      </c>
      <c r="I32" s="94">
        <v>2</v>
      </c>
      <c r="J32" s="93" t="s">
        <v>2386</v>
      </c>
      <c r="K32" s="85" t="s">
        <v>2387</v>
      </c>
      <c r="L32" s="87">
        <v>6019.76</v>
      </c>
      <c r="M32" s="94"/>
      <c r="N32" s="93"/>
      <c r="O32" s="85"/>
      <c r="Q32" s="94"/>
      <c r="R32" s="93"/>
      <c r="S32" s="85"/>
      <c r="U32" s="94"/>
      <c r="V32" s="93"/>
      <c r="W32" s="85"/>
      <c r="Y32" s="94"/>
      <c r="Z32" s="93"/>
      <c r="AA32" s="85"/>
      <c r="AC32" s="94"/>
      <c r="AD32" s="93"/>
      <c r="AE32" s="85"/>
    </row>
    <row r="33" spans="5:31" ht="14.5" customHeight="1" x14ac:dyDescent="0.35">
      <c r="E33" s="85">
        <v>1</v>
      </c>
      <c r="F33" s="93">
        <v>44652</v>
      </c>
      <c r="G33" s="85" t="s">
        <v>1145</v>
      </c>
      <c r="H33" s="87">
        <v>9239</v>
      </c>
      <c r="I33" s="94">
        <v>1</v>
      </c>
      <c r="J33" s="93" t="s">
        <v>2386</v>
      </c>
      <c r="K33" s="85" t="s">
        <v>2387</v>
      </c>
      <c r="L33" s="87">
        <v>-6019.76</v>
      </c>
      <c r="M33" s="94"/>
      <c r="N33" s="93"/>
      <c r="O33" s="85"/>
      <c r="Q33" s="94"/>
      <c r="R33" s="93"/>
      <c r="S33" s="85"/>
      <c r="U33" s="94"/>
      <c r="V33" s="93"/>
      <c r="W33" s="85"/>
      <c r="Y33" s="94"/>
      <c r="Z33" s="93"/>
      <c r="AA33" s="85"/>
      <c r="AC33" s="94"/>
      <c r="AD33" s="93"/>
      <c r="AE33" s="85"/>
    </row>
    <row r="34" spans="5:31" ht="14.5" customHeight="1" x14ac:dyDescent="0.35">
      <c r="E34" s="85" t="s">
        <v>867</v>
      </c>
      <c r="F34" s="93" t="s">
        <v>676</v>
      </c>
      <c r="G34" s="85" t="s">
        <v>1126</v>
      </c>
      <c r="H34" s="87">
        <v>5000</v>
      </c>
      <c r="I34" s="94">
        <v>4</v>
      </c>
      <c r="J34" s="93" t="s">
        <v>2386</v>
      </c>
      <c r="K34" s="85" t="s">
        <v>2387</v>
      </c>
      <c r="L34" s="87">
        <v>44842.31</v>
      </c>
      <c r="M34" s="94"/>
      <c r="N34" s="93"/>
      <c r="O34" s="85"/>
      <c r="Q34" s="94"/>
      <c r="R34" s="93"/>
      <c r="S34" s="85"/>
      <c r="U34" s="94"/>
      <c r="V34" s="93"/>
      <c r="W34" s="85"/>
      <c r="Y34" s="94"/>
      <c r="Z34" s="93"/>
      <c r="AA34" s="85"/>
      <c r="AC34" s="94"/>
      <c r="AD34" s="93"/>
      <c r="AE34" s="85"/>
    </row>
    <row r="35" spans="5:31" ht="14.5" customHeight="1" x14ac:dyDescent="0.35">
      <c r="F35" s="93" t="s">
        <v>491</v>
      </c>
      <c r="G35" s="85" t="s">
        <v>1146</v>
      </c>
      <c r="H35" s="87">
        <v>969</v>
      </c>
      <c r="I35" s="94">
        <v>1</v>
      </c>
      <c r="J35" s="93" t="s">
        <v>2386</v>
      </c>
      <c r="K35" s="85" t="s">
        <v>2387</v>
      </c>
      <c r="L35" s="87">
        <v>-44842.31</v>
      </c>
      <c r="M35" s="94"/>
      <c r="N35" s="93"/>
      <c r="O35" s="85"/>
      <c r="Q35" s="94"/>
      <c r="R35" s="93"/>
      <c r="S35" s="85"/>
      <c r="U35" s="94"/>
      <c r="V35" s="93"/>
      <c r="W35" s="85"/>
      <c r="Y35" s="94"/>
      <c r="Z35" s="93"/>
      <c r="AA35" s="85"/>
      <c r="AC35" s="94"/>
      <c r="AD35" s="93"/>
      <c r="AE35" s="85"/>
    </row>
    <row r="36" spans="5:31" ht="14.5" customHeight="1" x14ac:dyDescent="0.35">
      <c r="E36" s="85" t="s">
        <v>867</v>
      </c>
      <c r="F36" s="93" t="s">
        <v>1144</v>
      </c>
      <c r="G36" s="85" t="s">
        <v>1144</v>
      </c>
      <c r="H36" s="87">
        <v>12474.26</v>
      </c>
      <c r="I36" s="94">
        <v>6</v>
      </c>
      <c r="J36" s="93">
        <v>45106</v>
      </c>
      <c r="K36" s="85" t="s">
        <v>1147</v>
      </c>
      <c r="L36" s="87">
        <v>221</v>
      </c>
      <c r="M36" s="94"/>
      <c r="N36" s="93"/>
      <c r="O36" s="85"/>
      <c r="Q36" s="94"/>
      <c r="R36" s="93"/>
      <c r="S36" s="85"/>
      <c r="U36" s="94"/>
      <c r="V36" s="93"/>
      <c r="W36" s="85"/>
      <c r="Y36" s="94"/>
      <c r="Z36" s="93"/>
      <c r="AA36" s="85"/>
      <c r="AC36" s="94"/>
      <c r="AD36" s="93"/>
      <c r="AE36" s="85"/>
    </row>
    <row r="37" spans="5:31" ht="14.5" customHeight="1" x14ac:dyDescent="0.35">
      <c r="E37" s="85" t="s">
        <v>867</v>
      </c>
      <c r="F37" s="93" t="s">
        <v>1144</v>
      </c>
      <c r="G37" s="85" t="s">
        <v>1144</v>
      </c>
      <c r="H37" s="87">
        <v>6019.76</v>
      </c>
      <c r="I37" s="94">
        <v>6</v>
      </c>
      <c r="J37" s="93">
        <v>45114</v>
      </c>
      <c r="K37" s="85" t="s">
        <v>839</v>
      </c>
      <c r="L37" s="87">
        <v>896.5</v>
      </c>
      <c r="M37" s="94"/>
      <c r="N37" s="93"/>
      <c r="O37" s="85"/>
      <c r="Q37" s="94"/>
      <c r="R37" s="93"/>
      <c r="S37" s="85"/>
      <c r="U37" s="94"/>
      <c r="V37" s="93"/>
      <c r="W37" s="85"/>
      <c r="Y37" s="94"/>
      <c r="Z37" s="93"/>
      <c r="AA37" s="85"/>
      <c r="AC37" s="94"/>
      <c r="AD37" s="93"/>
      <c r="AE37" s="85"/>
    </row>
    <row r="38" spans="5:31" ht="14.5" customHeight="1" x14ac:dyDescent="0.35">
      <c r="E38" s="85" t="s">
        <v>867</v>
      </c>
      <c r="F38" s="93" t="s">
        <v>1144</v>
      </c>
      <c r="G38" s="85" t="s">
        <v>1144</v>
      </c>
      <c r="H38" s="87">
        <v>9656</v>
      </c>
      <c r="I38" s="94">
        <v>1</v>
      </c>
      <c r="J38" s="93">
        <v>45160</v>
      </c>
      <c r="K38" s="85" t="s">
        <v>1148</v>
      </c>
      <c r="L38" s="87">
        <v>3070</v>
      </c>
      <c r="M38" s="94"/>
      <c r="N38" s="93"/>
      <c r="O38" s="85"/>
      <c r="Q38" s="94"/>
      <c r="R38" s="93"/>
      <c r="S38" s="85"/>
      <c r="U38" s="94"/>
      <c r="V38" s="93"/>
      <c r="W38" s="85"/>
      <c r="Y38" s="94"/>
      <c r="Z38" s="93"/>
      <c r="AA38" s="85"/>
      <c r="AC38" s="94"/>
      <c r="AD38" s="93"/>
      <c r="AE38" s="85"/>
    </row>
    <row r="39" spans="5:31" ht="14.5" customHeight="1" x14ac:dyDescent="0.35">
      <c r="E39" s="85" t="s">
        <v>867</v>
      </c>
      <c r="F39" s="93" t="s">
        <v>1144</v>
      </c>
      <c r="G39" s="85" t="s">
        <v>1144</v>
      </c>
      <c r="H39" s="87">
        <v>44842.31</v>
      </c>
      <c r="I39" s="94">
        <v>6</v>
      </c>
      <c r="J39" s="93">
        <v>45176</v>
      </c>
      <c r="K39" s="85" t="s">
        <v>1149</v>
      </c>
      <c r="L39" s="87">
        <v>1558.51</v>
      </c>
      <c r="M39" s="94"/>
      <c r="N39" s="93"/>
      <c r="O39" s="85"/>
      <c r="Q39" s="94"/>
      <c r="R39" s="93"/>
      <c r="S39" s="85"/>
      <c r="U39" s="94"/>
      <c r="V39" s="93"/>
      <c r="W39" s="85"/>
      <c r="Y39" s="94"/>
      <c r="Z39" s="93"/>
      <c r="AA39" s="85"/>
      <c r="AC39" s="94"/>
      <c r="AD39" s="93"/>
      <c r="AE39" s="85"/>
    </row>
    <row r="40" spans="5:31" ht="14.5" customHeight="1" x14ac:dyDescent="0.35">
      <c r="E40" s="85">
        <v>1</v>
      </c>
      <c r="F40" s="93" t="s">
        <v>699</v>
      </c>
      <c r="G40" s="85" t="s">
        <v>1150</v>
      </c>
      <c r="H40" s="87">
        <v>-75000</v>
      </c>
      <c r="I40" s="94">
        <v>6</v>
      </c>
      <c r="J40" s="93">
        <v>45127</v>
      </c>
      <c r="K40" s="85" t="s">
        <v>1151</v>
      </c>
      <c r="L40" s="87">
        <v>100.75</v>
      </c>
      <c r="M40" s="94"/>
      <c r="N40" s="93"/>
      <c r="O40" s="85"/>
      <c r="Q40" s="94"/>
      <c r="R40" s="93"/>
      <c r="S40" s="85"/>
      <c r="U40" s="94"/>
      <c r="V40" s="93"/>
      <c r="W40" s="85"/>
      <c r="Y40" s="94"/>
      <c r="Z40" s="93"/>
      <c r="AA40" s="85"/>
      <c r="AC40" s="94"/>
      <c r="AD40" s="93"/>
      <c r="AE40" s="85"/>
    </row>
    <row r="41" spans="5:31" x14ac:dyDescent="0.35">
      <c r="E41" s="92">
        <v>1</v>
      </c>
      <c r="F41" s="97" t="s">
        <v>784</v>
      </c>
      <c r="G41" s="92" t="s">
        <v>1152</v>
      </c>
      <c r="H41" s="90">
        <v>-5000</v>
      </c>
      <c r="I41" s="94">
        <v>6</v>
      </c>
      <c r="J41" s="93">
        <v>45208</v>
      </c>
      <c r="K41" s="85" t="s">
        <v>1153</v>
      </c>
      <c r="L41" s="87">
        <v>66</v>
      </c>
      <c r="M41" s="86"/>
      <c r="N41" s="93"/>
      <c r="O41" s="85"/>
      <c r="Q41" s="94"/>
      <c r="R41" s="93"/>
      <c r="S41" s="85"/>
      <c r="U41" s="94"/>
      <c r="V41" s="93"/>
      <c r="W41" s="85"/>
      <c r="Y41" s="94"/>
      <c r="Z41" s="93"/>
      <c r="AA41" s="85"/>
      <c r="AC41" s="94"/>
      <c r="AD41" s="93"/>
      <c r="AE41" s="85"/>
    </row>
    <row r="42" spans="5:31" ht="14.5" customHeight="1" x14ac:dyDescent="0.35">
      <c r="E42" s="85" t="s">
        <v>867</v>
      </c>
      <c r="F42" s="97" t="s">
        <v>676</v>
      </c>
      <c r="G42" s="92" t="s">
        <v>1128</v>
      </c>
      <c r="H42" s="90">
        <v>5000</v>
      </c>
      <c r="I42" s="95">
        <v>6</v>
      </c>
      <c r="J42" s="106">
        <v>45317</v>
      </c>
      <c r="K42" s="96" t="s">
        <v>1155</v>
      </c>
      <c r="L42" s="87">
        <v>9065</v>
      </c>
      <c r="M42" s="94"/>
      <c r="N42" s="93"/>
      <c r="O42" s="85"/>
      <c r="Q42" s="94"/>
      <c r="R42" s="93"/>
      <c r="S42" s="85"/>
      <c r="U42" s="94"/>
      <c r="V42" s="93"/>
      <c r="W42" s="85"/>
      <c r="Y42" s="94"/>
      <c r="Z42" s="93"/>
      <c r="AA42" s="85"/>
      <c r="AC42" s="94"/>
      <c r="AD42" s="93"/>
      <c r="AE42" s="85"/>
    </row>
    <row r="43" spans="5:31" ht="14.5" customHeight="1" x14ac:dyDescent="0.35">
      <c r="E43" s="92">
        <v>1</v>
      </c>
      <c r="F43" s="97" t="s">
        <v>784</v>
      </c>
      <c r="G43" s="92" t="s">
        <v>1154</v>
      </c>
      <c r="H43" s="90">
        <v>-6000</v>
      </c>
      <c r="I43" s="95">
        <v>1</v>
      </c>
      <c r="J43" s="96" t="s">
        <v>814</v>
      </c>
      <c r="K43" s="96" t="s">
        <v>1157</v>
      </c>
      <c r="L43" s="87">
        <v>-42875</v>
      </c>
      <c r="M43" s="95"/>
      <c r="N43" s="93"/>
      <c r="O43" s="85"/>
      <c r="Q43" s="94"/>
      <c r="R43" s="93"/>
      <c r="S43" s="85"/>
      <c r="U43" s="94"/>
      <c r="V43" s="93"/>
      <c r="W43" s="85"/>
      <c r="Y43" s="94"/>
      <c r="Z43" s="93"/>
      <c r="AA43" s="85"/>
      <c r="AC43" s="94"/>
      <c r="AD43" s="93"/>
      <c r="AE43" s="85"/>
    </row>
    <row r="44" spans="5:31" ht="43.5" x14ac:dyDescent="0.35">
      <c r="E44" s="85" t="s">
        <v>867</v>
      </c>
      <c r="F44" s="97" t="s">
        <v>676</v>
      </c>
      <c r="G44" s="98" t="s">
        <v>1156</v>
      </c>
      <c r="H44" s="90">
        <v>6000</v>
      </c>
      <c r="I44" s="94">
        <v>1</v>
      </c>
      <c r="J44" s="93" t="s">
        <v>2301</v>
      </c>
      <c r="K44" s="85" t="s">
        <v>2390</v>
      </c>
      <c r="L44" s="87">
        <v>36976.800000000003</v>
      </c>
      <c r="M44" s="95" t="s">
        <v>883</v>
      </c>
      <c r="N44" s="93"/>
      <c r="O44" s="85"/>
      <c r="Q44" s="94"/>
      <c r="R44" s="93"/>
      <c r="S44" s="85"/>
      <c r="U44" s="94"/>
      <c r="V44" s="93"/>
      <c r="W44" s="85"/>
      <c r="Y44" s="94"/>
      <c r="Z44" s="93"/>
      <c r="AA44" s="85"/>
      <c r="AC44" s="94"/>
      <c r="AD44" s="93"/>
      <c r="AE44" s="85"/>
    </row>
    <row r="45" spans="5:31" ht="14.5" customHeight="1" x14ac:dyDescent="0.35">
      <c r="E45" s="92">
        <v>1</v>
      </c>
      <c r="F45" s="97" t="s">
        <v>784</v>
      </c>
      <c r="G45" s="92" t="s">
        <v>1154</v>
      </c>
      <c r="H45" s="90">
        <v>-48800</v>
      </c>
      <c r="I45" s="94">
        <v>1</v>
      </c>
      <c r="J45" s="93" t="s">
        <v>2301</v>
      </c>
      <c r="K45" s="85" t="s">
        <v>2302</v>
      </c>
      <c r="L45" s="87">
        <v>11845.5</v>
      </c>
      <c r="M45" s="94"/>
      <c r="N45" s="93"/>
      <c r="O45" s="85"/>
      <c r="Q45" s="94"/>
      <c r="R45" s="93"/>
      <c r="S45" s="85"/>
      <c r="U45" s="94"/>
      <c r="V45" s="93"/>
      <c r="W45" s="85"/>
      <c r="Y45" s="94"/>
      <c r="Z45" s="93"/>
      <c r="AA45" s="85"/>
      <c r="AC45" s="94"/>
      <c r="AD45" s="93"/>
      <c r="AE45" s="85"/>
    </row>
    <row r="46" spans="5:31" ht="14.5" customHeight="1" x14ac:dyDescent="0.35">
      <c r="E46" s="85" t="s">
        <v>1158</v>
      </c>
      <c r="F46" s="93"/>
      <c r="G46" s="92" t="s">
        <v>968</v>
      </c>
      <c r="H46" s="87">
        <v>18</v>
      </c>
      <c r="I46" s="94">
        <v>1</v>
      </c>
      <c r="J46" s="93" t="s">
        <v>2301</v>
      </c>
      <c r="K46" s="85" t="s">
        <v>2303</v>
      </c>
      <c r="L46" s="87">
        <v>44218.02</v>
      </c>
      <c r="M46" s="94"/>
      <c r="N46" s="93"/>
      <c r="O46" s="85"/>
      <c r="Q46" s="94"/>
      <c r="R46" s="93"/>
      <c r="S46" s="85"/>
      <c r="U46" s="94"/>
      <c r="V46" s="93"/>
      <c r="W46" s="85"/>
      <c r="Y46" s="94"/>
      <c r="Z46" s="93"/>
      <c r="AA46" s="85"/>
      <c r="AC46" s="94"/>
      <c r="AD46" s="93"/>
      <c r="AE46" s="85"/>
    </row>
    <row r="47" spans="5:31" ht="14.5" customHeight="1" x14ac:dyDescent="0.35">
      <c r="F47" s="93"/>
      <c r="G47" s="85"/>
      <c r="H47" s="87"/>
      <c r="I47" s="94">
        <v>1</v>
      </c>
      <c r="J47" s="93" t="s">
        <v>2301</v>
      </c>
      <c r="K47" s="85" t="s">
        <v>2304</v>
      </c>
      <c r="L47" s="87">
        <v>750</v>
      </c>
      <c r="M47" s="94"/>
      <c r="N47" s="93"/>
      <c r="O47" s="85"/>
      <c r="Q47" s="94"/>
      <c r="R47" s="93"/>
      <c r="S47" s="85"/>
      <c r="U47" s="94"/>
      <c r="V47" s="93"/>
      <c r="W47" s="85"/>
      <c r="Y47" s="94"/>
      <c r="Z47" s="93"/>
      <c r="AA47" s="85"/>
      <c r="AC47" s="94"/>
      <c r="AD47" s="93"/>
      <c r="AE47" s="85"/>
    </row>
    <row r="48" spans="5:31" ht="14.5" customHeight="1" x14ac:dyDescent="0.35">
      <c r="F48" s="93"/>
      <c r="G48" s="85"/>
      <c r="H48" s="87"/>
      <c r="I48" s="94">
        <v>1</v>
      </c>
      <c r="J48" s="93" t="s">
        <v>699</v>
      </c>
      <c r="K48" s="85" t="s">
        <v>2391</v>
      </c>
      <c r="L48" s="87">
        <f>-15000-10053.56</f>
        <v>-25053.559999999998</v>
      </c>
      <c r="M48" s="94"/>
      <c r="N48" s="93"/>
      <c r="O48" s="85"/>
      <c r="Q48" s="94"/>
      <c r="R48" s="93"/>
      <c r="S48" s="85"/>
      <c r="U48" s="94"/>
      <c r="V48" s="93"/>
      <c r="W48" s="85"/>
      <c r="Y48" s="94"/>
      <c r="Z48" s="93"/>
      <c r="AA48" s="85"/>
      <c r="AC48" s="94"/>
      <c r="AD48" s="93"/>
      <c r="AE48" s="85"/>
    </row>
    <row r="49" spans="6:31" ht="14.5" customHeight="1" x14ac:dyDescent="0.35">
      <c r="F49" s="93"/>
      <c r="G49" s="85"/>
      <c r="H49" s="87"/>
      <c r="I49" s="94">
        <v>6</v>
      </c>
      <c r="J49" s="93">
        <v>45230</v>
      </c>
      <c r="K49" s="85" t="s">
        <v>2305</v>
      </c>
      <c r="L49" s="87">
        <v>278.26</v>
      </c>
      <c r="M49" s="94"/>
      <c r="N49" s="93"/>
      <c r="O49" s="85"/>
      <c r="Q49" s="94"/>
      <c r="R49" s="93"/>
      <c r="S49" s="85"/>
      <c r="U49" s="94"/>
      <c r="V49" s="93"/>
      <c r="W49" s="85"/>
      <c r="Y49" s="94"/>
      <c r="Z49" s="93"/>
      <c r="AA49" s="85"/>
      <c r="AC49" s="94"/>
      <c r="AD49" s="93"/>
      <c r="AE49" s="85"/>
    </row>
    <row r="50" spans="6:31" ht="14.5" customHeight="1" x14ac:dyDescent="0.35">
      <c r="F50" s="93"/>
      <c r="G50" s="85"/>
      <c r="H50" s="87"/>
      <c r="I50" s="94">
        <v>6</v>
      </c>
      <c r="J50" s="93">
        <v>45253</v>
      </c>
      <c r="K50" s="85" t="s">
        <v>2306</v>
      </c>
      <c r="L50" s="87">
        <v>1869.92</v>
      </c>
      <c r="M50" s="94"/>
      <c r="N50" s="93"/>
      <c r="O50" s="85"/>
      <c r="Q50" s="94"/>
      <c r="R50" s="93"/>
      <c r="S50" s="85"/>
      <c r="U50" s="94"/>
      <c r="V50" s="93"/>
      <c r="W50" s="85"/>
      <c r="Y50" s="94"/>
      <c r="Z50" s="93"/>
      <c r="AA50" s="85"/>
      <c r="AC50" s="94"/>
      <c r="AD50" s="93"/>
      <c r="AE50" s="85"/>
    </row>
    <row r="51" spans="6:31" ht="14.5" customHeight="1" x14ac:dyDescent="0.35">
      <c r="F51" s="93"/>
      <c r="G51" s="85"/>
      <c r="H51" s="87"/>
      <c r="I51" s="94">
        <v>6</v>
      </c>
      <c r="J51" s="106">
        <v>45225</v>
      </c>
      <c r="K51" s="96" t="s">
        <v>2377</v>
      </c>
      <c r="L51" s="87">
        <v>96</v>
      </c>
      <c r="M51" s="94"/>
      <c r="N51" s="93"/>
      <c r="O51" s="85"/>
      <c r="Q51" s="94"/>
      <c r="R51" s="93"/>
      <c r="S51" s="85"/>
      <c r="U51" s="94"/>
      <c r="V51" s="93"/>
      <c r="W51" s="85"/>
      <c r="Y51" s="94"/>
      <c r="Z51" s="93"/>
      <c r="AA51" s="85"/>
      <c r="AC51" s="94"/>
      <c r="AD51" s="93"/>
      <c r="AE51" s="85"/>
    </row>
    <row r="52" spans="6:31" ht="14.5" customHeight="1" x14ac:dyDescent="0.35">
      <c r="F52" s="93"/>
      <c r="G52" s="85"/>
      <c r="H52" s="87"/>
      <c r="I52" s="95">
        <v>6</v>
      </c>
      <c r="J52" s="106">
        <v>45330</v>
      </c>
      <c r="K52" s="96" t="s">
        <v>2377</v>
      </c>
      <c r="L52" s="87">
        <v>11.17</v>
      </c>
      <c r="M52" s="94"/>
      <c r="N52" s="93"/>
      <c r="O52" s="85"/>
      <c r="Q52" s="94"/>
      <c r="R52" s="93"/>
      <c r="S52" s="85"/>
      <c r="U52" s="94"/>
      <c r="V52" s="93"/>
      <c r="W52" s="85"/>
      <c r="Y52" s="94"/>
      <c r="Z52" s="93"/>
      <c r="AA52" s="85"/>
      <c r="AC52" s="94"/>
      <c r="AD52" s="93"/>
      <c r="AE52" s="85"/>
    </row>
    <row r="53" spans="6:31" ht="14.5" customHeight="1" x14ac:dyDescent="0.35">
      <c r="F53" s="93"/>
      <c r="G53" s="85"/>
      <c r="H53" s="87"/>
      <c r="I53" s="95">
        <v>6</v>
      </c>
      <c r="J53" s="106">
        <v>45338</v>
      </c>
      <c r="K53" s="96" t="s">
        <v>2377</v>
      </c>
      <c r="L53" s="87">
        <v>3</v>
      </c>
      <c r="M53" s="94"/>
      <c r="N53" s="93"/>
      <c r="O53" s="85"/>
      <c r="Q53" s="94"/>
      <c r="R53" s="93"/>
      <c r="S53" s="85"/>
      <c r="U53" s="94"/>
      <c r="V53" s="93"/>
      <c r="W53" s="85"/>
      <c r="Y53" s="94"/>
      <c r="Z53" s="93"/>
      <c r="AA53" s="85"/>
      <c r="AC53" s="94"/>
      <c r="AD53" s="93"/>
      <c r="AE53" s="85"/>
    </row>
    <row r="54" spans="6:31" ht="14.5" customHeight="1" x14ac:dyDescent="0.35">
      <c r="F54" s="93"/>
      <c r="G54" s="85"/>
      <c r="H54" s="87"/>
      <c r="I54" s="94">
        <v>1</v>
      </c>
      <c r="J54" s="93">
        <v>45334</v>
      </c>
      <c r="K54" s="96" t="s">
        <v>2562</v>
      </c>
      <c r="L54" s="87">
        <v>560</v>
      </c>
      <c r="M54" s="94"/>
      <c r="N54" s="93"/>
      <c r="O54" s="85"/>
      <c r="Q54" s="94"/>
      <c r="R54" s="93"/>
      <c r="S54" s="85"/>
      <c r="U54" s="94"/>
      <c r="V54" s="93"/>
      <c r="W54" s="85"/>
      <c r="Y54" s="94"/>
      <c r="Z54" s="93"/>
      <c r="AA54" s="85"/>
      <c r="AC54" s="94"/>
      <c r="AD54" s="93"/>
      <c r="AE54" s="85"/>
    </row>
    <row r="55" spans="6:31" ht="14.5" customHeight="1" x14ac:dyDescent="0.35">
      <c r="F55" s="93"/>
      <c r="G55" s="85"/>
      <c r="H55" s="87"/>
      <c r="I55" s="94">
        <v>1</v>
      </c>
      <c r="J55" s="93">
        <v>45330</v>
      </c>
      <c r="K55" s="96" t="s">
        <v>2563</v>
      </c>
      <c r="L55" s="87">
        <v>161.85</v>
      </c>
      <c r="M55" s="94"/>
      <c r="N55" s="93"/>
      <c r="O55" s="85"/>
      <c r="Q55" s="94"/>
      <c r="R55" s="93"/>
      <c r="S55" s="85"/>
      <c r="U55" s="94"/>
      <c r="V55" s="93"/>
      <c r="W55" s="85"/>
      <c r="Y55" s="94"/>
      <c r="Z55" s="93"/>
      <c r="AA55" s="85"/>
      <c r="AC55" s="94"/>
      <c r="AD55" s="93"/>
      <c r="AE55" s="85"/>
    </row>
    <row r="56" spans="6:31" ht="14.5" customHeight="1" x14ac:dyDescent="0.35">
      <c r="F56" s="93"/>
      <c r="G56" s="85"/>
      <c r="H56" s="87"/>
      <c r="I56" s="94">
        <v>1</v>
      </c>
      <c r="J56" s="93">
        <v>45330</v>
      </c>
      <c r="K56" s="96" t="s">
        <v>2564</v>
      </c>
      <c r="L56" s="87">
        <v>57.6</v>
      </c>
      <c r="M56" s="94"/>
      <c r="N56" s="93"/>
      <c r="O56" s="85"/>
      <c r="Q56" s="94"/>
      <c r="R56" s="93"/>
      <c r="S56" s="85"/>
      <c r="U56" s="94"/>
      <c r="V56" s="93"/>
      <c r="W56" s="85"/>
      <c r="Y56" s="94"/>
      <c r="Z56" s="93"/>
      <c r="AA56" s="85"/>
      <c r="AC56" s="94"/>
      <c r="AD56" s="93"/>
      <c r="AE56" s="85"/>
    </row>
    <row r="57" spans="6:31" ht="14.5" customHeight="1" x14ac:dyDescent="0.35">
      <c r="F57" s="93"/>
      <c r="G57" s="85"/>
      <c r="H57" s="87"/>
      <c r="I57" s="94">
        <v>6</v>
      </c>
      <c r="J57" s="93">
        <v>45344</v>
      </c>
      <c r="K57" s="87" t="s">
        <v>2585</v>
      </c>
      <c r="L57" s="87">
        <v>71</v>
      </c>
      <c r="M57" s="94"/>
      <c r="N57" s="93"/>
      <c r="O57" s="85"/>
      <c r="Q57" s="94"/>
      <c r="R57" s="93"/>
      <c r="S57" s="85"/>
      <c r="U57" s="94"/>
      <c r="V57" s="93"/>
      <c r="W57" s="85"/>
      <c r="Y57" s="94"/>
      <c r="Z57" s="93"/>
      <c r="AA57" s="85"/>
      <c r="AC57" s="94"/>
      <c r="AD57" s="93"/>
      <c r="AE57" s="85"/>
    </row>
    <row r="58" spans="6:31" ht="14.5" customHeight="1" x14ac:dyDescent="0.35">
      <c r="F58" s="93"/>
      <c r="G58" s="85"/>
      <c r="H58" s="87"/>
      <c r="M58" s="94"/>
      <c r="N58" s="93"/>
      <c r="O58" s="85"/>
      <c r="Q58" s="94"/>
      <c r="R58" s="93"/>
      <c r="S58" s="85"/>
      <c r="U58" s="94"/>
      <c r="V58" s="93"/>
      <c r="W58" s="85"/>
      <c r="Y58" s="94"/>
      <c r="Z58" s="93"/>
      <c r="AA58" s="85"/>
      <c r="AC58" s="94"/>
      <c r="AD58" s="93"/>
      <c r="AE58" s="85"/>
    </row>
    <row r="59" spans="6:31" ht="14.5" customHeight="1" x14ac:dyDescent="0.35">
      <c r="F59" s="93"/>
      <c r="G59" s="85"/>
      <c r="H59" s="87"/>
      <c r="I59" s="96" t="s">
        <v>1159</v>
      </c>
      <c r="J59" s="96"/>
      <c r="K59" s="85"/>
      <c r="M59" s="94"/>
      <c r="N59" s="93"/>
      <c r="O59" s="85"/>
      <c r="Q59" s="94"/>
      <c r="R59" s="93"/>
      <c r="S59" s="85"/>
      <c r="U59" s="94"/>
      <c r="V59" s="93"/>
      <c r="W59" s="85"/>
      <c r="Y59" s="94"/>
      <c r="Z59" s="93"/>
      <c r="AA59" s="85"/>
      <c r="AC59" s="94"/>
      <c r="AD59" s="93"/>
      <c r="AE59" s="85"/>
    </row>
    <row r="60" spans="6:31" ht="14.5" customHeight="1" x14ac:dyDescent="0.35">
      <c r="F60" s="93"/>
      <c r="G60" s="85"/>
      <c r="H60" s="87"/>
      <c r="I60" s="96" t="s">
        <v>1160</v>
      </c>
      <c r="J60" s="96"/>
      <c r="K60" s="85"/>
      <c r="M60" s="94"/>
      <c r="N60" s="93"/>
      <c r="O60" s="85"/>
      <c r="Q60" s="94"/>
      <c r="R60" s="93"/>
      <c r="S60" s="85"/>
      <c r="U60" s="94"/>
      <c r="V60" s="93"/>
      <c r="W60" s="85"/>
      <c r="Y60" s="94"/>
      <c r="Z60" s="93"/>
      <c r="AA60" s="85"/>
      <c r="AC60" s="94"/>
      <c r="AD60" s="93"/>
      <c r="AE60" s="85"/>
    </row>
    <row r="61" spans="6:31" ht="14.5" customHeight="1" x14ac:dyDescent="0.35">
      <c r="F61" s="93"/>
      <c r="G61" s="85"/>
      <c r="H61" s="87"/>
      <c r="I61" s="96" t="s">
        <v>1161</v>
      </c>
      <c r="J61" s="96"/>
      <c r="K61" s="85"/>
      <c r="M61" s="94"/>
      <c r="N61" s="93"/>
      <c r="O61" s="85"/>
      <c r="Q61" s="94"/>
      <c r="R61" s="93"/>
      <c r="S61" s="85"/>
      <c r="U61" s="94"/>
      <c r="V61" s="93"/>
      <c r="W61" s="85"/>
      <c r="Y61" s="94"/>
      <c r="Z61" s="93"/>
      <c r="AA61" s="85"/>
      <c r="AC61" s="94"/>
      <c r="AD61" s="93"/>
      <c r="AE61" s="85"/>
    </row>
    <row r="62" spans="6:31" ht="14.5" customHeight="1" x14ac:dyDescent="0.35">
      <c r="F62" s="93"/>
      <c r="G62" s="85"/>
      <c r="H62" s="87"/>
      <c r="I62" s="96" t="s">
        <v>1162</v>
      </c>
      <c r="J62" s="96" t="s">
        <v>1163</v>
      </c>
      <c r="K62" s="85"/>
      <c r="M62" s="94"/>
      <c r="N62" s="93"/>
      <c r="O62" s="85"/>
      <c r="Q62" s="94"/>
      <c r="R62" s="93"/>
      <c r="S62" s="85"/>
      <c r="U62" s="94"/>
      <c r="V62" s="93"/>
      <c r="W62" s="85"/>
      <c r="Y62" s="94"/>
      <c r="Z62" s="93"/>
      <c r="AA62" s="85"/>
      <c r="AC62" s="94"/>
      <c r="AD62" s="93"/>
      <c r="AE62" s="85"/>
    </row>
    <row r="63" spans="6:31" ht="14.5" customHeight="1" x14ac:dyDescent="0.35">
      <c r="F63" s="93"/>
      <c r="G63" s="85"/>
      <c r="H63" s="87"/>
      <c r="I63" s="96" t="s">
        <v>1164</v>
      </c>
      <c r="J63" s="96" t="s">
        <v>1165</v>
      </c>
      <c r="K63" s="85"/>
      <c r="M63" s="94"/>
      <c r="N63" s="93"/>
      <c r="O63" s="85"/>
      <c r="Q63" s="94"/>
      <c r="R63" s="93"/>
      <c r="S63" s="85"/>
      <c r="U63" s="94"/>
      <c r="V63" s="93"/>
      <c r="W63" s="85"/>
      <c r="Y63" s="94"/>
      <c r="Z63" s="93"/>
      <c r="AA63" s="85"/>
      <c r="AC63" s="94"/>
      <c r="AD63" s="93"/>
      <c r="AE63" s="85"/>
    </row>
    <row r="64" spans="6:31" ht="14.5" customHeight="1" x14ac:dyDescent="0.35">
      <c r="F64" s="93"/>
      <c r="G64" s="85"/>
      <c r="H64" s="87"/>
      <c r="I64" s="96" t="s">
        <v>1166</v>
      </c>
      <c r="J64" s="96" t="s">
        <v>1167</v>
      </c>
      <c r="K64" s="85"/>
      <c r="M64" s="94"/>
      <c r="N64" s="93"/>
      <c r="O64" s="85"/>
      <c r="Q64" s="94"/>
      <c r="R64" s="93"/>
      <c r="S64" s="85"/>
      <c r="U64" s="94"/>
      <c r="V64" s="93"/>
      <c r="W64" s="85"/>
      <c r="Y64" s="94"/>
      <c r="Z64" s="93"/>
      <c r="AA64" s="85"/>
      <c r="AC64" s="94"/>
      <c r="AD64" s="93"/>
      <c r="AE64" s="85"/>
    </row>
    <row r="65" spans="6:31" ht="14.5" customHeight="1" x14ac:dyDescent="0.35">
      <c r="F65" s="93"/>
      <c r="G65" s="85"/>
      <c r="H65" s="87"/>
      <c r="I65" s="96" t="s">
        <v>1168</v>
      </c>
      <c r="J65" s="96" t="s">
        <v>1169</v>
      </c>
      <c r="K65" s="85"/>
      <c r="M65" s="94"/>
      <c r="N65" s="93"/>
      <c r="O65" s="85"/>
      <c r="Q65" s="94"/>
      <c r="R65" s="93"/>
      <c r="S65" s="85"/>
      <c r="U65" s="94"/>
      <c r="V65" s="93"/>
      <c r="W65" s="85"/>
      <c r="Y65" s="94"/>
      <c r="Z65" s="93"/>
      <c r="AA65" s="85"/>
      <c r="AC65" s="94"/>
      <c r="AD65" s="93"/>
      <c r="AE65" s="85"/>
    </row>
    <row r="66" spans="6:31" ht="14.5" customHeight="1" x14ac:dyDescent="0.35">
      <c r="F66" s="93"/>
      <c r="G66" s="85"/>
      <c r="H66" s="87"/>
      <c r="I66" s="96" t="s">
        <v>1170</v>
      </c>
      <c r="J66" s="96" t="s">
        <v>1171</v>
      </c>
      <c r="K66" s="85"/>
      <c r="M66" s="94"/>
      <c r="N66" s="93"/>
      <c r="O66" s="85"/>
      <c r="Q66" s="94"/>
      <c r="R66" s="93"/>
      <c r="S66" s="85"/>
      <c r="U66" s="94"/>
      <c r="V66" s="93"/>
      <c r="W66" s="85"/>
      <c r="Y66" s="94"/>
      <c r="Z66" s="93"/>
      <c r="AA66" s="85"/>
      <c r="AC66" s="94"/>
      <c r="AD66" s="93"/>
      <c r="AE66" s="85"/>
    </row>
    <row r="67" spans="6:31" ht="14.5" customHeight="1" x14ac:dyDescent="0.35">
      <c r="F67" s="93"/>
      <c r="G67" s="85"/>
      <c r="H67" s="87"/>
      <c r="I67" s="96" t="s">
        <v>1172</v>
      </c>
      <c r="J67" s="96" t="s">
        <v>1173</v>
      </c>
      <c r="K67" s="85"/>
      <c r="M67" s="94"/>
      <c r="N67" s="93"/>
      <c r="O67" s="85"/>
      <c r="Q67" s="94"/>
      <c r="R67" s="93"/>
      <c r="S67" s="85"/>
      <c r="U67" s="94"/>
      <c r="V67" s="93"/>
      <c r="W67" s="85"/>
      <c r="Y67" s="94"/>
      <c r="Z67" s="93"/>
      <c r="AA67" s="85"/>
      <c r="AC67" s="94"/>
      <c r="AD67" s="93"/>
      <c r="AE67" s="85"/>
    </row>
    <row r="68" spans="6:31" ht="14.5" customHeight="1" x14ac:dyDescent="0.35">
      <c r="F68" s="93"/>
      <c r="G68" s="85"/>
      <c r="H68" s="87"/>
      <c r="I68" s="96" t="s">
        <v>1174</v>
      </c>
      <c r="J68" s="96" t="s">
        <v>1175</v>
      </c>
      <c r="K68" s="85"/>
      <c r="M68" s="94"/>
      <c r="N68" s="93"/>
      <c r="O68" s="85"/>
      <c r="Q68" s="94"/>
      <c r="R68" s="93"/>
      <c r="S68" s="85"/>
      <c r="U68" s="94"/>
      <c r="V68" s="93"/>
      <c r="W68" s="85"/>
      <c r="Y68" s="94"/>
      <c r="Z68" s="93"/>
      <c r="AA68" s="85"/>
      <c r="AC68" s="94"/>
      <c r="AD68" s="93"/>
      <c r="AE68" s="85"/>
    </row>
    <row r="69" spans="6:31" ht="14.5" customHeight="1" x14ac:dyDescent="0.35">
      <c r="F69" s="93"/>
      <c r="G69" s="85"/>
      <c r="H69" s="87"/>
      <c r="I69" s="96" t="s">
        <v>1176</v>
      </c>
      <c r="J69" s="96" t="s">
        <v>1177</v>
      </c>
      <c r="K69" s="85"/>
      <c r="M69" s="94"/>
      <c r="N69" s="93"/>
      <c r="O69" s="85"/>
      <c r="Q69" s="94"/>
      <c r="R69" s="93"/>
      <c r="S69" s="85"/>
      <c r="U69" s="94"/>
      <c r="V69" s="93"/>
      <c r="W69" s="85"/>
      <c r="Y69" s="94"/>
      <c r="Z69" s="93"/>
      <c r="AA69" s="85"/>
      <c r="AC69" s="94"/>
      <c r="AD69" s="93"/>
      <c r="AE69" s="85"/>
    </row>
    <row r="70" spans="6:31" ht="14.5" customHeight="1" x14ac:dyDescent="0.35">
      <c r="F70" s="93"/>
      <c r="G70" s="85"/>
      <c r="H70" s="87"/>
      <c r="I70" s="96"/>
      <c r="J70" s="96"/>
      <c r="K70" s="85"/>
      <c r="M70" s="94"/>
      <c r="N70" s="93"/>
      <c r="O70" s="85"/>
      <c r="Q70" s="94"/>
      <c r="R70" s="93"/>
      <c r="S70" s="85"/>
      <c r="U70" s="94"/>
      <c r="V70" s="93"/>
      <c r="W70" s="85"/>
      <c r="Y70" s="94"/>
      <c r="Z70" s="93"/>
      <c r="AA70" s="85"/>
      <c r="AC70" s="94"/>
      <c r="AD70" s="93"/>
      <c r="AE70" s="85"/>
    </row>
    <row r="71" spans="6:31" ht="14.5" customHeight="1" x14ac:dyDescent="0.35">
      <c r="F71" s="93"/>
      <c r="G71" s="85"/>
      <c r="H71" s="87"/>
      <c r="I71" s="96" t="s">
        <v>1178</v>
      </c>
      <c r="J71" s="96"/>
      <c r="K71" s="85"/>
      <c r="M71" s="94"/>
      <c r="N71" s="93"/>
      <c r="O71" s="85"/>
      <c r="Q71" s="94"/>
      <c r="R71" s="93"/>
      <c r="S71" s="85"/>
      <c r="U71" s="94"/>
      <c r="V71" s="93"/>
      <c r="W71" s="85"/>
      <c r="Y71" s="94"/>
      <c r="Z71" s="93"/>
      <c r="AA71" s="85"/>
      <c r="AC71" s="94"/>
      <c r="AD71" s="93"/>
      <c r="AE71" s="85"/>
    </row>
    <row r="72" spans="6:31" ht="14.5" customHeight="1" x14ac:dyDescent="0.35">
      <c r="F72" s="93"/>
      <c r="G72" s="85"/>
      <c r="H72" s="87"/>
      <c r="I72" s="96" t="s">
        <v>1179</v>
      </c>
      <c r="J72" s="96"/>
      <c r="K72" s="85"/>
      <c r="M72" s="94"/>
      <c r="N72" s="93"/>
      <c r="O72" s="85"/>
      <c r="Q72" s="94"/>
      <c r="R72" s="93"/>
      <c r="S72" s="85"/>
      <c r="U72" s="94"/>
      <c r="V72" s="93"/>
      <c r="W72" s="85"/>
      <c r="Y72" s="94"/>
      <c r="Z72" s="93"/>
      <c r="AA72" s="85"/>
      <c r="AC72" s="94"/>
      <c r="AD72" s="93"/>
      <c r="AE72" s="85"/>
    </row>
    <row r="73" spans="6:31" ht="14.5" customHeight="1" x14ac:dyDescent="0.35">
      <c r="F73" s="93"/>
      <c r="G73" s="85"/>
      <c r="H73" s="87"/>
      <c r="I73" s="96"/>
      <c r="J73" s="96"/>
      <c r="K73" s="85"/>
      <c r="M73" s="94"/>
      <c r="N73" s="93"/>
      <c r="O73" s="85"/>
      <c r="Q73" s="94"/>
      <c r="R73" s="93"/>
      <c r="S73" s="85"/>
      <c r="U73" s="94"/>
      <c r="V73" s="93"/>
      <c r="W73" s="85"/>
      <c r="Y73" s="94"/>
      <c r="Z73" s="93"/>
      <c r="AA73" s="85"/>
      <c r="AC73" s="94"/>
      <c r="AD73" s="93"/>
      <c r="AE73" s="85"/>
    </row>
    <row r="74" spans="6:31" ht="14.5" customHeight="1" x14ac:dyDescent="0.35">
      <c r="F74" s="93"/>
      <c r="G74" s="85"/>
      <c r="H74" s="87"/>
      <c r="I74" s="96" t="s">
        <v>1180</v>
      </c>
      <c r="J74" s="96"/>
      <c r="K74" s="85"/>
      <c r="M74" s="94"/>
      <c r="N74" s="93"/>
      <c r="O74" s="85"/>
      <c r="Q74" s="94"/>
      <c r="R74" s="93"/>
      <c r="S74" s="85"/>
      <c r="U74" s="94"/>
      <c r="V74" s="93"/>
      <c r="W74" s="85"/>
      <c r="Y74" s="94"/>
      <c r="Z74" s="93"/>
      <c r="AA74" s="85"/>
      <c r="AC74" s="94"/>
      <c r="AD74" s="93"/>
      <c r="AE74" s="85"/>
    </row>
    <row r="75" spans="6:31" ht="14.5" customHeight="1" x14ac:dyDescent="0.35">
      <c r="F75" s="93"/>
      <c r="G75" s="85"/>
      <c r="H75" s="87"/>
      <c r="I75" s="96" t="s">
        <v>1181</v>
      </c>
      <c r="J75" s="96"/>
      <c r="K75" s="85"/>
      <c r="M75" s="94"/>
      <c r="N75" s="93"/>
      <c r="O75" s="85"/>
      <c r="Q75" s="94"/>
      <c r="R75" s="93"/>
      <c r="S75" s="85"/>
      <c r="U75" s="94"/>
      <c r="V75" s="93"/>
      <c r="W75" s="85"/>
      <c r="Y75" s="94"/>
      <c r="Z75" s="93"/>
      <c r="AA75" s="85"/>
      <c r="AC75" s="94"/>
      <c r="AD75" s="93"/>
      <c r="AE75" s="85"/>
    </row>
    <row r="76" spans="6:31" ht="14.5" customHeight="1" x14ac:dyDescent="0.35">
      <c r="F76" s="93"/>
      <c r="G76" s="85"/>
      <c r="H76" s="87"/>
      <c r="I76" s="96" t="s">
        <v>1182</v>
      </c>
      <c r="J76" s="96"/>
      <c r="K76" s="85"/>
      <c r="M76" s="94"/>
      <c r="N76" s="93"/>
      <c r="O76" s="85"/>
      <c r="Q76" s="94"/>
      <c r="R76" s="93"/>
      <c r="S76" s="85"/>
      <c r="U76" s="94"/>
      <c r="V76" s="93"/>
      <c r="W76" s="85"/>
      <c r="Y76" s="94"/>
      <c r="Z76" s="93"/>
      <c r="AA76" s="85"/>
      <c r="AC76" s="94"/>
      <c r="AD76" s="93"/>
      <c r="AE76" s="85"/>
    </row>
    <row r="77" spans="6:31" ht="14.5" customHeight="1" x14ac:dyDescent="0.35">
      <c r="F77" s="93"/>
      <c r="G77" s="85"/>
      <c r="H77" s="87"/>
      <c r="I77" s="96" t="s">
        <v>1183</v>
      </c>
      <c r="J77" s="96"/>
      <c r="K77" s="85"/>
      <c r="M77" s="94"/>
      <c r="N77" s="93"/>
      <c r="O77" s="85"/>
      <c r="Q77" s="94"/>
      <c r="R77" s="93"/>
      <c r="S77" s="85"/>
      <c r="U77" s="94"/>
      <c r="V77" s="93"/>
      <c r="W77" s="85"/>
      <c r="Y77" s="94"/>
      <c r="Z77" s="93"/>
      <c r="AA77" s="85"/>
      <c r="AC77" s="94"/>
      <c r="AD77" s="93"/>
      <c r="AE77" s="85"/>
    </row>
    <row r="78" spans="6:31" ht="14.5" customHeight="1" x14ac:dyDescent="0.35">
      <c r="F78" s="93"/>
      <c r="G78" s="85"/>
      <c r="H78" s="87"/>
      <c r="I78" s="94"/>
      <c r="J78" s="93"/>
      <c r="K78" s="85"/>
      <c r="M78" s="94"/>
      <c r="N78" s="93"/>
      <c r="O78" s="85"/>
      <c r="Q78" s="94"/>
      <c r="R78" s="93"/>
      <c r="S78" s="85"/>
      <c r="U78" s="94"/>
      <c r="V78" s="93"/>
      <c r="W78" s="85"/>
      <c r="Y78" s="94"/>
      <c r="Z78" s="93"/>
      <c r="AA78" s="85"/>
      <c r="AC78" s="94"/>
      <c r="AD78" s="93"/>
      <c r="AE78" s="85"/>
    </row>
    <row r="79" spans="6:31" ht="14.5" customHeight="1" x14ac:dyDescent="0.35">
      <c r="F79" s="93"/>
      <c r="G79" s="85"/>
      <c r="H79" s="87"/>
      <c r="I79" s="94"/>
      <c r="J79" s="93"/>
      <c r="K79" s="85"/>
      <c r="M79" s="94"/>
      <c r="N79" s="93"/>
      <c r="O79" s="85"/>
      <c r="Q79" s="94"/>
      <c r="R79" s="93"/>
      <c r="S79" s="85"/>
      <c r="U79" s="94"/>
      <c r="V79" s="93"/>
      <c r="W79" s="85"/>
      <c r="Y79" s="94"/>
      <c r="Z79" s="93"/>
      <c r="AA79" s="85"/>
      <c r="AC79" s="94"/>
      <c r="AD79" s="93"/>
      <c r="AE79" s="85"/>
    </row>
    <row r="80" spans="6:31" ht="14.5" customHeight="1" x14ac:dyDescent="0.35">
      <c r="F80" s="93"/>
      <c r="G80" s="85"/>
      <c r="H80" s="87"/>
      <c r="I80" s="94"/>
      <c r="J80" s="93"/>
      <c r="K80" s="85"/>
      <c r="M80" s="94"/>
      <c r="N80" s="93"/>
      <c r="O80" s="85"/>
      <c r="Q80" s="94"/>
      <c r="R80" s="93"/>
      <c r="S80" s="85"/>
      <c r="U80" s="94"/>
      <c r="V80" s="93"/>
      <c r="W80" s="85"/>
      <c r="Y80" s="94"/>
      <c r="Z80" s="93"/>
      <c r="AA80" s="85"/>
      <c r="AC80" s="94"/>
      <c r="AD80" s="93"/>
      <c r="AE80" s="85"/>
    </row>
    <row r="81" spans="6:31" ht="14.5" customHeight="1" x14ac:dyDescent="0.35">
      <c r="F81" s="93"/>
      <c r="G81" s="85"/>
      <c r="H81" s="87"/>
      <c r="I81" s="94"/>
      <c r="J81" s="93"/>
      <c r="K81" s="85"/>
      <c r="M81" s="94"/>
      <c r="N81" s="93"/>
      <c r="O81" s="85"/>
      <c r="Q81" s="94"/>
      <c r="R81" s="93"/>
      <c r="S81" s="85"/>
      <c r="U81" s="94"/>
      <c r="V81" s="93"/>
      <c r="W81" s="85"/>
      <c r="Y81" s="94"/>
      <c r="Z81" s="93"/>
      <c r="AA81" s="85"/>
      <c r="AC81" s="94"/>
      <c r="AD81" s="93"/>
      <c r="AE81" s="85"/>
    </row>
    <row r="82" spans="6:31" ht="14.5" customHeight="1" x14ac:dyDescent="0.35">
      <c r="F82" s="93"/>
      <c r="G82" s="85"/>
      <c r="H82" s="87"/>
      <c r="I82" s="94"/>
      <c r="J82" s="93"/>
      <c r="K82" s="85"/>
      <c r="M82" s="94"/>
      <c r="N82" s="93"/>
      <c r="O82" s="85"/>
      <c r="Q82" s="94"/>
      <c r="R82" s="93"/>
      <c r="S82" s="85"/>
      <c r="U82" s="94"/>
      <c r="V82" s="93"/>
      <c r="W82" s="85"/>
      <c r="Y82" s="94"/>
      <c r="Z82" s="93"/>
      <c r="AA82" s="85"/>
      <c r="AC82" s="94"/>
      <c r="AD82" s="93"/>
      <c r="AE82" s="85"/>
    </row>
    <row r="83" spans="6:31" ht="14.5" customHeight="1" x14ac:dyDescent="0.35">
      <c r="F83" s="93"/>
      <c r="G83" s="85"/>
      <c r="H83" s="87"/>
      <c r="I83" s="94"/>
      <c r="J83" s="93"/>
      <c r="K83" s="85"/>
      <c r="M83" s="94"/>
      <c r="N83" s="93"/>
      <c r="O83" s="85"/>
      <c r="Q83" s="94"/>
      <c r="R83" s="93"/>
      <c r="S83" s="85"/>
      <c r="U83" s="94"/>
      <c r="V83" s="93"/>
      <c r="W83" s="85"/>
      <c r="Y83" s="94"/>
      <c r="Z83" s="93"/>
      <c r="AA83" s="85"/>
      <c r="AC83" s="94"/>
      <c r="AD83" s="93"/>
      <c r="AE83" s="85"/>
    </row>
    <row r="84" spans="6:31" ht="14.5" customHeight="1" x14ac:dyDescent="0.35">
      <c r="F84" s="93"/>
      <c r="G84" s="85"/>
      <c r="H84" s="87"/>
      <c r="I84" s="94"/>
      <c r="J84" s="93"/>
      <c r="K84" s="85"/>
      <c r="M84" s="94"/>
      <c r="N84" s="93"/>
      <c r="O84" s="85"/>
      <c r="Q84" s="94"/>
      <c r="R84" s="93"/>
      <c r="S84" s="85"/>
      <c r="U84" s="94"/>
      <c r="V84" s="93"/>
      <c r="W84" s="85"/>
      <c r="Y84" s="94"/>
      <c r="Z84" s="93"/>
      <c r="AA84" s="85"/>
      <c r="AC84" s="94"/>
      <c r="AD84" s="93"/>
      <c r="AE84" s="85"/>
    </row>
    <row r="85" spans="6:31" ht="14.5" customHeight="1" x14ac:dyDescent="0.35">
      <c r="F85" s="93"/>
      <c r="G85" s="85"/>
      <c r="H85" s="87"/>
      <c r="I85" s="94"/>
      <c r="J85" s="93"/>
      <c r="K85" s="85"/>
      <c r="M85" s="94"/>
      <c r="N85" s="93"/>
      <c r="O85" s="85"/>
      <c r="Q85" s="94"/>
      <c r="R85" s="93"/>
      <c r="S85" s="85"/>
      <c r="U85" s="94"/>
      <c r="V85" s="93"/>
      <c r="W85" s="85"/>
      <c r="Y85" s="94"/>
      <c r="Z85" s="93"/>
      <c r="AA85" s="85"/>
      <c r="AC85" s="94"/>
      <c r="AD85" s="93"/>
      <c r="AE85" s="85"/>
    </row>
    <row r="86" spans="6:31" ht="14.5" customHeight="1" x14ac:dyDescent="0.35">
      <c r="F86" s="93"/>
      <c r="G86" s="85"/>
      <c r="H86" s="87"/>
      <c r="I86" s="94"/>
      <c r="J86" s="93"/>
      <c r="K86" s="85"/>
      <c r="M86" s="94"/>
      <c r="N86" s="93"/>
      <c r="O86" s="85"/>
      <c r="Q86" s="94"/>
      <c r="R86" s="93"/>
      <c r="S86" s="85"/>
      <c r="U86" s="94"/>
      <c r="V86" s="93"/>
      <c r="W86" s="85"/>
      <c r="Y86" s="94"/>
      <c r="Z86" s="93"/>
      <c r="AA86" s="85"/>
      <c r="AC86" s="94"/>
      <c r="AD86" s="93"/>
      <c r="AE86" s="85"/>
    </row>
    <row r="87" spans="6:31" ht="14.5" customHeight="1" x14ac:dyDescent="0.35">
      <c r="F87" s="93"/>
      <c r="G87" s="85"/>
      <c r="H87" s="87"/>
      <c r="I87" s="94"/>
      <c r="J87" s="93"/>
      <c r="K87" s="85"/>
      <c r="M87" s="94"/>
      <c r="N87" s="93"/>
      <c r="O87" s="85"/>
      <c r="Q87" s="94"/>
      <c r="R87" s="93"/>
      <c r="S87" s="85"/>
      <c r="U87" s="94"/>
      <c r="V87" s="93"/>
      <c r="W87" s="85"/>
      <c r="Y87" s="94"/>
      <c r="Z87" s="93"/>
      <c r="AA87" s="85"/>
      <c r="AC87" s="94"/>
      <c r="AD87" s="93"/>
      <c r="AE87" s="85"/>
    </row>
    <row r="88" spans="6:31" ht="14.5" customHeight="1" x14ac:dyDescent="0.35">
      <c r="F88" s="93"/>
      <c r="G88" s="85"/>
      <c r="H88" s="87"/>
      <c r="I88" s="94"/>
      <c r="J88" s="93"/>
      <c r="K88" s="85"/>
      <c r="M88" s="94"/>
      <c r="N88" s="93"/>
      <c r="O88" s="85"/>
      <c r="Q88" s="94"/>
      <c r="R88" s="93"/>
      <c r="S88" s="85"/>
      <c r="U88" s="94"/>
      <c r="V88" s="93"/>
      <c r="W88" s="85"/>
      <c r="Y88" s="94"/>
      <c r="Z88" s="93"/>
      <c r="AA88" s="85"/>
      <c r="AC88" s="94"/>
      <c r="AD88" s="93"/>
      <c r="AE88" s="85"/>
    </row>
    <row r="89" spans="6:31" ht="14.5" customHeight="1" x14ac:dyDescent="0.35">
      <c r="F89" s="93"/>
      <c r="G89" s="85"/>
      <c r="H89" s="87"/>
      <c r="I89" s="94"/>
      <c r="J89" s="93"/>
      <c r="K89" s="85"/>
      <c r="M89" s="94"/>
      <c r="N89" s="93"/>
      <c r="O89" s="85"/>
      <c r="Q89" s="94"/>
      <c r="R89" s="93"/>
      <c r="S89" s="85"/>
      <c r="U89" s="94"/>
      <c r="V89" s="93"/>
      <c r="W89" s="85"/>
      <c r="Y89" s="94"/>
      <c r="Z89" s="93"/>
      <c r="AA89" s="85"/>
      <c r="AC89" s="94"/>
      <c r="AD89" s="93"/>
      <c r="AE89" s="85"/>
    </row>
    <row r="90" spans="6:31" ht="14.5" customHeight="1" x14ac:dyDescent="0.35">
      <c r="F90" s="93"/>
      <c r="G90" s="85"/>
      <c r="H90" s="87"/>
      <c r="I90" s="94"/>
      <c r="J90" s="93"/>
      <c r="K90" s="85"/>
      <c r="M90" s="94"/>
      <c r="N90" s="93"/>
      <c r="O90" s="85"/>
      <c r="Q90" s="94"/>
      <c r="R90" s="93"/>
      <c r="S90" s="85"/>
      <c r="U90" s="94"/>
      <c r="V90" s="93"/>
      <c r="W90" s="85"/>
      <c r="Y90" s="94"/>
      <c r="Z90" s="93"/>
      <c r="AA90" s="85"/>
      <c r="AC90" s="94"/>
      <c r="AD90" s="93"/>
      <c r="AE90" s="85"/>
    </row>
    <row r="91" spans="6:31" ht="14.5" customHeight="1" x14ac:dyDescent="0.35">
      <c r="F91" s="93"/>
      <c r="G91" s="85"/>
      <c r="H91" s="87"/>
      <c r="I91" s="94"/>
      <c r="J91" s="93"/>
      <c r="K91" s="85"/>
      <c r="M91" s="94"/>
      <c r="N91" s="93"/>
      <c r="O91" s="85"/>
      <c r="Q91" s="94"/>
      <c r="R91" s="93"/>
      <c r="S91" s="85"/>
      <c r="U91" s="94"/>
      <c r="V91" s="93"/>
      <c r="W91" s="85"/>
      <c r="Y91" s="94"/>
      <c r="Z91" s="93"/>
      <c r="AA91" s="85"/>
      <c r="AC91" s="94"/>
      <c r="AD91" s="93"/>
      <c r="AE91" s="85"/>
    </row>
    <row r="92" spans="6:31" ht="14.5" customHeight="1" x14ac:dyDescent="0.35">
      <c r="F92" s="93"/>
      <c r="G92" s="85"/>
      <c r="H92" s="87"/>
      <c r="I92" s="94"/>
      <c r="J92" s="93"/>
      <c r="K92" s="85"/>
      <c r="M92" s="94"/>
      <c r="N92" s="93"/>
      <c r="O92" s="85"/>
      <c r="Q92" s="94"/>
      <c r="R92" s="93"/>
      <c r="S92" s="85"/>
      <c r="U92" s="94"/>
      <c r="V92" s="93"/>
      <c r="W92" s="85"/>
      <c r="Y92" s="94"/>
      <c r="Z92" s="93"/>
      <c r="AA92" s="85"/>
      <c r="AC92" s="94"/>
      <c r="AD92" s="93"/>
      <c r="AE92" s="85"/>
    </row>
    <row r="93" spans="6:31" ht="14.5" customHeight="1" x14ac:dyDescent="0.35">
      <c r="F93" s="93"/>
      <c r="G93" s="85"/>
      <c r="H93" s="87"/>
      <c r="I93" s="94"/>
      <c r="J93" s="93"/>
      <c r="K93" s="85"/>
      <c r="M93" s="94"/>
      <c r="N93" s="93"/>
      <c r="O93" s="85"/>
      <c r="Q93" s="94"/>
      <c r="R93" s="93"/>
      <c r="S93" s="85"/>
      <c r="U93" s="94"/>
      <c r="V93" s="93"/>
      <c r="W93" s="85"/>
      <c r="Y93" s="94"/>
      <c r="Z93" s="93"/>
      <c r="AA93" s="85"/>
      <c r="AC93" s="94"/>
      <c r="AD93" s="93"/>
      <c r="AE93" s="85"/>
    </row>
    <row r="94" spans="6:31" ht="14.5" customHeight="1" x14ac:dyDescent="0.35">
      <c r="F94" s="93"/>
      <c r="G94" s="85"/>
      <c r="H94" s="87"/>
      <c r="I94" s="94"/>
      <c r="J94" s="93"/>
      <c r="K94" s="85"/>
      <c r="M94" s="94"/>
      <c r="N94" s="93"/>
      <c r="O94" s="85"/>
      <c r="Q94" s="94"/>
      <c r="R94" s="93"/>
      <c r="S94" s="85"/>
      <c r="U94" s="94"/>
      <c r="V94" s="93"/>
      <c r="W94" s="85"/>
      <c r="Y94" s="94"/>
      <c r="Z94" s="93"/>
      <c r="AA94" s="85"/>
      <c r="AC94" s="94"/>
      <c r="AD94" s="93"/>
      <c r="AE94" s="85"/>
    </row>
    <row r="95" spans="6:31" ht="14.5" customHeight="1" x14ac:dyDescent="0.35">
      <c r="F95" s="93"/>
      <c r="G95" s="85"/>
      <c r="H95" s="87"/>
      <c r="I95" s="94"/>
      <c r="J95" s="93"/>
      <c r="K95" s="85"/>
      <c r="M95" s="94"/>
      <c r="N95" s="93"/>
      <c r="O95" s="85"/>
      <c r="Q95" s="94"/>
      <c r="R95" s="93"/>
      <c r="S95" s="85"/>
      <c r="U95" s="94"/>
      <c r="V95" s="93"/>
      <c r="W95" s="85"/>
      <c r="Y95" s="94"/>
      <c r="Z95" s="93"/>
      <c r="AA95" s="85"/>
      <c r="AC95" s="94"/>
      <c r="AD95" s="93"/>
      <c r="AE95" s="85"/>
    </row>
    <row r="96" spans="6:31" ht="14.5" customHeight="1" x14ac:dyDescent="0.35">
      <c r="F96" s="93"/>
      <c r="G96" s="85"/>
      <c r="H96" s="87"/>
      <c r="I96" s="94"/>
      <c r="J96" s="93"/>
      <c r="K96" s="85"/>
      <c r="M96" s="94"/>
      <c r="N96" s="93"/>
      <c r="O96" s="85"/>
      <c r="Q96" s="94"/>
      <c r="R96" s="93"/>
      <c r="S96" s="85"/>
      <c r="U96" s="94"/>
      <c r="V96" s="93"/>
      <c r="W96" s="85"/>
      <c r="Y96" s="94"/>
      <c r="Z96" s="93"/>
      <c r="AA96" s="85"/>
      <c r="AC96" s="94"/>
      <c r="AD96" s="93"/>
      <c r="AE96" s="85"/>
    </row>
    <row r="97" spans="6:31" ht="14.5" customHeight="1" x14ac:dyDescent="0.35">
      <c r="F97" s="93"/>
      <c r="G97" s="85"/>
      <c r="H97" s="87"/>
      <c r="I97" s="94"/>
      <c r="J97" s="93"/>
      <c r="K97" s="85"/>
      <c r="M97" s="94"/>
      <c r="N97" s="93"/>
      <c r="O97" s="85"/>
      <c r="Q97" s="94"/>
      <c r="R97" s="93"/>
      <c r="S97" s="85"/>
      <c r="U97" s="94"/>
      <c r="V97" s="93"/>
      <c r="W97" s="85"/>
      <c r="Y97" s="94"/>
      <c r="Z97" s="93"/>
      <c r="AA97" s="85"/>
      <c r="AC97" s="94"/>
      <c r="AD97" s="93"/>
      <c r="AE97" s="85"/>
    </row>
    <row r="98" spans="6:31" ht="14.5" customHeight="1" x14ac:dyDescent="0.35">
      <c r="F98" s="93"/>
      <c r="G98" s="85"/>
      <c r="H98" s="87"/>
      <c r="I98" s="94"/>
      <c r="J98" s="93"/>
      <c r="K98" s="85"/>
      <c r="M98" s="94"/>
      <c r="N98" s="93"/>
      <c r="O98" s="85"/>
      <c r="Q98" s="94"/>
      <c r="R98" s="93"/>
      <c r="S98" s="85"/>
      <c r="U98" s="94"/>
      <c r="V98" s="93"/>
      <c r="W98" s="85"/>
      <c r="Y98" s="94"/>
      <c r="Z98" s="93"/>
      <c r="AA98" s="85"/>
      <c r="AC98" s="94"/>
      <c r="AD98" s="93"/>
      <c r="AE98" s="85"/>
    </row>
    <row r="99" spans="6:31" ht="14.5" customHeight="1" x14ac:dyDescent="0.35">
      <c r="F99" s="93"/>
      <c r="G99" s="85"/>
      <c r="H99" s="87"/>
      <c r="I99" s="94"/>
      <c r="J99" s="93"/>
      <c r="K99" s="85"/>
      <c r="M99" s="94"/>
      <c r="N99" s="93"/>
      <c r="O99" s="85"/>
      <c r="Q99" s="94"/>
      <c r="R99" s="93"/>
      <c r="S99" s="85"/>
      <c r="U99" s="94"/>
      <c r="V99" s="93"/>
      <c r="W99" s="85"/>
      <c r="Y99" s="94"/>
      <c r="Z99" s="93"/>
      <c r="AA99" s="85"/>
      <c r="AC99" s="94"/>
      <c r="AD99" s="93"/>
      <c r="AE99" s="85"/>
    </row>
    <row r="100" spans="6:31" ht="14.5" customHeight="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ht="14.5" customHeight="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ht="14.5" customHeight="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ht="14.5" customHeight="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ht="14.5" customHeight="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ht="14.5" customHeight="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ht="14.5" customHeight="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ht="14.5" customHeight="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ht="14.5" customHeight="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ht="14.5" customHeight="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ht="14.5" customHeight="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ht="14.5" customHeight="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ht="14.5" customHeight="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ht="14.5" customHeight="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ht="14.5" customHeight="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ht="14.5" customHeight="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ht="14.5" customHeight="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ht="14.5" customHeight="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ht="14.5" customHeight="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ht="14.5" customHeight="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ht="14.5" customHeight="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ht="14.5" customHeight="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ht="14.5" customHeight="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ht="14.5" customHeight="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ht="14.5" customHeight="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ht="14.5" customHeight="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ht="14.5" customHeight="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ht="14.5" customHeight="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ht="14.5" customHeight="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ht="14.5" customHeight="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ht="14.5" customHeight="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ht="14.5" customHeight="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ht="14.5" customHeight="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ht="14.5" customHeight="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ht="14.5" customHeight="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ht="14.5" customHeight="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ht="14.5" customHeight="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ht="14.5" customHeight="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ht="14.5" customHeight="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ht="14.5" customHeight="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ht="14.5" customHeight="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ht="14.5" customHeight="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ht="14.5" customHeight="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ht="14.5" customHeight="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ht="14.5" customHeight="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ht="14.5" customHeight="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ht="14.5" customHeight="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ht="14.5" customHeight="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ht="14.5" customHeight="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ht="14.5" customHeight="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ht="14.5" customHeight="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ht="14.5" customHeight="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ht="14.5" customHeight="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ht="14.5" customHeight="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ht="14.5" customHeight="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ht="14.5" customHeight="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ht="14.5" customHeight="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ht="14.5" customHeight="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ht="14.5" customHeight="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ht="14.5" customHeight="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ht="14.5" customHeight="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ht="14.5" customHeight="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ht="14.5" customHeight="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ht="14.5" customHeight="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ht="14.5" customHeight="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ht="14.5" customHeight="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ht="14.5" customHeight="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ht="14.5" customHeight="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ht="14.5" customHeight="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ht="14.5" customHeight="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ht="14.5" customHeight="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ht="14.5" customHeight="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ht="14.5" customHeight="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ht="14.5" customHeight="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ht="14.5" customHeight="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ht="14.5" customHeight="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ht="14.5" customHeight="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ht="14.5" customHeight="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ht="14.5" customHeight="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ht="14.5" customHeight="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ht="14.5" customHeight="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ht="14.5" customHeight="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ht="14.5" customHeight="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ht="14.5" customHeight="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ht="14.5" customHeight="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ht="14.5" customHeight="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ht="14.5" customHeight="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ht="14.5" customHeight="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ht="14.5" customHeight="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ht="14.5" customHeight="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ht="14.5" customHeight="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ht="14.5" customHeight="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ht="14.5" customHeight="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ht="14.5" customHeight="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ht="14.5" customHeight="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ht="14.5" customHeight="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ht="14.5" customHeight="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ht="14.5" customHeight="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ht="14.5" customHeight="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ht="14.5" customHeight="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ht="14.5" customHeight="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ht="14.5" customHeight="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ht="14.5" customHeight="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ht="14.5" customHeight="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ht="14.5" customHeight="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ht="14.5" customHeight="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ht="14.5" customHeight="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ht="14.5" customHeight="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ht="14.5" customHeight="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ht="14.5" customHeight="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ht="14.5" customHeight="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ht="14.5" customHeight="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ht="14.5" customHeight="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ht="14.5" customHeight="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ht="14.5" customHeight="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ht="14.5" customHeight="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ht="14.5" customHeight="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ht="14.5" customHeight="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ht="14.5" customHeight="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ht="14.5" customHeight="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ht="14.5" customHeight="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ht="14.5" customHeight="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ht="14.5" customHeight="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ht="14.5" customHeight="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ht="14.5" customHeight="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ht="14.5" customHeight="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ht="14.5" customHeight="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ht="14.5" customHeight="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ht="14.5" customHeight="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ht="14.5" customHeight="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ht="14.5" customHeight="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ht="14.5" customHeight="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ht="14.5" customHeight="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ht="14.5" customHeight="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ht="14.5" customHeight="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ht="14.5" customHeight="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ht="14.5" customHeight="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ht="14.5" customHeight="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ht="14.5" customHeight="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ht="14.5" customHeight="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ht="14.5" customHeight="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ht="14.5" customHeight="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ht="14.5" customHeight="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ht="14.5" customHeight="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ht="14.5" customHeight="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ht="14.5" customHeight="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ht="14.5" customHeight="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ht="14.5" customHeight="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ht="14.5" customHeight="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ht="14.5" customHeight="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ht="14.5" customHeight="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ht="14.5" customHeight="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ht="14.5" customHeight="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ht="14.5" customHeight="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ht="14.5" customHeight="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ht="14.5" customHeight="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ht="14.5" customHeight="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ht="14.5" customHeight="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ht="14.5" customHeight="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ht="14.5" customHeight="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ht="14.5" customHeight="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ht="14.5" customHeight="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ht="14.5" customHeight="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ht="14.5" customHeight="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ht="14.5" customHeight="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ht="14.5" customHeight="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ht="14.5" customHeight="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ht="14.5" customHeight="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ht="14.5" customHeight="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ht="14.5" customHeight="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ht="14.5" customHeight="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ht="14.5" customHeight="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ht="14.5" customHeight="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ht="14.5" customHeight="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ht="14.5" customHeight="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ht="14.5" customHeight="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ht="14.5" customHeight="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ht="14.5" customHeight="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ht="14.5" customHeight="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ht="14.5" customHeight="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ht="14.5" customHeight="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ht="14.5" customHeight="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ht="14.5" customHeight="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ht="14.5" customHeight="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ht="14.5" customHeight="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ht="14.5" customHeight="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ht="14.5" customHeight="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ht="14.5" customHeight="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ht="14.5" customHeight="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ht="14.5" customHeight="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ht="14.5" customHeight="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ht="14.5" customHeight="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ht="14.5" customHeight="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ht="14.5" customHeight="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ht="14.5" customHeight="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ht="14.5" customHeight="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ht="14.5" customHeight="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ht="14.5" customHeight="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ht="14.5" customHeight="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ht="14.5" customHeight="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ht="14.5" customHeight="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ht="14.5" customHeight="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ht="14.5" customHeight="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ht="14.5" customHeight="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ht="14.5" customHeight="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ht="14.5" customHeight="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ht="14.5" customHeight="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ht="14.5" customHeight="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ht="14.5" customHeight="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ht="14.5" customHeight="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ht="14.5" customHeight="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ht="14.5" customHeight="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ht="14.5" customHeight="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ht="14.5" customHeight="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ht="14.5" customHeight="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ht="14.5" customHeight="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ht="14.5" customHeight="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ht="14.5" customHeight="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ht="14.5" customHeight="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ht="14.5" customHeight="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ht="14.5" customHeight="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ht="14.5" customHeight="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ht="14.5" customHeight="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ht="14.5" customHeight="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ht="14.5" customHeight="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ht="14.5" customHeight="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ht="14.5" customHeight="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ht="14.5" customHeight="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ht="14.5" customHeight="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ht="14.5" customHeight="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ht="14.5" customHeight="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ht="14.5" customHeight="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ht="14.5" customHeight="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ht="14.5" customHeight="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ht="14.5" customHeight="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ht="14.5" customHeight="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ht="14.5" customHeight="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ht="14.5" customHeight="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ht="14.5" customHeight="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ht="14.5" customHeight="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ht="14.5" customHeight="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ht="14.5" customHeight="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ht="14.5" customHeight="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ht="14.5" customHeight="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ht="14.5" customHeight="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ht="14.5" customHeight="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ht="14.5" customHeight="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ht="14.5" customHeight="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ht="14.5" customHeight="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ht="14.5" customHeight="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ht="14.5" customHeight="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ht="14.5" customHeight="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ht="14.5" customHeight="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ht="14.5" customHeight="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ht="14.5" customHeight="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ht="14.5" customHeight="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ht="14.5" customHeight="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ht="14.5" customHeight="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ht="14.5" customHeight="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ht="14.5" customHeight="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ht="14.5" customHeight="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ht="14.5" customHeight="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ht="14.5" customHeight="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ht="14.5" customHeight="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ht="14.5" customHeight="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ht="14.5" customHeight="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ht="14.5" customHeight="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ht="14.5" customHeight="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ht="14.5" customHeight="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ht="14.5" customHeight="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ht="14.5" customHeight="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ht="14.5" customHeight="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ht="14.5" customHeight="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ht="14.5" customHeight="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ht="14.5" customHeight="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ht="14.5" customHeight="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ht="14.5" customHeight="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ht="14.5" customHeight="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ht="14.5" customHeight="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ht="14.5" customHeight="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ht="14.5" customHeight="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ht="14.5" customHeight="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ht="14.5" customHeight="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ht="14.5" customHeight="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ht="14.5" customHeight="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ht="14.5" customHeight="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ht="14.5" customHeight="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ht="14.5" customHeight="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ht="14.5" customHeight="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ht="14.5" customHeight="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ht="14.5" customHeight="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ht="14.5" customHeight="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ht="14.5" customHeight="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ht="14.5" customHeight="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ht="14.5" customHeight="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ht="14.5" customHeight="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ht="14.5" customHeight="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ht="14.5" customHeight="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ht="14.5" customHeight="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ht="14.5" customHeight="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ht="14.5" customHeight="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ht="14.5" customHeight="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ht="14.5" customHeight="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ht="14.5" customHeight="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ht="14.5" customHeight="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ht="14.5" customHeight="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ht="14.5" customHeight="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ht="14.5" customHeight="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ht="14.5" customHeight="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ht="14.5" customHeight="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ht="14.5" customHeight="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ht="14.5" customHeight="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ht="14.5" customHeight="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ht="14.5" customHeight="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ht="14.5" customHeight="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ht="14.5" customHeight="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ht="14.5" customHeight="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ht="14.5" customHeight="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ht="14.5" customHeight="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ht="14.5" customHeight="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ht="14.5" customHeight="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ht="14.5" customHeight="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ht="14.5" customHeight="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ht="14.5" customHeight="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ht="14.5" customHeight="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ht="14.5" customHeight="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ht="14.5" customHeight="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ht="14.5" customHeight="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ht="14.5" customHeight="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ht="14.5" customHeight="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ht="14.5" customHeight="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ht="14.5" customHeight="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ht="14.5" customHeight="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ht="14.5" customHeight="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ht="14.5" customHeight="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ht="14.5" customHeight="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ht="14.5" customHeight="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ht="14.5" customHeight="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ht="14.5" customHeight="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ht="14.5" customHeight="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ht="14.5" customHeight="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ht="14.5" customHeight="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ht="14.5" customHeight="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ht="14.5" customHeight="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ht="14.5" customHeight="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ht="14.5" customHeight="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ht="14.5" customHeight="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ht="14.5" customHeight="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ht="14.5" customHeight="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ht="14.5" customHeight="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ht="14.5" customHeight="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ht="14.5" customHeight="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ht="14.5" customHeight="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ht="14.5" customHeight="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ht="14.5" customHeight="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ht="14.5" customHeight="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ht="14.5" customHeight="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ht="14.5" customHeight="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ht="14.5" customHeight="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ht="14.5" customHeight="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ht="14.5" customHeight="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ht="14.5" customHeight="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ht="14.5" customHeight="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ht="14.5" customHeight="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ht="14.5" customHeight="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ht="14.5" customHeight="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ht="14.5" customHeight="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ht="14.5" customHeight="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ht="14.5" customHeight="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ht="14.5" customHeight="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ht="14.5" customHeight="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ht="14.5" customHeight="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ht="14.5" customHeight="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ht="14.5" customHeight="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ht="14.5" customHeight="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ht="14.5" customHeight="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ht="14.5" customHeight="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ht="14.5" customHeight="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ht="14.5" customHeight="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ht="14.5" customHeight="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ht="14.5" customHeight="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ht="14.5" customHeight="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ht="14.5" customHeight="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ht="14.5" customHeight="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ht="14.5" customHeight="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ht="14.5" customHeight="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ht="14.5" customHeight="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ht="14.5" customHeight="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ht="14.5" customHeight="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ht="14.5" customHeight="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ht="14.5" customHeight="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ht="14.5" customHeight="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ht="14.5" customHeight="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ht="14.5" customHeight="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ht="14.5" customHeight="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ht="14.5" customHeight="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ht="14.5" customHeight="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ht="14.5" customHeight="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ht="14.5" customHeight="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ht="14.5" customHeight="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ht="14.5" customHeight="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ht="14.5" customHeight="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ht="14.5" customHeight="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ht="14.5" customHeight="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ht="14.5" customHeight="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ht="14.5" customHeight="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ht="14.5" customHeight="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ht="14.5" customHeight="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ht="14.5" customHeight="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ht="14.5" customHeight="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ht="14.5" customHeight="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ht="14.5" customHeight="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ht="14.5" customHeight="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ht="14.5" customHeight="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ht="14.5" customHeight="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ht="14.5" customHeight="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ht="14.5" customHeight="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ht="14.5" customHeight="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ht="14.5" customHeight="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ht="14.5" customHeight="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ht="14.5" customHeight="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ht="14.5" customHeight="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ht="14.5" customHeight="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ht="14.5" customHeight="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ht="14.5" customHeight="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ht="14.5" customHeight="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ht="14.5" customHeight="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ht="14.5" customHeight="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ht="14.5" customHeight="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ht="14.5" customHeight="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ht="14.5" customHeight="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ht="14.5" customHeight="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ht="14.5" customHeight="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ht="14.5" customHeight="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ht="14.5" customHeight="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ht="14.5" customHeight="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ht="14.5" customHeight="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ht="14.5" customHeight="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ht="14.5" customHeight="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ht="14.5" customHeight="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ht="14.5" customHeight="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ht="14.5" customHeight="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ht="14.5" customHeight="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ht="14.5" customHeight="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ht="14.5" customHeight="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ht="14.5" customHeight="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ht="14.5" customHeight="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ht="14.5" customHeight="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ht="14.5" customHeight="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ht="14.5" customHeight="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ht="14.5" customHeight="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ht="14.5" customHeight="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ht="14.5" customHeight="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ht="14.5" customHeight="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ht="14.5" customHeight="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ht="14.5" customHeight="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ht="14.5" customHeight="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ht="14.5" customHeight="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ht="14.5" customHeight="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ht="14.5" customHeight="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ht="14.5" customHeight="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ht="14.5" customHeight="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ht="14.5" customHeight="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ht="14.5" customHeight="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ht="14.5" customHeight="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ht="14.5" customHeight="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ht="14.5" customHeight="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ht="14.5" customHeight="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ht="14.5" customHeight="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ht="14.5" customHeight="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ht="14.5" customHeight="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ht="14.5" customHeight="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ht="14.5" customHeight="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ht="14.5" customHeight="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ht="14.5" customHeight="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ht="14.5" customHeight="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ht="14.5" customHeight="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ht="14.5" customHeight="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ht="14.5" customHeight="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ht="14.5" customHeight="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ht="14.5" customHeight="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ht="14.5" customHeight="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ht="14.5" customHeight="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ht="14.5" customHeight="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ht="14.5" customHeight="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ht="14.5" customHeight="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ht="14.5" customHeight="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ht="14.5" customHeight="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ht="14.5" customHeight="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ht="14.5" customHeight="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ht="14.5" customHeight="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ht="14.5" customHeight="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ht="14.5" customHeight="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ht="14.5" customHeight="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ht="14.5" customHeight="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ht="14.5" customHeight="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ht="14.5" customHeight="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ht="14.5" customHeight="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ht="14.5" customHeight="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ht="14.5" customHeight="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ht="14.5" customHeight="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ht="14.5" customHeight="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ht="14.5" customHeight="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ht="14.5" customHeight="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ht="14.5" customHeight="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ht="14.5" customHeight="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ht="14.5" customHeight="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ht="14.5" customHeight="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ht="14.5" customHeight="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ht="14.5" customHeight="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ht="14.5" customHeight="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ht="14.5" customHeight="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ht="14.5" customHeight="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ht="14.5" customHeight="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ht="14.5" customHeight="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ht="14.5" customHeight="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ht="14.5" customHeight="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ht="14.5" customHeight="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ht="14.5" customHeight="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ht="14.5" customHeight="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ht="14.5" customHeight="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ht="14.5" customHeight="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ht="14.5" customHeight="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ht="14.5" customHeight="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ht="14.5" customHeight="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ht="14.5" customHeight="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ht="14.5" customHeight="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ht="14.5" customHeight="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ht="14.5" customHeight="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ht="14.5" customHeight="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ht="14.5" customHeight="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ht="14.5" customHeight="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ht="14.5" customHeight="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ht="14.5" customHeight="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ht="14.5" customHeight="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ht="14.5" customHeight="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ht="14.5" customHeight="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ht="14.5" customHeight="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ht="14.5" customHeight="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ht="14.5" customHeight="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ht="14.5" customHeight="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ht="14.5" customHeight="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ht="14.5" customHeight="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ht="14.5" customHeight="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ht="14.5" customHeight="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ht="14.5" customHeight="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ht="14.5" customHeight="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ht="14.5" customHeight="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ht="14.5" customHeight="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ht="14.5" customHeight="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ht="14.5" customHeight="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ht="14.5" customHeight="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ht="14.5" customHeight="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ht="14.5" customHeight="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ht="14.5" customHeight="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ht="14.5" customHeight="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ht="14.5" customHeight="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ht="14.5" customHeight="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ht="14.5" customHeight="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ht="14.5" customHeight="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ht="14.5" customHeight="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ht="14.5" customHeight="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ht="14.5" customHeight="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ht="14.5" customHeight="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ht="14.5" customHeight="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ht="14.5" customHeight="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ht="14.5" customHeight="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ht="14.5" customHeight="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ht="14.5" customHeight="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ht="14.5" customHeight="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ht="14.5" customHeight="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ht="14.5" customHeight="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ht="14.5" customHeight="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ht="14.5" customHeight="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ht="14.5" customHeight="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ht="14.5" customHeight="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ht="14.5" customHeight="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ht="14.5" customHeight="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ht="14.5" customHeight="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ht="14.5" customHeight="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ht="14.5" customHeight="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ht="14.5" customHeight="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ht="14.5" customHeight="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ht="14.5" customHeight="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ht="14.5" customHeight="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ht="14.5" customHeight="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ht="14.5" customHeight="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ht="14.5" customHeight="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ht="14.5" customHeight="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ht="14.5" customHeight="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ht="14.5" customHeight="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ht="14.5" customHeight="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ht="14.5" customHeight="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ht="14.5" customHeight="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ht="14.5" customHeight="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ht="14.5" customHeight="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ht="14.5" customHeight="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ht="14.5" customHeight="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ht="14.5" customHeight="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ht="14.5" customHeight="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ht="14.5" customHeight="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ht="14.5" customHeight="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ht="14.5" customHeight="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ht="14.5" customHeight="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ht="14.5" customHeight="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ht="14.5" customHeight="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ht="14.5" customHeight="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ht="14.5" customHeight="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ht="14.5" customHeight="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ht="14.5" customHeight="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ht="14.5" customHeight="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ht="14.5" customHeight="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ht="14.5" customHeight="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ht="14.5" customHeight="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ht="14.5" customHeight="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ht="14.5" customHeight="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ht="14.5" customHeight="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ht="14.5" customHeight="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ht="14.5" customHeight="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ht="14.5" customHeight="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ht="14.5" customHeight="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ht="14.5" customHeight="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ht="14.5" customHeight="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ht="14.5" customHeight="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ht="14.5" customHeight="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ht="14.5" customHeight="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ht="14.5" customHeight="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ht="14.5" customHeight="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ht="14.5" customHeight="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ht="14.5" customHeight="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ht="14.5" customHeight="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ht="14.5" customHeight="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ht="14.5" customHeight="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ht="14.5" customHeight="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ht="14.5" customHeight="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ht="14.5" customHeight="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ht="14.5" customHeight="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ht="14.5" customHeight="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ht="14.5" customHeight="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ht="14.5" customHeight="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ht="14.5" customHeight="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ht="14.5" customHeight="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ht="14.5" customHeight="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ht="14.5" customHeight="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ht="14.5" customHeight="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ht="14.5" customHeight="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ht="14.5" customHeight="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ht="14.5" customHeight="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ht="14.5" customHeight="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ht="14.5" customHeight="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ht="14.5" customHeight="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ht="14.5" customHeight="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ht="14.5" customHeight="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ht="14.5" customHeight="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ht="14.5" customHeight="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ht="14.5" customHeight="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ht="14.5" customHeight="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ht="14.5" customHeight="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ht="14.5" customHeight="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ht="14.5" customHeight="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ht="14.5" customHeight="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ht="14.5" customHeight="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ht="14.5" customHeight="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ht="14.5" customHeight="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ht="14.5" customHeight="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ht="14.5" customHeight="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ht="14.5" customHeight="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ht="14.5" customHeight="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ht="14.5" customHeight="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ht="14.5" customHeight="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ht="14.5" customHeight="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ht="14.5" customHeight="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ht="14.5" customHeight="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ht="14.5" customHeight="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ht="14.5" customHeight="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ht="14.5" customHeight="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ht="14.5" customHeight="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ht="14.5" customHeight="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ht="14.5" customHeight="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ht="14.5" customHeight="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ht="14.5" customHeight="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ht="14.5" customHeight="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ht="14.5" customHeight="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ht="14.5" customHeight="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ht="14.5" customHeight="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ht="14.5" customHeight="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ht="14.5" customHeight="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ht="14.5" customHeight="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ht="14.5" customHeight="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ht="14.5" customHeight="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ht="14.5" customHeight="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ht="14.5" customHeight="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ht="14.5" customHeight="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ht="14.5" customHeight="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ht="14.5" customHeight="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ht="14.5" customHeight="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ht="14.5" customHeight="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ht="14.5" customHeight="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ht="14.5" customHeight="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ht="14.5" customHeight="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ht="14.5" customHeight="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ht="14.5" customHeight="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ht="14.5" customHeight="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ht="14.5" customHeight="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ht="14.5" customHeight="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ht="14.5" customHeight="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ht="14.5" customHeight="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ht="14.5" customHeight="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ht="14.5" customHeight="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ht="14.5" customHeight="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ht="14.5" customHeight="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ht="14.5" customHeight="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ht="14.5" customHeight="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ht="14.5" customHeight="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ht="14.5" customHeight="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ht="14.5" customHeight="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ht="14.5" customHeight="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ht="14.5" customHeight="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ht="14.5" customHeight="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ht="14.5" customHeight="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ht="14.5" customHeight="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ht="14.5" customHeight="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ht="14.5" customHeight="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ht="14.5" customHeight="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ht="14.5" customHeight="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ht="14.5" customHeight="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ht="14.5" customHeight="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ht="14.5" customHeight="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ht="14.5" customHeight="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ht="14.5" customHeight="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ht="14.5" customHeight="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ht="14.5" customHeight="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ht="14.5" customHeight="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ht="14.5" customHeight="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ht="14.5" customHeight="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ht="14.5" customHeight="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ht="14.5" customHeight="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ht="14.5" customHeight="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ht="14.5" customHeight="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ht="14.5" customHeight="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ht="14.5" customHeight="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ht="14.5" customHeight="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ht="14.5" customHeight="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ht="14.5" customHeight="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ht="14.5" customHeight="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ht="14.5" customHeight="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ht="14.5" customHeight="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ht="14.5" customHeight="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ht="14.5" customHeight="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ht="14.5" customHeight="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ht="14.5" customHeight="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ht="14.5" customHeight="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ht="14.5" customHeight="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ht="14.5" customHeight="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ht="14.5" customHeight="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ht="14.5" customHeight="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ht="14.5" customHeight="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ht="14.5" customHeight="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ht="14.5" customHeight="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ht="14.5" customHeight="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ht="14.5" customHeight="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ht="14.5" customHeight="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ht="14.5" customHeight="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ht="14.5" customHeight="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ht="14.5" customHeight="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ht="14.5" customHeight="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ht="14.5" customHeight="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ht="14.5" customHeight="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ht="14.5" customHeight="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ht="14.5" customHeight="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ht="14.5" customHeight="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ht="14.5" customHeight="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ht="14.5" customHeight="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ht="14.5" customHeight="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ht="14.5" customHeight="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ht="14.5" customHeight="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ht="14.5" customHeight="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ht="14.5" customHeight="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ht="14.5" customHeight="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ht="14.5" customHeight="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ht="14.5" customHeight="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ht="14.5" customHeight="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ht="14.5" customHeight="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ht="14.5" customHeight="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ht="14.5" customHeight="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ht="14.5" customHeight="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ht="14.5" customHeight="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ht="14.5" customHeight="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ht="14.5" customHeight="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ht="14.5" customHeight="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ht="14.5" customHeight="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ht="14.5" customHeight="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ht="14.5" customHeight="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ht="14.5" customHeight="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ht="14.5" customHeight="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ht="14.5" customHeight="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ht="14.5" customHeight="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ht="14.5" customHeight="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ht="14.5" customHeight="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ht="14.5" customHeight="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ht="14.5" customHeight="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ht="14.5" customHeight="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ht="14.5" customHeight="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ht="14.5" customHeight="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ht="14.5" customHeight="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ht="14.5" customHeight="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ht="14.5" customHeight="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ht="14.5" customHeight="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ht="14.5" customHeight="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ht="14.5" customHeight="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ht="14.5" customHeight="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ht="14.5" customHeight="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ht="14.5" customHeight="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ht="14.5" customHeight="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ht="14.5" customHeight="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ht="14.5" customHeight="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ht="14.5" customHeight="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ht="14.5" customHeight="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ht="14.5" customHeight="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ht="14.5" customHeight="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ht="14.5" customHeight="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ht="14.5" customHeight="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ht="14.5" customHeight="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ht="14.5" customHeight="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ht="14.5" customHeight="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ht="14.5" customHeight="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ht="14.5" customHeight="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ht="14.5" customHeight="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ht="14.5" customHeight="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ht="14.5" customHeight="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ht="14.5" customHeight="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ht="14.5" customHeight="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ht="14.5" customHeight="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ht="14.5" customHeight="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ht="14.5" customHeight="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ht="14.5" customHeight="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ht="14.5" customHeight="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ht="14.5" customHeight="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ht="14.5" customHeight="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ht="14.5" customHeight="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ht="14.5" customHeight="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ht="14.5" customHeight="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ht="14.5" customHeight="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ht="14.5" customHeight="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ht="14.5" customHeight="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ht="14.5" customHeight="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ht="14.5" customHeight="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ht="14.5" customHeight="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ht="14.5" customHeight="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ht="14.5" customHeight="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ht="14.5" customHeight="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ht="14.5" customHeight="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ht="14.5" customHeight="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ht="14.5" customHeight="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ht="14.5" customHeight="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ht="14.5" customHeight="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ht="14.5" customHeight="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ht="14.5" customHeight="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ht="14.5" customHeight="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ht="14.5" customHeight="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ht="14.5" customHeight="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ht="14.5" customHeight="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ht="14.5" customHeight="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ht="14.5" customHeight="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ht="14.5" customHeight="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ht="14.5" customHeight="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ht="14.5" customHeight="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ht="14.5" customHeight="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ht="14.5" customHeight="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ht="14.5" customHeight="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ht="14.5" customHeight="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ht="14.5" customHeight="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ht="14.5" customHeight="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ht="14.5" customHeight="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ht="14.5" customHeight="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ht="14.5" customHeight="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ht="14.5" customHeight="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ht="14.5" customHeight="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ht="14.5" customHeight="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ht="14.5" customHeight="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ht="14.5" customHeight="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ht="14.5" customHeight="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ht="14.5" customHeight="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ht="14.5" customHeight="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ht="14.5" customHeight="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ht="14.5" customHeight="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ht="14.5" customHeight="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ht="14.5" customHeight="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ht="14.5" customHeight="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ht="14.5" customHeight="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ht="14.5" customHeight="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ht="14.5" customHeight="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ht="14.5" customHeight="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ht="14.5" customHeight="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ht="14.5" customHeight="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ht="14.5" customHeight="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ht="14.5" customHeight="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ht="14.5" customHeight="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ht="14.5" customHeight="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ht="14.5" customHeight="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ht="14.5" customHeight="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6:31" ht="14.5" customHeight="1" x14ac:dyDescent="0.35">
      <c r="F1001" s="93"/>
      <c r="G1001" s="85"/>
      <c r="H1001" s="87"/>
      <c r="I1001" s="94"/>
      <c r="J1001" s="93"/>
      <c r="K1001" s="85"/>
      <c r="M1001" s="94"/>
      <c r="N1001" s="93"/>
      <c r="O1001" s="85"/>
      <c r="Q1001" s="94"/>
      <c r="R1001" s="93"/>
      <c r="S1001" s="85"/>
      <c r="U1001" s="94"/>
      <c r="V1001" s="93"/>
      <c r="W1001" s="85"/>
      <c r="Y1001" s="94"/>
      <c r="Z1001" s="93"/>
      <c r="AA1001" s="85"/>
      <c r="AC1001" s="94"/>
      <c r="AD1001" s="93"/>
      <c r="AE1001" s="85"/>
    </row>
    <row r="1002" spans="6:31" ht="14.5" customHeight="1" x14ac:dyDescent="0.35">
      <c r="F1002" s="93"/>
      <c r="G1002" s="85"/>
      <c r="H1002" s="87"/>
      <c r="I1002" s="94"/>
      <c r="J1002" s="93"/>
      <c r="K1002" s="85"/>
      <c r="M1002" s="94"/>
      <c r="N1002" s="93"/>
      <c r="O1002" s="85"/>
      <c r="Q1002" s="94"/>
      <c r="R1002" s="93"/>
      <c r="S1002" s="85"/>
      <c r="U1002" s="94"/>
      <c r="V1002" s="93"/>
      <c r="W1002" s="85"/>
      <c r="Y1002" s="94"/>
      <c r="Z1002" s="93"/>
      <c r="AA1002" s="85"/>
      <c r="AC1002" s="94"/>
      <c r="AD1002" s="93"/>
      <c r="AE1002" s="85"/>
    </row>
    <row r="1003" spans="6:31" ht="14.5" customHeight="1" x14ac:dyDescent="0.35">
      <c r="I1003" s="94"/>
      <c r="J1003" s="93"/>
      <c r="K1003" s="85"/>
    </row>
    <row r="1004" spans="6:31" ht="14.5" customHeight="1" x14ac:dyDescent="0.35">
      <c r="I1004" s="94"/>
      <c r="J1004" s="93"/>
      <c r="K1004" s="85"/>
    </row>
    <row r="1005" spans="6:31" ht="14.5" customHeight="1" x14ac:dyDescent="0.35">
      <c r="I1005" s="94"/>
      <c r="J1005" s="93"/>
      <c r="K1005" s="85"/>
    </row>
    <row r="1006" spans="6:31" ht="14.5" customHeight="1" x14ac:dyDescent="0.35">
      <c r="I1006" s="94"/>
      <c r="J1006" s="93"/>
      <c r="K1006" s="85"/>
    </row>
    <row r="1007" spans="6:31" ht="14.5" customHeight="1" x14ac:dyDescent="0.35">
      <c r="I1007" s="94"/>
      <c r="J1007" s="93"/>
      <c r="K1007" s="85"/>
    </row>
    <row r="1008" spans="6:31" ht="14.5" customHeight="1" x14ac:dyDescent="0.35">
      <c r="I1008" s="94"/>
      <c r="J1008" s="93"/>
      <c r="K1008" s="85"/>
    </row>
    <row r="1009" spans="9:11" ht="14.5" customHeight="1" x14ac:dyDescent="0.35">
      <c r="I1009" s="94"/>
      <c r="J1009" s="93"/>
      <c r="K1009" s="85"/>
    </row>
    <row r="1010" spans="9:11" ht="14.5" customHeight="1" x14ac:dyDescent="0.35">
      <c r="I1010" s="94"/>
      <c r="J1010" s="93"/>
      <c r="K1010" s="85"/>
    </row>
    <row r="1011" spans="9:11" ht="14.5" customHeight="1" x14ac:dyDescent="0.35">
      <c r="I1011" s="94"/>
      <c r="J1011" s="93"/>
      <c r="K1011" s="85"/>
    </row>
    <row r="1012" spans="9:11" ht="14.5" customHeight="1" x14ac:dyDescent="0.35">
      <c r="I1012" s="94"/>
      <c r="J1012" s="93"/>
      <c r="K1012" s="85"/>
    </row>
    <row r="1013" spans="9:11" ht="14.5" customHeight="1" x14ac:dyDescent="0.35">
      <c r="I1013" s="94"/>
      <c r="J1013" s="93"/>
      <c r="K1013" s="85"/>
    </row>
  </sheetData>
  <conditionalFormatting sqref="A1:AG14 A19:AG1048574">
    <cfRule type="expression" dxfId="63" priority="2">
      <formula>$A4="Spend to Date"</formula>
    </cfRule>
    <cfRule type="expression" dxfId="62" priority="3">
      <formula>$A4="Spend to Date"</formula>
    </cfRule>
  </conditionalFormatting>
  <conditionalFormatting sqref="A1048575:AG1048576">
    <cfRule type="expression" dxfId="61" priority="10">
      <formula>$A1="Spend to Date"</formula>
    </cfRule>
    <cfRule type="expression" dxfId="60" priority="11">
      <formula>$A1="Spend to Date"</formula>
    </cfRule>
  </conditionalFormatting>
  <conditionalFormatting sqref="A1:AG1048576">
    <cfRule type="expression" dxfId="59" priority="13">
      <formula>$A4="Spend to Date"</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AG1001"/>
  <sheetViews>
    <sheetView zoomScaleNormal="100" workbookViewId="0">
      <pane xSplit="2" ySplit="1" topLeftCell="H29" activePane="bottomRight" state="frozen"/>
      <selection pane="topRight" activeCell="C1" sqref="C1"/>
      <selection pane="bottomLeft" activeCell="A2" sqref="A2"/>
      <selection pane="bottomRight" activeCell="O40" sqref="O40"/>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4.26953125" style="85" bestFit="1" customWidth="1"/>
    <col min="6" max="6" width="19.81640625" style="93" bestFit="1" customWidth="1"/>
    <col min="7" max="7" width="34.453125" style="87" bestFit="1" customWidth="1"/>
    <col min="8" max="8" width="12.7265625" style="88" bestFit="1" customWidth="1"/>
    <col min="9" max="9" width="13.81640625" style="89" bestFit="1" customWidth="1"/>
    <col min="10" max="10" width="19.54296875" style="87" bestFit="1" customWidth="1"/>
    <col min="11" max="11" width="32.1796875" style="87" customWidth="1"/>
    <col min="12" max="12" width="34.26953125" style="87" customWidth="1"/>
    <col min="13" max="13" width="13.81640625" style="89" bestFit="1" customWidth="1"/>
    <col min="14" max="14" width="13.81640625" style="87" customWidth="1"/>
    <col min="15" max="15" width="11.54296875" style="87" bestFit="1" customWidth="1"/>
    <col min="16" max="16" width="18"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125</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13321</v>
      </c>
      <c r="F2" s="87">
        <f>SUM(F3:F3)</f>
        <v>34690.65</v>
      </c>
      <c r="I2" s="89">
        <f>SUM(I3:I4)</f>
        <v>6700</v>
      </c>
      <c r="J2" s="87">
        <f>SUM(J3:J4)</f>
        <v>11157.16</v>
      </c>
      <c r="M2" s="89">
        <f>SUM(M3:M4)</f>
        <v>-10356</v>
      </c>
      <c r="N2" s="87">
        <f>SUM(N3:N4)</f>
        <v>12170</v>
      </c>
      <c r="Q2" s="89">
        <f>SUM(Q3:Q4)</f>
        <v>0</v>
      </c>
      <c r="R2" s="87">
        <f>SUM(R3:R4)</f>
        <v>0</v>
      </c>
      <c r="U2" s="89">
        <f>SUM(U3:U4)</f>
        <v>0</v>
      </c>
      <c r="V2" s="87">
        <f>SUM(V3:V4)</f>
        <v>0</v>
      </c>
      <c r="Y2" s="89">
        <f>SUM(Y3:Y4)</f>
        <v>0</v>
      </c>
      <c r="Z2" s="87">
        <f>SUM(Z3:Z4)</f>
        <v>0</v>
      </c>
      <c r="AC2" s="89">
        <f>SUM(AC3:AC4)</f>
        <v>0</v>
      </c>
      <c r="AD2" s="87">
        <f>SUM(AD3:AD4)</f>
        <v>0</v>
      </c>
    </row>
    <row r="3" spans="1:33" x14ac:dyDescent="0.35">
      <c r="A3" s="86" t="s">
        <v>125</v>
      </c>
      <c r="B3" s="85">
        <v>1</v>
      </c>
      <c r="D3" s="86">
        <v>59029.5</v>
      </c>
      <c r="E3" s="87">
        <f>20000+2000-2500-6179</f>
        <v>13321</v>
      </c>
      <c r="F3" s="87">
        <f>SUMIFS(H$19:H$1003,E$19:E$1003,1)</f>
        <v>34690.65</v>
      </c>
      <c r="G3" s="90">
        <f>D3+E3-F3+SUMIFS(E$7:E$12,$C$7:$C$12,$A3)-SUMIFS(F$7:F$12,$C$7:$C$12,$A3)</f>
        <v>27084.94</v>
      </c>
      <c r="I3" s="91">
        <v>21700</v>
      </c>
      <c r="J3" s="87">
        <f>SUMIFS(L$19:L$1002,I$19:I$1002,$B3)</f>
        <v>11157.16</v>
      </c>
      <c r="K3" s="87">
        <f>G3+I3-J3+SUMIFS(I$7:I$13,$C$7:$C$13,$A3)-SUMIFS(J$7:J$13,$C$7:$C$13,$A3)</f>
        <v>37407.1</v>
      </c>
      <c r="L3" s="86"/>
      <c r="M3" s="89">
        <v>-10356</v>
      </c>
      <c r="N3" s="87">
        <f>SUMIFS(P$19:P$1003,M$19:M$1003,1)</f>
        <v>12170</v>
      </c>
      <c r="O3" s="87">
        <f>K3+M3-N3+SUMIFS(M$7:M$13,$C$7:$C$13,$A3)-SUMIFS(N$7:N$13,$C$7:$C$13,$A3)</f>
        <v>18830.78</v>
      </c>
      <c r="P3" s="105"/>
      <c r="R3" s="87">
        <f>SUMIFS(T$19:T$1003,Q$19:Q$1003,1)</f>
        <v>0</v>
      </c>
      <c r="S3" s="87">
        <f>O3+Q3-R3+SUMIFS(Q$7:Q$12,$C$7:$C$12,$A3)-SUMIFS(R$7:R$12,$C$7:$C$12,$A3)</f>
        <v>18830.78</v>
      </c>
      <c r="V3" s="87">
        <f>SUMIFS(X$19:X$1003,U$19:U$1003,1)</f>
        <v>0</v>
      </c>
      <c r="W3" s="87">
        <f>S3+U3-V3+SUMIFS(U$7:U$12,$C$7:$C$12,$A3)-SUMIFS(V$7:V$12,$C$7:$C$12,$A3)</f>
        <v>18830.78</v>
      </c>
      <c r="Z3" s="87">
        <f>SUMIFS(AB$19:AB$1003,Y$19:Y$1003,1)</f>
        <v>0</v>
      </c>
      <c r="AA3" s="87">
        <f>W3+Y3-Z3+SUMIFS(Y$7:Y$12,$C$7:$C$12,$A3)-SUMIFS(Z$7:Z$12,$C$7:$C$12,$A3)</f>
        <v>18830.78</v>
      </c>
      <c r="AD3" s="87">
        <f>SUMIFS(AF$19:AF$1003,AC$19:AC$1003,1)</f>
        <v>0</v>
      </c>
      <c r="AE3" s="87">
        <f>AA3+AC3-AD3+SUMIFS(AC$7:AC$12,$C$7:$C$12,$A3)-SUMIFS(AD$7:AD$12,$C$7:$C$12,$A3)</f>
        <v>18830.78</v>
      </c>
      <c r="AG3" s="87">
        <v>75000</v>
      </c>
    </row>
    <row r="4" spans="1:33" x14ac:dyDescent="0.35">
      <c r="A4" s="84" t="s">
        <v>126</v>
      </c>
      <c r="B4" s="85">
        <v>2</v>
      </c>
      <c r="D4" s="86">
        <v>0</v>
      </c>
      <c r="E4" s="87">
        <v>0</v>
      </c>
      <c r="F4" s="87">
        <f>SUMIFS(H$19:H$1003,E$19:E$1003,2)</f>
        <v>-15000</v>
      </c>
      <c r="G4" s="90">
        <f>D4+E4-F4+SUMIFS(E$7:E$12,$C$7:$C$12,$A4)-SUMIFS(F$7:F$12,$C$7:$C$12,$A4)</f>
        <v>15000</v>
      </c>
      <c r="I4" s="91">
        <v>-15000</v>
      </c>
      <c r="J4" s="87">
        <f>SUMIFS(L$19:L$1002,I$19:I$1002,$B4)</f>
        <v>0</v>
      </c>
      <c r="K4" s="87">
        <f>G4+I4-J4+SUMIFS(I$7:I$13,$C$7:$C$13,$A4)-SUMIFS(J$7:J$13,$C$7:$C$13,$A4)</f>
        <v>0</v>
      </c>
      <c r="L4" s="84" t="s">
        <v>127</v>
      </c>
      <c r="N4" s="87">
        <f>SUMIFS(P$19:P$1003,M$19:M$1003,2)</f>
        <v>0</v>
      </c>
      <c r="O4" s="87">
        <f>K4+M4-N4+SUMIFS(M$7:M$13,$C$7:$C$13,$A4)-SUMIFS(N$7:N$13,$C$7:$C$13,$A4)</f>
        <v>0</v>
      </c>
      <c r="R4" s="87">
        <f>SUMIFS(T$19:T$1003,Q$19:Q$1003,2)</f>
        <v>0</v>
      </c>
      <c r="S4" s="87">
        <f>O4+Q4-R4+SUMIFS(Q$7:Q$12,$C$7:$C$12,$A4)-SUMIFS(R$7:R$12,$C$7:$C$12,$A4)</f>
        <v>0</v>
      </c>
      <c r="V4" s="87">
        <f>SUMIFS(X$19:X$1003,U$19:U$1003,2)</f>
        <v>0</v>
      </c>
      <c r="W4" s="87">
        <f>S4+U4-V4+SUMIFS(U$7:U$12,$C$7:$C$12,$A4)-SUMIFS(V$7:V$12,$C$7:$C$12,$A4)</f>
        <v>0</v>
      </c>
      <c r="Z4" s="87">
        <f>SUMIFS(AB$19:AB$1003,Y$19:Y$1003,2)</f>
        <v>0</v>
      </c>
      <c r="AA4" s="87">
        <f>W4+Y4-Z4+SUMIFS(Y$7:Y$12,$C$7:$C$12,$A4)-SUMIFS(Z$7:Z$12,$C$7:$C$12,$A4)</f>
        <v>0</v>
      </c>
      <c r="AD4" s="87">
        <f>SUMIFS(AF$19:AF$1003,AC$19:AC$1003,2)</f>
        <v>0</v>
      </c>
      <c r="AE4" s="87">
        <f>AA4+AC4-AD4+SUMIFS(AC$7:AC$12,$C$7:$C$12,$A4)-SUMIFS(AD$7:AD$12,$C$7:$C$12,$A4)</f>
        <v>0</v>
      </c>
    </row>
    <row r="5" spans="1:33" ht="14.5" customHeight="1" x14ac:dyDescent="0.35">
      <c r="E5" s="87"/>
      <c r="F5" s="87"/>
    </row>
    <row r="6" spans="1:33" ht="14.5" customHeight="1" x14ac:dyDescent="0.35">
      <c r="A6" s="84" t="s">
        <v>128</v>
      </c>
      <c r="D6" s="84"/>
      <c r="E6" s="87">
        <f>SUM(E7:E13)</f>
        <v>6679</v>
      </c>
      <c r="F6" s="87">
        <f>SUM(F7:F13)</f>
        <v>17253.91</v>
      </c>
      <c r="I6" s="87">
        <f>SUM(I7:I13)</f>
        <v>25200</v>
      </c>
      <c r="J6" s="87">
        <f>SUM(J7:J13)</f>
        <v>25420.68</v>
      </c>
      <c r="M6" s="87">
        <f>SUM(M7:M13)</f>
        <v>10356</v>
      </c>
      <c r="N6" s="87">
        <f>SUM(N7:N13)</f>
        <v>6406.32</v>
      </c>
      <c r="Q6" s="89">
        <f>SUM(Q7:Q12)</f>
        <v>5517</v>
      </c>
      <c r="R6" s="87">
        <f>$Q$6</f>
        <v>5517</v>
      </c>
      <c r="U6" s="89">
        <f>SUM(U7:U12)</f>
        <v>5683</v>
      </c>
      <c r="V6" s="87">
        <f>$U$6</f>
        <v>5683</v>
      </c>
      <c r="Y6" s="89">
        <f>SUM(Y7:Y12)</f>
        <v>5854</v>
      </c>
      <c r="Z6" s="87">
        <f>$Y$6</f>
        <v>5854</v>
      </c>
      <c r="AC6" s="89">
        <f>SUM(AC7:AC12)</f>
        <v>6030</v>
      </c>
      <c r="AD6" s="87">
        <f>$AC$6</f>
        <v>6030</v>
      </c>
    </row>
    <row r="7" spans="1:33" ht="14.5" customHeight="1" x14ac:dyDescent="0.35">
      <c r="A7" s="86" t="s">
        <v>129</v>
      </c>
      <c r="B7" s="85">
        <v>3</v>
      </c>
      <c r="C7" s="84" t="s">
        <v>126</v>
      </c>
      <c r="D7" s="84"/>
      <c r="E7" s="87">
        <v>0</v>
      </c>
      <c r="F7" s="87">
        <f t="shared" ref="F7:F13" si="0">SUMIFS(H$19:H$1003,E$19:E$1003,$B7)</f>
        <v>0</v>
      </c>
      <c r="I7" s="89">
        <v>20000</v>
      </c>
      <c r="J7" s="87">
        <f t="shared" ref="J7:J13" si="1">SUMIFS(L$19:L$1002,I$19:I$1002,$B7)</f>
        <v>20000</v>
      </c>
      <c r="M7" s="89">
        <v>0</v>
      </c>
      <c r="N7" s="87">
        <f t="shared" ref="N7:N13" si="2">SUMIFS(P$19:P$1003,M$19:M$1003,$B7)</f>
        <v>0</v>
      </c>
      <c r="Q7" s="89">
        <f t="shared" ref="Q7:Q12" si="3">ROUNDUP((M7)*RPI,0)</f>
        <v>0</v>
      </c>
      <c r="R7" s="87">
        <f>$Q$7</f>
        <v>0</v>
      </c>
      <c r="U7" s="89">
        <f t="shared" ref="U7:U12" si="4">ROUNDUP((Q7)*RPI,0)</f>
        <v>0</v>
      </c>
      <c r="V7" s="87">
        <f>$U$7</f>
        <v>0</v>
      </c>
      <c r="Y7" s="89">
        <f t="shared" ref="Y7:Y12" si="5">ROUNDUP((U7)*RPI,0)</f>
        <v>0</v>
      </c>
      <c r="Z7" s="87">
        <f>$Y$7</f>
        <v>0</v>
      </c>
      <c r="AC7" s="89">
        <f t="shared" ref="AC7:AC12" si="6">ROUNDUP((Y7)*RPI,0)</f>
        <v>0</v>
      </c>
      <c r="AD7" s="87">
        <f>$AC$7</f>
        <v>0</v>
      </c>
    </row>
    <row r="8" spans="1:33" ht="14.5" customHeight="1" x14ac:dyDescent="0.35">
      <c r="A8" s="86" t="s">
        <v>130</v>
      </c>
      <c r="B8" s="85">
        <v>4</v>
      </c>
      <c r="C8" s="86" t="s">
        <v>125</v>
      </c>
      <c r="D8" s="84"/>
      <c r="E8" s="87">
        <v>-2000</v>
      </c>
      <c r="F8" s="87">
        <f t="shared" si="0"/>
        <v>-485</v>
      </c>
      <c r="I8" s="89">
        <v>0</v>
      </c>
      <c r="J8" s="87">
        <f t="shared" si="1"/>
        <v>-237</v>
      </c>
      <c r="M8" s="89">
        <f>ROUNDUP((I8)*RPI,0)</f>
        <v>0</v>
      </c>
      <c r="N8" s="87">
        <f t="shared" si="2"/>
        <v>-166.5</v>
      </c>
      <c r="Q8" s="89">
        <f t="shared" si="3"/>
        <v>0</v>
      </c>
      <c r="R8" s="87">
        <f>$Q$8</f>
        <v>0</v>
      </c>
      <c r="U8" s="89">
        <f t="shared" si="4"/>
        <v>0</v>
      </c>
      <c r="V8" s="87">
        <f>$U$8</f>
        <v>0</v>
      </c>
      <c r="Y8" s="89">
        <f t="shared" si="5"/>
        <v>0</v>
      </c>
      <c r="Z8" s="87">
        <f>$Y$8</f>
        <v>0</v>
      </c>
      <c r="AC8" s="89">
        <f t="shared" si="6"/>
        <v>0</v>
      </c>
      <c r="AD8" s="87">
        <f>$AC$8</f>
        <v>0</v>
      </c>
    </row>
    <row r="9" spans="1:33" ht="14.5" customHeight="1" x14ac:dyDescent="0.35">
      <c r="A9" s="86" t="s">
        <v>124</v>
      </c>
      <c r="B9" s="85">
        <v>5</v>
      </c>
      <c r="C9" s="86" t="s">
        <v>125</v>
      </c>
      <c r="D9" s="84"/>
      <c r="E9" s="87">
        <v>2500</v>
      </c>
      <c r="F9" s="87">
        <f t="shared" si="0"/>
        <v>2304.8999999999996</v>
      </c>
      <c r="I9" s="89">
        <f>1700+3500</f>
        <v>5200</v>
      </c>
      <c r="J9" s="87">
        <f t="shared" si="1"/>
        <v>5470.68</v>
      </c>
      <c r="M9" s="89">
        <f>ROUNDUP((I9)*RPI,0)</f>
        <v>5356</v>
      </c>
      <c r="N9" s="87">
        <f t="shared" si="2"/>
        <v>1384.71</v>
      </c>
      <c r="Q9" s="89">
        <f t="shared" si="3"/>
        <v>5517</v>
      </c>
      <c r="R9" s="87">
        <f>$Q$9</f>
        <v>5517</v>
      </c>
      <c r="U9" s="89">
        <f t="shared" si="4"/>
        <v>5683</v>
      </c>
      <c r="V9" s="87">
        <f>$U$9</f>
        <v>5683</v>
      </c>
      <c r="Y9" s="89">
        <f t="shared" si="5"/>
        <v>5854</v>
      </c>
      <c r="Z9" s="87">
        <f>$Y$9</f>
        <v>5854</v>
      </c>
      <c r="AC9" s="89">
        <f t="shared" si="6"/>
        <v>6030</v>
      </c>
      <c r="AD9" s="87">
        <f>$AC$9</f>
        <v>6030</v>
      </c>
    </row>
    <row r="10" spans="1:33" ht="14.5" customHeight="1" x14ac:dyDescent="0.35">
      <c r="A10" s="86" t="s">
        <v>80</v>
      </c>
      <c r="B10" s="85">
        <v>6</v>
      </c>
      <c r="C10" s="86" t="s">
        <v>125</v>
      </c>
      <c r="D10" s="84"/>
      <c r="E10" s="87">
        <f>932+5247</f>
        <v>6179</v>
      </c>
      <c r="F10" s="87">
        <f t="shared" si="0"/>
        <v>15434.01</v>
      </c>
      <c r="I10" s="89">
        <v>0</v>
      </c>
      <c r="J10" s="87">
        <f t="shared" si="1"/>
        <v>0</v>
      </c>
      <c r="M10" s="89">
        <f>ROUNDUP((I10)*RPI,0)</f>
        <v>0</v>
      </c>
      <c r="N10" s="87">
        <f t="shared" si="2"/>
        <v>0</v>
      </c>
      <c r="Q10" s="89">
        <f t="shared" si="3"/>
        <v>0</v>
      </c>
      <c r="R10" s="87">
        <f>$Q$10</f>
        <v>0</v>
      </c>
      <c r="U10" s="89">
        <f t="shared" si="4"/>
        <v>0</v>
      </c>
      <c r="V10" s="87">
        <f>$U$10</f>
        <v>0</v>
      </c>
      <c r="Y10" s="89">
        <f t="shared" si="5"/>
        <v>0</v>
      </c>
      <c r="Z10" s="87">
        <f>$Y$10</f>
        <v>0</v>
      </c>
      <c r="AC10" s="89">
        <f t="shared" si="6"/>
        <v>0</v>
      </c>
      <c r="AD10" s="87">
        <f>$AC$10</f>
        <v>0</v>
      </c>
    </row>
    <row r="11" spans="1:33" ht="14.5" customHeight="1" x14ac:dyDescent="0.35">
      <c r="A11" s="86" t="s">
        <v>75</v>
      </c>
      <c r="B11" s="85">
        <v>7</v>
      </c>
      <c r="C11" s="84" t="s">
        <v>126</v>
      </c>
      <c r="D11" s="84"/>
      <c r="E11" s="87">
        <v>0</v>
      </c>
      <c r="F11" s="87">
        <f t="shared" si="0"/>
        <v>0</v>
      </c>
      <c r="I11" s="89">
        <f>ROUNDUP((E11)*RPICurrent,0)</f>
        <v>0</v>
      </c>
      <c r="J11" s="87">
        <f t="shared" si="1"/>
        <v>0</v>
      </c>
      <c r="M11" s="89">
        <f>ROUNDUP((I11)*RPI,0)</f>
        <v>0</v>
      </c>
      <c r="N11" s="87">
        <f t="shared" si="2"/>
        <v>0</v>
      </c>
      <c r="Q11" s="89">
        <f t="shared" si="3"/>
        <v>0</v>
      </c>
      <c r="R11" s="87">
        <f>$Q$11</f>
        <v>0</v>
      </c>
      <c r="U11" s="89">
        <f t="shared" si="4"/>
        <v>0</v>
      </c>
      <c r="V11" s="87">
        <f>$U$11</f>
        <v>0</v>
      </c>
      <c r="Y11" s="89">
        <f t="shared" si="5"/>
        <v>0</v>
      </c>
      <c r="Z11" s="87">
        <f>$Y$11</f>
        <v>0</v>
      </c>
      <c r="AC11" s="89">
        <f t="shared" si="6"/>
        <v>0</v>
      </c>
      <c r="AD11" s="87">
        <f>$AC$11</f>
        <v>0</v>
      </c>
    </row>
    <row r="12" spans="1:33" ht="14.5" customHeight="1" x14ac:dyDescent="0.35">
      <c r="A12" s="86" t="s">
        <v>131</v>
      </c>
      <c r="B12" s="85">
        <v>8</v>
      </c>
      <c r="C12" s="86" t="s">
        <v>125</v>
      </c>
      <c r="D12" s="84"/>
      <c r="E12" s="87">
        <v>0</v>
      </c>
      <c r="F12" s="87">
        <f t="shared" si="0"/>
        <v>0</v>
      </c>
      <c r="I12" s="89">
        <f>ROUNDUP((E12)*RPICurrent,0)</f>
        <v>0</v>
      </c>
      <c r="J12" s="87">
        <f t="shared" si="1"/>
        <v>0</v>
      </c>
      <c r="M12" s="89">
        <f>ROUNDUP((I12)*RPI,0)</f>
        <v>0</v>
      </c>
      <c r="N12" s="87">
        <f t="shared" si="2"/>
        <v>3000</v>
      </c>
      <c r="Q12" s="89">
        <f t="shared" si="3"/>
        <v>0</v>
      </c>
      <c r="R12" s="87">
        <f>$Q$12</f>
        <v>0</v>
      </c>
      <c r="U12" s="89">
        <f t="shared" si="4"/>
        <v>0</v>
      </c>
      <c r="V12" s="87">
        <f>$U$12</f>
        <v>0</v>
      </c>
      <c r="Y12" s="89">
        <f t="shared" si="5"/>
        <v>0</v>
      </c>
      <c r="Z12" s="87">
        <f>$Y$12</f>
        <v>0</v>
      </c>
      <c r="AC12" s="89">
        <f t="shared" si="6"/>
        <v>0</v>
      </c>
      <c r="AD12" s="87">
        <f>$AC$12</f>
        <v>0</v>
      </c>
    </row>
    <row r="13" spans="1:33" ht="29.25" customHeight="1" x14ac:dyDescent="0.35">
      <c r="A13" s="105" t="s">
        <v>1184</v>
      </c>
      <c r="B13" s="85">
        <v>9</v>
      </c>
      <c r="C13" s="86" t="s">
        <v>125</v>
      </c>
      <c r="D13" s="84"/>
      <c r="E13" s="87">
        <v>0</v>
      </c>
      <c r="F13" s="87">
        <f t="shared" si="0"/>
        <v>0</v>
      </c>
      <c r="I13" s="89">
        <f>ROUNDUP((E13)*RPICurrent,0)</f>
        <v>0</v>
      </c>
      <c r="J13" s="87">
        <f t="shared" si="1"/>
        <v>187</v>
      </c>
      <c r="M13" s="89">
        <v>5000</v>
      </c>
      <c r="N13" s="87">
        <f t="shared" si="2"/>
        <v>2188.1099999999997</v>
      </c>
      <c r="Q13" s="89">
        <f>ROUNDUP((M13)*RPI,0)</f>
        <v>5150</v>
      </c>
      <c r="R13" s="87">
        <f>$Q$12</f>
        <v>0</v>
      </c>
      <c r="U13" s="89">
        <f>ROUNDUP((Q13)*RPI,0)</f>
        <v>5305</v>
      </c>
      <c r="V13" s="87">
        <f>$U$12</f>
        <v>0</v>
      </c>
      <c r="Y13" s="89">
        <f>ROUNDUP((U13)*RPI,0)</f>
        <v>5465</v>
      </c>
      <c r="Z13" s="87">
        <f>$Y$12</f>
        <v>0</v>
      </c>
      <c r="AC13" s="89">
        <f>ROUNDUP((Y13)*RPI,0)</f>
        <v>5629</v>
      </c>
      <c r="AD13" s="87">
        <f>$AC$12</f>
        <v>0</v>
      </c>
    </row>
    <row r="14" spans="1:33" ht="14.5" customHeight="1" x14ac:dyDescent="0.35">
      <c r="E14" s="87"/>
      <c r="F14" s="87"/>
    </row>
    <row r="15" spans="1:33" ht="14.5" customHeight="1" x14ac:dyDescent="0.35">
      <c r="E15" s="87"/>
      <c r="F15" s="87"/>
    </row>
    <row r="16" spans="1:33" ht="14.5" customHeight="1" x14ac:dyDescent="0.35">
      <c r="E16" s="87"/>
      <c r="F16" s="87"/>
    </row>
    <row r="17" spans="1:31" ht="14.5" customHeight="1" x14ac:dyDescent="0.35">
      <c r="A17" s="84" t="s">
        <v>487</v>
      </c>
      <c r="G17" s="85"/>
      <c r="H17" s="87"/>
      <c r="I17" s="94"/>
      <c r="J17" s="93"/>
      <c r="K17" s="85"/>
      <c r="M17" s="94"/>
      <c r="N17" s="93"/>
      <c r="O17" s="85"/>
      <c r="Q17" s="94"/>
      <c r="R17" s="93"/>
      <c r="S17" s="85"/>
      <c r="U17" s="94"/>
      <c r="V17" s="93"/>
      <c r="W17" s="85"/>
      <c r="Y17" s="94"/>
      <c r="Z17" s="93"/>
      <c r="AA17" s="85"/>
      <c r="AC17" s="94"/>
      <c r="AD17" s="93"/>
      <c r="AE17" s="85"/>
    </row>
    <row r="18" spans="1:31" ht="14.5" customHeight="1" x14ac:dyDescent="0.35">
      <c r="E18" s="85" t="s">
        <v>484</v>
      </c>
      <c r="F18" s="93" t="s">
        <v>488</v>
      </c>
      <c r="G18" s="85" t="s">
        <v>489</v>
      </c>
      <c r="H18" s="87" t="s">
        <v>475</v>
      </c>
      <c r="I18" s="85" t="s">
        <v>484</v>
      </c>
      <c r="J18" s="93" t="s">
        <v>488</v>
      </c>
      <c r="K18" s="85" t="s">
        <v>489</v>
      </c>
      <c r="L18" s="87" t="s">
        <v>475</v>
      </c>
      <c r="M18" s="85" t="s">
        <v>484</v>
      </c>
      <c r="N18" s="93" t="s">
        <v>488</v>
      </c>
      <c r="O18" s="85" t="s">
        <v>489</v>
      </c>
      <c r="P18" s="87" t="s">
        <v>475</v>
      </c>
      <c r="Q18" s="94"/>
      <c r="R18" s="93"/>
      <c r="S18" s="85"/>
      <c r="U18" s="94"/>
      <c r="V18" s="93"/>
      <c r="W18" s="85"/>
      <c r="Y18" s="94"/>
      <c r="Z18" s="93"/>
      <c r="AA18" s="85"/>
      <c r="AC18" s="94"/>
      <c r="AD18" s="93"/>
      <c r="AE18" s="85"/>
    </row>
    <row r="19" spans="1:31" ht="14.5" customHeight="1" x14ac:dyDescent="0.35">
      <c r="A19" s="85"/>
      <c r="D19" s="85"/>
      <c r="E19" s="85">
        <v>6</v>
      </c>
      <c r="F19" s="93" t="s">
        <v>790</v>
      </c>
      <c r="G19" s="85" t="s">
        <v>968</v>
      </c>
      <c r="H19" s="87">
        <v>15434.01</v>
      </c>
      <c r="I19" s="94">
        <v>1</v>
      </c>
      <c r="J19" s="93">
        <v>45057</v>
      </c>
      <c r="K19" s="85" t="s">
        <v>1185</v>
      </c>
      <c r="L19" s="87">
        <v>26925</v>
      </c>
      <c r="M19" s="94">
        <v>8</v>
      </c>
      <c r="N19" s="93" t="s">
        <v>814</v>
      </c>
      <c r="O19" s="85" t="s">
        <v>2799</v>
      </c>
      <c r="P19" s="87">
        <v>-3000</v>
      </c>
      <c r="Q19" s="94"/>
      <c r="R19" s="93"/>
      <c r="S19" s="85"/>
      <c r="U19" s="94"/>
      <c r="V19" s="93"/>
      <c r="W19" s="85"/>
      <c r="Y19" s="94"/>
      <c r="Z19" s="93"/>
      <c r="AA19" s="85"/>
      <c r="AC19" s="94"/>
      <c r="AD19" s="93"/>
      <c r="AE19" s="85"/>
    </row>
    <row r="20" spans="1:31" ht="14.5" customHeight="1" x14ac:dyDescent="0.35">
      <c r="E20" s="85">
        <v>4</v>
      </c>
      <c r="F20" s="93" t="s">
        <v>1186</v>
      </c>
      <c r="G20" s="85" t="s">
        <v>1187</v>
      </c>
      <c r="H20" s="87">
        <v>-485</v>
      </c>
      <c r="I20" s="94">
        <v>5</v>
      </c>
      <c r="J20" s="93">
        <v>45062</v>
      </c>
      <c r="K20" s="85" t="s">
        <v>1188</v>
      </c>
      <c r="L20" s="87">
        <v>426.91</v>
      </c>
      <c r="M20" s="94">
        <v>8</v>
      </c>
      <c r="N20" s="93" t="s">
        <v>676</v>
      </c>
      <c r="O20" s="85" t="s">
        <v>2800</v>
      </c>
      <c r="P20" s="87">
        <v>6000</v>
      </c>
      <c r="Q20" s="94"/>
      <c r="R20" s="93"/>
      <c r="S20" s="85"/>
      <c r="U20" s="94"/>
      <c r="V20" s="93"/>
      <c r="W20" s="85"/>
      <c r="Y20" s="94"/>
      <c r="Z20" s="93"/>
      <c r="AA20" s="85"/>
      <c r="AC20" s="94"/>
      <c r="AD20" s="93"/>
      <c r="AE20" s="85"/>
    </row>
    <row r="21" spans="1:31" ht="14.5" customHeight="1" x14ac:dyDescent="0.35">
      <c r="E21" s="85">
        <v>5</v>
      </c>
      <c r="F21" s="93" t="s">
        <v>1186</v>
      </c>
      <c r="G21" s="85" t="s">
        <v>124</v>
      </c>
      <c r="H21" s="87">
        <v>206.17</v>
      </c>
      <c r="I21" s="94">
        <v>5</v>
      </c>
      <c r="J21" s="93">
        <v>45097</v>
      </c>
      <c r="K21" s="85" t="s">
        <v>1189</v>
      </c>
      <c r="L21" s="87">
        <v>447.83</v>
      </c>
      <c r="M21" s="94">
        <v>1</v>
      </c>
      <c r="N21" s="93" t="s">
        <v>491</v>
      </c>
      <c r="O21" s="85" t="s">
        <v>2349</v>
      </c>
      <c r="P21" s="87">
        <v>2000</v>
      </c>
      <c r="Q21" s="94"/>
      <c r="R21" s="93"/>
      <c r="S21" s="85"/>
      <c r="U21" s="94"/>
      <c r="V21" s="93"/>
      <c r="W21" s="85"/>
      <c r="Y21" s="94"/>
      <c r="Z21" s="93"/>
      <c r="AA21" s="85"/>
      <c r="AC21" s="94"/>
      <c r="AD21" s="93"/>
      <c r="AE21" s="85"/>
    </row>
    <row r="22" spans="1:31" ht="14.5" customHeight="1" x14ac:dyDescent="0.35">
      <c r="E22" s="85">
        <v>1</v>
      </c>
      <c r="F22" s="93" t="s">
        <v>699</v>
      </c>
      <c r="G22" s="85" t="s">
        <v>1190</v>
      </c>
      <c r="H22" s="87">
        <v>27141.11</v>
      </c>
      <c r="I22" s="94">
        <v>5</v>
      </c>
      <c r="J22" s="93">
        <v>45113</v>
      </c>
      <c r="K22" s="85" t="s">
        <v>1191</v>
      </c>
      <c r="L22" s="87">
        <v>439.39</v>
      </c>
      <c r="M22" s="94">
        <v>9</v>
      </c>
      <c r="N22" s="93">
        <v>45412</v>
      </c>
      <c r="O22" s="85" t="s">
        <v>2881</v>
      </c>
      <c r="P22" s="148">
        <v>315.89999999999998</v>
      </c>
      <c r="Q22" s="94"/>
      <c r="R22" s="93"/>
      <c r="S22" s="85"/>
      <c r="U22" s="94"/>
      <c r="V22" s="93"/>
      <c r="W22" s="85"/>
      <c r="Y22" s="94"/>
      <c r="Z22" s="93"/>
      <c r="AA22" s="85"/>
      <c r="AC22" s="94"/>
      <c r="AD22" s="93"/>
      <c r="AE22" s="85"/>
    </row>
    <row r="23" spans="1:31" ht="14.5" customHeight="1" x14ac:dyDescent="0.35">
      <c r="E23" s="85">
        <v>1</v>
      </c>
      <c r="F23" s="93" t="s">
        <v>699</v>
      </c>
      <c r="G23" s="85" t="s">
        <v>1192</v>
      </c>
      <c r="H23" s="87">
        <v>-9098.4599999999991</v>
      </c>
      <c r="I23" s="94">
        <v>5</v>
      </c>
      <c r="J23" s="93">
        <v>45143</v>
      </c>
      <c r="K23" s="85" t="s">
        <v>1193</v>
      </c>
      <c r="L23" s="87">
        <v>438.59</v>
      </c>
      <c r="M23" s="94">
        <v>9</v>
      </c>
      <c r="N23" s="93">
        <v>45415</v>
      </c>
      <c r="O23" s="85" t="s">
        <v>2881</v>
      </c>
      <c r="P23" s="148">
        <v>32.590000000000003</v>
      </c>
      <c r="Q23" s="94"/>
      <c r="R23" s="93"/>
      <c r="S23" s="85"/>
      <c r="U23" s="94"/>
      <c r="V23" s="93"/>
      <c r="W23" s="85"/>
      <c r="Y23" s="94"/>
      <c r="Z23" s="93"/>
      <c r="AA23" s="85"/>
      <c r="AC23" s="94"/>
      <c r="AD23" s="93"/>
      <c r="AE23" s="85"/>
    </row>
    <row r="24" spans="1:31" ht="14.5" customHeight="1" x14ac:dyDescent="0.35">
      <c r="E24" s="85">
        <v>1</v>
      </c>
      <c r="F24" s="93">
        <v>44896</v>
      </c>
      <c r="G24" s="85" t="s">
        <v>1194</v>
      </c>
      <c r="H24" s="87">
        <v>48</v>
      </c>
      <c r="I24" s="94">
        <v>5</v>
      </c>
      <c r="J24" s="93">
        <v>45175</v>
      </c>
      <c r="K24" s="85" t="s">
        <v>1195</v>
      </c>
      <c r="L24" s="87">
        <v>440.15</v>
      </c>
      <c r="M24" s="94">
        <v>9</v>
      </c>
      <c r="N24" s="93">
        <v>45406</v>
      </c>
      <c r="O24" s="85" t="s">
        <v>2881</v>
      </c>
      <c r="P24" s="148">
        <v>36.909999999999997</v>
      </c>
      <c r="Q24" s="94"/>
      <c r="R24" s="93"/>
      <c r="S24" s="85"/>
      <c r="U24" s="94"/>
      <c r="V24" s="93"/>
      <c r="W24" s="85"/>
      <c r="Y24" s="94"/>
      <c r="Z24" s="93"/>
      <c r="AA24" s="85"/>
      <c r="AC24" s="94"/>
      <c r="AD24" s="93"/>
      <c r="AE24" s="85"/>
    </row>
    <row r="25" spans="1:31" ht="14.5" customHeight="1" x14ac:dyDescent="0.35">
      <c r="E25" s="92" t="s">
        <v>867</v>
      </c>
      <c r="F25" s="97" t="s">
        <v>1196</v>
      </c>
      <c r="G25" s="92" t="s">
        <v>1197</v>
      </c>
      <c r="H25" s="90">
        <f>22500*1.1</f>
        <v>24750.000000000004</v>
      </c>
      <c r="I25" s="94">
        <v>3</v>
      </c>
      <c r="J25" s="93">
        <v>45187</v>
      </c>
      <c r="K25" s="85" t="s">
        <v>1198</v>
      </c>
      <c r="L25" s="87">
        <v>950</v>
      </c>
      <c r="M25" s="94">
        <v>9</v>
      </c>
      <c r="N25" s="93">
        <v>45425</v>
      </c>
      <c r="O25" s="85" t="s">
        <v>2891</v>
      </c>
      <c r="P25" s="148">
        <v>450</v>
      </c>
      <c r="Q25" s="94"/>
      <c r="R25" s="93"/>
      <c r="S25" s="85"/>
      <c r="U25" s="94"/>
      <c r="V25" s="93"/>
      <c r="W25" s="85"/>
      <c r="Y25" s="94"/>
      <c r="Z25" s="93"/>
      <c r="AA25" s="85"/>
      <c r="AC25" s="94"/>
      <c r="AD25" s="93"/>
      <c r="AE25" s="85"/>
    </row>
    <row r="26" spans="1:31" ht="14.5" customHeight="1" x14ac:dyDescent="0.35">
      <c r="E26" s="92">
        <v>1</v>
      </c>
      <c r="F26" s="97" t="s">
        <v>1199</v>
      </c>
      <c r="G26" s="92" t="s">
        <v>1200</v>
      </c>
      <c r="H26" s="90">
        <v>15000</v>
      </c>
      <c r="I26" s="94">
        <v>4</v>
      </c>
      <c r="J26" s="93" t="s">
        <v>1201</v>
      </c>
      <c r="K26" s="85" t="s">
        <v>1187</v>
      </c>
      <c r="L26" s="87">
        <v>-111</v>
      </c>
      <c r="M26" s="94">
        <v>9</v>
      </c>
      <c r="N26" s="93">
        <v>45426</v>
      </c>
      <c r="O26" s="85" t="s">
        <v>2893</v>
      </c>
      <c r="P26" s="148">
        <v>509.74</v>
      </c>
      <c r="Q26" s="94"/>
      <c r="R26" s="93"/>
      <c r="S26" s="85"/>
      <c r="U26" s="94"/>
      <c r="V26" s="93"/>
      <c r="W26" s="85"/>
      <c r="Y26" s="94"/>
      <c r="Z26" s="93"/>
      <c r="AA26" s="85"/>
      <c r="AC26" s="94"/>
      <c r="AD26" s="93"/>
      <c r="AE26" s="85"/>
    </row>
    <row r="27" spans="1:31" ht="14.5" customHeight="1" x14ac:dyDescent="0.35">
      <c r="E27" s="92">
        <v>2</v>
      </c>
      <c r="F27" s="97" t="s">
        <v>699</v>
      </c>
      <c r="G27" s="92" t="s">
        <v>1202</v>
      </c>
      <c r="H27" s="90">
        <v>-15000</v>
      </c>
      <c r="I27" s="94">
        <v>5</v>
      </c>
      <c r="J27" s="93">
        <v>45205</v>
      </c>
      <c r="K27" s="85" t="s">
        <v>1203</v>
      </c>
      <c r="L27" s="87">
        <v>424.1</v>
      </c>
      <c r="M27" s="94">
        <v>1</v>
      </c>
      <c r="N27" s="93">
        <v>45419</v>
      </c>
      <c r="O27" s="85" t="s">
        <v>2894</v>
      </c>
      <c r="P27" s="148">
        <v>10170</v>
      </c>
      <c r="Q27" s="94"/>
      <c r="R27" s="93"/>
      <c r="S27" s="85"/>
      <c r="U27" s="94"/>
      <c r="V27" s="93"/>
      <c r="W27" s="85"/>
      <c r="Y27" s="94"/>
      <c r="Z27" s="93"/>
      <c r="AA27" s="85"/>
      <c r="AC27" s="94"/>
      <c r="AD27" s="93"/>
      <c r="AE27" s="85"/>
    </row>
    <row r="28" spans="1:31" ht="14.5" customHeight="1" x14ac:dyDescent="0.35">
      <c r="E28" s="85">
        <v>5</v>
      </c>
      <c r="F28" s="93" t="s">
        <v>1186</v>
      </c>
      <c r="G28" s="85" t="s">
        <v>124</v>
      </c>
      <c r="H28" s="87">
        <v>258.37</v>
      </c>
      <c r="I28" s="94">
        <v>3</v>
      </c>
      <c r="J28" s="93">
        <v>45201</v>
      </c>
      <c r="K28" s="85" t="s">
        <v>1204</v>
      </c>
      <c r="L28" s="87">
        <v>168.4</v>
      </c>
      <c r="M28" s="94">
        <v>9</v>
      </c>
      <c r="N28" s="93">
        <v>45426</v>
      </c>
      <c r="O28" s="85" t="s">
        <v>1204</v>
      </c>
      <c r="P28" s="148">
        <v>14.17</v>
      </c>
      <c r="Q28" s="94"/>
      <c r="R28" s="93"/>
      <c r="S28" s="85"/>
      <c r="U28" s="94"/>
      <c r="V28" s="93"/>
      <c r="W28" s="85"/>
      <c r="Y28" s="94"/>
      <c r="Z28" s="93"/>
      <c r="AA28" s="85"/>
      <c r="AC28" s="94"/>
      <c r="AD28" s="93"/>
      <c r="AE28" s="85"/>
    </row>
    <row r="29" spans="1:31" ht="69.75" customHeight="1" x14ac:dyDescent="0.35">
      <c r="E29" s="85">
        <v>5</v>
      </c>
      <c r="F29" s="93" t="s">
        <v>1186</v>
      </c>
      <c r="G29" s="85" t="s">
        <v>124</v>
      </c>
      <c r="H29" s="87">
        <v>247.27</v>
      </c>
      <c r="I29" s="94">
        <v>3</v>
      </c>
      <c r="J29" s="93">
        <v>45219</v>
      </c>
      <c r="K29" s="85" t="s">
        <v>2163</v>
      </c>
      <c r="L29" s="87">
        <v>18881.599999999999</v>
      </c>
      <c r="M29" s="94">
        <v>5</v>
      </c>
      <c r="N29" s="93">
        <v>45416</v>
      </c>
      <c r="O29" s="85" t="s">
        <v>2903</v>
      </c>
      <c r="P29" s="148">
        <v>457.67</v>
      </c>
      <c r="Q29" s="94"/>
      <c r="R29" s="93"/>
      <c r="S29" s="85"/>
      <c r="U29" s="94"/>
      <c r="V29" s="93"/>
      <c r="W29" s="85"/>
      <c r="Y29" s="94"/>
      <c r="Z29" s="93"/>
      <c r="AA29" s="85"/>
      <c r="AC29" s="94"/>
      <c r="AD29" s="93"/>
      <c r="AE29" s="85"/>
    </row>
    <row r="30" spans="1:31" ht="76.5" customHeight="1" x14ac:dyDescent="0.35">
      <c r="E30" s="85">
        <v>5</v>
      </c>
      <c r="F30" s="93" t="s">
        <v>1186</v>
      </c>
      <c r="G30" s="85" t="s">
        <v>124</v>
      </c>
      <c r="H30" s="87">
        <v>207.49</v>
      </c>
      <c r="I30" s="94">
        <v>1</v>
      </c>
      <c r="J30" s="93">
        <v>45219</v>
      </c>
      <c r="K30" s="85" t="s">
        <v>2163</v>
      </c>
      <c r="L30" s="87">
        <v>2938.4</v>
      </c>
      <c r="M30" s="94">
        <v>9</v>
      </c>
      <c r="N30" s="93">
        <v>45428</v>
      </c>
      <c r="O30" s="85" t="s">
        <v>2908</v>
      </c>
      <c r="P30" s="148">
        <v>120</v>
      </c>
      <c r="Q30" s="94"/>
      <c r="R30" s="93"/>
      <c r="S30" s="85"/>
      <c r="U30" s="94"/>
      <c r="V30" s="93"/>
      <c r="W30" s="85"/>
      <c r="Y30" s="94"/>
      <c r="Z30" s="93"/>
      <c r="AA30" s="85"/>
      <c r="AC30" s="94"/>
      <c r="AD30" s="93"/>
      <c r="AE30" s="85"/>
    </row>
    <row r="31" spans="1:31" ht="14.5" customHeight="1" x14ac:dyDescent="0.35">
      <c r="E31" s="85">
        <v>5</v>
      </c>
      <c r="F31" s="93" t="s">
        <v>1186</v>
      </c>
      <c r="G31" s="85" t="s">
        <v>124</v>
      </c>
      <c r="H31" s="87">
        <v>203.2</v>
      </c>
      <c r="I31" s="94">
        <v>5</v>
      </c>
      <c r="J31" s="93">
        <v>45234</v>
      </c>
      <c r="K31" s="85" t="s">
        <v>2164</v>
      </c>
      <c r="L31" s="87">
        <v>475.52</v>
      </c>
      <c r="M31" s="94">
        <v>9</v>
      </c>
      <c r="N31" s="93">
        <v>45433</v>
      </c>
      <c r="O31" s="85" t="s">
        <v>2911</v>
      </c>
      <c r="P31" s="148">
        <v>31.51</v>
      </c>
      <c r="Q31" s="94"/>
      <c r="R31" s="93"/>
      <c r="S31" s="85"/>
      <c r="U31" s="94"/>
      <c r="V31" s="93"/>
      <c r="W31" s="85"/>
      <c r="Y31" s="94"/>
      <c r="Z31" s="93"/>
      <c r="AA31" s="85"/>
      <c r="AC31" s="94"/>
      <c r="AD31" s="93"/>
      <c r="AE31" s="85"/>
    </row>
    <row r="32" spans="1:31" ht="14.5" customHeight="1" x14ac:dyDescent="0.35">
      <c r="E32" s="85">
        <v>5</v>
      </c>
      <c r="F32" s="93" t="s">
        <v>1186</v>
      </c>
      <c r="G32" s="85" t="s">
        <v>124</v>
      </c>
      <c r="H32" s="87">
        <v>191.58</v>
      </c>
      <c r="I32" s="94" t="s">
        <v>2162</v>
      </c>
      <c r="J32" s="93" t="s">
        <v>676</v>
      </c>
      <c r="K32" s="119" t="s">
        <v>1205</v>
      </c>
      <c r="L32" s="86">
        <v>5000</v>
      </c>
      <c r="M32" s="94">
        <v>9</v>
      </c>
      <c r="N32" s="93">
        <v>45435</v>
      </c>
      <c r="O32" s="85" t="s">
        <v>2911</v>
      </c>
      <c r="P32" s="148">
        <v>13.56</v>
      </c>
      <c r="Q32" s="94"/>
      <c r="R32" s="93"/>
      <c r="S32" s="85"/>
      <c r="U32" s="94"/>
      <c r="V32" s="93"/>
      <c r="W32" s="85"/>
      <c r="Y32" s="94"/>
      <c r="Z32" s="93"/>
      <c r="AA32" s="85"/>
      <c r="AC32" s="94"/>
      <c r="AD32" s="93"/>
      <c r="AE32" s="85"/>
    </row>
    <row r="33" spans="5:31" ht="14.5" customHeight="1" x14ac:dyDescent="0.35">
      <c r="E33" s="85">
        <v>5</v>
      </c>
      <c r="F33" s="93" t="s">
        <v>1186</v>
      </c>
      <c r="G33" s="85" t="s">
        <v>124</v>
      </c>
      <c r="H33" s="87">
        <v>175.68</v>
      </c>
      <c r="I33" s="94" t="s">
        <v>2162</v>
      </c>
      <c r="J33" s="93" t="s">
        <v>676</v>
      </c>
      <c r="K33" s="119" t="s">
        <v>1206</v>
      </c>
      <c r="L33" s="86">
        <v>15000</v>
      </c>
      <c r="M33" s="94">
        <v>9</v>
      </c>
      <c r="N33" s="93">
        <v>45435</v>
      </c>
      <c r="O33" s="85" t="s">
        <v>2911</v>
      </c>
      <c r="P33" s="148">
        <v>10.55</v>
      </c>
      <c r="Q33" s="94"/>
      <c r="R33" s="93"/>
      <c r="S33" s="85"/>
      <c r="U33" s="94"/>
      <c r="V33" s="93"/>
      <c r="W33" s="85"/>
      <c r="Y33" s="94"/>
      <c r="Z33" s="93"/>
      <c r="AA33" s="85"/>
      <c r="AC33" s="94"/>
      <c r="AD33" s="93"/>
      <c r="AE33" s="85"/>
    </row>
    <row r="34" spans="5:31" ht="14.5" customHeight="1" x14ac:dyDescent="0.35">
      <c r="E34" s="85">
        <v>5</v>
      </c>
      <c r="F34" s="93" t="s">
        <v>1186</v>
      </c>
      <c r="G34" s="85" t="s">
        <v>124</v>
      </c>
      <c r="H34" s="87">
        <v>179.07</v>
      </c>
      <c r="I34" s="94">
        <v>5</v>
      </c>
      <c r="J34" s="93">
        <v>45266</v>
      </c>
      <c r="K34" s="85" t="s">
        <v>2262</v>
      </c>
      <c r="L34" s="87">
        <v>442.11</v>
      </c>
      <c r="M34" s="94">
        <v>9</v>
      </c>
      <c r="N34" s="93">
        <v>45435</v>
      </c>
      <c r="O34" s="85" t="s">
        <v>2911</v>
      </c>
      <c r="P34" s="148">
        <v>42.9</v>
      </c>
      <c r="Q34" s="94"/>
      <c r="R34" s="93"/>
      <c r="S34" s="85"/>
      <c r="U34" s="94"/>
      <c r="V34" s="93"/>
      <c r="W34" s="85"/>
      <c r="Y34" s="94"/>
      <c r="Z34" s="93"/>
      <c r="AA34" s="85"/>
      <c r="AC34" s="94"/>
      <c r="AD34" s="93"/>
      <c r="AE34" s="85"/>
    </row>
    <row r="35" spans="5:31" ht="14.5" customHeight="1" x14ac:dyDescent="0.35">
      <c r="E35" s="85">
        <v>5</v>
      </c>
      <c r="F35" s="93" t="s">
        <v>1186</v>
      </c>
      <c r="G35" s="85" t="s">
        <v>124</v>
      </c>
      <c r="H35" s="87">
        <v>186.85</v>
      </c>
      <c r="I35" s="94" t="s">
        <v>23</v>
      </c>
      <c r="J35" s="93" t="s">
        <v>491</v>
      </c>
      <c r="K35" s="85" t="s">
        <v>2349</v>
      </c>
      <c r="L35" s="87">
        <v>2000</v>
      </c>
      <c r="M35" s="94">
        <v>9</v>
      </c>
      <c r="N35" s="93">
        <v>45435</v>
      </c>
      <c r="O35" s="85" t="s">
        <v>2911</v>
      </c>
      <c r="P35" s="148">
        <v>10.83</v>
      </c>
      <c r="Q35" s="94"/>
      <c r="R35" s="93"/>
      <c r="S35" s="85"/>
      <c r="U35" s="94"/>
      <c r="V35" s="93"/>
      <c r="W35" s="85"/>
      <c r="Y35" s="94"/>
      <c r="Z35" s="93"/>
      <c r="AA35" s="85"/>
      <c r="AC35" s="94"/>
      <c r="AD35" s="93"/>
      <c r="AE35" s="85"/>
    </row>
    <row r="36" spans="5:31" ht="14.5" customHeight="1" x14ac:dyDescent="0.35">
      <c r="E36" s="85">
        <v>5</v>
      </c>
      <c r="F36" s="93" t="s">
        <v>1186</v>
      </c>
      <c r="G36" s="85" t="s">
        <v>124</v>
      </c>
      <c r="H36" s="87">
        <v>152.66999999999999</v>
      </c>
      <c r="I36" s="94">
        <v>5</v>
      </c>
      <c r="J36" s="93">
        <v>45297</v>
      </c>
      <c r="K36" s="85" t="s">
        <v>2353</v>
      </c>
      <c r="L36" s="87">
        <v>481.59</v>
      </c>
      <c r="M36" s="94">
        <v>9</v>
      </c>
      <c r="N36" s="93">
        <v>45412</v>
      </c>
      <c r="O36" s="85" t="s">
        <v>2911</v>
      </c>
      <c r="P36" s="148">
        <v>20.85</v>
      </c>
      <c r="Q36" s="94"/>
      <c r="R36" s="93"/>
      <c r="S36" s="85"/>
      <c r="U36" s="94"/>
      <c r="V36" s="93"/>
      <c r="W36" s="85"/>
      <c r="Y36" s="94"/>
      <c r="Z36" s="93"/>
      <c r="AA36" s="85"/>
      <c r="AC36" s="94"/>
      <c r="AD36" s="93"/>
      <c r="AE36" s="85"/>
    </row>
    <row r="37" spans="5:31" ht="14.5" customHeight="1" x14ac:dyDescent="0.35">
      <c r="E37" s="85">
        <v>1</v>
      </c>
      <c r="F37" s="93">
        <v>44965</v>
      </c>
      <c r="G37" s="85" t="s">
        <v>1207</v>
      </c>
      <c r="H37" s="87">
        <v>1600</v>
      </c>
      <c r="I37" s="94">
        <v>4</v>
      </c>
      <c r="J37" s="93" t="s">
        <v>2357</v>
      </c>
      <c r="K37" s="85" t="s">
        <v>1187</v>
      </c>
      <c r="L37" s="87">
        <f>5*-18.5</f>
        <v>-92.5</v>
      </c>
      <c r="M37" s="94">
        <v>5</v>
      </c>
      <c r="N37" s="93">
        <v>45463</v>
      </c>
      <c r="O37" s="85" t="s">
        <v>1231</v>
      </c>
      <c r="P37" s="148">
        <v>471.38</v>
      </c>
      <c r="Q37" s="94"/>
      <c r="R37" s="93"/>
      <c r="S37" s="85"/>
      <c r="U37" s="94"/>
      <c r="V37" s="93"/>
      <c r="W37" s="85"/>
      <c r="Y37" s="94"/>
      <c r="Z37" s="93"/>
      <c r="AA37" s="85"/>
      <c r="AC37" s="94"/>
      <c r="AD37" s="93"/>
      <c r="AE37" s="85"/>
    </row>
    <row r="38" spans="5:31" ht="14.5" customHeight="1" x14ac:dyDescent="0.35">
      <c r="E38" s="85">
        <v>5</v>
      </c>
      <c r="F38" s="93">
        <v>44992</v>
      </c>
      <c r="G38" s="85" t="s">
        <v>1208</v>
      </c>
      <c r="H38" s="87">
        <v>141.72</v>
      </c>
      <c r="I38" s="94">
        <v>1</v>
      </c>
      <c r="J38" s="93">
        <v>45200</v>
      </c>
      <c r="K38" s="85" t="s">
        <v>1204</v>
      </c>
      <c r="L38" s="87">
        <v>33.340000000000003</v>
      </c>
      <c r="M38" s="94">
        <v>4</v>
      </c>
      <c r="N38" s="93" t="s">
        <v>3109</v>
      </c>
      <c r="O38" s="85" t="s">
        <v>3110</v>
      </c>
      <c r="P38" s="148">
        <v>-166.5</v>
      </c>
      <c r="Q38" s="94"/>
      <c r="R38" s="93"/>
      <c r="S38" s="85"/>
      <c r="U38" s="94"/>
      <c r="V38" s="93"/>
      <c r="W38" s="85"/>
      <c r="Y38" s="94"/>
      <c r="Z38" s="93"/>
      <c r="AA38" s="85"/>
      <c r="AC38" s="94"/>
      <c r="AD38" s="93"/>
      <c r="AE38" s="85"/>
    </row>
    <row r="39" spans="5:31" ht="14.5" customHeight="1" x14ac:dyDescent="0.35">
      <c r="E39" s="85">
        <v>5</v>
      </c>
      <c r="F39" s="93" t="s">
        <v>775</v>
      </c>
      <c r="G39" s="85" t="s">
        <v>1209</v>
      </c>
      <c r="H39" s="87">
        <v>154.83000000000001</v>
      </c>
      <c r="I39" s="94">
        <v>1</v>
      </c>
      <c r="J39" s="93" t="s">
        <v>699</v>
      </c>
      <c r="K39" s="85" t="s">
        <v>2394</v>
      </c>
      <c r="L39" s="87">
        <f>-32803.58-1700</f>
        <v>-34503.58</v>
      </c>
      <c r="M39" s="94">
        <v>9</v>
      </c>
      <c r="N39" s="93">
        <v>45426</v>
      </c>
      <c r="O39" s="85" t="s">
        <v>3132</v>
      </c>
      <c r="P39" s="148">
        <v>340</v>
      </c>
      <c r="Q39" s="94"/>
      <c r="R39" s="93"/>
      <c r="S39" s="85"/>
      <c r="U39" s="94"/>
      <c r="V39" s="93"/>
      <c r="W39" s="85"/>
      <c r="Y39" s="94"/>
      <c r="Z39" s="93"/>
      <c r="AA39" s="85"/>
      <c r="AC39" s="94"/>
      <c r="AD39" s="93"/>
      <c r="AE39" s="85"/>
    </row>
    <row r="40" spans="5:31" ht="14.5" customHeight="1" x14ac:dyDescent="0.35">
      <c r="G40" s="85"/>
      <c r="H40" s="87"/>
      <c r="I40" s="94">
        <v>5</v>
      </c>
      <c r="J40" s="93">
        <v>45328</v>
      </c>
      <c r="K40" s="85" t="s">
        <v>1275</v>
      </c>
      <c r="L40" s="87">
        <v>510.61</v>
      </c>
      <c r="M40" s="94">
        <v>9</v>
      </c>
      <c r="N40" s="93">
        <v>45455</v>
      </c>
      <c r="O40" s="85" t="s">
        <v>3133</v>
      </c>
      <c r="P40" s="148">
        <v>226.6</v>
      </c>
      <c r="Q40" s="94"/>
      <c r="R40" s="93"/>
      <c r="S40" s="85"/>
      <c r="U40" s="94"/>
      <c r="V40" s="93"/>
      <c r="W40" s="85"/>
      <c r="Y40" s="94"/>
      <c r="Z40" s="93"/>
      <c r="AA40" s="85"/>
      <c r="AC40" s="94"/>
      <c r="AD40" s="93"/>
      <c r="AE40" s="85"/>
    </row>
    <row r="41" spans="5:31" ht="14.5" customHeight="1" x14ac:dyDescent="0.35">
      <c r="G41" s="85"/>
      <c r="H41" s="87"/>
      <c r="I41" s="94">
        <v>1</v>
      </c>
      <c r="J41" s="93">
        <v>45338</v>
      </c>
      <c r="K41" s="85" t="s">
        <v>2593</v>
      </c>
      <c r="L41" s="87">
        <v>617.5</v>
      </c>
      <c r="M41" s="94">
        <v>9</v>
      </c>
      <c r="N41" s="93">
        <v>45457</v>
      </c>
      <c r="O41" s="85" t="s">
        <v>3134</v>
      </c>
      <c r="P41" s="148">
        <v>12</v>
      </c>
      <c r="Q41" s="94"/>
      <c r="R41" s="93"/>
      <c r="S41" s="85"/>
      <c r="U41" s="94"/>
      <c r="V41" s="93"/>
      <c r="W41" s="85"/>
      <c r="Y41" s="94"/>
      <c r="Z41" s="93"/>
      <c r="AA41" s="85"/>
      <c r="AC41" s="94"/>
      <c r="AD41" s="93"/>
      <c r="AE41" s="85"/>
    </row>
    <row r="42" spans="5:31" ht="14.5" customHeight="1" x14ac:dyDescent="0.35">
      <c r="G42" s="85"/>
      <c r="H42" s="87"/>
      <c r="I42" s="94">
        <v>1</v>
      </c>
      <c r="J42" s="93">
        <v>45341</v>
      </c>
      <c r="K42" s="85" t="s">
        <v>2665</v>
      </c>
      <c r="L42" s="87">
        <v>146.5</v>
      </c>
      <c r="M42" s="94">
        <v>5</v>
      </c>
      <c r="N42" s="93">
        <v>45477</v>
      </c>
      <c r="O42" s="85" t="s">
        <v>1232</v>
      </c>
      <c r="P42" s="87">
        <v>455.66</v>
      </c>
      <c r="Q42" s="94"/>
      <c r="R42" s="93"/>
      <c r="S42" s="85"/>
      <c r="U42" s="94"/>
      <c r="V42" s="93"/>
      <c r="W42" s="85"/>
      <c r="Y42" s="94"/>
      <c r="Z42" s="93"/>
      <c r="AA42" s="85"/>
      <c r="AC42" s="94"/>
      <c r="AD42" s="93"/>
      <c r="AE42" s="85"/>
    </row>
    <row r="43" spans="5:31" ht="14.5" customHeight="1" x14ac:dyDescent="0.35">
      <c r="G43" s="85"/>
      <c r="H43" s="87"/>
      <c r="I43" s="94">
        <v>4</v>
      </c>
      <c r="J43" s="93">
        <v>45338</v>
      </c>
      <c r="K43" s="85" t="s">
        <v>1187</v>
      </c>
      <c r="L43" s="87">
        <v>-18.5</v>
      </c>
      <c r="M43" s="94"/>
      <c r="N43" s="93"/>
      <c r="O43" s="85"/>
      <c r="Q43" s="94"/>
      <c r="R43" s="93"/>
      <c r="S43" s="85"/>
      <c r="U43" s="94"/>
      <c r="V43" s="93"/>
      <c r="W43" s="85"/>
      <c r="Y43" s="94"/>
      <c r="Z43" s="93"/>
      <c r="AA43" s="85"/>
      <c r="AC43" s="94"/>
      <c r="AD43" s="93"/>
      <c r="AE43" s="85"/>
    </row>
    <row r="44" spans="5:31" ht="14.5" customHeight="1" x14ac:dyDescent="0.35">
      <c r="G44" s="85"/>
      <c r="H44" s="87"/>
      <c r="I44" s="94">
        <v>4</v>
      </c>
      <c r="J44" s="93" t="s">
        <v>2667</v>
      </c>
      <c r="K44" s="85" t="s">
        <v>2668</v>
      </c>
      <c r="L44" s="87">
        <v>-7.5</v>
      </c>
      <c r="M44" s="94"/>
      <c r="N44" s="93"/>
      <c r="O44" s="85"/>
      <c r="Q44" s="94"/>
      <c r="R44" s="93"/>
      <c r="S44" s="85"/>
      <c r="U44" s="94"/>
      <c r="V44" s="93"/>
      <c r="W44" s="85"/>
      <c r="Y44" s="94"/>
      <c r="Z44" s="93"/>
      <c r="AA44" s="85"/>
      <c r="AC44" s="94"/>
      <c r="AD44" s="93"/>
      <c r="AE44" s="85"/>
    </row>
    <row r="45" spans="5:31" ht="14.5" customHeight="1" x14ac:dyDescent="0.35">
      <c r="G45" s="85"/>
      <c r="H45" s="87"/>
      <c r="I45" s="94">
        <v>4</v>
      </c>
      <c r="J45" s="93" t="s">
        <v>2669</v>
      </c>
      <c r="K45" s="85" t="s">
        <v>2668</v>
      </c>
      <c r="L45" s="87">
        <v>-7.5</v>
      </c>
      <c r="M45" s="94"/>
      <c r="N45" s="93"/>
      <c r="O45" s="85"/>
      <c r="Q45" s="94"/>
      <c r="R45" s="93"/>
      <c r="S45" s="85"/>
      <c r="U45" s="94"/>
      <c r="V45" s="93"/>
      <c r="W45" s="85"/>
      <c r="Y45" s="94"/>
      <c r="Z45" s="93"/>
      <c r="AA45" s="85"/>
      <c r="AC45" s="94"/>
      <c r="AD45" s="93"/>
      <c r="AE45" s="85"/>
    </row>
    <row r="46" spans="5:31" ht="14.5" customHeight="1" x14ac:dyDescent="0.35">
      <c r="G46" s="85"/>
      <c r="H46" s="87"/>
      <c r="I46" s="94">
        <v>5</v>
      </c>
      <c r="J46" s="93">
        <v>45363</v>
      </c>
      <c r="K46" s="85" t="s">
        <v>1208</v>
      </c>
      <c r="L46" s="87">
        <v>449.66</v>
      </c>
      <c r="M46" s="94"/>
      <c r="N46" s="93"/>
      <c r="O46" s="85"/>
      <c r="Q46" s="94"/>
      <c r="R46" s="93"/>
      <c r="S46" s="85"/>
      <c r="U46" s="94"/>
      <c r="V46" s="93"/>
      <c r="W46" s="85"/>
      <c r="Y46" s="94"/>
      <c r="Z46" s="93"/>
      <c r="AA46" s="85"/>
      <c r="AC46" s="94"/>
      <c r="AD46" s="93"/>
      <c r="AE46" s="85"/>
    </row>
    <row r="47" spans="5:31" ht="14.5" customHeight="1" x14ac:dyDescent="0.35">
      <c r="G47" s="85"/>
      <c r="H47" s="87"/>
      <c r="I47" s="94">
        <v>1</v>
      </c>
      <c r="J47" s="93">
        <v>45378</v>
      </c>
      <c r="K47" s="85" t="s">
        <v>2775</v>
      </c>
      <c r="L47" s="87">
        <v>15000</v>
      </c>
      <c r="M47" s="94"/>
      <c r="N47" s="93"/>
      <c r="O47" s="85"/>
      <c r="Q47" s="94"/>
      <c r="R47" s="93"/>
      <c r="S47" s="85"/>
      <c r="U47" s="94"/>
      <c r="V47" s="93"/>
      <c r="W47" s="85"/>
      <c r="Y47" s="94"/>
      <c r="Z47" s="93"/>
      <c r="AA47" s="85"/>
      <c r="AC47" s="94"/>
      <c r="AD47" s="93"/>
      <c r="AE47" s="85"/>
    </row>
    <row r="48" spans="5:31" ht="14.5" customHeight="1" x14ac:dyDescent="0.35">
      <c r="G48" s="85"/>
      <c r="H48" s="87"/>
      <c r="I48" s="94">
        <v>9</v>
      </c>
      <c r="J48" s="93">
        <v>45378</v>
      </c>
      <c r="K48" s="85" t="s">
        <v>2775</v>
      </c>
      <c r="L48" s="87">
        <v>187</v>
      </c>
      <c r="M48" s="94"/>
      <c r="N48" s="93"/>
      <c r="O48" s="85"/>
      <c r="Q48" s="94"/>
      <c r="R48" s="93"/>
      <c r="S48" s="85"/>
      <c r="U48" s="94"/>
      <c r="V48" s="93"/>
      <c r="W48" s="85"/>
      <c r="Y48" s="94"/>
      <c r="Z48" s="93"/>
      <c r="AA48" s="85"/>
      <c r="AC48" s="94"/>
      <c r="AD48" s="93"/>
      <c r="AE48" s="85"/>
    </row>
    <row r="49" spans="7:31" ht="14.5" customHeight="1" x14ac:dyDescent="0.35">
      <c r="G49" s="85"/>
      <c r="H49" s="87"/>
      <c r="I49" s="94">
        <v>5</v>
      </c>
      <c r="J49" s="93" t="s">
        <v>775</v>
      </c>
      <c r="K49" s="85" t="s">
        <v>1209</v>
      </c>
      <c r="L49" s="148">
        <v>494.22</v>
      </c>
      <c r="M49" s="94"/>
      <c r="N49" s="93"/>
      <c r="O49" s="85"/>
      <c r="Q49" s="94"/>
      <c r="R49" s="93"/>
      <c r="S49" s="85"/>
      <c r="U49" s="94"/>
      <c r="V49" s="93"/>
      <c r="W49" s="85"/>
      <c r="Y49" s="94"/>
      <c r="Z49" s="93"/>
      <c r="AA49" s="85"/>
      <c r="AC49" s="94"/>
      <c r="AD49" s="93"/>
      <c r="AE49" s="85"/>
    </row>
    <row r="50" spans="7:31" ht="14.5" customHeight="1" x14ac:dyDescent="0.35">
      <c r="G50" s="85"/>
      <c r="H50" s="87"/>
      <c r="I50" s="94"/>
      <c r="J50" s="93"/>
      <c r="K50" s="85"/>
      <c r="M50" s="94"/>
      <c r="N50" s="93"/>
      <c r="O50" s="85"/>
      <c r="Q50" s="94"/>
      <c r="R50" s="93"/>
      <c r="S50" s="85"/>
      <c r="U50" s="94"/>
      <c r="V50" s="93"/>
      <c r="W50" s="85"/>
      <c r="Y50" s="94"/>
      <c r="Z50" s="93"/>
      <c r="AA50" s="85"/>
      <c r="AC50" s="94"/>
      <c r="AD50" s="93"/>
      <c r="AE50" s="85"/>
    </row>
    <row r="51" spans="7:31" ht="14.5" customHeight="1" x14ac:dyDescent="0.35">
      <c r="G51" s="85"/>
      <c r="H51" s="87"/>
      <c r="I51" s="94"/>
      <c r="J51" s="93"/>
      <c r="K51" s="85"/>
      <c r="M51" s="94"/>
      <c r="N51" s="93"/>
      <c r="O51" s="85"/>
      <c r="Q51" s="94"/>
      <c r="R51" s="93"/>
      <c r="S51" s="85"/>
      <c r="U51" s="94"/>
      <c r="V51" s="93"/>
      <c r="W51" s="85"/>
      <c r="Y51" s="94"/>
      <c r="Z51" s="93"/>
      <c r="AA51" s="85"/>
      <c r="AC51" s="94"/>
      <c r="AD51" s="93"/>
      <c r="AE51" s="85"/>
    </row>
    <row r="52" spans="7:31" ht="14.5" customHeight="1" x14ac:dyDescent="0.35">
      <c r="G52" s="85"/>
      <c r="H52" s="87"/>
      <c r="I52" s="94"/>
      <c r="J52" s="93"/>
      <c r="K52" s="85"/>
      <c r="M52" s="94"/>
      <c r="N52" s="93"/>
      <c r="O52" s="85"/>
      <c r="Q52" s="94"/>
      <c r="R52" s="93"/>
      <c r="S52" s="85"/>
      <c r="U52" s="94"/>
      <c r="V52" s="93"/>
      <c r="W52" s="85"/>
      <c r="Y52" s="94"/>
      <c r="Z52" s="93"/>
      <c r="AA52" s="85"/>
      <c r="AC52" s="94"/>
      <c r="AD52" s="93"/>
      <c r="AE52" s="85"/>
    </row>
    <row r="53" spans="7:31" ht="14.5" customHeight="1" x14ac:dyDescent="0.35">
      <c r="G53" s="85"/>
      <c r="H53" s="87"/>
      <c r="I53" s="94"/>
      <c r="J53" s="93"/>
      <c r="K53" s="85"/>
      <c r="M53" s="94"/>
      <c r="N53" s="93"/>
      <c r="O53" s="85"/>
      <c r="Q53" s="94"/>
      <c r="R53" s="93"/>
      <c r="S53" s="85"/>
      <c r="U53" s="94"/>
      <c r="V53" s="93"/>
      <c r="W53" s="85"/>
      <c r="Y53" s="94"/>
      <c r="Z53" s="93"/>
      <c r="AA53" s="85"/>
      <c r="AC53" s="94"/>
      <c r="AD53" s="93"/>
      <c r="AE53" s="85"/>
    </row>
    <row r="54" spans="7:31" ht="14.5" customHeight="1" x14ac:dyDescent="0.35">
      <c r="G54" s="85"/>
      <c r="H54" s="87"/>
      <c r="I54" s="94"/>
      <c r="J54" s="93"/>
      <c r="K54" s="85"/>
      <c r="M54" s="94"/>
      <c r="N54" s="93"/>
      <c r="O54" s="85"/>
      <c r="Q54" s="94"/>
      <c r="R54" s="93"/>
      <c r="S54" s="85"/>
      <c r="U54" s="94"/>
      <c r="V54" s="93"/>
      <c r="W54" s="85"/>
      <c r="Y54" s="94"/>
      <c r="Z54" s="93"/>
      <c r="AA54" s="85"/>
      <c r="AC54" s="94"/>
      <c r="AD54" s="93"/>
      <c r="AE54" s="85"/>
    </row>
    <row r="55" spans="7:31" ht="14.5" customHeight="1" x14ac:dyDescent="0.35">
      <c r="G55" s="85"/>
      <c r="H55" s="87"/>
      <c r="I55" s="94"/>
      <c r="J55" s="93"/>
      <c r="K55" s="85"/>
      <c r="M55" s="94"/>
      <c r="N55" s="93"/>
      <c r="O55" s="85"/>
      <c r="Q55" s="94"/>
      <c r="R55" s="93"/>
      <c r="S55" s="85"/>
      <c r="U55" s="94"/>
      <c r="V55" s="93"/>
      <c r="W55" s="85"/>
      <c r="Y55" s="94"/>
      <c r="Z55" s="93"/>
      <c r="AA55" s="85"/>
      <c r="AC55" s="94"/>
      <c r="AD55" s="93"/>
      <c r="AE55" s="85"/>
    </row>
    <row r="56" spans="7:31" ht="14.5" customHeight="1" x14ac:dyDescent="0.35">
      <c r="G56" s="85"/>
      <c r="H56" s="87"/>
      <c r="I56" s="94"/>
      <c r="J56" s="93"/>
      <c r="K56" s="85"/>
      <c r="M56" s="94"/>
      <c r="N56" s="93"/>
      <c r="O56" s="85"/>
      <c r="Q56" s="94"/>
      <c r="R56" s="93"/>
      <c r="S56" s="85"/>
      <c r="U56" s="94"/>
      <c r="V56" s="93"/>
      <c r="W56" s="85"/>
      <c r="Y56" s="94"/>
      <c r="Z56" s="93"/>
      <c r="AA56" s="85"/>
      <c r="AC56" s="94"/>
      <c r="AD56" s="93"/>
      <c r="AE56" s="85"/>
    </row>
    <row r="57" spans="7:31" ht="14.5" customHeight="1" x14ac:dyDescent="0.35">
      <c r="G57" s="85"/>
      <c r="H57" s="87"/>
      <c r="I57" s="94"/>
      <c r="J57" s="93"/>
      <c r="K57" s="85"/>
      <c r="M57" s="94"/>
      <c r="N57" s="93"/>
      <c r="O57" s="85"/>
      <c r="Q57" s="94"/>
      <c r="R57" s="93"/>
      <c r="S57" s="85"/>
      <c r="U57" s="94"/>
      <c r="V57" s="93"/>
      <c r="W57" s="85"/>
      <c r="Y57" s="94"/>
      <c r="Z57" s="93"/>
      <c r="AA57" s="85"/>
      <c r="AC57" s="94"/>
      <c r="AD57" s="93"/>
      <c r="AE57" s="85"/>
    </row>
    <row r="58" spans="7:31" ht="14.5" customHeight="1" x14ac:dyDescent="0.35">
      <c r="G58" s="85"/>
      <c r="H58" s="87"/>
      <c r="I58" s="94"/>
      <c r="J58" s="93"/>
      <c r="K58" s="85"/>
      <c r="M58" s="94"/>
      <c r="N58" s="93"/>
      <c r="O58" s="85"/>
      <c r="Q58" s="94"/>
      <c r="R58" s="93"/>
      <c r="S58" s="85"/>
      <c r="U58" s="94"/>
      <c r="V58" s="93"/>
      <c r="W58" s="85"/>
      <c r="Y58" s="94"/>
      <c r="Z58" s="93"/>
      <c r="AA58" s="85"/>
      <c r="AC58" s="94"/>
      <c r="AD58" s="93"/>
      <c r="AE58" s="85"/>
    </row>
    <row r="59" spans="7:31" ht="14.5" customHeight="1" x14ac:dyDescent="0.35">
      <c r="G59" s="85"/>
      <c r="H59" s="87"/>
      <c r="I59" s="94"/>
      <c r="J59" s="93"/>
      <c r="K59" s="85"/>
      <c r="M59" s="94"/>
      <c r="N59" s="93"/>
      <c r="O59" s="85"/>
      <c r="Q59" s="94"/>
      <c r="R59" s="93"/>
      <c r="S59" s="85"/>
      <c r="U59" s="94"/>
      <c r="V59" s="93"/>
      <c r="W59" s="85"/>
      <c r="Y59" s="94"/>
      <c r="Z59" s="93"/>
      <c r="AA59" s="85"/>
      <c r="AC59" s="94"/>
      <c r="AD59" s="93"/>
      <c r="AE59" s="85"/>
    </row>
    <row r="60" spans="7:31" ht="14.5" customHeight="1" x14ac:dyDescent="0.35">
      <c r="G60" s="85"/>
      <c r="H60" s="87"/>
      <c r="I60" s="94"/>
      <c r="J60" s="93"/>
      <c r="K60" s="85"/>
      <c r="M60" s="94"/>
      <c r="N60" s="93"/>
      <c r="O60" s="85"/>
      <c r="Q60" s="94"/>
      <c r="R60" s="93"/>
      <c r="S60" s="85"/>
      <c r="U60" s="94"/>
      <c r="V60" s="93"/>
      <c r="W60" s="85"/>
      <c r="Y60" s="94"/>
      <c r="Z60" s="93"/>
      <c r="AA60" s="85"/>
      <c r="AC60" s="94"/>
      <c r="AD60" s="93"/>
      <c r="AE60" s="85"/>
    </row>
    <row r="61" spans="7:31" ht="14.5" customHeight="1" x14ac:dyDescent="0.35">
      <c r="G61" s="85"/>
      <c r="H61" s="87"/>
      <c r="I61" s="94"/>
      <c r="J61" s="93"/>
      <c r="K61" s="85"/>
      <c r="M61" s="94"/>
      <c r="N61" s="93"/>
      <c r="O61" s="85"/>
      <c r="Q61" s="94"/>
      <c r="R61" s="93"/>
      <c r="S61" s="85"/>
      <c r="U61" s="94"/>
      <c r="V61" s="93"/>
      <c r="W61" s="85"/>
      <c r="Y61" s="94"/>
      <c r="Z61" s="93"/>
      <c r="AA61" s="85"/>
      <c r="AC61" s="94"/>
      <c r="AD61" s="93"/>
      <c r="AE61" s="85"/>
    </row>
    <row r="62" spans="7:31" ht="14.5" customHeight="1" x14ac:dyDescent="0.35">
      <c r="G62" s="85"/>
      <c r="H62" s="87"/>
      <c r="I62" s="94"/>
      <c r="J62" s="93"/>
      <c r="K62" s="85"/>
      <c r="M62" s="94"/>
      <c r="N62" s="93"/>
      <c r="O62" s="85"/>
      <c r="Q62" s="94"/>
      <c r="R62" s="93"/>
      <c r="S62" s="85"/>
      <c r="U62" s="94"/>
      <c r="V62" s="93"/>
      <c r="W62" s="85"/>
      <c r="Y62" s="94"/>
      <c r="Z62" s="93"/>
      <c r="AA62" s="85"/>
      <c r="AC62" s="94"/>
      <c r="AD62" s="93"/>
      <c r="AE62" s="85"/>
    </row>
    <row r="63" spans="7:31" ht="14.5" customHeight="1" x14ac:dyDescent="0.35">
      <c r="G63" s="85"/>
      <c r="H63" s="87"/>
      <c r="I63" s="94"/>
      <c r="J63" s="93"/>
      <c r="K63" s="85"/>
      <c r="M63" s="94"/>
      <c r="N63" s="93"/>
      <c r="O63" s="85"/>
      <c r="Q63" s="94"/>
      <c r="R63" s="93"/>
      <c r="S63" s="85"/>
      <c r="U63" s="94"/>
      <c r="V63" s="93"/>
      <c r="W63" s="85"/>
      <c r="Y63" s="94"/>
      <c r="Z63" s="93"/>
      <c r="AA63" s="85"/>
      <c r="AC63" s="94"/>
      <c r="AD63" s="93"/>
      <c r="AE63" s="85"/>
    </row>
    <row r="64" spans="7:31" ht="14.5" customHeight="1" x14ac:dyDescent="0.35">
      <c r="G64" s="85"/>
      <c r="H64" s="87"/>
      <c r="I64" s="94"/>
      <c r="J64" s="93"/>
      <c r="K64" s="85"/>
      <c r="M64" s="94"/>
      <c r="N64" s="93"/>
      <c r="O64" s="85"/>
      <c r="Q64" s="94"/>
      <c r="R64" s="93"/>
      <c r="S64" s="85"/>
      <c r="U64" s="94"/>
      <c r="V64" s="93"/>
      <c r="W64" s="85"/>
      <c r="Y64" s="94"/>
      <c r="Z64" s="93"/>
      <c r="AA64" s="85"/>
      <c r="AC64" s="94"/>
      <c r="AD64" s="93"/>
      <c r="AE64" s="85"/>
    </row>
    <row r="65" spans="7:31" ht="14.5" customHeight="1" x14ac:dyDescent="0.35">
      <c r="G65" s="85"/>
      <c r="H65" s="87"/>
      <c r="I65" s="94"/>
      <c r="J65" s="93"/>
      <c r="K65" s="85"/>
      <c r="M65" s="94"/>
      <c r="N65" s="93"/>
      <c r="O65" s="85"/>
      <c r="Q65" s="94"/>
      <c r="R65" s="93"/>
      <c r="S65" s="85"/>
      <c r="U65" s="94"/>
      <c r="V65" s="93"/>
      <c r="W65" s="85"/>
      <c r="Y65" s="94"/>
      <c r="Z65" s="93"/>
      <c r="AA65" s="85"/>
      <c r="AC65" s="94"/>
      <c r="AD65" s="93"/>
      <c r="AE65" s="85"/>
    </row>
    <row r="66" spans="7:31" ht="14.5" customHeight="1" x14ac:dyDescent="0.35">
      <c r="G66" s="85"/>
      <c r="H66" s="87"/>
      <c r="I66" s="94"/>
      <c r="J66" s="93"/>
      <c r="K66" s="85"/>
      <c r="M66" s="94"/>
      <c r="N66" s="93"/>
      <c r="O66" s="85"/>
      <c r="Q66" s="94"/>
      <c r="R66" s="93"/>
      <c r="S66" s="85"/>
      <c r="U66" s="94"/>
      <c r="V66" s="93"/>
      <c r="W66" s="85"/>
      <c r="Y66" s="94"/>
      <c r="Z66" s="93"/>
      <c r="AA66" s="85"/>
      <c r="AC66" s="94"/>
      <c r="AD66" s="93"/>
      <c r="AE66" s="85"/>
    </row>
    <row r="67" spans="7:31" ht="14.5" customHeight="1" x14ac:dyDescent="0.35">
      <c r="G67" s="85"/>
      <c r="H67" s="87"/>
      <c r="I67" s="94"/>
      <c r="J67" s="93"/>
      <c r="K67" s="85"/>
      <c r="M67" s="94"/>
      <c r="N67" s="93"/>
      <c r="O67" s="85"/>
      <c r="Q67" s="94"/>
      <c r="R67" s="93"/>
      <c r="S67" s="85"/>
      <c r="U67" s="94"/>
      <c r="V67" s="93"/>
      <c r="W67" s="85"/>
      <c r="Y67" s="94"/>
      <c r="Z67" s="93"/>
      <c r="AA67" s="85"/>
      <c r="AC67" s="94"/>
      <c r="AD67" s="93"/>
      <c r="AE67" s="85"/>
    </row>
    <row r="68" spans="7:31" ht="14.5" customHeight="1" x14ac:dyDescent="0.35">
      <c r="G68" s="85"/>
      <c r="H68" s="87"/>
      <c r="I68" s="94"/>
      <c r="J68" s="93"/>
      <c r="K68" s="85"/>
      <c r="M68" s="94"/>
      <c r="N68" s="93"/>
      <c r="O68" s="85"/>
      <c r="Q68" s="94"/>
      <c r="R68" s="93"/>
      <c r="S68" s="85"/>
      <c r="U68" s="94"/>
      <c r="V68" s="93"/>
      <c r="W68" s="85"/>
      <c r="Y68" s="94"/>
      <c r="Z68" s="93"/>
      <c r="AA68" s="85"/>
      <c r="AC68" s="94"/>
      <c r="AD68" s="93"/>
      <c r="AE68" s="85"/>
    </row>
    <row r="69" spans="7:31" ht="14.5" customHeight="1" x14ac:dyDescent="0.35">
      <c r="G69" s="85"/>
      <c r="H69" s="87"/>
      <c r="I69" s="94"/>
      <c r="J69" s="93"/>
      <c r="K69" s="85"/>
      <c r="M69" s="94"/>
      <c r="N69" s="93"/>
      <c r="O69" s="85"/>
      <c r="Q69" s="94"/>
      <c r="R69" s="93"/>
      <c r="S69" s="85"/>
      <c r="U69" s="94"/>
      <c r="V69" s="93"/>
      <c r="W69" s="85"/>
      <c r="Y69" s="94"/>
      <c r="Z69" s="93"/>
      <c r="AA69" s="85"/>
      <c r="AC69" s="94"/>
      <c r="AD69" s="93"/>
      <c r="AE69" s="85"/>
    </row>
    <row r="70" spans="7:31" ht="14.5" customHeight="1" x14ac:dyDescent="0.35">
      <c r="G70" s="85"/>
      <c r="H70" s="87"/>
      <c r="I70" s="94"/>
      <c r="J70" s="93"/>
      <c r="K70" s="85"/>
      <c r="M70" s="94"/>
      <c r="N70" s="93"/>
      <c r="O70" s="85"/>
      <c r="Q70" s="94"/>
      <c r="R70" s="93"/>
      <c r="S70" s="85"/>
      <c r="U70" s="94"/>
      <c r="V70" s="93"/>
      <c r="W70" s="85"/>
      <c r="Y70" s="94"/>
      <c r="Z70" s="93"/>
      <c r="AA70" s="85"/>
      <c r="AC70" s="94"/>
      <c r="AD70" s="93"/>
      <c r="AE70" s="85"/>
    </row>
    <row r="71" spans="7:31" ht="14.5" customHeight="1" x14ac:dyDescent="0.35">
      <c r="G71" s="85"/>
      <c r="H71" s="87"/>
      <c r="I71" s="94"/>
      <c r="J71" s="93"/>
      <c r="K71" s="85"/>
      <c r="M71" s="94"/>
      <c r="N71" s="93"/>
      <c r="O71" s="85"/>
      <c r="Q71" s="94"/>
      <c r="R71" s="93"/>
      <c r="S71" s="85"/>
      <c r="U71" s="94"/>
      <c r="V71" s="93"/>
      <c r="W71" s="85"/>
      <c r="Y71" s="94"/>
      <c r="Z71" s="93"/>
      <c r="AA71" s="85"/>
      <c r="AC71" s="94"/>
      <c r="AD71" s="93"/>
      <c r="AE71" s="85"/>
    </row>
    <row r="72" spans="7:31" ht="14.5" customHeight="1" x14ac:dyDescent="0.35">
      <c r="G72" s="85"/>
      <c r="H72" s="87"/>
      <c r="I72" s="94"/>
      <c r="J72" s="93"/>
      <c r="K72" s="85"/>
      <c r="M72" s="94"/>
      <c r="N72" s="93"/>
      <c r="O72" s="85"/>
      <c r="Q72" s="94"/>
      <c r="R72" s="93"/>
      <c r="S72" s="85"/>
      <c r="U72" s="94"/>
      <c r="V72" s="93"/>
      <c r="W72" s="85"/>
      <c r="Y72" s="94"/>
      <c r="Z72" s="93"/>
      <c r="AA72" s="85"/>
      <c r="AC72" s="94"/>
      <c r="AD72" s="93"/>
      <c r="AE72" s="85"/>
    </row>
    <row r="73" spans="7:31" ht="14.5" customHeight="1" x14ac:dyDescent="0.35">
      <c r="G73" s="85"/>
      <c r="H73" s="87"/>
      <c r="I73" s="94"/>
      <c r="J73" s="93"/>
      <c r="K73" s="85"/>
      <c r="M73" s="94"/>
      <c r="N73" s="93"/>
      <c r="O73" s="85"/>
      <c r="Q73" s="94"/>
      <c r="R73" s="93"/>
      <c r="S73" s="85"/>
      <c r="U73" s="94"/>
      <c r="V73" s="93"/>
      <c r="W73" s="85"/>
      <c r="Y73" s="94"/>
      <c r="Z73" s="93"/>
      <c r="AA73" s="85"/>
      <c r="AC73" s="94"/>
      <c r="AD73" s="93"/>
      <c r="AE73" s="85"/>
    </row>
    <row r="74" spans="7:31" ht="14.5" customHeight="1" x14ac:dyDescent="0.35">
      <c r="G74" s="85"/>
      <c r="H74" s="87"/>
      <c r="I74" s="94"/>
      <c r="J74" s="93"/>
      <c r="K74" s="85"/>
      <c r="M74" s="94"/>
      <c r="N74" s="93"/>
      <c r="O74" s="85"/>
      <c r="Q74" s="94"/>
      <c r="R74" s="93"/>
      <c r="S74" s="85"/>
      <c r="U74" s="94"/>
      <c r="V74" s="93"/>
      <c r="W74" s="85"/>
      <c r="Y74" s="94"/>
      <c r="Z74" s="93"/>
      <c r="AA74" s="85"/>
      <c r="AC74" s="94"/>
      <c r="AD74" s="93"/>
      <c r="AE74" s="85"/>
    </row>
    <row r="75" spans="7:31" ht="14.5" customHeight="1" x14ac:dyDescent="0.35">
      <c r="G75" s="85"/>
      <c r="H75" s="87"/>
      <c r="I75" s="94"/>
      <c r="J75" s="93"/>
      <c r="K75" s="85"/>
      <c r="M75" s="94"/>
      <c r="N75" s="93"/>
      <c r="O75" s="85"/>
      <c r="Q75" s="94"/>
      <c r="R75" s="93"/>
      <c r="S75" s="85"/>
      <c r="U75" s="94"/>
      <c r="V75" s="93"/>
      <c r="W75" s="85"/>
      <c r="Y75" s="94"/>
      <c r="Z75" s="93"/>
      <c r="AA75" s="85"/>
      <c r="AC75" s="94"/>
      <c r="AD75" s="93"/>
      <c r="AE75" s="85"/>
    </row>
    <row r="76" spans="7:31" ht="14.5" customHeight="1" x14ac:dyDescent="0.35">
      <c r="G76" s="85"/>
      <c r="H76" s="87"/>
      <c r="I76" s="94"/>
      <c r="J76" s="93"/>
      <c r="K76" s="85"/>
      <c r="M76" s="94"/>
      <c r="N76" s="93"/>
      <c r="O76" s="85"/>
      <c r="Q76" s="94"/>
      <c r="R76" s="93"/>
      <c r="S76" s="85"/>
      <c r="U76" s="94"/>
      <c r="V76" s="93"/>
      <c r="W76" s="85"/>
      <c r="Y76" s="94"/>
      <c r="Z76" s="93"/>
      <c r="AA76" s="85"/>
      <c r="AC76" s="94"/>
      <c r="AD76" s="93"/>
      <c r="AE76" s="85"/>
    </row>
    <row r="77" spans="7:31" ht="14.5" customHeight="1" x14ac:dyDescent="0.35">
      <c r="G77" s="85"/>
      <c r="H77" s="87"/>
      <c r="I77" s="94"/>
      <c r="J77" s="93"/>
      <c r="K77" s="85"/>
      <c r="M77" s="94"/>
      <c r="N77" s="93"/>
      <c r="O77" s="85"/>
      <c r="Q77" s="94"/>
      <c r="R77" s="93"/>
      <c r="S77" s="85"/>
      <c r="U77" s="94"/>
      <c r="V77" s="93"/>
      <c r="W77" s="85"/>
      <c r="Y77" s="94"/>
      <c r="Z77" s="93"/>
      <c r="AA77" s="85"/>
      <c r="AC77" s="94"/>
      <c r="AD77" s="93"/>
      <c r="AE77" s="85"/>
    </row>
    <row r="78" spans="7:31" ht="14.5" customHeight="1" x14ac:dyDescent="0.35">
      <c r="G78" s="85"/>
      <c r="H78" s="87"/>
      <c r="I78" s="94"/>
      <c r="J78" s="93"/>
      <c r="K78" s="85"/>
      <c r="M78" s="94"/>
      <c r="N78" s="93"/>
      <c r="O78" s="85"/>
      <c r="Q78" s="94"/>
      <c r="R78" s="93"/>
      <c r="S78" s="85"/>
      <c r="U78" s="94"/>
      <c r="V78" s="93"/>
      <c r="W78" s="85"/>
      <c r="Y78" s="94"/>
      <c r="Z78" s="93"/>
      <c r="AA78" s="85"/>
      <c r="AC78" s="94"/>
      <c r="AD78" s="93"/>
      <c r="AE78" s="85"/>
    </row>
    <row r="79" spans="7:31" ht="14.5" customHeight="1" x14ac:dyDescent="0.35">
      <c r="G79" s="85"/>
      <c r="H79" s="87"/>
      <c r="I79" s="94"/>
      <c r="J79" s="93"/>
      <c r="K79" s="85"/>
      <c r="M79" s="94"/>
      <c r="N79" s="93"/>
      <c r="O79" s="85"/>
      <c r="Q79" s="94"/>
      <c r="R79" s="93"/>
      <c r="S79" s="85"/>
      <c r="U79" s="94"/>
      <c r="V79" s="93"/>
      <c r="W79" s="85"/>
      <c r="Y79" s="94"/>
      <c r="Z79" s="93"/>
      <c r="AA79" s="85"/>
      <c r="AC79" s="94"/>
      <c r="AD79" s="93"/>
      <c r="AE79" s="85"/>
    </row>
    <row r="80" spans="7:31" ht="14.5" customHeight="1" x14ac:dyDescent="0.35">
      <c r="G80" s="85"/>
      <c r="H80" s="87"/>
      <c r="I80" s="94"/>
      <c r="J80" s="93"/>
      <c r="K80" s="85"/>
      <c r="M80" s="94"/>
      <c r="N80" s="93"/>
      <c r="O80" s="85"/>
      <c r="Q80" s="94"/>
      <c r="R80" s="93"/>
      <c r="S80" s="85"/>
      <c r="U80" s="94"/>
      <c r="V80" s="93"/>
      <c r="W80" s="85"/>
      <c r="Y80" s="94"/>
      <c r="Z80" s="93"/>
      <c r="AA80" s="85"/>
      <c r="AC80" s="94"/>
      <c r="AD80" s="93"/>
      <c r="AE80" s="85"/>
    </row>
    <row r="81" spans="7:31" ht="14.5" customHeight="1" x14ac:dyDescent="0.35">
      <c r="G81" s="85"/>
      <c r="H81" s="87"/>
      <c r="I81" s="94"/>
      <c r="J81" s="93"/>
      <c r="K81" s="85"/>
      <c r="M81" s="94"/>
      <c r="N81" s="93"/>
      <c r="O81" s="85"/>
      <c r="Q81" s="94"/>
      <c r="R81" s="93"/>
      <c r="S81" s="85"/>
      <c r="U81" s="94"/>
      <c r="V81" s="93"/>
      <c r="W81" s="85"/>
      <c r="Y81" s="94"/>
      <c r="Z81" s="93"/>
      <c r="AA81" s="85"/>
      <c r="AC81" s="94"/>
      <c r="AD81" s="93"/>
      <c r="AE81" s="85"/>
    </row>
    <row r="82" spans="7:31" ht="14.5" customHeight="1" x14ac:dyDescent="0.35">
      <c r="G82" s="85"/>
      <c r="H82" s="87"/>
      <c r="I82" s="94"/>
      <c r="J82" s="93"/>
      <c r="K82" s="85"/>
      <c r="M82" s="94"/>
      <c r="N82" s="93"/>
      <c r="O82" s="85"/>
      <c r="Q82" s="94"/>
      <c r="R82" s="93"/>
      <c r="S82" s="85"/>
      <c r="U82" s="94"/>
      <c r="V82" s="93"/>
      <c r="W82" s="85"/>
      <c r="Y82" s="94"/>
      <c r="Z82" s="93"/>
      <c r="AA82" s="85"/>
      <c r="AC82" s="94"/>
      <c r="AD82" s="93"/>
      <c r="AE82" s="85"/>
    </row>
    <row r="83" spans="7:31" ht="14.5" customHeight="1" x14ac:dyDescent="0.35">
      <c r="G83" s="85"/>
      <c r="H83" s="87"/>
      <c r="I83" s="94"/>
      <c r="J83" s="93"/>
      <c r="K83" s="85"/>
      <c r="M83" s="94"/>
      <c r="N83" s="93"/>
      <c r="O83" s="85"/>
      <c r="Q83" s="94"/>
      <c r="R83" s="93"/>
      <c r="S83" s="85"/>
      <c r="U83" s="94"/>
      <c r="V83" s="93"/>
      <c r="W83" s="85"/>
      <c r="Y83" s="94"/>
      <c r="Z83" s="93"/>
      <c r="AA83" s="85"/>
      <c r="AC83" s="94"/>
      <c r="AD83" s="93"/>
      <c r="AE83" s="85"/>
    </row>
    <row r="84" spans="7:31" ht="14.5" customHeight="1" x14ac:dyDescent="0.35">
      <c r="G84" s="85"/>
      <c r="H84" s="87"/>
      <c r="I84" s="94"/>
      <c r="J84" s="93"/>
      <c r="K84" s="85"/>
      <c r="M84" s="94"/>
      <c r="N84" s="93"/>
      <c r="O84" s="85"/>
      <c r="Q84" s="94"/>
      <c r="R84" s="93"/>
      <c r="S84" s="85"/>
      <c r="U84" s="94"/>
      <c r="V84" s="93"/>
      <c r="W84" s="85"/>
      <c r="Y84" s="94"/>
      <c r="Z84" s="93"/>
      <c r="AA84" s="85"/>
      <c r="AC84" s="94"/>
      <c r="AD84" s="93"/>
      <c r="AE84" s="85"/>
    </row>
    <row r="85" spans="7:31" ht="14.5" customHeight="1" x14ac:dyDescent="0.35">
      <c r="G85" s="85"/>
      <c r="H85" s="87"/>
      <c r="I85" s="94"/>
      <c r="J85" s="93"/>
      <c r="K85" s="85"/>
      <c r="M85" s="94"/>
      <c r="N85" s="93"/>
      <c r="O85" s="85"/>
      <c r="Q85" s="94"/>
      <c r="R85" s="93"/>
      <c r="S85" s="85"/>
      <c r="U85" s="94"/>
      <c r="V85" s="93"/>
      <c r="W85" s="85"/>
      <c r="Y85" s="94"/>
      <c r="Z85" s="93"/>
      <c r="AA85" s="85"/>
      <c r="AC85" s="94"/>
      <c r="AD85" s="93"/>
      <c r="AE85" s="85"/>
    </row>
    <row r="86" spans="7:31" ht="14.5" customHeight="1" x14ac:dyDescent="0.35">
      <c r="G86" s="85"/>
      <c r="H86" s="87"/>
      <c r="I86" s="94"/>
      <c r="J86" s="93"/>
      <c r="K86" s="85"/>
      <c r="M86" s="94"/>
      <c r="N86" s="93"/>
      <c r="O86" s="85"/>
      <c r="Q86" s="94"/>
      <c r="R86" s="93"/>
      <c r="S86" s="85"/>
      <c r="U86" s="94"/>
      <c r="V86" s="93"/>
      <c r="W86" s="85"/>
      <c r="Y86" s="94"/>
      <c r="Z86" s="93"/>
      <c r="AA86" s="85"/>
      <c r="AC86" s="94"/>
      <c r="AD86" s="93"/>
      <c r="AE86" s="85"/>
    </row>
    <row r="87" spans="7:31" ht="14.5" customHeight="1" x14ac:dyDescent="0.35">
      <c r="G87" s="85"/>
      <c r="H87" s="87"/>
      <c r="I87" s="94"/>
      <c r="J87" s="93"/>
      <c r="K87" s="85"/>
      <c r="M87" s="94"/>
      <c r="N87" s="93"/>
      <c r="O87" s="85"/>
      <c r="Q87" s="94"/>
      <c r="R87" s="93"/>
      <c r="S87" s="85"/>
      <c r="U87" s="94"/>
      <c r="V87" s="93"/>
      <c r="W87" s="85"/>
      <c r="Y87" s="94"/>
      <c r="Z87" s="93"/>
      <c r="AA87" s="85"/>
      <c r="AC87" s="94"/>
      <c r="AD87" s="93"/>
      <c r="AE87" s="85"/>
    </row>
    <row r="88" spans="7:31" ht="14.5" customHeight="1" x14ac:dyDescent="0.35">
      <c r="G88" s="85"/>
      <c r="H88" s="87"/>
      <c r="I88" s="94"/>
      <c r="J88" s="93"/>
      <c r="K88" s="85"/>
      <c r="M88" s="94"/>
      <c r="N88" s="93"/>
      <c r="O88" s="85"/>
      <c r="Q88" s="94"/>
      <c r="R88" s="93"/>
      <c r="S88" s="85"/>
      <c r="U88" s="94"/>
      <c r="V88" s="93"/>
      <c r="W88" s="85"/>
      <c r="Y88" s="94"/>
      <c r="Z88" s="93"/>
      <c r="AA88" s="85"/>
      <c r="AC88" s="94"/>
      <c r="AD88" s="93"/>
      <c r="AE88" s="85"/>
    </row>
    <row r="89" spans="7:31" ht="14.5" customHeight="1" x14ac:dyDescent="0.35">
      <c r="G89" s="85"/>
      <c r="H89" s="87"/>
      <c r="I89" s="94"/>
      <c r="J89" s="93"/>
      <c r="K89" s="85"/>
      <c r="M89" s="94"/>
      <c r="N89" s="93"/>
      <c r="O89" s="85"/>
      <c r="Q89" s="94"/>
      <c r="R89" s="93"/>
      <c r="S89" s="85"/>
      <c r="U89" s="94"/>
      <c r="V89" s="93"/>
      <c r="W89" s="85"/>
      <c r="Y89" s="94"/>
      <c r="Z89" s="93"/>
      <c r="AA89" s="85"/>
      <c r="AC89" s="94"/>
      <c r="AD89" s="93"/>
      <c r="AE89" s="85"/>
    </row>
    <row r="90" spans="7:31" ht="14.5" customHeight="1" x14ac:dyDescent="0.35">
      <c r="G90" s="85"/>
      <c r="H90" s="87"/>
      <c r="I90" s="94"/>
      <c r="J90" s="93"/>
      <c r="K90" s="85"/>
      <c r="M90" s="94"/>
      <c r="N90" s="93"/>
      <c r="O90" s="85"/>
      <c r="Q90" s="94"/>
      <c r="R90" s="93"/>
      <c r="S90" s="85"/>
      <c r="U90" s="94"/>
      <c r="V90" s="93"/>
      <c r="W90" s="85"/>
      <c r="Y90" s="94"/>
      <c r="Z90" s="93"/>
      <c r="AA90" s="85"/>
      <c r="AC90" s="94"/>
      <c r="AD90" s="93"/>
      <c r="AE90" s="85"/>
    </row>
    <row r="91" spans="7:31" ht="14.5" customHeight="1" x14ac:dyDescent="0.35">
      <c r="G91" s="85"/>
      <c r="H91" s="87"/>
      <c r="I91" s="94"/>
      <c r="J91" s="93"/>
      <c r="K91" s="85"/>
      <c r="M91" s="94"/>
      <c r="N91" s="93"/>
      <c r="O91" s="85"/>
      <c r="Q91" s="94"/>
      <c r="R91" s="93"/>
      <c r="S91" s="85"/>
      <c r="U91" s="94"/>
      <c r="V91" s="93"/>
      <c r="W91" s="85"/>
      <c r="Y91" s="94"/>
      <c r="Z91" s="93"/>
      <c r="AA91" s="85"/>
      <c r="AC91" s="94"/>
      <c r="AD91" s="93"/>
      <c r="AE91" s="85"/>
    </row>
    <row r="92" spans="7:31" ht="14.5" customHeight="1" x14ac:dyDescent="0.35">
      <c r="G92" s="85"/>
      <c r="H92" s="87"/>
      <c r="I92" s="94"/>
      <c r="J92" s="93"/>
      <c r="K92" s="85"/>
      <c r="M92" s="94"/>
      <c r="N92" s="93"/>
      <c r="O92" s="85"/>
      <c r="Q92" s="94"/>
      <c r="R92" s="93"/>
      <c r="S92" s="85"/>
      <c r="U92" s="94"/>
      <c r="V92" s="93"/>
      <c r="W92" s="85"/>
      <c r="Y92" s="94"/>
      <c r="Z92" s="93"/>
      <c r="AA92" s="85"/>
      <c r="AC92" s="94"/>
      <c r="AD92" s="93"/>
      <c r="AE92" s="85"/>
    </row>
    <row r="93" spans="7:31" ht="14.5" customHeight="1" x14ac:dyDescent="0.35">
      <c r="G93" s="85"/>
      <c r="H93" s="87"/>
      <c r="I93" s="94"/>
      <c r="J93" s="93"/>
      <c r="K93" s="85"/>
      <c r="M93" s="94"/>
      <c r="N93" s="93"/>
      <c r="O93" s="85"/>
      <c r="Q93" s="94"/>
      <c r="R93" s="93"/>
      <c r="S93" s="85"/>
      <c r="U93" s="94"/>
      <c r="V93" s="93"/>
      <c r="W93" s="85"/>
      <c r="Y93" s="94"/>
      <c r="Z93" s="93"/>
      <c r="AA93" s="85"/>
      <c r="AC93" s="94"/>
      <c r="AD93" s="93"/>
      <c r="AE93" s="85"/>
    </row>
    <row r="94" spans="7:31" ht="14.5" customHeight="1" x14ac:dyDescent="0.35">
      <c r="G94" s="85"/>
      <c r="H94" s="87"/>
      <c r="I94" s="94"/>
      <c r="J94" s="93"/>
      <c r="K94" s="85"/>
      <c r="M94" s="94"/>
      <c r="N94" s="93"/>
      <c r="O94" s="85"/>
      <c r="Q94" s="94"/>
      <c r="R94" s="93"/>
      <c r="S94" s="85"/>
      <c r="U94" s="94"/>
      <c r="V94" s="93"/>
      <c r="W94" s="85"/>
      <c r="Y94" s="94"/>
      <c r="Z94" s="93"/>
      <c r="AA94" s="85"/>
      <c r="AC94" s="94"/>
      <c r="AD94" s="93"/>
      <c r="AE94" s="85"/>
    </row>
    <row r="95" spans="7:31" ht="14.5" customHeight="1" x14ac:dyDescent="0.35">
      <c r="G95" s="85"/>
      <c r="H95" s="87"/>
      <c r="I95" s="94"/>
      <c r="J95" s="93"/>
      <c r="K95" s="85"/>
      <c r="M95" s="94"/>
      <c r="N95" s="93"/>
      <c r="O95" s="85"/>
      <c r="Q95" s="94"/>
      <c r="R95" s="93"/>
      <c r="S95" s="85"/>
      <c r="U95" s="94"/>
      <c r="V95" s="93"/>
      <c r="W95" s="85"/>
      <c r="Y95" s="94"/>
      <c r="Z95" s="93"/>
      <c r="AA95" s="85"/>
      <c r="AC95" s="94"/>
      <c r="AD95" s="93"/>
      <c r="AE95" s="85"/>
    </row>
    <row r="96" spans="7:31" ht="14.5" customHeight="1" x14ac:dyDescent="0.35">
      <c r="G96" s="85"/>
      <c r="H96" s="87"/>
      <c r="I96" s="94"/>
      <c r="J96" s="93"/>
      <c r="K96" s="85"/>
      <c r="M96" s="94"/>
      <c r="N96" s="93"/>
      <c r="O96" s="85"/>
      <c r="Q96" s="94"/>
      <c r="R96" s="93"/>
      <c r="S96" s="85"/>
      <c r="U96" s="94"/>
      <c r="V96" s="93"/>
      <c r="W96" s="85"/>
      <c r="Y96" s="94"/>
      <c r="Z96" s="93"/>
      <c r="AA96" s="85"/>
      <c r="AC96" s="94"/>
      <c r="AD96" s="93"/>
      <c r="AE96" s="85"/>
    </row>
    <row r="97" spans="7:31" ht="14.5" customHeight="1" x14ac:dyDescent="0.35">
      <c r="G97" s="85"/>
      <c r="H97" s="87"/>
      <c r="I97" s="94"/>
      <c r="J97" s="93"/>
      <c r="K97" s="85"/>
      <c r="M97" s="94"/>
      <c r="N97" s="93"/>
      <c r="O97" s="85"/>
      <c r="Q97" s="94"/>
      <c r="R97" s="93"/>
      <c r="S97" s="85"/>
      <c r="U97" s="94"/>
      <c r="V97" s="93"/>
      <c r="W97" s="85"/>
      <c r="Y97" s="94"/>
      <c r="Z97" s="93"/>
      <c r="AA97" s="85"/>
      <c r="AC97" s="94"/>
      <c r="AD97" s="93"/>
      <c r="AE97" s="85"/>
    </row>
    <row r="98" spans="7:31" ht="14.5" customHeight="1" x14ac:dyDescent="0.35">
      <c r="G98" s="85"/>
      <c r="H98" s="87"/>
      <c r="I98" s="94"/>
      <c r="J98" s="93"/>
      <c r="K98" s="85"/>
      <c r="M98" s="94"/>
      <c r="N98" s="93"/>
      <c r="O98" s="85"/>
      <c r="Q98" s="94"/>
      <c r="R98" s="93"/>
      <c r="S98" s="85"/>
      <c r="U98" s="94"/>
      <c r="V98" s="93"/>
      <c r="W98" s="85"/>
      <c r="Y98" s="94"/>
      <c r="Z98" s="93"/>
      <c r="AA98" s="85"/>
      <c r="AC98" s="94"/>
      <c r="AD98" s="93"/>
      <c r="AE98" s="85"/>
    </row>
    <row r="99" spans="7:31" ht="14.5" customHeight="1" x14ac:dyDescent="0.35">
      <c r="G99" s="85"/>
      <c r="H99" s="87"/>
      <c r="I99" s="94"/>
      <c r="J99" s="93"/>
      <c r="K99" s="85"/>
      <c r="M99" s="94"/>
      <c r="N99" s="93"/>
      <c r="O99" s="85"/>
      <c r="Q99" s="94"/>
      <c r="R99" s="93"/>
      <c r="S99" s="85"/>
      <c r="U99" s="94"/>
      <c r="V99" s="93"/>
      <c r="W99" s="85"/>
      <c r="Y99" s="94"/>
      <c r="Z99" s="93"/>
      <c r="AA99" s="85"/>
      <c r="AC99" s="94"/>
      <c r="AD99" s="93"/>
      <c r="AE99" s="85"/>
    </row>
    <row r="100" spans="7:31" ht="14.5" customHeight="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ht="14.5" customHeight="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ht="14.5" customHeight="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ht="14.5" customHeight="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ht="14.5" customHeight="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ht="14.5" customHeight="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ht="14.5" customHeight="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ht="14.5" customHeight="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ht="14.5" customHeight="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ht="14.5" customHeight="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ht="14.5" customHeight="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ht="14.5" customHeight="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ht="14.5" customHeight="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ht="14.5" customHeight="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ht="14.5" customHeight="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ht="14.5" customHeight="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ht="14.5" customHeight="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ht="14.5" customHeight="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ht="14.5" customHeight="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ht="14.5" customHeight="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ht="14.5" customHeight="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ht="14.5" customHeight="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ht="14.5" customHeight="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ht="14.5" customHeight="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ht="14.5" customHeight="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ht="14.5" customHeight="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ht="14.5" customHeight="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ht="14.5" customHeight="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ht="14.5" customHeight="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ht="14.5" customHeight="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ht="14.5" customHeight="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ht="14.5" customHeight="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ht="14.5" customHeight="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ht="14.5" customHeight="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ht="14.5" customHeight="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ht="14.5" customHeight="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ht="14.5" customHeight="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ht="14.5" customHeight="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ht="14.5" customHeight="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ht="14.5" customHeight="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ht="14.5" customHeight="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ht="14.5" customHeight="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ht="14.5" customHeight="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ht="14.5" customHeight="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ht="14.5" customHeight="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ht="14.5" customHeight="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ht="14.5" customHeight="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ht="14.5" customHeight="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ht="14.5" customHeight="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ht="14.5" customHeight="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ht="14.5" customHeight="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ht="14.5" customHeight="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ht="14.5" customHeight="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ht="14.5" customHeight="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ht="14.5" customHeight="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ht="14.5" customHeight="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ht="14.5" customHeight="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ht="14.5" customHeight="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ht="14.5" customHeight="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ht="14.5" customHeight="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ht="14.5" customHeight="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ht="14.5" customHeight="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ht="14.5" customHeight="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ht="14.5" customHeight="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ht="14.5" customHeight="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ht="14.5" customHeight="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ht="14.5" customHeight="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ht="14.5" customHeight="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ht="14.5" customHeight="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ht="14.5" customHeight="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ht="14.5" customHeight="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ht="14.5" customHeight="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ht="14.5" customHeight="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ht="14.5" customHeight="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ht="14.5" customHeight="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ht="14.5" customHeight="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ht="14.5" customHeight="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ht="14.5" customHeight="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ht="14.5" customHeight="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ht="14.5" customHeight="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ht="14.5" customHeight="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ht="14.5" customHeight="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ht="14.5" customHeight="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ht="14.5" customHeight="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ht="14.5" customHeight="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ht="14.5" customHeight="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ht="14.5" customHeight="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ht="14.5" customHeight="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ht="14.5" customHeight="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ht="14.5" customHeight="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ht="14.5" customHeight="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ht="14.5" customHeight="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ht="14.5" customHeight="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ht="14.5" customHeight="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ht="14.5" customHeight="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ht="14.5" customHeight="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ht="14.5" customHeight="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ht="14.5" customHeight="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ht="14.5" customHeight="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ht="14.5" customHeight="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ht="14.5" customHeight="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ht="14.5" customHeight="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ht="14.5" customHeight="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ht="14.5" customHeight="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ht="14.5" customHeight="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ht="14.5" customHeight="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ht="14.5" customHeight="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ht="14.5" customHeight="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ht="14.5" customHeight="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ht="14.5" customHeight="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ht="14.5" customHeight="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ht="14.5" customHeight="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ht="14.5" customHeight="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ht="14.5" customHeight="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ht="14.5" customHeight="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ht="14.5" customHeight="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ht="14.5" customHeight="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ht="14.5" customHeight="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ht="14.5" customHeight="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ht="14.5" customHeight="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ht="14.5" customHeight="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ht="14.5" customHeight="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ht="14.5" customHeight="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ht="14.5" customHeight="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ht="14.5" customHeight="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ht="14.5" customHeight="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ht="14.5" customHeight="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ht="14.5" customHeight="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ht="14.5" customHeight="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ht="14.5" customHeight="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ht="14.5" customHeight="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ht="14.5" customHeight="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ht="14.5" customHeight="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ht="14.5" customHeight="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ht="14.5" customHeight="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ht="14.5" customHeight="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ht="14.5" customHeight="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ht="14.5" customHeight="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ht="14.5" customHeight="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ht="14.5" customHeight="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ht="14.5" customHeight="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ht="14.5" customHeight="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ht="14.5" customHeight="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ht="14.5" customHeight="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ht="14.5" customHeight="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ht="14.5" customHeight="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ht="14.5" customHeight="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ht="14.5" customHeight="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ht="14.5" customHeight="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ht="14.5" customHeight="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ht="14.5" customHeight="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ht="14.5" customHeight="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ht="14.5" customHeight="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ht="14.5" customHeight="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ht="14.5" customHeight="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ht="14.5" customHeight="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ht="14.5" customHeight="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ht="14.5" customHeight="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ht="14.5" customHeight="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ht="14.5" customHeight="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ht="14.5" customHeight="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ht="14.5" customHeight="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ht="14.5" customHeight="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ht="14.5" customHeight="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ht="14.5" customHeight="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ht="14.5" customHeight="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ht="14.5" customHeight="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ht="14.5" customHeight="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ht="14.5" customHeight="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ht="14.5" customHeight="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ht="14.5" customHeight="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ht="14.5" customHeight="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ht="14.5" customHeight="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ht="14.5" customHeight="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ht="14.5" customHeight="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ht="14.5" customHeight="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ht="14.5" customHeight="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ht="14.5" customHeight="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ht="14.5" customHeight="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ht="14.5" customHeight="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ht="14.5" customHeight="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ht="14.5" customHeight="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ht="14.5" customHeight="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ht="14.5" customHeight="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ht="14.5" customHeight="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ht="14.5" customHeight="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ht="14.5" customHeight="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ht="14.5" customHeight="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ht="14.5" customHeight="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ht="14.5" customHeight="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ht="14.5" customHeight="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ht="14.5" customHeight="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ht="14.5" customHeight="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ht="14.5" customHeight="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ht="14.5" customHeight="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ht="14.5" customHeight="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ht="14.5" customHeight="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ht="14.5" customHeight="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ht="14.5" customHeight="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ht="14.5" customHeight="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ht="14.5" customHeight="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ht="14.5" customHeight="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ht="14.5" customHeight="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ht="14.5" customHeight="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ht="14.5" customHeight="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ht="14.5" customHeight="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ht="14.5" customHeight="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ht="14.5" customHeight="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ht="14.5" customHeight="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ht="14.5" customHeight="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ht="14.5" customHeight="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ht="14.5" customHeight="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ht="14.5" customHeight="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ht="14.5" customHeight="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ht="14.5" customHeight="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ht="14.5" customHeight="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ht="14.5" customHeight="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ht="14.5" customHeight="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ht="14.5" customHeight="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ht="14.5" customHeight="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ht="14.5" customHeight="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ht="14.5" customHeight="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ht="14.5" customHeight="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ht="14.5" customHeight="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ht="14.5" customHeight="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ht="14.5" customHeight="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ht="14.5" customHeight="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ht="14.5" customHeight="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ht="14.5" customHeight="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ht="14.5" customHeight="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ht="14.5" customHeight="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ht="14.5" customHeight="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ht="14.5" customHeight="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ht="14.5" customHeight="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ht="14.5" customHeight="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ht="14.5" customHeight="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ht="14.5" customHeight="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ht="14.5" customHeight="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ht="14.5" customHeight="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ht="14.5" customHeight="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ht="14.5" customHeight="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ht="14.5" customHeight="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ht="14.5" customHeight="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ht="14.5" customHeight="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ht="14.5" customHeight="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ht="14.5" customHeight="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ht="14.5" customHeight="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ht="14.5" customHeight="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ht="14.5" customHeight="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ht="14.5" customHeight="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ht="14.5" customHeight="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ht="14.5" customHeight="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ht="14.5" customHeight="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ht="14.5" customHeight="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ht="14.5" customHeight="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ht="14.5" customHeight="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ht="14.5" customHeight="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ht="14.5" customHeight="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ht="14.5" customHeight="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ht="14.5" customHeight="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ht="14.5" customHeight="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ht="14.5" customHeight="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ht="14.5" customHeight="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ht="14.5" customHeight="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ht="14.5" customHeight="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ht="14.5" customHeight="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ht="14.5" customHeight="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ht="14.5" customHeight="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ht="14.5" customHeight="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ht="14.5" customHeight="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ht="14.5" customHeight="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ht="14.5" customHeight="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ht="14.5" customHeight="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ht="14.5" customHeight="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ht="14.5" customHeight="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ht="14.5" customHeight="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ht="14.5" customHeight="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ht="14.5" customHeight="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ht="14.5" customHeight="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ht="14.5" customHeight="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ht="14.5" customHeight="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ht="14.5" customHeight="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ht="14.5" customHeight="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ht="14.5" customHeight="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ht="14.5" customHeight="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ht="14.5" customHeight="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ht="14.5" customHeight="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ht="14.5" customHeight="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ht="14.5" customHeight="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ht="14.5" customHeight="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ht="14.5" customHeight="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ht="14.5" customHeight="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ht="14.5" customHeight="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ht="14.5" customHeight="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ht="14.5" customHeight="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ht="14.5" customHeight="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ht="14.5" customHeight="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ht="14.5" customHeight="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ht="14.5" customHeight="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ht="14.5" customHeight="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ht="14.5" customHeight="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ht="14.5" customHeight="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ht="14.5" customHeight="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ht="14.5" customHeight="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ht="14.5" customHeight="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ht="14.5" customHeight="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ht="14.5" customHeight="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ht="14.5" customHeight="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ht="14.5" customHeight="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ht="14.5" customHeight="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ht="14.5" customHeight="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ht="14.5" customHeight="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ht="14.5" customHeight="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ht="14.5" customHeight="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ht="14.5" customHeight="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ht="14.5" customHeight="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ht="14.5" customHeight="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ht="14.5" customHeight="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ht="14.5" customHeight="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ht="14.5" customHeight="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ht="14.5" customHeight="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ht="14.5" customHeight="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ht="14.5" customHeight="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ht="14.5" customHeight="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ht="14.5" customHeight="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ht="14.5" customHeight="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ht="14.5" customHeight="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ht="14.5" customHeight="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ht="14.5" customHeight="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ht="14.5" customHeight="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ht="14.5" customHeight="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ht="14.5" customHeight="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ht="14.5" customHeight="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ht="14.5" customHeight="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ht="14.5" customHeight="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ht="14.5" customHeight="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ht="14.5" customHeight="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ht="14.5" customHeight="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ht="14.5" customHeight="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ht="14.5" customHeight="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ht="14.5" customHeight="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ht="14.5" customHeight="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ht="14.5" customHeight="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ht="14.5" customHeight="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ht="14.5" customHeight="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ht="14.5" customHeight="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ht="14.5" customHeight="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ht="14.5" customHeight="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ht="14.5" customHeight="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ht="14.5" customHeight="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ht="14.5" customHeight="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ht="14.5" customHeight="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ht="14.5" customHeight="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ht="14.5" customHeight="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ht="14.5" customHeight="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ht="14.5" customHeight="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ht="14.5" customHeight="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ht="14.5" customHeight="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ht="14.5" customHeight="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ht="14.5" customHeight="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ht="14.5" customHeight="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ht="14.5" customHeight="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ht="14.5" customHeight="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ht="14.5" customHeight="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ht="14.5" customHeight="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ht="14.5" customHeight="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ht="14.5" customHeight="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ht="14.5" customHeight="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ht="14.5" customHeight="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ht="14.5" customHeight="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ht="14.5" customHeight="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ht="14.5" customHeight="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ht="14.5" customHeight="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ht="14.5" customHeight="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ht="14.5" customHeight="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ht="14.5" customHeight="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ht="14.5" customHeight="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ht="14.5" customHeight="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ht="14.5" customHeight="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ht="14.5" customHeight="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ht="14.5" customHeight="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ht="14.5" customHeight="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ht="14.5" customHeight="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ht="14.5" customHeight="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ht="14.5" customHeight="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ht="14.5" customHeight="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ht="14.5" customHeight="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ht="14.5" customHeight="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ht="14.5" customHeight="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ht="14.5" customHeight="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ht="14.5" customHeight="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ht="14.5" customHeight="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ht="14.5" customHeight="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ht="14.5" customHeight="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ht="14.5" customHeight="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ht="14.5" customHeight="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ht="14.5" customHeight="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ht="14.5" customHeight="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ht="14.5" customHeight="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ht="14.5" customHeight="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ht="14.5" customHeight="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ht="14.5" customHeight="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ht="14.5" customHeight="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ht="14.5" customHeight="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ht="14.5" customHeight="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ht="14.5" customHeight="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ht="14.5" customHeight="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ht="14.5" customHeight="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ht="14.5" customHeight="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ht="14.5" customHeight="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ht="14.5" customHeight="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ht="14.5" customHeight="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ht="14.5" customHeight="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ht="14.5" customHeight="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ht="14.5" customHeight="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ht="14.5" customHeight="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ht="14.5" customHeight="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ht="14.5" customHeight="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ht="14.5" customHeight="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ht="14.5" customHeight="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ht="14.5" customHeight="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ht="14.5" customHeight="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ht="14.5" customHeight="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ht="14.5" customHeight="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ht="14.5" customHeight="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ht="14.5" customHeight="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ht="14.5" customHeight="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ht="14.5" customHeight="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ht="14.5" customHeight="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ht="14.5" customHeight="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ht="14.5" customHeight="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ht="14.5" customHeight="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ht="14.5" customHeight="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ht="14.5" customHeight="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ht="14.5" customHeight="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ht="14.5" customHeight="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ht="14.5" customHeight="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ht="14.5" customHeight="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ht="14.5" customHeight="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ht="14.5" customHeight="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ht="14.5" customHeight="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ht="14.5" customHeight="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ht="14.5" customHeight="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ht="14.5" customHeight="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ht="14.5" customHeight="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ht="14.5" customHeight="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ht="14.5" customHeight="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ht="14.5" customHeight="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ht="14.5" customHeight="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ht="14.5" customHeight="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ht="14.5" customHeight="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ht="14.5" customHeight="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ht="14.5" customHeight="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ht="14.5" customHeight="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ht="14.5" customHeight="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ht="14.5" customHeight="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ht="14.5" customHeight="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ht="14.5" customHeight="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ht="14.5" customHeight="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ht="14.5" customHeight="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ht="14.5" customHeight="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ht="14.5" customHeight="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ht="14.5" customHeight="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ht="14.5" customHeight="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ht="14.5" customHeight="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ht="14.5" customHeight="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ht="14.5" customHeight="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ht="14.5" customHeight="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ht="14.5" customHeight="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ht="14.5" customHeight="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ht="14.5" customHeight="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ht="14.5" customHeight="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ht="14.5" customHeight="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ht="14.5" customHeight="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ht="14.5" customHeight="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ht="14.5" customHeight="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ht="14.5" customHeight="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ht="14.5" customHeight="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ht="14.5" customHeight="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ht="14.5" customHeight="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ht="14.5" customHeight="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ht="14.5" customHeight="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ht="14.5" customHeight="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ht="14.5" customHeight="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ht="14.5" customHeight="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ht="14.5" customHeight="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ht="14.5" customHeight="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ht="14.5" customHeight="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ht="14.5" customHeight="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ht="14.5" customHeight="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ht="14.5" customHeight="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ht="14.5" customHeight="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ht="14.5" customHeight="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ht="14.5" customHeight="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ht="14.5" customHeight="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ht="14.5" customHeight="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ht="14.5" customHeight="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ht="14.5" customHeight="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ht="14.5" customHeight="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ht="14.5" customHeight="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ht="14.5" customHeight="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ht="14.5" customHeight="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ht="14.5" customHeight="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ht="14.5" customHeight="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ht="14.5" customHeight="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ht="14.5" customHeight="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ht="14.5" customHeight="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ht="14.5" customHeight="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ht="14.5" customHeight="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ht="14.5" customHeight="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ht="14.5" customHeight="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ht="14.5" customHeight="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ht="14.5" customHeight="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ht="14.5" customHeight="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ht="14.5" customHeight="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ht="14.5" customHeight="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ht="14.5" customHeight="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ht="14.5" customHeight="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ht="14.5" customHeight="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ht="14.5" customHeight="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ht="14.5" customHeight="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ht="14.5" customHeight="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ht="14.5" customHeight="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ht="14.5" customHeight="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ht="14.5" customHeight="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ht="14.5" customHeight="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ht="14.5" customHeight="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ht="14.5" customHeight="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ht="14.5" customHeight="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ht="14.5" customHeight="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ht="14.5" customHeight="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ht="14.5" customHeight="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ht="14.5" customHeight="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ht="14.5" customHeight="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ht="14.5" customHeight="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ht="14.5" customHeight="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ht="14.5" customHeight="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ht="14.5" customHeight="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ht="14.5" customHeight="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ht="14.5" customHeight="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ht="14.5" customHeight="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ht="14.5" customHeight="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ht="14.5" customHeight="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ht="14.5" customHeight="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ht="14.5" customHeight="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ht="14.5" customHeight="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ht="14.5" customHeight="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ht="14.5" customHeight="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ht="14.5" customHeight="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ht="14.5" customHeight="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ht="14.5" customHeight="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ht="14.5" customHeight="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ht="14.5" customHeight="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ht="14.5" customHeight="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ht="14.5" customHeight="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ht="14.5" customHeight="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ht="14.5" customHeight="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ht="14.5" customHeight="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ht="14.5" customHeight="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ht="14.5" customHeight="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ht="14.5" customHeight="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ht="14.5" customHeight="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ht="14.5" customHeight="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ht="14.5" customHeight="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ht="14.5" customHeight="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ht="14.5" customHeight="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ht="14.5" customHeight="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ht="14.5" customHeight="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ht="14.5" customHeight="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ht="14.5" customHeight="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ht="14.5" customHeight="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ht="14.5" customHeight="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ht="14.5" customHeight="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ht="14.5" customHeight="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ht="14.5" customHeight="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ht="14.5" customHeight="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ht="14.5" customHeight="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ht="14.5" customHeight="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ht="14.5" customHeight="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ht="14.5" customHeight="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ht="14.5" customHeight="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ht="14.5" customHeight="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ht="14.5" customHeight="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ht="14.5" customHeight="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ht="14.5" customHeight="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ht="14.5" customHeight="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ht="14.5" customHeight="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ht="14.5" customHeight="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ht="14.5" customHeight="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ht="14.5" customHeight="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ht="14.5" customHeight="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ht="14.5" customHeight="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ht="14.5" customHeight="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ht="14.5" customHeight="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ht="14.5" customHeight="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ht="14.5" customHeight="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ht="14.5" customHeight="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ht="14.5" customHeight="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ht="14.5" customHeight="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ht="14.5" customHeight="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ht="14.5" customHeight="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ht="14.5" customHeight="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ht="14.5" customHeight="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ht="14.5" customHeight="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ht="14.5" customHeight="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ht="14.5" customHeight="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ht="14.5" customHeight="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ht="14.5" customHeight="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ht="14.5" customHeight="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ht="14.5" customHeight="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ht="14.5" customHeight="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ht="14.5" customHeight="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ht="14.5" customHeight="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ht="14.5" customHeight="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ht="14.5" customHeight="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ht="14.5" customHeight="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ht="14.5" customHeight="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ht="14.5" customHeight="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ht="14.5" customHeight="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ht="14.5" customHeight="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ht="14.5" customHeight="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ht="14.5" customHeight="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ht="14.5" customHeight="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ht="14.5" customHeight="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ht="14.5" customHeight="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ht="14.5" customHeight="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ht="14.5" customHeight="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ht="14.5" customHeight="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ht="14.5" customHeight="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ht="14.5" customHeight="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ht="14.5" customHeight="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ht="14.5" customHeight="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ht="14.5" customHeight="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ht="14.5" customHeight="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ht="14.5" customHeight="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ht="14.5" customHeight="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ht="14.5" customHeight="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ht="14.5" customHeight="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ht="14.5" customHeight="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ht="14.5" customHeight="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ht="14.5" customHeight="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ht="14.5" customHeight="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ht="14.5" customHeight="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ht="14.5" customHeight="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ht="14.5" customHeight="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ht="14.5" customHeight="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ht="14.5" customHeight="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ht="14.5" customHeight="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ht="14.5" customHeight="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ht="14.5" customHeight="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ht="14.5" customHeight="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ht="14.5" customHeight="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ht="14.5" customHeight="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ht="14.5" customHeight="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ht="14.5" customHeight="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ht="14.5" customHeight="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ht="14.5" customHeight="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ht="14.5" customHeight="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ht="14.5" customHeight="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ht="14.5" customHeight="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ht="14.5" customHeight="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ht="14.5" customHeight="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ht="14.5" customHeight="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ht="14.5" customHeight="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ht="14.5" customHeight="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ht="14.5" customHeight="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ht="14.5" customHeight="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ht="14.5" customHeight="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ht="14.5" customHeight="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ht="14.5" customHeight="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ht="14.5" customHeight="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ht="14.5" customHeight="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ht="14.5" customHeight="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ht="14.5" customHeight="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ht="14.5" customHeight="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ht="14.5" customHeight="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ht="14.5" customHeight="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ht="14.5" customHeight="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ht="14.5" customHeight="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ht="14.5" customHeight="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ht="14.5" customHeight="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ht="14.5" customHeight="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ht="14.5" customHeight="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ht="14.5" customHeight="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ht="14.5" customHeight="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ht="14.5" customHeight="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ht="14.5" customHeight="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ht="14.5" customHeight="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ht="14.5" customHeight="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ht="14.5" customHeight="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ht="14.5" customHeight="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ht="14.5" customHeight="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ht="14.5" customHeight="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ht="14.5" customHeight="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ht="14.5" customHeight="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ht="14.5" customHeight="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ht="14.5" customHeight="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ht="14.5" customHeight="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ht="14.5" customHeight="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ht="14.5" customHeight="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ht="14.5" customHeight="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ht="14.5" customHeight="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ht="14.5" customHeight="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ht="14.5" customHeight="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ht="14.5" customHeight="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ht="14.5" customHeight="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ht="14.5" customHeight="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ht="14.5" customHeight="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ht="14.5" customHeight="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ht="14.5" customHeight="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ht="14.5" customHeight="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ht="14.5" customHeight="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ht="14.5" customHeight="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ht="14.5" customHeight="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ht="14.5" customHeight="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ht="14.5" customHeight="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ht="14.5" customHeight="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ht="14.5" customHeight="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ht="14.5" customHeight="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ht="14.5" customHeight="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ht="14.5" customHeight="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ht="14.5" customHeight="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ht="14.5" customHeight="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ht="14.5" customHeight="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ht="14.5" customHeight="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ht="14.5" customHeight="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ht="14.5" customHeight="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ht="14.5" customHeight="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ht="14.5" customHeight="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ht="14.5" customHeight="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ht="14.5" customHeight="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ht="14.5" customHeight="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ht="14.5" customHeight="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ht="14.5" customHeight="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ht="14.5" customHeight="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ht="14.5" customHeight="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ht="14.5" customHeight="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ht="14.5" customHeight="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ht="14.5" customHeight="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ht="14.5" customHeight="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ht="14.5" customHeight="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ht="14.5" customHeight="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ht="14.5" customHeight="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ht="14.5" customHeight="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ht="14.5" customHeight="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ht="14.5" customHeight="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ht="14.5" customHeight="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ht="14.5" customHeight="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ht="14.5" customHeight="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ht="14.5" customHeight="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ht="14.5" customHeight="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ht="14.5" customHeight="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ht="14.5" customHeight="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ht="14.5" customHeight="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ht="14.5" customHeight="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ht="14.5" customHeight="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ht="14.5" customHeight="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ht="14.5" customHeight="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ht="14.5" customHeight="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ht="14.5" customHeight="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ht="14.5" customHeight="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ht="14.5" customHeight="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ht="14.5" customHeight="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ht="14.5" customHeight="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ht="14.5" customHeight="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ht="14.5" customHeight="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ht="14.5" customHeight="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ht="14.5" customHeight="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ht="14.5" customHeight="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ht="14.5" customHeight="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ht="14.5" customHeight="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ht="14.5" customHeight="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ht="14.5" customHeight="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ht="14.5" customHeight="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ht="14.5" customHeight="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ht="14.5" customHeight="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ht="14.5" customHeight="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ht="14.5" customHeight="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ht="14.5" customHeight="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ht="14.5" customHeight="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ht="14.5" customHeight="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ht="14.5" customHeight="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ht="14.5" customHeight="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ht="14.5" customHeight="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ht="14.5" customHeight="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ht="14.5" customHeight="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ht="14.5" customHeight="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ht="14.5" customHeight="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ht="14.5" customHeight="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ht="14.5" customHeight="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ht="14.5" customHeight="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ht="14.5" customHeight="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ht="14.5" customHeight="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ht="14.5" customHeight="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ht="14.5" customHeight="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ht="14.5" customHeight="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ht="14.5" customHeight="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ht="14.5" customHeight="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ht="14.5" customHeight="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ht="14.5" customHeight="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ht="14.5" customHeight="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ht="14.5" customHeight="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ht="14.5" customHeight="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ht="14.5" customHeight="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ht="14.5" customHeight="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ht="14.5" customHeight="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ht="14.5" customHeight="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ht="14.5" customHeight="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ht="14.5" customHeight="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ht="14.5" customHeight="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ht="14.5" customHeight="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ht="14.5" customHeight="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ht="14.5" customHeight="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ht="14.5" customHeight="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ht="14.5" customHeight="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ht="14.5" customHeight="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ht="14.5" customHeight="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ht="14.5" customHeight="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ht="14.5" customHeight="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ht="14.5" customHeight="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ht="14.5" customHeight="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ht="14.5" customHeight="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ht="14.5" customHeight="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ht="14.5" customHeight="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ht="14.5" customHeight="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ht="14.5" customHeight="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ht="14.5" customHeight="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ht="14.5" customHeight="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ht="14.5" customHeight="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ht="14.5" customHeight="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ht="14.5" customHeight="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ht="14.5" customHeight="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ht="14.5" customHeight="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ht="14.5" customHeight="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ht="14.5" customHeight="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ht="14.5" customHeight="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ht="14.5" customHeight="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ht="14.5" customHeight="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ht="14.5" customHeight="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ht="14.5" customHeight="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ht="14.5" customHeight="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ht="14.5" customHeight="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ht="14.5" customHeight="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ht="14.5" customHeight="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ht="14.5" customHeight="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ht="14.5" customHeight="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ht="14.5" customHeight="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ht="14.5" customHeight="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ht="14.5" customHeight="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ht="14.5" customHeight="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ht="14.5" customHeight="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ht="14.5" customHeight="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ht="14.5" customHeight="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ht="14.5" customHeight="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ht="14.5" customHeight="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ht="14.5" customHeight="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ht="14.5" customHeight="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ht="14.5" customHeight="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ht="14.5" customHeight="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ht="14.5" customHeight="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ht="14.5" customHeight="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ht="14.5" customHeight="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ht="14.5" customHeight="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ht="14.5" customHeight="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ht="14.5" customHeight="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ht="14.5" customHeight="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ht="14.5" customHeight="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ht="14.5" customHeight="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ht="14.5" customHeight="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ht="14.5" customHeight="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ht="14.5" customHeight="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ht="14.5" customHeight="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ht="14.5" customHeight="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ht="14.5" customHeight="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ht="14.5" customHeight="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ht="14.5" customHeight="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ht="14.5" customHeight="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ht="14.5" customHeight="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ht="14.5" customHeight="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ht="14.5" customHeight="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ht="14.5" customHeight="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ht="14.5" customHeight="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ht="14.5" customHeight="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ht="14.5" customHeight="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ht="14.5" customHeight="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ht="14.5" customHeight="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ht="14.5" customHeight="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ht="14.5" customHeight="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ht="14.5" customHeight="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ht="14.5" customHeight="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ht="14.5" customHeight="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ht="14.5" customHeight="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ht="14.5" customHeight="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ht="14.5" customHeight="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ht="14.5" customHeight="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ht="14.5" customHeight="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ht="14.5" customHeight="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ht="14.5" customHeight="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ht="14.5" customHeight="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ht="14.5" customHeight="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ht="14.5" customHeight="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ht="14.5" customHeight="1" x14ac:dyDescent="0.35">
      <c r="G1001" s="85"/>
      <c r="H1001" s="87"/>
      <c r="M1001" s="94"/>
      <c r="N1001" s="93"/>
      <c r="O1001" s="85"/>
      <c r="Q1001" s="94"/>
      <c r="R1001" s="93"/>
      <c r="S1001" s="85"/>
      <c r="U1001" s="94"/>
      <c r="V1001" s="93"/>
      <c r="W1001" s="85"/>
      <c r="Y1001" s="94"/>
      <c r="Z1001" s="93"/>
      <c r="AA1001" s="85"/>
      <c r="AC1001" s="94"/>
      <c r="AD1001" s="93"/>
      <c r="AE1001" s="85"/>
    </row>
  </sheetData>
  <conditionalFormatting sqref="A1:AG1048576">
    <cfRule type="expression" dxfId="58" priority="1">
      <formula>$A4="Spend to Date"</formula>
    </cfRule>
    <cfRule type="expression" dxfId="57" priority="2">
      <formula>$A4="Spend to Date"</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G1000"/>
  <sheetViews>
    <sheetView zoomScaleNormal="100" workbookViewId="0">
      <pane xSplit="2" ySplit="1" topLeftCell="I3" activePane="bottomRight" state="frozen"/>
      <selection pane="topRight" activeCell="C1" sqref="C1"/>
      <selection pane="bottomLeft" activeCell="A2" sqref="A2"/>
      <selection pane="bottomRight" activeCell="N3" sqref="N3"/>
    </sheetView>
  </sheetViews>
  <sheetFormatPr defaultColWidth="8.81640625" defaultRowHeight="14.5" x14ac:dyDescent="0.35"/>
  <cols>
    <col min="1" max="1" width="27" style="86" customWidth="1"/>
    <col min="2" max="2" width="5.453125" style="85" bestFit="1" customWidth="1"/>
    <col min="3" max="3" width="5.453125" style="85" customWidth="1"/>
    <col min="4" max="4" width="10.453125" style="86" bestFit="1" customWidth="1"/>
    <col min="5" max="5" width="13.81640625" style="85" customWidth="1"/>
    <col min="6" max="6" width="19.54296875" style="87" customWidth="1"/>
    <col min="7" max="7" width="30.81640625" style="87" customWidth="1"/>
    <col min="8" max="8" width="13.453125" style="88" customWidth="1"/>
    <col min="9" max="9" width="24.54296875" style="89" customWidth="1"/>
    <col min="10" max="10" width="19.54296875" style="87" bestFit="1" customWidth="1"/>
    <col min="11" max="11" width="17.54296875" style="87" customWidth="1"/>
    <col min="12" max="12" width="29" style="87" customWidth="1"/>
    <col min="13" max="13" width="18.453125" style="89" customWidth="1"/>
    <col min="14" max="14" width="13.81640625" style="87" customWidth="1"/>
    <col min="15" max="15" width="11.54296875" style="87" bestFit="1" customWidth="1"/>
    <col min="16" max="16" width="27.542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132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283</v>
      </c>
      <c r="F2" s="87">
        <f>SUM(F3:F3)</f>
        <v>9674.31</v>
      </c>
      <c r="I2" s="89">
        <f>SUM(I3:I3)</f>
        <v>-19658</v>
      </c>
      <c r="J2" s="87">
        <f>SUM(J3:J3)</f>
        <v>0</v>
      </c>
      <c r="M2" s="89">
        <f>SUM(M3:M3)</f>
        <v>-15000</v>
      </c>
      <c r="N2" s="87">
        <f>SUM(N3:N3)</f>
        <v>0</v>
      </c>
      <c r="Q2" s="89">
        <f>SUM(Q3:Q3)</f>
        <v>0</v>
      </c>
      <c r="R2" s="87">
        <f>SUM(R3:R3)</f>
        <v>0</v>
      </c>
      <c r="U2" s="89">
        <f>SUM(U3:U3)</f>
        <v>0</v>
      </c>
      <c r="V2" s="87">
        <f>SUM(V3:V3)</f>
        <v>0</v>
      </c>
      <c r="Y2" s="89">
        <f>SUM(Y3:Y3)</f>
        <v>0</v>
      </c>
      <c r="Z2" s="87">
        <f>SUM(Z3:Z3)</f>
        <v>0</v>
      </c>
      <c r="AC2" s="89">
        <f>SUM(AC3:AC3)</f>
        <v>0</v>
      </c>
      <c r="AD2" s="87">
        <f>SUM(AD3:AD3)</f>
        <v>0</v>
      </c>
    </row>
    <row r="3" spans="1:33" ht="101.5" x14ac:dyDescent="0.35">
      <c r="A3" s="86" t="s">
        <v>135</v>
      </c>
      <c r="B3" s="85">
        <v>1</v>
      </c>
      <c r="D3" s="86">
        <v>20933</v>
      </c>
      <c r="E3" s="87">
        <f>10000+583-10300</f>
        <v>283</v>
      </c>
      <c r="F3" s="87">
        <f>SUMIFS(H$17:H$1003,E$17:E$1003,1)</f>
        <v>9674.31</v>
      </c>
      <c r="G3" s="87">
        <f>D3+E3-F3+SUMIFS(E$6:E$11,$C$6:$C$11,$A3)-SUMIFS(F$6:F$11,$C$6:$C$11,$A3)</f>
        <v>21253.690000000002</v>
      </c>
      <c r="H3" s="88" t="s">
        <v>1210</v>
      </c>
      <c r="I3" s="91">
        <f>583-20241</f>
        <v>-19658</v>
      </c>
      <c r="J3" s="87">
        <f>SUMIFS(L$17:L$1003,I$17:I$1003,1)</f>
        <v>0</v>
      </c>
      <c r="K3" s="87">
        <f>G3+I3-J3+SUMIFS(I$6:I$12,$C$6:$C$12,$A3)-SUMIFS(J$6:J$12,$C$6:$C$12,$A3)</f>
        <v>17360.61</v>
      </c>
      <c r="L3" s="84" t="s">
        <v>3009</v>
      </c>
      <c r="M3" s="89">
        <v>-15000</v>
      </c>
      <c r="N3" s="87">
        <f>SUMIFS(P$17:P$1003,M$17:M$1003,1)</f>
        <v>0</v>
      </c>
      <c r="O3" s="87">
        <f>K3+M3-N3+SUMIFS(M$6:M$12,$C$6:$C$12,$A3)-SUMIFS(N$6:N$12,$C$6:$C$12,$A3)</f>
        <v>19071.61</v>
      </c>
      <c r="R3" s="87">
        <f>SUMIFS(T$17:T$1003,Q$17:Q$1003,1)</f>
        <v>0</v>
      </c>
      <c r="S3" s="87">
        <f>O3+Q3-R3+SUMIFS(Q$6:Q$11,$C$6:$C$11,$A3)-SUMIFS(R$6:R$11,$C$6:$C$11,$A3)</f>
        <v>19071.61</v>
      </c>
      <c r="V3" s="87">
        <f>SUMIFS(X$17:X$1003,U$17:U$1003,1)</f>
        <v>0</v>
      </c>
      <c r="W3" s="87">
        <f>S3+U3-V3+SUMIFS(U$6:U$11,$C$6:$C$11,$A3)-SUMIFS(V$6:V$11,$C$6:$C$11,$A3)</f>
        <v>19071.61</v>
      </c>
      <c r="Z3" s="87">
        <f>SUMIFS(AB$17:AB$1003,Y$17:Y$1003,1)</f>
        <v>0</v>
      </c>
      <c r="AA3" s="87">
        <f>W3+Y3-Z3+SUMIFS(Y$6:Y$11,$C$6:$C$11,$A3)-SUMIFS(Z$6:Z$11,$C$6:$C$11,$A3)</f>
        <v>19071.61</v>
      </c>
      <c r="AD3" s="87">
        <f>SUMIFS(AF$17:AF$1003,AC$17:AC$1003,1)</f>
        <v>0</v>
      </c>
      <c r="AE3" s="87">
        <f>AA3+AC3-AD3+SUMIFS(AC$6:AC$11,$C$6:$C$11,$A3)-SUMIFS(AD$6:AD$11,$C$6:$C$11,$A3)</f>
        <v>19071.61</v>
      </c>
      <c r="AG3" s="87">
        <v>75000</v>
      </c>
    </row>
    <row r="4" spans="1:33" x14ac:dyDescent="0.35">
      <c r="E4" s="87"/>
    </row>
    <row r="5" spans="1:33" x14ac:dyDescent="0.35">
      <c r="A5" s="84" t="s">
        <v>134</v>
      </c>
      <c r="D5" s="84"/>
      <c r="E5" s="87">
        <f>SUM(E6:E11)</f>
        <v>10717</v>
      </c>
      <c r="F5" s="87">
        <f>SUM(F6:F11)</f>
        <v>1005</v>
      </c>
      <c r="I5" s="89">
        <f>SUM(I6:I11)</f>
        <v>29375</v>
      </c>
      <c r="J5" s="87">
        <f>SUM(J6:J11)</f>
        <v>13610.080000000002</v>
      </c>
      <c r="M5" s="89">
        <f>SUM(M6:M11)</f>
        <v>17241</v>
      </c>
      <c r="N5" s="87">
        <f>SUM(N6:N11)</f>
        <v>530</v>
      </c>
      <c r="Q5" s="89">
        <f>SUM(Q6:Q11)</f>
        <v>17758</v>
      </c>
      <c r="R5" s="87">
        <f>$Q$5</f>
        <v>17758</v>
      </c>
      <c r="U5" s="89">
        <f>SUM(U6:U11)</f>
        <v>18292</v>
      </c>
      <c r="V5" s="87">
        <f>$U$5</f>
        <v>18292</v>
      </c>
      <c r="Y5" s="89">
        <f>SUM(Y6:Y11)</f>
        <v>18841</v>
      </c>
      <c r="Z5" s="87">
        <f>$Y$5</f>
        <v>18841</v>
      </c>
      <c r="AC5" s="89">
        <f>SUM(AC6:AC11)</f>
        <v>19407</v>
      </c>
      <c r="AD5" s="87">
        <f>$AC$5</f>
        <v>19407</v>
      </c>
    </row>
    <row r="6" spans="1:33" ht="14.5" customHeight="1" x14ac:dyDescent="0.35">
      <c r="A6" s="86" t="s">
        <v>134</v>
      </c>
      <c r="B6" s="85">
        <v>2</v>
      </c>
      <c r="C6" s="84" t="s">
        <v>135</v>
      </c>
      <c r="D6" s="84"/>
      <c r="E6" s="87">
        <v>0</v>
      </c>
      <c r="F6" s="87">
        <f t="shared" ref="F6:F11" si="0">SUMIFS(H$17:H$1003,E$17:E$1003,$B6)</f>
        <v>0</v>
      </c>
      <c r="I6" s="89">
        <f>ROUNDUP((E6)*RPICurrent,0)</f>
        <v>0</v>
      </c>
      <c r="J6" s="87">
        <f t="shared" ref="J6:J11" si="1">SUMIFS(L$17:L$1003,I$17:I$1003,$B6)</f>
        <v>0</v>
      </c>
      <c r="M6" s="89">
        <f t="shared" ref="M6:M11" si="2">ROUNDUP((I6)*RPI,0)</f>
        <v>0</v>
      </c>
      <c r="N6" s="87">
        <f t="shared" ref="N6:N11" si="3">SUMIFS(P$17:P$1003,M$17:M$1003,$B6)</f>
        <v>0</v>
      </c>
      <c r="Q6" s="89">
        <f t="shared" ref="Q6:Q11" si="4">ROUNDUP((M6)*RPI,0)</f>
        <v>0</v>
      </c>
      <c r="R6" s="87">
        <f>$Q$6</f>
        <v>0</v>
      </c>
      <c r="U6" s="89">
        <f t="shared" ref="U6:U11" si="5">ROUNDUP((Q6)*RPI,0)</f>
        <v>0</v>
      </c>
      <c r="V6" s="87">
        <f>$U$6</f>
        <v>0</v>
      </c>
      <c r="Y6" s="89">
        <f t="shared" ref="Y6:Y11" si="6">ROUNDUP((U6)*RPI,0)</f>
        <v>0</v>
      </c>
      <c r="Z6" s="87">
        <f>$Y$6</f>
        <v>0</v>
      </c>
      <c r="AC6" s="89">
        <f t="shared" ref="AC6:AC11" si="7">ROUNDUP((Y6)*RPI,0)</f>
        <v>0</v>
      </c>
      <c r="AD6" s="87">
        <f>$AC$6</f>
        <v>0</v>
      </c>
    </row>
    <row r="7" spans="1:33" ht="14.5" customHeight="1" x14ac:dyDescent="0.35">
      <c r="A7" s="86" t="s">
        <v>130</v>
      </c>
      <c r="B7" s="85">
        <v>3</v>
      </c>
      <c r="C7" s="84" t="s">
        <v>135</v>
      </c>
      <c r="D7" s="84"/>
      <c r="E7" s="87">
        <v>-583</v>
      </c>
      <c r="F7" s="87">
        <f t="shared" si="0"/>
        <v>-583</v>
      </c>
      <c r="I7" s="89">
        <v>-583</v>
      </c>
      <c r="J7" s="87">
        <f t="shared" si="1"/>
        <v>-2284</v>
      </c>
      <c r="M7" s="89">
        <f t="shared" si="2"/>
        <v>-601</v>
      </c>
      <c r="N7" s="87">
        <f t="shared" si="3"/>
        <v>0</v>
      </c>
      <c r="Q7" s="89">
        <f t="shared" si="4"/>
        <v>-620</v>
      </c>
      <c r="R7" s="87">
        <f>$Q$7</f>
        <v>-620</v>
      </c>
      <c r="U7" s="89">
        <f t="shared" si="5"/>
        <v>-639</v>
      </c>
      <c r="V7" s="87">
        <f>$U$7</f>
        <v>-639</v>
      </c>
      <c r="Y7" s="89">
        <f t="shared" si="6"/>
        <v>-659</v>
      </c>
      <c r="Z7" s="87">
        <f>$Y$7</f>
        <v>-659</v>
      </c>
      <c r="AC7" s="89">
        <f t="shared" si="7"/>
        <v>-679</v>
      </c>
      <c r="AD7" s="87">
        <f>$AC$7</f>
        <v>-679</v>
      </c>
    </row>
    <row r="8" spans="1:33" ht="60" customHeight="1" x14ac:dyDescent="0.35">
      <c r="A8" s="86" t="s">
        <v>136</v>
      </c>
      <c r="B8" s="85">
        <v>4</v>
      </c>
      <c r="C8" s="84" t="s">
        <v>135</v>
      </c>
      <c r="D8" s="84"/>
      <c r="E8" s="87">
        <v>1000</v>
      </c>
      <c r="F8" s="87">
        <f t="shared" si="0"/>
        <v>1000</v>
      </c>
      <c r="I8" s="89">
        <f>ROUNDUP(1000/214*356.2,0)</f>
        <v>1665</v>
      </c>
      <c r="J8" s="87">
        <f t="shared" si="1"/>
        <v>1758.88</v>
      </c>
      <c r="L8" s="86" t="s">
        <v>1211</v>
      </c>
      <c r="M8" s="89">
        <f>ROUNDUP(1759*RPI,0)</f>
        <v>1812</v>
      </c>
      <c r="N8" s="87">
        <f t="shared" si="3"/>
        <v>0</v>
      </c>
      <c r="P8" s="86" t="s">
        <v>1212</v>
      </c>
      <c r="Q8" s="89">
        <f t="shared" si="4"/>
        <v>1867</v>
      </c>
      <c r="R8" s="87">
        <f>$Q$8</f>
        <v>1867</v>
      </c>
      <c r="U8" s="89">
        <f t="shared" si="5"/>
        <v>1924</v>
      </c>
      <c r="V8" s="87">
        <f>$U$8</f>
        <v>1924</v>
      </c>
      <c r="Y8" s="89">
        <f t="shared" si="6"/>
        <v>1982</v>
      </c>
      <c r="Z8" s="87">
        <f>$Y$8</f>
        <v>1982</v>
      </c>
      <c r="AC8" s="89">
        <f t="shared" si="7"/>
        <v>2042</v>
      </c>
      <c r="AD8" s="87">
        <f>$AC$8</f>
        <v>2042</v>
      </c>
    </row>
    <row r="9" spans="1:33" ht="14.5" customHeight="1" x14ac:dyDescent="0.35">
      <c r="A9" s="86" t="s">
        <v>137</v>
      </c>
      <c r="B9" s="85">
        <v>5</v>
      </c>
      <c r="C9" s="84" t="s">
        <v>135</v>
      </c>
      <c r="D9" s="84"/>
      <c r="E9" s="87">
        <v>10300</v>
      </c>
      <c r="F9" s="87">
        <f t="shared" si="0"/>
        <v>588</v>
      </c>
      <c r="I9" s="89">
        <f>30541-I8-I10+I7</f>
        <v>27293</v>
      </c>
      <c r="J9" s="87">
        <f t="shared" si="1"/>
        <v>14135.2</v>
      </c>
      <c r="L9" s="87" t="s">
        <v>474</v>
      </c>
      <c r="M9" s="89">
        <v>15000</v>
      </c>
      <c r="N9" s="87">
        <f t="shared" si="3"/>
        <v>530</v>
      </c>
      <c r="Q9" s="89">
        <f t="shared" si="4"/>
        <v>15450</v>
      </c>
      <c r="R9" s="87">
        <f>$Q$9</f>
        <v>15450</v>
      </c>
      <c r="U9" s="89">
        <f t="shared" si="5"/>
        <v>15914</v>
      </c>
      <c r="V9" s="87">
        <f>$U$9</f>
        <v>15914</v>
      </c>
      <c r="Y9" s="89">
        <f t="shared" si="6"/>
        <v>16392</v>
      </c>
      <c r="Z9" s="87">
        <f>$Y$9</f>
        <v>16392</v>
      </c>
      <c r="AC9" s="89">
        <f t="shared" si="7"/>
        <v>16884</v>
      </c>
      <c r="AD9" s="87">
        <f>$AC$9</f>
        <v>16884</v>
      </c>
    </row>
    <row r="10" spans="1:33" ht="34.5" customHeight="1" x14ac:dyDescent="0.35">
      <c r="A10" s="86" t="s">
        <v>138</v>
      </c>
      <c r="B10" s="85">
        <v>6</v>
      </c>
      <c r="C10" s="84" t="s">
        <v>135</v>
      </c>
      <c r="D10" s="84"/>
      <c r="E10" s="87">
        <v>0</v>
      </c>
      <c r="F10" s="87">
        <f t="shared" si="0"/>
        <v>0</v>
      </c>
      <c r="I10" s="89">
        <v>1000</v>
      </c>
      <c r="J10" s="87">
        <f t="shared" si="1"/>
        <v>0</v>
      </c>
      <c r="M10" s="89">
        <f t="shared" si="2"/>
        <v>1030</v>
      </c>
      <c r="N10" s="87">
        <f t="shared" si="3"/>
        <v>0</v>
      </c>
      <c r="P10" s="86" t="s">
        <v>1213</v>
      </c>
      <c r="Q10" s="89">
        <f t="shared" si="4"/>
        <v>1061</v>
      </c>
      <c r="R10" s="87">
        <f>$Q$10</f>
        <v>1061</v>
      </c>
      <c r="U10" s="89">
        <f t="shared" si="5"/>
        <v>1093</v>
      </c>
      <c r="V10" s="87">
        <f>$U$10</f>
        <v>1093</v>
      </c>
      <c r="Y10" s="89">
        <f t="shared" si="6"/>
        <v>1126</v>
      </c>
      <c r="Z10" s="87">
        <f>$Y$10</f>
        <v>1126</v>
      </c>
      <c r="AC10" s="89">
        <f t="shared" si="7"/>
        <v>1160</v>
      </c>
      <c r="AD10" s="87">
        <f>$AC$10</f>
        <v>1160</v>
      </c>
    </row>
    <row r="11" spans="1:33" ht="14.5" customHeight="1" x14ac:dyDescent="0.35">
      <c r="A11" s="86" t="s">
        <v>75</v>
      </c>
      <c r="B11" s="85">
        <v>7</v>
      </c>
      <c r="C11" s="84" t="s">
        <v>135</v>
      </c>
      <c r="D11" s="84"/>
      <c r="E11" s="87">
        <v>0</v>
      </c>
      <c r="F11" s="87">
        <f t="shared" si="0"/>
        <v>0</v>
      </c>
      <c r="I11" s="89">
        <f>ROUNDUP((E11)*RPICurrent,0)</f>
        <v>0</v>
      </c>
      <c r="J11" s="87">
        <f t="shared" si="1"/>
        <v>0</v>
      </c>
      <c r="L11" s="87" t="s">
        <v>474</v>
      </c>
      <c r="M11" s="89">
        <f t="shared" si="2"/>
        <v>0</v>
      </c>
      <c r="N11" s="87">
        <f t="shared" si="3"/>
        <v>0</v>
      </c>
      <c r="Q11" s="89">
        <f t="shared" si="4"/>
        <v>0</v>
      </c>
      <c r="R11" s="87">
        <f>$Q$11</f>
        <v>0</v>
      </c>
      <c r="U11" s="89">
        <f t="shared" si="5"/>
        <v>0</v>
      </c>
      <c r="V11" s="87">
        <f>$U$11</f>
        <v>0</v>
      </c>
      <c r="Y11" s="89">
        <f t="shared" si="6"/>
        <v>0</v>
      </c>
      <c r="Z11" s="87">
        <f>$Y$11</f>
        <v>0</v>
      </c>
      <c r="AC11" s="89">
        <f t="shared" si="7"/>
        <v>0</v>
      </c>
      <c r="AD11" s="87">
        <f>$AC$11</f>
        <v>0</v>
      </c>
    </row>
    <row r="12" spans="1:33" x14ac:dyDescent="0.35">
      <c r="E12" s="87"/>
    </row>
    <row r="13" spans="1:33" x14ac:dyDescent="0.35">
      <c r="E13" s="87"/>
    </row>
    <row r="14" spans="1:33" x14ac:dyDescent="0.35">
      <c r="E14" s="87"/>
    </row>
    <row r="15" spans="1:33" x14ac:dyDescent="0.35">
      <c r="A15" s="84" t="s">
        <v>487</v>
      </c>
      <c r="F15" s="93"/>
      <c r="G15" s="85"/>
      <c r="H15" s="87"/>
      <c r="I15" s="94"/>
      <c r="J15" s="93"/>
      <c r="K15" s="85"/>
      <c r="M15" s="94"/>
      <c r="N15" s="93"/>
      <c r="O15" s="85"/>
      <c r="Q15" s="94"/>
      <c r="R15" s="93"/>
      <c r="S15" s="85"/>
      <c r="U15" s="94"/>
      <c r="V15" s="93"/>
      <c r="W15" s="85"/>
      <c r="Y15" s="94"/>
      <c r="Z15" s="93"/>
      <c r="AA15" s="85"/>
      <c r="AC15" s="94"/>
      <c r="AD15" s="93"/>
      <c r="AE15" s="85"/>
    </row>
    <row r="16" spans="1:33" x14ac:dyDescent="0.35">
      <c r="E16" s="85" t="s">
        <v>484</v>
      </c>
      <c r="F16" s="93" t="s">
        <v>488</v>
      </c>
      <c r="G16" s="85" t="s">
        <v>489</v>
      </c>
      <c r="H16" s="87" t="s">
        <v>475</v>
      </c>
      <c r="I16" s="85" t="s">
        <v>484</v>
      </c>
      <c r="J16" s="93" t="s">
        <v>488</v>
      </c>
      <c r="K16" s="85" t="s">
        <v>489</v>
      </c>
      <c r="L16" s="87" t="s">
        <v>475</v>
      </c>
      <c r="M16" s="85" t="s">
        <v>484</v>
      </c>
      <c r="N16" s="93" t="s">
        <v>488</v>
      </c>
      <c r="O16" s="85" t="s">
        <v>489</v>
      </c>
      <c r="P16" s="87" t="s">
        <v>475</v>
      </c>
      <c r="Q16" s="94"/>
      <c r="R16" s="93"/>
      <c r="S16" s="85"/>
      <c r="U16" s="94"/>
      <c r="V16" s="93"/>
      <c r="W16" s="85"/>
      <c r="Y16" s="94"/>
      <c r="Z16" s="93"/>
      <c r="AA16" s="85"/>
      <c r="AC16" s="94"/>
      <c r="AD16" s="93"/>
      <c r="AE16" s="85"/>
    </row>
    <row r="17" spans="1:31" x14ac:dyDescent="0.35">
      <c r="A17" s="85"/>
      <c r="D17" s="85"/>
      <c r="E17" s="85">
        <v>1</v>
      </c>
      <c r="F17" s="93">
        <v>44734</v>
      </c>
      <c r="G17" s="85" t="s">
        <v>1214</v>
      </c>
      <c r="H17" s="87">
        <v>974.31</v>
      </c>
      <c r="I17" s="94">
        <v>5</v>
      </c>
      <c r="J17" s="93">
        <v>45106</v>
      </c>
      <c r="K17" s="85" t="s">
        <v>1215</v>
      </c>
      <c r="L17" s="87">
        <v>1820</v>
      </c>
      <c r="M17" s="94">
        <v>5</v>
      </c>
      <c r="N17" s="93">
        <v>45434</v>
      </c>
      <c r="O17" s="85" t="s">
        <v>2859</v>
      </c>
      <c r="P17" s="148">
        <v>530</v>
      </c>
      <c r="Q17" s="94"/>
      <c r="R17" s="93"/>
      <c r="S17" s="85"/>
      <c r="U17" s="94"/>
      <c r="V17" s="93"/>
      <c r="W17" s="85"/>
      <c r="Y17" s="94"/>
      <c r="Z17" s="93"/>
      <c r="AA17" s="85"/>
      <c r="AC17" s="94"/>
      <c r="AD17" s="93"/>
      <c r="AE17" s="85"/>
    </row>
    <row r="18" spans="1:31" x14ac:dyDescent="0.35">
      <c r="E18" s="85">
        <v>3</v>
      </c>
      <c r="F18" s="93">
        <v>44860</v>
      </c>
      <c r="G18" s="85" t="s">
        <v>147</v>
      </c>
      <c r="H18" s="87">
        <v>-583</v>
      </c>
      <c r="I18" s="94" t="s">
        <v>666</v>
      </c>
      <c r="J18" s="93">
        <v>45140</v>
      </c>
      <c r="K18" s="85" t="s">
        <v>1216</v>
      </c>
      <c r="L18" s="87">
        <v>6200</v>
      </c>
      <c r="M18" s="94"/>
      <c r="N18" s="93"/>
      <c r="O18" s="85"/>
      <c r="Q18" s="94"/>
      <c r="R18" s="93"/>
      <c r="S18" s="85"/>
      <c r="U18" s="94"/>
      <c r="V18" s="93"/>
      <c r="W18" s="85"/>
      <c r="Y18" s="94"/>
      <c r="Z18" s="93"/>
      <c r="AA18" s="85"/>
      <c r="AC18" s="94"/>
      <c r="AD18" s="93"/>
      <c r="AE18" s="85"/>
    </row>
    <row r="19" spans="1:31" x14ac:dyDescent="0.35">
      <c r="E19" s="85">
        <v>4</v>
      </c>
      <c r="F19" s="93">
        <v>44904</v>
      </c>
      <c r="G19" s="85" t="s">
        <v>1217</v>
      </c>
      <c r="H19" s="87">
        <v>1000</v>
      </c>
      <c r="I19" s="94"/>
      <c r="J19" s="93"/>
      <c r="K19" s="85"/>
      <c r="M19" s="94"/>
      <c r="N19" s="93"/>
      <c r="O19" s="85"/>
      <c r="Q19" s="94"/>
      <c r="R19" s="93"/>
      <c r="S19" s="85"/>
      <c r="U19" s="94"/>
      <c r="V19" s="93"/>
      <c r="W19" s="85"/>
      <c r="Y19" s="94"/>
      <c r="Z19" s="93"/>
      <c r="AA19" s="85"/>
      <c r="AC19" s="94"/>
      <c r="AD19" s="93"/>
      <c r="AE19" s="85"/>
    </row>
    <row r="20" spans="1:31" ht="58" x14ac:dyDescent="0.35">
      <c r="E20" s="92">
        <v>1</v>
      </c>
      <c r="F20" s="97" t="s">
        <v>491</v>
      </c>
      <c r="G20" s="98" t="s">
        <v>1219</v>
      </c>
      <c r="H20" s="90">
        <v>6200</v>
      </c>
      <c r="I20" s="94" t="s">
        <v>666</v>
      </c>
      <c r="J20" s="93">
        <v>45172</v>
      </c>
      <c r="K20" s="85" t="s">
        <v>1220</v>
      </c>
      <c r="L20" s="87">
        <v>2500</v>
      </c>
      <c r="M20" s="94"/>
      <c r="N20" s="93"/>
      <c r="O20" s="85"/>
      <c r="Q20" s="94"/>
      <c r="R20" s="93"/>
      <c r="S20" s="85"/>
      <c r="U20" s="94"/>
      <c r="V20" s="93"/>
      <c r="W20" s="85"/>
      <c r="Y20" s="94"/>
      <c r="Z20" s="93"/>
      <c r="AA20" s="85"/>
      <c r="AC20" s="94"/>
      <c r="AD20" s="93"/>
      <c r="AE20" s="85"/>
    </row>
    <row r="21" spans="1:31" x14ac:dyDescent="0.35">
      <c r="E21" s="92" t="s">
        <v>1221</v>
      </c>
      <c r="F21" s="93"/>
      <c r="G21" s="85"/>
      <c r="H21" s="87"/>
      <c r="I21" s="94">
        <v>5</v>
      </c>
      <c r="J21" s="93">
        <v>45172</v>
      </c>
      <c r="K21" s="85" t="s">
        <v>1220</v>
      </c>
      <c r="L21" s="87">
        <v>775</v>
      </c>
      <c r="M21" s="94"/>
      <c r="N21" s="93"/>
      <c r="O21" s="85"/>
      <c r="Q21" s="94"/>
      <c r="R21" s="93"/>
      <c r="S21" s="85"/>
      <c r="U21" s="94"/>
      <c r="V21" s="93"/>
      <c r="W21" s="85"/>
      <c r="Y21" s="94"/>
      <c r="Z21" s="93"/>
      <c r="AA21" s="85"/>
      <c r="AC21" s="94"/>
      <c r="AD21" s="93"/>
      <c r="AE21" s="85"/>
    </row>
    <row r="22" spans="1:31" x14ac:dyDescent="0.35">
      <c r="E22" s="92" t="s">
        <v>1222</v>
      </c>
      <c r="F22" s="93"/>
      <c r="G22" s="85"/>
      <c r="H22" s="87"/>
      <c r="I22" s="94">
        <v>5</v>
      </c>
      <c r="J22" s="93">
        <v>45183</v>
      </c>
      <c r="K22" s="85" t="s">
        <v>1223</v>
      </c>
      <c r="L22" s="87">
        <v>2461</v>
      </c>
      <c r="M22" s="94"/>
      <c r="N22" s="93"/>
      <c r="O22" s="85"/>
      <c r="Q22" s="94"/>
      <c r="R22" s="93"/>
      <c r="S22" s="85"/>
      <c r="U22" s="94"/>
      <c r="V22" s="93"/>
      <c r="W22" s="85"/>
      <c r="Y22" s="94"/>
      <c r="Z22" s="93"/>
      <c r="AA22" s="85"/>
      <c r="AC22" s="94"/>
      <c r="AD22" s="93"/>
      <c r="AE22" s="85"/>
    </row>
    <row r="23" spans="1:31" ht="101.5" x14ac:dyDescent="0.35">
      <c r="E23" s="92">
        <v>5</v>
      </c>
      <c r="F23" s="93">
        <v>44992</v>
      </c>
      <c r="G23" s="98" t="s">
        <v>1224</v>
      </c>
      <c r="H23" s="90">
        <v>588</v>
      </c>
      <c r="I23" s="94">
        <v>5</v>
      </c>
      <c r="J23" s="93">
        <v>45232</v>
      </c>
      <c r="K23" s="119" t="s">
        <v>2165</v>
      </c>
      <c r="L23" s="87">
        <f>2231+1446+1024</f>
        <v>4701</v>
      </c>
      <c r="M23" s="94"/>
      <c r="N23" s="93"/>
      <c r="O23" s="85"/>
      <c r="Q23" s="94"/>
      <c r="R23" s="93"/>
      <c r="S23" s="85"/>
      <c r="U23" s="94"/>
      <c r="V23" s="93"/>
      <c r="W23" s="85"/>
      <c r="Y23" s="94"/>
      <c r="Z23" s="93"/>
      <c r="AA23" s="85"/>
      <c r="AC23" s="94"/>
      <c r="AD23" s="93"/>
      <c r="AE23" s="85"/>
    </row>
    <row r="24" spans="1:31" ht="37.5" customHeight="1" x14ac:dyDescent="0.35">
      <c r="E24" s="92">
        <v>1</v>
      </c>
      <c r="F24" s="93" t="s">
        <v>491</v>
      </c>
      <c r="G24" s="98" t="s">
        <v>1225</v>
      </c>
      <c r="H24" s="90">
        <v>2500</v>
      </c>
      <c r="I24" s="94">
        <v>5</v>
      </c>
      <c r="J24" s="93">
        <v>45243</v>
      </c>
      <c r="K24" s="119" t="s">
        <v>1218</v>
      </c>
      <c r="L24" s="87">
        <v>4323.2</v>
      </c>
      <c r="M24" s="94"/>
      <c r="N24" s="93"/>
      <c r="O24" s="85"/>
      <c r="Q24" s="94"/>
      <c r="R24" s="93"/>
      <c r="S24" s="85"/>
      <c r="U24" s="94"/>
      <c r="V24" s="93"/>
      <c r="W24" s="85"/>
      <c r="Y24" s="94"/>
      <c r="Z24" s="93"/>
      <c r="AA24" s="85"/>
      <c r="AC24" s="94"/>
      <c r="AD24" s="93"/>
      <c r="AE24" s="85"/>
    </row>
    <row r="25" spans="1:31" x14ac:dyDescent="0.35">
      <c r="F25" s="93"/>
      <c r="G25" s="85"/>
      <c r="H25" s="87"/>
      <c r="I25" s="94">
        <v>4</v>
      </c>
      <c r="J25" s="93">
        <v>45275</v>
      </c>
      <c r="K25" s="85" t="s">
        <v>2276</v>
      </c>
      <c r="L25" s="87">
        <v>1758.88</v>
      </c>
      <c r="M25" s="94"/>
      <c r="N25" s="93"/>
      <c r="O25" s="85"/>
      <c r="Q25" s="94"/>
      <c r="R25" s="93"/>
      <c r="S25" s="85"/>
      <c r="U25" s="94"/>
      <c r="V25" s="93"/>
      <c r="W25" s="85"/>
      <c r="Y25" s="94"/>
      <c r="Z25" s="93"/>
      <c r="AA25" s="85"/>
      <c r="AC25" s="94"/>
      <c r="AD25" s="93"/>
      <c r="AE25" s="85"/>
    </row>
    <row r="26" spans="1:31" x14ac:dyDescent="0.35">
      <c r="F26" s="93"/>
      <c r="G26" s="85"/>
      <c r="H26" s="87"/>
      <c r="I26" s="94">
        <v>5</v>
      </c>
      <c r="J26" s="93">
        <v>45296</v>
      </c>
      <c r="K26" s="85" t="s">
        <v>2337</v>
      </c>
      <c r="L26" s="87">
        <v>55</v>
      </c>
      <c r="M26" s="94"/>
      <c r="N26" s="93"/>
      <c r="O26" s="85"/>
      <c r="Q26" s="94"/>
      <c r="R26" s="93"/>
      <c r="S26" s="85"/>
      <c r="U26" s="94"/>
      <c r="V26" s="93"/>
      <c r="W26" s="85"/>
      <c r="Y26" s="94"/>
      <c r="Z26" s="93"/>
      <c r="AA26" s="85"/>
      <c r="AC26" s="94"/>
      <c r="AD26" s="93"/>
      <c r="AE26" s="85"/>
    </row>
    <row r="27" spans="1:31" x14ac:dyDescent="0.35">
      <c r="F27" s="93"/>
      <c r="G27" s="85"/>
      <c r="H27" s="87"/>
      <c r="I27" s="94">
        <v>3</v>
      </c>
      <c r="J27" s="93">
        <v>45315</v>
      </c>
      <c r="K27" s="85" t="s">
        <v>2672</v>
      </c>
      <c r="L27" s="87">
        <v>-583</v>
      </c>
      <c r="M27" s="94"/>
      <c r="N27" s="93"/>
      <c r="O27" s="85"/>
      <c r="Q27" s="94"/>
      <c r="R27" s="93"/>
      <c r="S27" s="85"/>
      <c r="U27" s="94"/>
      <c r="V27" s="93"/>
      <c r="W27" s="85"/>
      <c r="Y27" s="94"/>
      <c r="Z27" s="93"/>
      <c r="AA27" s="85"/>
      <c r="AC27" s="94"/>
      <c r="AD27" s="93"/>
      <c r="AE27" s="85"/>
    </row>
    <row r="28" spans="1:31" x14ac:dyDescent="0.35">
      <c r="F28" s="93"/>
      <c r="G28" s="85"/>
      <c r="H28" s="87"/>
      <c r="I28" s="94">
        <v>3</v>
      </c>
      <c r="J28" s="93">
        <v>45315</v>
      </c>
      <c r="K28" s="85" t="s">
        <v>2674</v>
      </c>
      <c r="L28" s="87">
        <v>-1701</v>
      </c>
      <c r="M28" s="94"/>
      <c r="N28" s="93"/>
      <c r="O28" s="85"/>
      <c r="Q28" s="94"/>
      <c r="R28" s="93"/>
      <c r="S28" s="85"/>
      <c r="U28" s="94"/>
      <c r="V28" s="93"/>
      <c r="W28" s="85"/>
      <c r="Y28" s="94"/>
      <c r="Z28" s="93"/>
      <c r="AA28" s="85"/>
      <c r="AC28" s="94"/>
      <c r="AD28" s="93"/>
      <c r="AE28" s="85"/>
    </row>
    <row r="29" spans="1:31" x14ac:dyDescent="0.35">
      <c r="F29" s="93"/>
      <c r="G29" s="85"/>
      <c r="H29" s="87"/>
      <c r="I29" s="94"/>
      <c r="J29" s="93"/>
      <c r="K29" s="85"/>
      <c r="M29" s="94"/>
      <c r="N29" s="93"/>
      <c r="O29" s="85"/>
      <c r="Q29" s="94"/>
      <c r="R29" s="93"/>
      <c r="S29" s="85"/>
      <c r="U29" s="94"/>
      <c r="V29" s="93"/>
      <c r="W29" s="85"/>
      <c r="Y29" s="94"/>
      <c r="Z29" s="93"/>
      <c r="AA29" s="85"/>
      <c r="AC29" s="94"/>
      <c r="AD29" s="93"/>
      <c r="AE29" s="85"/>
    </row>
    <row r="30" spans="1:31" x14ac:dyDescent="0.35">
      <c r="F30" s="93"/>
      <c r="G30" s="85"/>
      <c r="H30" s="87"/>
      <c r="I30" s="94"/>
      <c r="J30" s="93"/>
      <c r="K30" s="85"/>
      <c r="M30" s="94"/>
      <c r="N30" s="93"/>
      <c r="O30" s="85"/>
      <c r="Q30" s="94"/>
      <c r="R30" s="93"/>
      <c r="S30" s="85"/>
      <c r="U30" s="94"/>
      <c r="V30" s="93"/>
      <c r="W30" s="85"/>
      <c r="Y30" s="94"/>
      <c r="Z30" s="93"/>
      <c r="AA30" s="85"/>
      <c r="AC30" s="94"/>
      <c r="AD30" s="93"/>
      <c r="AE30" s="85"/>
    </row>
    <row r="31" spans="1:31" x14ac:dyDescent="0.35">
      <c r="F31" s="93"/>
      <c r="G31" s="85"/>
      <c r="H31" s="87"/>
      <c r="I31" s="94"/>
      <c r="J31" s="93"/>
      <c r="K31" s="85"/>
      <c r="M31" s="94"/>
      <c r="N31" s="93"/>
      <c r="O31" s="85"/>
      <c r="Q31" s="94"/>
      <c r="R31" s="93"/>
      <c r="S31" s="85"/>
      <c r="U31" s="94"/>
      <c r="V31" s="93"/>
      <c r="W31" s="85"/>
      <c r="Y31" s="94"/>
      <c r="Z31" s="93"/>
      <c r="AA31" s="85"/>
      <c r="AC31" s="94"/>
      <c r="AD31" s="93"/>
      <c r="AE31" s="85"/>
    </row>
    <row r="32" spans="1: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56" priority="1">
      <formula>$A4="Spend to Date"</formula>
    </cfRule>
    <cfRule type="expression" dxfId="55" priority="2">
      <formula>$A4="Spend to Date"</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G1001"/>
  <sheetViews>
    <sheetView zoomScale="109" workbookViewId="0">
      <pane xSplit="2" ySplit="1" topLeftCell="K15" activePane="bottomRight" state="frozen"/>
      <selection pane="topRight" activeCell="C1" sqref="C1"/>
      <selection pane="bottomLeft" activeCell="A2" sqref="A2"/>
      <selection pane="bottomRight" activeCell="R24" sqref="R24"/>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453125" style="86" bestFit="1" customWidth="1"/>
    <col min="5" max="5" width="13.81640625" style="85" customWidth="1"/>
    <col min="6" max="6" width="19.54296875" style="93" customWidth="1"/>
    <col min="7" max="7" width="25.453125" style="87" customWidth="1"/>
    <col min="8" max="8" width="13.453125" style="88" customWidth="1"/>
    <col min="9" max="9" width="18.81640625" style="120"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21"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139</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SUM(E3:E5)</f>
        <v>6250</v>
      </c>
      <c r="F2" s="87">
        <f>SUM(F3:F3)</f>
        <v>8277.89</v>
      </c>
      <c r="I2" s="89">
        <f>SUM(I3:I5)</f>
        <v>3912</v>
      </c>
      <c r="J2" s="87">
        <f>SUM(J3:J5)</f>
        <v>-9307.27</v>
      </c>
      <c r="M2" s="89">
        <f>SUM(M3:M5)</f>
        <v>0</v>
      </c>
      <c r="N2" s="87">
        <f>SUM(N3:N5)</f>
        <v>45531.37</v>
      </c>
      <c r="Q2" s="89">
        <f>SUM(Q3:Q5)</f>
        <v>0</v>
      </c>
      <c r="R2" s="87">
        <f>SUM(R3:R5)</f>
        <v>0</v>
      </c>
      <c r="U2" s="89">
        <f>SUM(U3:U5)</f>
        <v>0</v>
      </c>
      <c r="V2" s="87">
        <f>SUM(V3:V5)</f>
        <v>0</v>
      </c>
      <c r="Y2" s="89">
        <f>SUM(Y3:Y5)</f>
        <v>0</v>
      </c>
      <c r="Z2" s="87">
        <f>SUM(Z3:Z5)</f>
        <v>0</v>
      </c>
      <c r="AC2" s="89">
        <f>SUM(AC3:AC5)</f>
        <v>0</v>
      </c>
      <c r="AD2" s="87">
        <f>SUM(AD3:AD5)</f>
        <v>0</v>
      </c>
    </row>
    <row r="3" spans="1:33" ht="14.5" customHeight="1" x14ac:dyDescent="0.35">
      <c r="A3" s="86" t="s">
        <v>139</v>
      </c>
      <c r="B3" s="85">
        <v>1</v>
      </c>
      <c r="D3" s="86">
        <v>36187</v>
      </c>
      <c r="E3" s="87">
        <v>6250</v>
      </c>
      <c r="F3" s="87">
        <f>SUMIFS(H$21:H$1005,E$21:E$1005,$B3)</f>
        <v>8277.89</v>
      </c>
      <c r="G3" s="87">
        <f>D3+E3-F3+SUMIFS(E$8:E$15,$C$8:$C$15,$A3)-SUMIFS(F$8:F$15,$C$8:$C$15,$A3)</f>
        <v>33722.189999999988</v>
      </c>
      <c r="I3" s="91">
        <v>-35090</v>
      </c>
      <c r="J3" s="87">
        <f>SUMIFS(L$21:L$1005,I$21:I$1005,1)</f>
        <v>-5483.16</v>
      </c>
      <c r="K3" s="87">
        <f>G3+I3-J3+SUMIFS(I$8:I$15,$C$8:$C$15,$A3)-SUMIFS(J$8:J$15,$C$8:$C$15,$A3)</f>
        <v>0</v>
      </c>
      <c r="L3" s="86"/>
      <c r="M3" s="89">
        <v>0</v>
      </c>
      <c r="N3" s="87">
        <f>SUMIFS(P$21:P$1006,M$21:M$1006,1)</f>
        <v>0</v>
      </c>
      <c r="O3" s="87">
        <f>K3+M3-N3+SUMIFS(M$8:M$15,$C$8:$C$15,$A3)-SUMIFS(N$8:N$15,$C$8:$C$15,$A3)</f>
        <v>5284.27</v>
      </c>
      <c r="R3" s="87">
        <f>SUMIFS(T$21:T$1005,Q$21:Q$1005,1)</f>
        <v>0</v>
      </c>
      <c r="S3" s="87">
        <f>O3+Q3-R3+SUMIFS(Q$8:Q$15,$C$8:$C$15,$A3)-SUMIFS(R$8:R$15,$C$8:$C$15,$A3)</f>
        <v>5284.27</v>
      </c>
      <c r="V3" s="87">
        <f>SUMIFS(X$21:X$1005,U$21:U$1005,1)</f>
        <v>0</v>
      </c>
      <c r="W3" s="87">
        <f>S3+U3-V3+SUMIFS(U$8:U$15,$C$8:$C$15,$A3)-SUMIFS(V$8:V$15,$C$8:$C$15,$A3)</f>
        <v>5284.27</v>
      </c>
      <c r="Z3" s="87">
        <f>SUMIFS(AB$21:AB$1005,Y$21:Y$1005,1)</f>
        <v>0</v>
      </c>
      <c r="AA3" s="87">
        <f>W3+Y3-Z3+SUMIFS(Y$8:Y$15,$C$8:$C$15,$A3)-SUMIFS(Z$8:Z$15,$C$8:$C$15,$A3)</f>
        <v>5284.27</v>
      </c>
      <c r="AD3" s="87">
        <f>SUMIFS(AF$21:AF$1005,AC$21:AC$1005,1)</f>
        <v>0</v>
      </c>
      <c r="AE3" s="87">
        <f>AA3+AC3-AD3+SUMIFS(AC$8:AC$15,$C$8:$C$15,$A3)-SUMIFS(AD$8:AD$15,$C$8:$C$15,$A3)</f>
        <v>5284.27</v>
      </c>
      <c r="AG3" s="87">
        <v>50000</v>
      </c>
    </row>
    <row r="4" spans="1:33" ht="14.5" customHeight="1" x14ac:dyDescent="0.35">
      <c r="A4" s="86" t="s">
        <v>72</v>
      </c>
      <c r="B4" s="85">
        <v>2</v>
      </c>
      <c r="D4" s="86">
        <v>0</v>
      </c>
      <c r="E4" s="87">
        <v>0</v>
      </c>
      <c r="F4" s="87">
        <f>SUMIFS(H$21:H$1005,E$21:E$1005,$B4)</f>
        <v>0</v>
      </c>
      <c r="G4" s="87">
        <f>D4+E4-F4+SUMIFS(E$8:E$15,$C$8:$C$15,$A4)-SUMIFS(F$8:F$15,$C$8:$C$15,$A4)</f>
        <v>0</v>
      </c>
      <c r="I4" s="89"/>
      <c r="J4" s="87">
        <f>SUMIFS(L$21:L$1005,I$21:I$1005,2)</f>
        <v>0</v>
      </c>
      <c r="K4" s="87">
        <f>G4+I4-J4+SUMIFS(I$8:I$15,$C$8:$C$15,$A4)-SUMIFS(J$8:J$15,$C$8:$C$15,$A4)</f>
        <v>0</v>
      </c>
      <c r="L4" s="86"/>
      <c r="M4" s="89">
        <v>0</v>
      </c>
      <c r="N4" s="87">
        <f>SUMIFS(P$21:P$1006,M$21:M$1006,2)</f>
        <v>0</v>
      </c>
      <c r="O4" s="87">
        <f>K4+M4-N4+SUMIFS(M$8:M$15,$C$8:$C$15,$A4)-SUMIFS(N$8:N$15,$C$8:$C$15,$A4)</f>
        <v>0</v>
      </c>
      <c r="R4" s="87">
        <f>SUMIFS(T$21:T$1005,Q$21:Q$1005,2)</f>
        <v>0</v>
      </c>
      <c r="S4" s="87">
        <f>O4+Q4-R4+SUMIFS(Q$8:Q$15,$C$8:$C$15,$A4)-SUMIFS(R$8:R$15,$C$8:$C$15,$A4)</f>
        <v>0</v>
      </c>
      <c r="V4" s="87">
        <f>SUMIFS(X$21:X$1005,U$21:U$1005,2)</f>
        <v>0</v>
      </c>
      <c r="W4" s="87">
        <f>S4+U4-V4+SUMIFS(U$8:U$15,$C$8:$C$15,$A4)-SUMIFS(V$8:V$15,$C$8:$C$15,$A4)</f>
        <v>0</v>
      </c>
      <c r="Z4" s="87">
        <f>SUMIFS(AB$21:AB$1005,Y$21:Y$1005,2)</f>
        <v>0</v>
      </c>
      <c r="AA4" s="87">
        <f>W4+Y4-Z4+SUMIFS(Y$8:Y$15,$C$8:$C$15,$A4)-SUMIFS(Z$8:Z$15,$C$8:$C$15,$A4)</f>
        <v>0</v>
      </c>
      <c r="AD4" s="87">
        <f>SUMIFS(AF$21:AF$1005,AC$21:AC$1005,2)</f>
        <v>0</v>
      </c>
      <c r="AE4" s="87">
        <f>AA4+AC4-AD4+SUMIFS(AC$8:AC$15,$C$8:$C$15,$A4)-SUMIFS(AD$8:AD$15,$C$8:$C$15,$A4)</f>
        <v>0</v>
      </c>
    </row>
    <row r="5" spans="1:33" ht="14.5" customHeight="1" x14ac:dyDescent="0.35">
      <c r="A5" s="86" t="s">
        <v>140</v>
      </c>
      <c r="B5" s="85">
        <v>3</v>
      </c>
      <c r="D5" s="86">
        <v>34372</v>
      </c>
      <c r="E5" s="87">
        <v>0</v>
      </c>
      <c r="F5" s="87">
        <f>SUMIFS(H$21:H$1005,E$21:E$1005,$B5)</f>
        <v>33664.5</v>
      </c>
      <c r="G5" s="87">
        <f>D5+E5-F5+SUMIFS(E$8:E$15,$C$8:$C$15,$A5)-SUMIFS(F$8:F$15,$C$8:$C$15,$A5)</f>
        <v>765.82999999999993</v>
      </c>
      <c r="I5" s="91">
        <f>ROUNDUP((12000*3*RPICurrent)-58.33,0)</f>
        <v>39002</v>
      </c>
      <c r="J5" s="87">
        <f>SUMIFS(L$21:L$1005,I$21:I$1005,3)</f>
        <v>-3824.1100000000006</v>
      </c>
      <c r="K5" s="87">
        <f>G5+I5-J5+SUMIFS(I$8:I$15,$C$8:$C$15,$A5)-SUMIFS(J$8:J$15,$C$8:$C$15,$A5)</f>
        <v>44101.94</v>
      </c>
      <c r="L5" s="86"/>
      <c r="M5" s="89">
        <v>0</v>
      </c>
      <c r="N5" s="87">
        <f>SUMIFS(P$21:P$1006,M$21:M$1006,3)</f>
        <v>45531.37</v>
      </c>
      <c r="O5" s="87">
        <f>K5+M5-N5+SUMIFS(M$8:M$15,$C$8:$C$15,$A5)-SUMIFS(N$8:N$15,$C$8:$C$15,$A5)</f>
        <v>77435.570000000007</v>
      </c>
      <c r="R5" s="87">
        <f>SUMIFS(T$21:T$1005,Q$21:Q$1005,3)</f>
        <v>0</v>
      </c>
      <c r="S5" s="87">
        <f>O5+Q5-R5+SUMIFS(Q$8:Q$15,$C$8:$C$15,$A5)-SUMIFS(R$8:R$15,$C$8:$C$15,$A5)</f>
        <v>77435.570000000007</v>
      </c>
      <c r="V5" s="87">
        <f>SUMIFS(X$21:X$1005,U$21:U$1005,3)</f>
        <v>0</v>
      </c>
      <c r="W5" s="87">
        <f>S5+U5-V5+SUMIFS(U$8:U$15,$C$8:$C$15,$A5)-SUMIFS(V$8:V$15,$C$8:$C$15,$A5)</f>
        <v>77435.570000000007</v>
      </c>
      <c r="Z5" s="87">
        <f>SUMIFS(AB$21:AB$1005,Y$21:Y$1005,3)</f>
        <v>0</v>
      </c>
      <c r="AA5" s="87">
        <f>W5+Y5-Z5+SUMIFS(Y$8:Y$15,$C$8:$C$15,$A5)-SUMIFS(Z$8:Z$15,$C$8:$C$15,$A5)</f>
        <v>77435.570000000007</v>
      </c>
      <c r="AD5" s="87">
        <f>SUMIFS(AF$21:AF$1005,AC$21:AC$1005,3)</f>
        <v>0</v>
      </c>
      <c r="AE5" s="87">
        <f>AA5+AC5-AD5+SUMIFS(AC$8:AC$15,$C$8:$C$15,$A5)-SUMIFS(AD$8:AD$15,$C$8:$C$15,$A5)</f>
        <v>77435.570000000007</v>
      </c>
    </row>
    <row r="6" spans="1:33" ht="14.5" customHeight="1" x14ac:dyDescent="0.35">
      <c r="E6" s="87"/>
      <c r="F6" s="87"/>
      <c r="I6" s="89"/>
    </row>
    <row r="7" spans="1:33" ht="14.5" customHeight="1" x14ac:dyDescent="0.35">
      <c r="A7" s="84" t="s">
        <v>141</v>
      </c>
      <c r="D7" s="84"/>
      <c r="E7" s="87">
        <f>SUM(E8:E15)</f>
        <v>86014.94</v>
      </c>
      <c r="F7" s="87">
        <f>SUM(F8:F15)</f>
        <v>86393.530000000013</v>
      </c>
      <c r="I7" s="89">
        <f>SUM(I8:I15)</f>
        <v>-250</v>
      </c>
      <c r="J7" s="87">
        <f>SUM(J8:J15)</f>
        <v>3355.3500000000004</v>
      </c>
      <c r="M7" s="89">
        <f>SUM(M8:M15)</f>
        <v>84930</v>
      </c>
      <c r="N7" s="87">
        <f>SUM(N8:N15)</f>
        <v>780.73</v>
      </c>
      <c r="Q7" s="89">
        <f>SUM(Q8:Q15)</f>
        <v>87478</v>
      </c>
      <c r="R7" s="87">
        <f>$Q$7</f>
        <v>87478</v>
      </c>
      <c r="U7" s="89">
        <f>SUM(U8:U15)</f>
        <v>90102</v>
      </c>
      <c r="V7" s="87">
        <f>$U$7</f>
        <v>90102</v>
      </c>
      <c r="Y7" s="89">
        <f>SUM(Y8:Y15)</f>
        <v>92806</v>
      </c>
      <c r="Z7" s="87">
        <f>$Y$7</f>
        <v>92806</v>
      </c>
      <c r="AC7" s="89">
        <f>SUM(AC8:AC15)</f>
        <v>95591</v>
      </c>
      <c r="AD7" s="87">
        <f>$AC$7</f>
        <v>95591</v>
      </c>
    </row>
    <row r="8" spans="1:33" ht="14.5" customHeight="1" x14ac:dyDescent="0.35">
      <c r="A8" s="86" t="s">
        <v>141</v>
      </c>
      <c r="B8" s="85">
        <v>4</v>
      </c>
      <c r="C8" s="86" t="s">
        <v>139</v>
      </c>
      <c r="D8" s="84"/>
      <c r="E8" s="87">
        <v>0</v>
      </c>
      <c r="F8" s="87">
        <f t="shared" ref="F8:F15" si="0">SUMIFS(H$21:H$1005,E$21:E$1005,$B8)</f>
        <v>0</v>
      </c>
      <c r="I8" s="89">
        <f>ROUNDUP((E8)*RPICurrent,0)</f>
        <v>0</v>
      </c>
      <c r="J8" s="87">
        <f t="shared" ref="J8:J15" si="1">SUMIFS(L$21:L$1005,I$21:I$1005,$B8)</f>
        <v>0</v>
      </c>
      <c r="M8" s="89">
        <f>ROUNDUP((I8)*RPI,0)</f>
        <v>0</v>
      </c>
      <c r="N8" s="87">
        <f t="shared" ref="N8:N15" si="2">SUMIFS(P$21:P$1006,M$21:M$1006,$B8)</f>
        <v>0</v>
      </c>
      <c r="Q8" s="89">
        <f t="shared" ref="Q8:Q15" si="3">ROUNDUP((M8)*RPI,0)</f>
        <v>0</v>
      </c>
      <c r="R8" s="87">
        <f>$Q$8</f>
        <v>0</v>
      </c>
      <c r="U8" s="89">
        <f t="shared" ref="U8:U15" si="4">ROUNDUP((Q8)*RPI,0)</f>
        <v>0</v>
      </c>
      <c r="V8" s="87">
        <f>$U$8</f>
        <v>0</v>
      </c>
      <c r="Y8" s="89">
        <f t="shared" ref="Y8:Y15" si="5">ROUNDUP((U8)*RPI,0)</f>
        <v>0</v>
      </c>
      <c r="Z8" s="87">
        <f>$Y$8</f>
        <v>0</v>
      </c>
      <c r="AC8" s="89">
        <f t="shared" ref="AC8:AC15" si="6">ROUNDUP((Y8)*RPI,0)</f>
        <v>0</v>
      </c>
      <c r="AD8" s="87">
        <f>$AC$8</f>
        <v>0</v>
      </c>
    </row>
    <row r="9" spans="1:33" ht="14.5" customHeight="1" x14ac:dyDescent="0.35">
      <c r="A9" s="86" t="s">
        <v>130</v>
      </c>
      <c r="B9" s="85">
        <v>5</v>
      </c>
      <c r="C9" s="84" t="s">
        <v>140</v>
      </c>
      <c r="D9" s="84"/>
      <c r="E9" s="87">
        <v>-6250</v>
      </c>
      <c r="F9" s="87">
        <f t="shared" si="0"/>
        <v>-6308.33</v>
      </c>
      <c r="I9" s="89">
        <f>E9</f>
        <v>-6250</v>
      </c>
      <c r="J9" s="87">
        <f t="shared" si="1"/>
        <v>-6760</v>
      </c>
      <c r="M9" s="89">
        <f>ROUNDUP((I9),0)</f>
        <v>-6250</v>
      </c>
      <c r="N9" s="87">
        <f t="shared" si="2"/>
        <v>-115</v>
      </c>
      <c r="P9" s="87" t="s">
        <v>1226</v>
      </c>
      <c r="Q9" s="89">
        <f t="shared" si="3"/>
        <v>-6438</v>
      </c>
      <c r="R9" s="87">
        <f>$Q$9</f>
        <v>-6438</v>
      </c>
      <c r="U9" s="89">
        <f t="shared" si="4"/>
        <v>-6632</v>
      </c>
      <c r="V9" s="87">
        <f>$U$9</f>
        <v>-6632</v>
      </c>
      <c r="Y9" s="89">
        <f t="shared" si="5"/>
        <v>-6831</v>
      </c>
      <c r="Z9" s="87">
        <f>$Y$9</f>
        <v>-6831</v>
      </c>
      <c r="AC9" s="89">
        <f t="shared" si="6"/>
        <v>-7036</v>
      </c>
      <c r="AD9" s="87">
        <f>$AC$9</f>
        <v>-7036</v>
      </c>
    </row>
    <row r="10" spans="1:33" ht="14.5" customHeight="1" x14ac:dyDescent="0.35">
      <c r="A10" s="86" t="s">
        <v>124</v>
      </c>
      <c r="B10" s="85">
        <v>6</v>
      </c>
      <c r="C10" s="86" t="s">
        <v>139</v>
      </c>
      <c r="D10" s="84"/>
      <c r="E10" s="87">
        <v>7663.94</v>
      </c>
      <c r="F10" s="87">
        <f t="shared" si="0"/>
        <v>8284.0400000000009</v>
      </c>
      <c r="I10" s="89">
        <f>3500+2500</f>
        <v>6000</v>
      </c>
      <c r="J10" s="87">
        <f>SUMIFS(L$21:L$1005,I$21:I$1005,$B10)</f>
        <v>10115.35</v>
      </c>
      <c r="M10" s="89">
        <f t="shared" ref="M10:M15" si="7">ROUNDUP((I10)*RPI,0)</f>
        <v>6180</v>
      </c>
      <c r="N10" s="87">
        <f t="shared" si="2"/>
        <v>895.73</v>
      </c>
      <c r="Q10" s="89">
        <f t="shared" si="3"/>
        <v>6366</v>
      </c>
      <c r="R10" s="87">
        <f>$Q$10</f>
        <v>6366</v>
      </c>
      <c r="U10" s="89">
        <f t="shared" si="4"/>
        <v>6557</v>
      </c>
      <c r="V10" s="87">
        <f>$U$10</f>
        <v>6557</v>
      </c>
      <c r="Y10" s="89">
        <f t="shared" si="5"/>
        <v>6754</v>
      </c>
      <c r="Z10" s="87">
        <f>$Y$10</f>
        <v>6754</v>
      </c>
      <c r="AC10" s="89">
        <f t="shared" si="6"/>
        <v>6957</v>
      </c>
      <c r="AD10" s="87">
        <f>$AC$10</f>
        <v>6957</v>
      </c>
    </row>
    <row r="11" spans="1:33" ht="14.5" customHeight="1" x14ac:dyDescent="0.35">
      <c r="A11" s="86" t="s">
        <v>75</v>
      </c>
      <c r="B11" s="85">
        <v>7</v>
      </c>
      <c r="C11" s="86" t="s">
        <v>72</v>
      </c>
      <c r="D11" s="84"/>
      <c r="E11" s="87">
        <v>0</v>
      </c>
      <c r="F11" s="87">
        <f t="shared" si="0"/>
        <v>0</v>
      </c>
      <c r="I11" s="89">
        <v>0</v>
      </c>
      <c r="J11" s="87">
        <f t="shared" si="1"/>
        <v>0</v>
      </c>
      <c r="M11" s="89">
        <v>0</v>
      </c>
      <c r="N11" s="87">
        <f t="shared" si="2"/>
        <v>0</v>
      </c>
      <c r="Q11" s="89">
        <v>0</v>
      </c>
      <c r="R11" s="87">
        <f>$Q$11</f>
        <v>0</v>
      </c>
      <c r="U11" s="89">
        <v>0</v>
      </c>
      <c r="V11" s="87">
        <f>$U$11</f>
        <v>0</v>
      </c>
      <c r="Y11" s="89">
        <v>0</v>
      </c>
      <c r="Z11" s="87">
        <f>$Y$11</f>
        <v>0</v>
      </c>
      <c r="AC11" s="89">
        <v>0</v>
      </c>
      <c r="AD11" s="87">
        <f>$AC$11</f>
        <v>0</v>
      </c>
    </row>
    <row r="12" spans="1:33" ht="14.5" customHeight="1" x14ac:dyDescent="0.35">
      <c r="A12" s="86" t="s">
        <v>80</v>
      </c>
      <c r="B12" s="85">
        <v>8</v>
      </c>
      <c r="C12" s="86" t="s">
        <v>139</v>
      </c>
      <c r="D12" s="84"/>
      <c r="E12" s="87">
        <f>74414+10187</f>
        <v>84601</v>
      </c>
      <c r="F12" s="87">
        <f t="shared" si="0"/>
        <v>84417.82</v>
      </c>
      <c r="I12" s="89">
        <v>0</v>
      </c>
      <c r="J12" s="87">
        <f t="shared" si="1"/>
        <v>0</v>
      </c>
      <c r="M12" s="89">
        <f t="shared" si="7"/>
        <v>0</v>
      </c>
      <c r="N12" s="87">
        <f t="shared" si="2"/>
        <v>0</v>
      </c>
      <c r="Q12" s="89">
        <f t="shared" si="3"/>
        <v>0</v>
      </c>
      <c r="R12" s="87">
        <f>$Q$12</f>
        <v>0</v>
      </c>
      <c r="U12" s="89">
        <f t="shared" si="4"/>
        <v>0</v>
      </c>
      <c r="V12" s="87">
        <f>$U$12</f>
        <v>0</v>
      </c>
      <c r="Y12" s="89">
        <f t="shared" si="5"/>
        <v>0</v>
      </c>
      <c r="Z12" s="87">
        <f>$Y$12</f>
        <v>0</v>
      </c>
      <c r="AC12" s="89">
        <f t="shared" si="6"/>
        <v>0</v>
      </c>
      <c r="AD12" s="87">
        <f>$AC$12</f>
        <v>0</v>
      </c>
    </row>
    <row r="13" spans="1:33" ht="74.25" customHeight="1" x14ac:dyDescent="0.35">
      <c r="A13" s="86" t="s">
        <v>142</v>
      </c>
      <c r="B13" s="85">
        <v>9</v>
      </c>
      <c r="C13" s="86" t="s">
        <v>140</v>
      </c>
      <c r="D13" s="84"/>
      <c r="E13" s="87">
        <v>0</v>
      </c>
      <c r="F13" s="87">
        <f t="shared" si="0"/>
        <v>0</v>
      </c>
      <c r="I13" s="89">
        <f>ROUNDUP((E13)*RPICurrent,0)</f>
        <v>0</v>
      </c>
      <c r="J13" s="87">
        <f t="shared" si="1"/>
        <v>0</v>
      </c>
      <c r="M13" s="89">
        <v>85000</v>
      </c>
      <c r="N13" s="87">
        <f t="shared" si="2"/>
        <v>0</v>
      </c>
      <c r="P13" s="86" t="s">
        <v>2108</v>
      </c>
      <c r="Q13" s="89">
        <f t="shared" si="3"/>
        <v>87550</v>
      </c>
      <c r="R13" s="87">
        <f>$Q$13</f>
        <v>87550</v>
      </c>
      <c r="U13" s="89">
        <f t="shared" si="4"/>
        <v>90177</v>
      </c>
      <c r="V13" s="87">
        <f>$U$13</f>
        <v>90177</v>
      </c>
      <c r="Y13" s="89">
        <f t="shared" si="5"/>
        <v>92883</v>
      </c>
      <c r="Z13" s="87">
        <f>$Y$13</f>
        <v>92883</v>
      </c>
      <c r="AC13" s="89">
        <f t="shared" si="6"/>
        <v>95670</v>
      </c>
      <c r="AD13" s="87">
        <f>$AC$13</f>
        <v>95670</v>
      </c>
    </row>
    <row r="14" spans="1:33" ht="54" customHeight="1" x14ac:dyDescent="0.35">
      <c r="A14" s="86" t="s">
        <v>143</v>
      </c>
      <c r="B14" s="85">
        <v>10</v>
      </c>
      <c r="C14" s="86" t="s">
        <v>139</v>
      </c>
      <c r="D14" s="84"/>
      <c r="E14" s="87">
        <v>0</v>
      </c>
      <c r="F14" s="87">
        <f t="shared" si="0"/>
        <v>0</v>
      </c>
      <c r="I14" s="89">
        <f>ROUNDUP((E14)*RPICurrent,0)</f>
        <v>0</v>
      </c>
      <c r="J14" s="87">
        <f t="shared" si="1"/>
        <v>0</v>
      </c>
      <c r="M14" s="89">
        <f t="shared" si="7"/>
        <v>0</v>
      </c>
      <c r="N14" s="87">
        <f t="shared" si="2"/>
        <v>0</v>
      </c>
      <c r="P14" s="86" t="s">
        <v>2105</v>
      </c>
      <c r="Q14" s="89">
        <f t="shared" si="3"/>
        <v>0</v>
      </c>
      <c r="R14" s="87">
        <f>$Q$14</f>
        <v>0</v>
      </c>
      <c r="U14" s="89">
        <f t="shared" si="4"/>
        <v>0</v>
      </c>
      <c r="V14" s="87">
        <f>$U$14</f>
        <v>0</v>
      </c>
      <c r="Y14" s="89">
        <f t="shared" si="5"/>
        <v>0</v>
      </c>
      <c r="Z14" s="87">
        <f>$Y$14</f>
        <v>0</v>
      </c>
      <c r="AC14" s="89">
        <f t="shared" si="6"/>
        <v>0</v>
      </c>
      <c r="AD14" s="87">
        <f>$AC$14</f>
        <v>0</v>
      </c>
    </row>
    <row r="15" spans="1:33" ht="14.5" customHeight="1" x14ac:dyDescent="0.35">
      <c r="A15" s="86" t="s">
        <v>144</v>
      </c>
      <c r="B15" s="85">
        <v>11</v>
      </c>
      <c r="C15" s="86" t="s">
        <v>139</v>
      </c>
      <c r="D15" s="84"/>
      <c r="E15" s="87">
        <v>0</v>
      </c>
      <c r="F15" s="87">
        <f t="shared" si="0"/>
        <v>0</v>
      </c>
      <c r="I15" s="89">
        <f>ROUNDUP((E15)*RPICurrent,0)</f>
        <v>0</v>
      </c>
      <c r="J15" s="87">
        <f t="shared" si="1"/>
        <v>0</v>
      </c>
      <c r="M15" s="89">
        <f t="shared" si="7"/>
        <v>0</v>
      </c>
      <c r="N15" s="87">
        <f t="shared" si="2"/>
        <v>0</v>
      </c>
      <c r="Q15" s="89">
        <f t="shared" si="3"/>
        <v>0</v>
      </c>
      <c r="R15" s="87">
        <f>$Q$15</f>
        <v>0</v>
      </c>
      <c r="U15" s="89">
        <f t="shared" si="4"/>
        <v>0</v>
      </c>
      <c r="V15" s="87">
        <f>$U$15</f>
        <v>0</v>
      </c>
      <c r="Y15" s="89">
        <f t="shared" si="5"/>
        <v>0</v>
      </c>
      <c r="Z15" s="87">
        <f>$Y$15</f>
        <v>0</v>
      </c>
      <c r="AC15" s="89">
        <f t="shared" si="6"/>
        <v>0</v>
      </c>
      <c r="AD15" s="87">
        <f>$AC$15</f>
        <v>0</v>
      </c>
    </row>
    <row r="16" spans="1:33" ht="14.5" customHeight="1" x14ac:dyDescent="0.35">
      <c r="E16" s="87"/>
      <c r="F16" s="87"/>
      <c r="I16" s="89"/>
    </row>
    <row r="17" spans="1:31" ht="14.5" customHeight="1" x14ac:dyDescent="0.35">
      <c r="E17" s="87"/>
      <c r="F17" s="87"/>
      <c r="I17" s="89"/>
    </row>
    <row r="18" spans="1:31" ht="14.5" customHeight="1" x14ac:dyDescent="0.35">
      <c r="E18" s="87"/>
      <c r="F18" s="87"/>
      <c r="I18" s="89"/>
    </row>
    <row r="19" spans="1:31" ht="14.5" customHeight="1" x14ac:dyDescent="0.35">
      <c r="A19" s="84" t="s">
        <v>487</v>
      </c>
      <c r="G19" s="85"/>
      <c r="H19" s="87"/>
      <c r="I19" s="94"/>
      <c r="J19" s="93"/>
      <c r="K19" s="85"/>
      <c r="M19" s="94"/>
      <c r="N19" s="93"/>
      <c r="O19" s="85"/>
      <c r="Q19" s="94"/>
      <c r="R19" s="93"/>
      <c r="S19" s="85"/>
      <c r="U19" s="94"/>
      <c r="V19" s="93"/>
      <c r="W19" s="85"/>
      <c r="Y19" s="94"/>
      <c r="Z19" s="93"/>
      <c r="AA19" s="85"/>
      <c r="AC19" s="94"/>
      <c r="AD19" s="93"/>
      <c r="AE19" s="85"/>
    </row>
    <row r="20" spans="1:31" ht="14.5" customHeight="1" x14ac:dyDescent="0.35">
      <c r="E20" s="85" t="s">
        <v>484</v>
      </c>
      <c r="F20" s="93" t="s">
        <v>488</v>
      </c>
      <c r="G20" s="85" t="s">
        <v>489</v>
      </c>
      <c r="H20" s="87" t="s">
        <v>475</v>
      </c>
      <c r="I20" s="85" t="s">
        <v>484</v>
      </c>
      <c r="J20" s="93" t="s">
        <v>488</v>
      </c>
      <c r="K20" s="85" t="s">
        <v>489</v>
      </c>
      <c r="L20" s="87" t="s">
        <v>475</v>
      </c>
      <c r="M20" s="85" t="s">
        <v>484</v>
      </c>
      <c r="N20" s="93" t="s">
        <v>488</v>
      </c>
      <c r="O20" s="85" t="s">
        <v>489</v>
      </c>
      <c r="P20" s="87" t="s">
        <v>475</v>
      </c>
      <c r="Q20" s="94"/>
      <c r="R20" s="93"/>
      <c r="S20" s="85"/>
      <c r="U20" s="94"/>
      <c r="V20" s="93"/>
      <c r="W20" s="85"/>
      <c r="Y20" s="94"/>
      <c r="Z20" s="93"/>
      <c r="AA20" s="85"/>
      <c r="AC20" s="94"/>
      <c r="AD20" s="93"/>
      <c r="AE20" s="85"/>
    </row>
    <row r="21" spans="1:31" ht="14.5" customHeight="1" x14ac:dyDescent="0.35">
      <c r="A21" s="85"/>
      <c r="D21" s="85"/>
      <c r="E21" s="85">
        <v>8</v>
      </c>
      <c r="F21" s="93" t="s">
        <v>790</v>
      </c>
      <c r="G21" s="85" t="s">
        <v>968</v>
      </c>
      <c r="H21" s="87">
        <v>84417.82</v>
      </c>
      <c r="I21" s="94"/>
      <c r="J21" s="93"/>
      <c r="K21" s="85"/>
      <c r="M21" s="94">
        <v>3</v>
      </c>
      <c r="N21" s="93">
        <v>45407</v>
      </c>
      <c r="O21" s="85" t="s">
        <v>2770</v>
      </c>
      <c r="P21" s="148">
        <v>45531.37</v>
      </c>
      <c r="Q21" s="94"/>
      <c r="R21" s="93"/>
      <c r="S21" s="85"/>
      <c r="U21" s="94"/>
      <c r="V21" s="93"/>
      <c r="W21" s="85"/>
      <c r="Y21" s="94"/>
      <c r="Z21" s="93"/>
      <c r="AA21" s="85"/>
      <c r="AC21" s="94"/>
      <c r="AD21" s="93"/>
      <c r="AE21" s="85"/>
    </row>
    <row r="22" spans="1:31" ht="14.5" customHeight="1" x14ac:dyDescent="0.35">
      <c r="E22" s="85">
        <v>5</v>
      </c>
      <c r="F22" s="93" t="s">
        <v>790</v>
      </c>
      <c r="G22" s="85" t="s">
        <v>1228</v>
      </c>
      <c r="H22" s="87">
        <f>-6250</f>
        <v>-6250</v>
      </c>
      <c r="I22" s="94">
        <v>6</v>
      </c>
      <c r="J22" s="93">
        <v>45057</v>
      </c>
      <c r="K22" s="93" t="s">
        <v>1229</v>
      </c>
      <c r="L22" s="87">
        <v>1765.93</v>
      </c>
      <c r="M22" s="94">
        <v>6</v>
      </c>
      <c r="N22" s="93">
        <v>45422</v>
      </c>
      <c r="O22" s="85" t="s">
        <v>2903</v>
      </c>
      <c r="P22" s="148">
        <v>134.35</v>
      </c>
      <c r="Q22" s="94"/>
      <c r="R22" s="93"/>
      <c r="S22" s="85"/>
      <c r="U22" s="94"/>
      <c r="V22" s="93"/>
      <c r="W22" s="85"/>
      <c r="Y22" s="94"/>
      <c r="Z22" s="93"/>
      <c r="AA22" s="85"/>
      <c r="AC22" s="94"/>
      <c r="AD22" s="93"/>
      <c r="AE22" s="85"/>
    </row>
    <row r="23" spans="1:31" ht="14.5" customHeight="1" x14ac:dyDescent="0.35">
      <c r="E23" s="85">
        <v>5</v>
      </c>
      <c r="F23" s="93" t="s">
        <v>1186</v>
      </c>
      <c r="G23" s="85" t="s">
        <v>1230</v>
      </c>
      <c r="H23" s="87">
        <f>-37.5-20.83</f>
        <v>-58.33</v>
      </c>
      <c r="I23" s="94">
        <v>6</v>
      </c>
      <c r="J23" s="93">
        <v>45084</v>
      </c>
      <c r="K23" s="93" t="s">
        <v>1231</v>
      </c>
      <c r="L23" s="87">
        <v>323.23</v>
      </c>
      <c r="M23" s="94">
        <v>3</v>
      </c>
      <c r="N23" s="93">
        <v>45433</v>
      </c>
      <c r="O23" s="85" t="s">
        <v>2914</v>
      </c>
      <c r="P23" s="148">
        <v>3900</v>
      </c>
      <c r="Q23" s="94"/>
      <c r="R23" s="93"/>
      <c r="S23" s="85"/>
      <c r="U23" s="94"/>
      <c r="V23" s="93"/>
      <c r="W23" s="85"/>
      <c r="Y23" s="94"/>
      <c r="Z23" s="93"/>
      <c r="AA23" s="85"/>
      <c r="AC23" s="94"/>
      <c r="AD23" s="93"/>
      <c r="AE23" s="85"/>
    </row>
    <row r="24" spans="1:31" ht="14.5" customHeight="1" x14ac:dyDescent="0.35">
      <c r="E24" s="85">
        <v>6</v>
      </c>
      <c r="F24" s="93" t="s">
        <v>1186</v>
      </c>
      <c r="G24" s="85" t="s">
        <v>124</v>
      </c>
      <c r="H24" s="87">
        <v>6790.64</v>
      </c>
      <c r="I24" s="94">
        <v>6</v>
      </c>
      <c r="J24" s="93">
        <v>45114</v>
      </c>
      <c r="K24" s="93" t="s">
        <v>1232</v>
      </c>
      <c r="L24" s="87">
        <v>126.51</v>
      </c>
      <c r="M24" s="94">
        <v>3</v>
      </c>
      <c r="N24" s="93">
        <v>45443</v>
      </c>
      <c r="O24" s="85" t="s">
        <v>3111</v>
      </c>
      <c r="P24" s="148">
        <v>-3900</v>
      </c>
      <c r="Q24" s="94"/>
      <c r="R24" s="93"/>
      <c r="S24" s="85"/>
      <c r="U24" s="94"/>
      <c r="V24" s="93"/>
      <c r="W24" s="85"/>
      <c r="Y24" s="94"/>
      <c r="Z24" s="93"/>
      <c r="AA24" s="85"/>
      <c r="AC24" s="94"/>
      <c r="AD24" s="93"/>
      <c r="AE24" s="85"/>
    </row>
    <row r="25" spans="1:31" ht="14.5" customHeight="1" x14ac:dyDescent="0.35">
      <c r="E25" s="85">
        <v>3</v>
      </c>
      <c r="F25" s="93">
        <v>44736</v>
      </c>
      <c r="G25" s="85" t="s">
        <v>1233</v>
      </c>
      <c r="H25" s="87">
        <f>4252.5+17010.83</f>
        <v>21263.33</v>
      </c>
      <c r="I25" s="94">
        <v>6</v>
      </c>
      <c r="J25" s="93">
        <v>45143</v>
      </c>
      <c r="K25" s="93" t="s">
        <v>1234</v>
      </c>
      <c r="L25" s="87">
        <v>122.73</v>
      </c>
      <c r="M25" s="94">
        <v>6</v>
      </c>
      <c r="N25" s="93">
        <v>45447</v>
      </c>
      <c r="O25" s="85" t="s">
        <v>2965</v>
      </c>
      <c r="P25" s="148">
        <v>473.98</v>
      </c>
      <c r="Q25" s="94"/>
      <c r="R25" s="93"/>
      <c r="S25" s="85"/>
      <c r="U25" s="94"/>
      <c r="V25" s="93"/>
      <c r="W25" s="85"/>
      <c r="Y25" s="94"/>
      <c r="Z25" s="93"/>
      <c r="AA25" s="85"/>
      <c r="AC25" s="94"/>
      <c r="AD25" s="93"/>
      <c r="AE25" s="85"/>
    </row>
    <row r="26" spans="1:31" ht="14.5" customHeight="1" x14ac:dyDescent="0.35">
      <c r="E26" s="85">
        <v>3</v>
      </c>
      <c r="F26" s="93" t="s">
        <v>491</v>
      </c>
      <c r="G26" s="85" t="s">
        <v>143</v>
      </c>
      <c r="H26" s="87">
        <v>13108.67</v>
      </c>
      <c r="I26" s="94">
        <v>5</v>
      </c>
      <c r="J26" s="93" t="s">
        <v>790</v>
      </c>
      <c r="K26" s="93" t="s">
        <v>147</v>
      </c>
      <c r="L26" s="87">
        <v>-6250</v>
      </c>
      <c r="M26" s="94">
        <v>6</v>
      </c>
      <c r="N26" s="93">
        <v>45464</v>
      </c>
      <c r="O26" s="85" t="s">
        <v>1231</v>
      </c>
      <c r="P26" s="148">
        <v>159.58000000000001</v>
      </c>
      <c r="Q26" s="94"/>
      <c r="R26" s="93"/>
      <c r="S26" s="85"/>
      <c r="U26" s="94"/>
      <c r="V26" s="93"/>
      <c r="W26" s="85"/>
      <c r="Y26" s="94"/>
      <c r="Z26" s="93"/>
      <c r="AA26" s="85"/>
      <c r="AC26" s="94"/>
      <c r="AD26" s="93"/>
      <c r="AE26" s="85"/>
    </row>
    <row r="27" spans="1:31" ht="14.5" customHeight="1" x14ac:dyDescent="0.35">
      <c r="E27" s="85">
        <v>1</v>
      </c>
      <c r="F27" s="93" t="s">
        <v>491</v>
      </c>
      <c r="G27" s="85" t="s">
        <v>1235</v>
      </c>
      <c r="H27" s="87">
        <f>18000*RPICurrent-'2-Normanston Park'!H26</f>
        <v>6421.33</v>
      </c>
      <c r="I27" s="94">
        <v>6</v>
      </c>
      <c r="J27" s="93">
        <v>45181</v>
      </c>
      <c r="K27" s="93" t="s">
        <v>1236</v>
      </c>
      <c r="L27" s="87">
        <v>123.12</v>
      </c>
      <c r="M27" s="94">
        <v>5</v>
      </c>
      <c r="N27" s="93">
        <v>45469</v>
      </c>
      <c r="O27" s="85" t="s">
        <v>3113</v>
      </c>
      <c r="P27" s="148">
        <f>-(185-70)</f>
        <v>-115</v>
      </c>
      <c r="Q27" s="94"/>
      <c r="R27" s="93"/>
      <c r="S27" s="85"/>
      <c r="U27" s="94"/>
      <c r="V27" s="93"/>
      <c r="W27" s="85"/>
      <c r="Y27" s="94"/>
      <c r="Z27" s="93"/>
      <c r="AA27" s="85"/>
      <c r="AC27" s="94"/>
      <c r="AD27" s="93"/>
      <c r="AE27" s="85"/>
    </row>
    <row r="28" spans="1:31" ht="14.5" customHeight="1" x14ac:dyDescent="0.35">
      <c r="E28" s="85">
        <v>1</v>
      </c>
      <c r="F28" s="93" t="s">
        <v>699</v>
      </c>
      <c r="G28" s="85" t="s">
        <v>1237</v>
      </c>
      <c r="H28" s="87">
        <v>1856.56</v>
      </c>
      <c r="I28" s="94">
        <v>6</v>
      </c>
      <c r="J28" s="93">
        <v>45205</v>
      </c>
      <c r="K28" s="93" t="s">
        <v>1238</v>
      </c>
      <c r="L28" s="87">
        <v>119.78</v>
      </c>
      <c r="M28" s="94">
        <v>6</v>
      </c>
      <c r="N28" s="93">
        <v>45482</v>
      </c>
      <c r="O28" s="85" t="s">
        <v>1232</v>
      </c>
      <c r="P28" s="87">
        <v>127.82</v>
      </c>
      <c r="Q28" s="94"/>
      <c r="R28" s="93"/>
      <c r="S28" s="85"/>
      <c r="U28" s="94"/>
      <c r="V28" s="93"/>
      <c r="W28" s="85"/>
      <c r="Y28" s="94"/>
      <c r="Z28" s="93"/>
      <c r="AA28" s="85"/>
      <c r="AC28" s="94"/>
      <c r="AD28" s="93"/>
      <c r="AE28" s="85"/>
    </row>
    <row r="29" spans="1:31" ht="14.5" customHeight="1" x14ac:dyDescent="0.35">
      <c r="E29" s="85">
        <v>6</v>
      </c>
      <c r="F29" s="93">
        <v>44887</v>
      </c>
      <c r="G29" s="85" t="s">
        <v>1239</v>
      </c>
      <c r="H29" s="87"/>
      <c r="I29" s="94">
        <v>6</v>
      </c>
      <c r="J29" s="93">
        <v>45034</v>
      </c>
      <c r="K29" s="93" t="s">
        <v>2166</v>
      </c>
      <c r="L29" s="87">
        <v>186.75</v>
      </c>
      <c r="M29" s="94"/>
      <c r="N29" s="93"/>
      <c r="O29" s="85"/>
      <c r="Q29" s="94"/>
      <c r="R29" s="93"/>
      <c r="S29" s="85"/>
      <c r="U29" s="94"/>
      <c r="V29" s="93"/>
      <c r="W29" s="85"/>
      <c r="Y29" s="94"/>
      <c r="Z29" s="93"/>
      <c r="AA29" s="85"/>
      <c r="AC29" s="94"/>
      <c r="AD29" s="93"/>
      <c r="AE29" s="85"/>
    </row>
    <row r="30" spans="1:31" ht="14.5" customHeight="1" x14ac:dyDescent="0.35">
      <c r="E30" s="85">
        <v>6</v>
      </c>
      <c r="F30" s="93">
        <v>44896</v>
      </c>
      <c r="G30" s="85" t="s">
        <v>1240</v>
      </c>
      <c r="H30" s="87"/>
      <c r="I30" s="94">
        <v>6</v>
      </c>
      <c r="J30" s="93">
        <v>45232</v>
      </c>
      <c r="K30" s="93" t="s">
        <v>2167</v>
      </c>
      <c r="L30" s="87">
        <v>354.49</v>
      </c>
      <c r="M30" s="94"/>
      <c r="N30" s="93"/>
      <c r="O30" s="85"/>
      <c r="Q30" s="94"/>
      <c r="R30" s="93"/>
      <c r="S30" s="85"/>
      <c r="U30" s="94"/>
      <c r="V30" s="93"/>
      <c r="W30" s="85"/>
      <c r="Y30" s="94"/>
      <c r="Z30" s="93"/>
      <c r="AA30" s="85"/>
      <c r="AC30" s="94"/>
      <c r="AD30" s="93"/>
      <c r="AE30" s="85"/>
    </row>
    <row r="31" spans="1:31" ht="73.75" customHeight="1" x14ac:dyDescent="0.35">
      <c r="E31" s="108"/>
      <c r="F31" s="108" t="s">
        <v>491</v>
      </c>
      <c r="G31" s="113" t="s">
        <v>1241</v>
      </c>
      <c r="H31" s="108" t="s">
        <v>1242</v>
      </c>
      <c r="I31" s="94">
        <v>6</v>
      </c>
      <c r="J31" s="93">
        <v>45237</v>
      </c>
      <c r="K31" s="93" t="s">
        <v>2168</v>
      </c>
      <c r="L31" s="87">
        <v>388.21</v>
      </c>
      <c r="M31" s="94"/>
      <c r="N31" s="93"/>
      <c r="O31" s="85"/>
      <c r="Q31" s="94"/>
      <c r="R31" s="93"/>
      <c r="S31" s="85"/>
      <c r="U31" s="94"/>
      <c r="V31" s="93"/>
      <c r="W31" s="85"/>
      <c r="Y31" s="94"/>
      <c r="Z31" s="93"/>
      <c r="AA31" s="85"/>
      <c r="AC31" s="94"/>
      <c r="AD31" s="93"/>
      <c r="AE31" s="85"/>
    </row>
    <row r="32" spans="1:31" ht="14.5" customHeight="1" x14ac:dyDescent="0.35">
      <c r="E32" s="85">
        <v>6</v>
      </c>
      <c r="F32" s="93" t="s">
        <v>775</v>
      </c>
      <c r="G32" s="85" t="s">
        <v>1243</v>
      </c>
      <c r="H32" s="87">
        <v>182.14</v>
      </c>
      <c r="I32" s="94">
        <v>6</v>
      </c>
      <c r="J32" s="93">
        <v>45216</v>
      </c>
      <c r="K32" s="93" t="s">
        <v>2169</v>
      </c>
      <c r="L32" s="87">
        <v>388.87</v>
      </c>
      <c r="M32" s="94"/>
      <c r="N32" s="93"/>
      <c r="O32" s="85"/>
      <c r="Q32" s="94"/>
      <c r="R32" s="93"/>
      <c r="S32" s="85"/>
      <c r="U32" s="94"/>
      <c r="V32" s="93"/>
      <c r="W32" s="85"/>
      <c r="Y32" s="94"/>
      <c r="Z32" s="93"/>
      <c r="AA32" s="85"/>
      <c r="AC32" s="94"/>
      <c r="AD32" s="93"/>
      <c r="AE32" s="85"/>
    </row>
    <row r="33" spans="5:31" ht="14.5" customHeight="1" x14ac:dyDescent="0.35">
      <c r="E33" s="85">
        <v>6</v>
      </c>
      <c r="F33" s="93" t="s">
        <v>775</v>
      </c>
      <c r="G33" s="85" t="s">
        <v>1209</v>
      </c>
      <c r="H33" s="87">
        <v>1311.26</v>
      </c>
      <c r="I33" s="94">
        <v>6</v>
      </c>
      <c r="J33" s="93">
        <v>45267</v>
      </c>
      <c r="K33" s="93" t="s">
        <v>2262</v>
      </c>
      <c r="L33" s="87">
        <v>1661.97</v>
      </c>
      <c r="M33" s="94"/>
      <c r="N33" s="93"/>
      <c r="O33" s="85"/>
      <c r="Q33" s="94"/>
      <c r="R33" s="93"/>
      <c r="S33" s="85"/>
      <c r="U33" s="94"/>
      <c r="V33" s="93"/>
      <c r="W33" s="85"/>
      <c r="Y33" s="94"/>
      <c r="Z33" s="93"/>
      <c r="AA33" s="85"/>
      <c r="AC33" s="94"/>
      <c r="AD33" s="93"/>
      <c r="AE33" s="85"/>
    </row>
    <row r="34" spans="5:31" ht="14.5" customHeight="1" x14ac:dyDescent="0.35">
      <c r="E34" s="85">
        <v>3</v>
      </c>
      <c r="F34" s="93">
        <v>44952</v>
      </c>
      <c r="G34" s="85" t="s">
        <v>1244</v>
      </c>
      <c r="H34" s="87">
        <v>-707.5</v>
      </c>
      <c r="I34" s="94">
        <v>6</v>
      </c>
      <c r="J34" s="93">
        <v>45297</v>
      </c>
      <c r="K34" s="93" t="s">
        <v>2350</v>
      </c>
      <c r="L34" s="87">
        <v>1769.29</v>
      </c>
      <c r="M34" s="94"/>
      <c r="N34" s="93"/>
      <c r="O34" s="85"/>
      <c r="Q34" s="94"/>
      <c r="R34" s="93"/>
      <c r="S34" s="85"/>
      <c r="U34" s="94"/>
      <c r="V34" s="93"/>
      <c r="W34" s="85"/>
      <c r="Y34" s="94"/>
      <c r="Z34" s="93"/>
      <c r="AA34" s="85"/>
      <c r="AC34" s="94"/>
      <c r="AD34" s="93"/>
      <c r="AE34" s="85"/>
    </row>
    <row r="35" spans="5:31" ht="14.5" customHeight="1" x14ac:dyDescent="0.35">
      <c r="G35" s="85"/>
      <c r="H35" s="87"/>
      <c r="I35" s="94">
        <v>6</v>
      </c>
      <c r="J35" s="93" t="s">
        <v>814</v>
      </c>
      <c r="K35" s="93" t="s">
        <v>2409</v>
      </c>
      <c r="L35" s="87">
        <v>-2698.69</v>
      </c>
      <c r="M35" s="94"/>
      <c r="N35" s="93"/>
      <c r="O35" s="85"/>
      <c r="Q35" s="94"/>
      <c r="R35" s="93"/>
      <c r="S35" s="85"/>
      <c r="U35" s="94"/>
      <c r="V35" s="93"/>
      <c r="W35" s="85"/>
      <c r="Y35" s="94"/>
      <c r="Z35" s="93"/>
      <c r="AA35" s="85"/>
      <c r="AC35" s="94"/>
      <c r="AD35" s="93"/>
      <c r="AE35" s="85"/>
    </row>
    <row r="36" spans="5:31" ht="14.5" customHeight="1" x14ac:dyDescent="0.35">
      <c r="G36" s="85"/>
      <c r="H36" s="87"/>
      <c r="I36" s="94">
        <v>6</v>
      </c>
      <c r="J36" s="93">
        <v>45308</v>
      </c>
      <c r="K36" s="93" t="s">
        <v>2541</v>
      </c>
      <c r="L36" s="87">
        <v>1061.68</v>
      </c>
      <c r="M36" s="94"/>
      <c r="N36" s="93"/>
      <c r="O36" s="85"/>
      <c r="Q36" s="94"/>
      <c r="R36" s="93"/>
      <c r="S36" s="85"/>
      <c r="U36" s="94"/>
      <c r="V36" s="93"/>
      <c r="W36" s="85"/>
      <c r="Y36" s="94"/>
      <c r="Z36" s="93"/>
      <c r="AA36" s="85"/>
      <c r="AC36" s="94"/>
      <c r="AD36" s="93"/>
      <c r="AE36" s="85"/>
    </row>
    <row r="37" spans="5:31" ht="14.5" customHeight="1" x14ac:dyDescent="0.35">
      <c r="G37" s="85"/>
      <c r="H37" s="87"/>
      <c r="I37" s="94">
        <v>3</v>
      </c>
      <c r="J37" s="93">
        <v>45327</v>
      </c>
      <c r="K37" s="93" t="s">
        <v>2548</v>
      </c>
      <c r="L37" s="87">
        <v>450</v>
      </c>
      <c r="M37" s="94"/>
      <c r="N37" s="93"/>
      <c r="O37" s="85"/>
      <c r="Q37" s="94"/>
      <c r="R37" s="93"/>
      <c r="S37" s="85"/>
      <c r="U37" s="94"/>
      <c r="V37" s="93"/>
      <c r="W37" s="85"/>
      <c r="Y37" s="94"/>
      <c r="Z37" s="93"/>
      <c r="AA37" s="85"/>
      <c r="AC37" s="94"/>
      <c r="AD37" s="93"/>
      <c r="AE37" s="85"/>
    </row>
    <row r="38" spans="5:31" ht="14.5" customHeight="1" x14ac:dyDescent="0.35">
      <c r="G38" s="85"/>
      <c r="H38" s="87"/>
      <c r="I38" s="94">
        <v>6</v>
      </c>
      <c r="J38" s="93">
        <v>45329</v>
      </c>
      <c r="K38" s="93" t="s">
        <v>1275</v>
      </c>
      <c r="L38" s="87">
        <v>1829.71</v>
      </c>
      <c r="M38" s="94"/>
      <c r="N38" s="93"/>
      <c r="O38" s="85"/>
      <c r="Q38" s="94"/>
      <c r="R38" s="93"/>
      <c r="S38" s="85"/>
      <c r="U38" s="94"/>
      <c r="V38" s="93"/>
      <c r="W38" s="85"/>
      <c r="Y38" s="94"/>
      <c r="Z38" s="93"/>
      <c r="AA38" s="85"/>
      <c r="AC38" s="94"/>
      <c r="AD38" s="93"/>
      <c r="AE38" s="85"/>
    </row>
    <row r="39" spans="5:31" ht="14.5" customHeight="1" x14ac:dyDescent="0.35">
      <c r="G39" s="85"/>
      <c r="H39" s="87"/>
      <c r="I39" s="94">
        <v>3</v>
      </c>
      <c r="J39" s="93">
        <v>45341</v>
      </c>
      <c r="K39" s="93" t="s">
        <v>2548</v>
      </c>
      <c r="L39" s="87">
        <v>300</v>
      </c>
      <c r="M39" s="94"/>
      <c r="N39" s="93"/>
      <c r="O39" s="85"/>
      <c r="Q39" s="94"/>
      <c r="R39" s="93"/>
      <c r="S39" s="85"/>
      <c r="U39" s="94"/>
      <c r="V39" s="93"/>
      <c r="W39" s="85"/>
      <c r="Y39" s="94"/>
      <c r="Z39" s="93"/>
      <c r="AA39" s="85"/>
      <c r="AC39" s="94"/>
      <c r="AD39" s="93"/>
      <c r="AE39" s="85"/>
    </row>
    <row r="40" spans="5:31" ht="14.5" customHeight="1" x14ac:dyDescent="0.35">
      <c r="G40" s="85"/>
      <c r="H40" s="87"/>
      <c r="I40" s="94">
        <v>5</v>
      </c>
      <c r="J40" s="93">
        <v>45315</v>
      </c>
      <c r="K40" s="93" t="s">
        <v>2673</v>
      </c>
      <c r="L40" s="87">
        <v>-310</v>
      </c>
      <c r="M40" s="94"/>
      <c r="N40" s="93"/>
      <c r="O40" s="85"/>
      <c r="Q40" s="94"/>
      <c r="R40" s="93"/>
      <c r="S40" s="85"/>
      <c r="U40" s="94"/>
      <c r="V40" s="93"/>
      <c r="W40" s="85"/>
      <c r="Y40" s="94"/>
      <c r="Z40" s="93"/>
      <c r="AA40" s="85"/>
      <c r="AC40" s="94"/>
      <c r="AD40" s="93"/>
      <c r="AE40" s="85"/>
    </row>
    <row r="41" spans="5:31" ht="14.5" customHeight="1" x14ac:dyDescent="0.35">
      <c r="G41" s="85"/>
      <c r="H41" s="87"/>
      <c r="I41" s="94">
        <v>5</v>
      </c>
      <c r="J41" s="93">
        <v>45363</v>
      </c>
      <c r="K41" s="93" t="s">
        <v>2673</v>
      </c>
      <c r="L41" s="87">
        <v>-140</v>
      </c>
      <c r="M41" s="94"/>
      <c r="N41" s="93"/>
      <c r="O41" s="85"/>
      <c r="Q41" s="94"/>
      <c r="R41" s="93"/>
      <c r="S41" s="85"/>
      <c r="U41" s="94"/>
      <c r="V41" s="93"/>
      <c r="W41" s="85"/>
      <c r="Y41" s="94"/>
      <c r="Z41" s="93"/>
      <c r="AA41" s="85"/>
      <c r="AC41" s="94"/>
      <c r="AD41" s="93"/>
      <c r="AE41" s="85"/>
    </row>
    <row r="42" spans="5:31" ht="14.5" customHeight="1" x14ac:dyDescent="0.35">
      <c r="G42" s="85"/>
      <c r="H42" s="87"/>
      <c r="I42" s="94">
        <v>6</v>
      </c>
      <c r="J42" s="93">
        <v>45358</v>
      </c>
      <c r="K42" s="93" t="s">
        <v>1208</v>
      </c>
      <c r="L42" s="87">
        <v>1661.15</v>
      </c>
      <c r="M42" s="94"/>
      <c r="N42" s="93"/>
      <c r="O42" s="85"/>
      <c r="Q42" s="94"/>
      <c r="R42" s="93"/>
      <c r="S42" s="85"/>
      <c r="U42" s="94"/>
      <c r="V42" s="93"/>
      <c r="W42" s="85"/>
      <c r="Y42" s="94"/>
      <c r="Z42" s="93"/>
      <c r="AA42" s="85"/>
      <c r="AC42" s="94"/>
      <c r="AD42" s="93"/>
      <c r="AE42" s="85"/>
    </row>
    <row r="43" spans="5:31" ht="14.5" customHeight="1" x14ac:dyDescent="0.35">
      <c r="G43" s="85"/>
      <c r="H43" s="87"/>
      <c r="I43" s="94">
        <v>3</v>
      </c>
      <c r="J43" s="93">
        <v>45376</v>
      </c>
      <c r="K43" s="93" t="s">
        <v>2770</v>
      </c>
      <c r="L43" s="87">
        <f>124601.93</f>
        <v>124601.93</v>
      </c>
      <c r="M43" s="94"/>
      <c r="N43" s="93"/>
      <c r="O43" s="85"/>
      <c r="Q43" s="94"/>
      <c r="R43" s="93"/>
      <c r="S43" s="85"/>
      <c r="U43" s="94"/>
      <c r="V43" s="93"/>
      <c r="W43" s="85"/>
      <c r="Y43" s="94"/>
      <c r="Z43" s="93"/>
      <c r="AA43" s="85"/>
      <c r="AC43" s="94"/>
      <c r="AD43" s="93"/>
      <c r="AE43" s="85"/>
    </row>
    <row r="44" spans="5:31" ht="14.5" customHeight="1" x14ac:dyDescent="0.35">
      <c r="G44" s="85"/>
      <c r="H44" s="87"/>
      <c r="I44" s="94">
        <v>6</v>
      </c>
      <c r="J44" s="93" t="s">
        <v>775</v>
      </c>
      <c r="K44" s="93" t="s">
        <v>1209</v>
      </c>
      <c r="L44" s="148">
        <v>417.89</v>
      </c>
      <c r="M44" s="94"/>
      <c r="N44" s="93"/>
      <c r="O44" s="85"/>
      <c r="Q44" s="94"/>
      <c r="R44" s="93"/>
      <c r="S44" s="85"/>
      <c r="U44" s="94"/>
      <c r="V44" s="93"/>
      <c r="W44" s="85"/>
      <c r="Y44" s="94"/>
      <c r="Z44" s="93"/>
      <c r="AA44" s="85"/>
      <c r="AC44" s="94"/>
      <c r="AD44" s="93"/>
      <c r="AE44" s="85"/>
    </row>
    <row r="45" spans="5:31" ht="14.5" customHeight="1" x14ac:dyDescent="0.35">
      <c r="G45" s="85"/>
      <c r="H45" s="87"/>
      <c r="I45" s="94">
        <v>3</v>
      </c>
      <c r="J45" s="93" t="s">
        <v>775</v>
      </c>
      <c r="K45" s="93" t="s">
        <v>2784</v>
      </c>
      <c r="L45" s="148">
        <v>-115926.04</v>
      </c>
      <c r="M45" s="94"/>
      <c r="N45" s="93"/>
      <c r="O45" s="85"/>
      <c r="Q45" s="94"/>
      <c r="R45" s="93"/>
      <c r="S45" s="85"/>
      <c r="U45" s="94"/>
      <c r="V45" s="93"/>
      <c r="W45" s="85"/>
      <c r="Y45" s="94"/>
      <c r="Z45" s="93"/>
      <c r="AA45" s="85"/>
      <c r="AC45" s="94"/>
      <c r="AD45" s="93"/>
      <c r="AE45" s="85"/>
    </row>
    <row r="46" spans="5:31" ht="14.5" customHeight="1" x14ac:dyDescent="0.35">
      <c r="G46" s="85"/>
      <c r="H46" s="87"/>
      <c r="I46" s="94">
        <v>6</v>
      </c>
      <c r="J46" s="93" t="s">
        <v>775</v>
      </c>
      <c r="K46" s="93" t="s">
        <v>1243</v>
      </c>
      <c r="L46" s="148">
        <v>512.73</v>
      </c>
      <c r="M46" s="94"/>
      <c r="N46" s="93"/>
      <c r="O46" s="85"/>
      <c r="Q46" s="94"/>
      <c r="R46" s="93"/>
      <c r="S46" s="85"/>
      <c r="U46" s="94"/>
      <c r="V46" s="93"/>
      <c r="W46" s="85"/>
      <c r="Y46" s="94"/>
      <c r="Z46" s="93"/>
      <c r="AA46" s="85"/>
      <c r="AC46" s="94"/>
      <c r="AD46" s="93"/>
      <c r="AE46" s="85"/>
    </row>
    <row r="47" spans="5:31" ht="14.5" customHeight="1" x14ac:dyDescent="0.35">
      <c r="G47" s="85"/>
      <c r="H47" s="87"/>
      <c r="I47" s="94">
        <v>5</v>
      </c>
      <c r="J47" s="93" t="s">
        <v>775</v>
      </c>
      <c r="K47" s="93" t="s">
        <v>2797</v>
      </c>
      <c r="L47" s="148">
        <v>-60</v>
      </c>
      <c r="M47" s="94"/>
      <c r="N47" s="93"/>
      <c r="O47" s="85"/>
      <c r="Q47" s="94"/>
      <c r="R47" s="93"/>
      <c r="S47" s="85"/>
      <c r="U47" s="94"/>
      <c r="V47" s="93"/>
      <c r="W47" s="85"/>
      <c r="Y47" s="94"/>
      <c r="Z47" s="93"/>
      <c r="AA47" s="85"/>
      <c r="AC47" s="94"/>
      <c r="AD47" s="93"/>
      <c r="AE47" s="85"/>
    </row>
    <row r="48" spans="5:31" ht="14.5" customHeight="1" x14ac:dyDescent="0.35">
      <c r="G48" s="85"/>
      <c r="H48" s="87"/>
      <c r="I48" s="94">
        <v>3</v>
      </c>
      <c r="J48" s="93" t="s">
        <v>814</v>
      </c>
      <c r="K48" s="93" t="s">
        <v>2804</v>
      </c>
      <c r="L48" s="87">
        <v>-8000</v>
      </c>
      <c r="M48" s="94"/>
      <c r="N48" s="93"/>
      <c r="O48" s="85"/>
      <c r="Q48" s="94"/>
      <c r="R48" s="93"/>
      <c r="S48" s="85"/>
      <c r="U48" s="94"/>
      <c r="V48" s="93"/>
      <c r="W48" s="85"/>
      <c r="Y48" s="94"/>
      <c r="Z48" s="93"/>
      <c r="AA48" s="85"/>
      <c r="AC48" s="94"/>
      <c r="AD48" s="93"/>
      <c r="AE48" s="85"/>
    </row>
    <row r="49" spans="7:31" ht="14.5" customHeight="1" x14ac:dyDescent="0.35">
      <c r="G49" s="85"/>
      <c r="H49" s="87"/>
      <c r="I49" s="94">
        <v>3</v>
      </c>
      <c r="J49" s="93" t="s">
        <v>814</v>
      </c>
      <c r="K49" s="85" t="s">
        <v>2805</v>
      </c>
      <c r="L49" s="87">
        <v>-5250</v>
      </c>
      <c r="M49" s="94"/>
      <c r="N49" s="93"/>
      <c r="O49" s="85"/>
      <c r="Q49" s="94"/>
      <c r="R49" s="93"/>
      <c r="S49" s="85"/>
      <c r="U49" s="94"/>
      <c r="V49" s="93"/>
      <c r="W49" s="85"/>
      <c r="Y49" s="94"/>
      <c r="Z49" s="93"/>
      <c r="AA49" s="85"/>
      <c r="AC49" s="94"/>
      <c r="AD49" s="93"/>
      <c r="AE49" s="85"/>
    </row>
    <row r="50" spans="7:31" ht="14.5" customHeight="1" x14ac:dyDescent="0.35">
      <c r="G50" s="85"/>
      <c r="H50" s="87"/>
      <c r="I50" s="94">
        <v>1</v>
      </c>
      <c r="J50" s="93" t="s">
        <v>699</v>
      </c>
      <c r="K50" s="93" t="s">
        <v>3098</v>
      </c>
      <c r="L50" s="87">
        <v>-5483.16</v>
      </c>
      <c r="M50" s="94"/>
      <c r="N50" s="93"/>
      <c r="O50" s="85"/>
      <c r="Q50" s="94"/>
      <c r="R50" s="93"/>
      <c r="S50" s="85"/>
      <c r="U50" s="94"/>
      <c r="V50" s="93"/>
      <c r="W50" s="85"/>
      <c r="Y50" s="94"/>
      <c r="Z50" s="93"/>
      <c r="AA50" s="85"/>
      <c r="AC50" s="94"/>
      <c r="AD50" s="93"/>
      <c r="AE50" s="85"/>
    </row>
    <row r="51" spans="7:31" ht="14.5" customHeight="1" x14ac:dyDescent="0.35">
      <c r="G51" s="85"/>
      <c r="H51" s="87"/>
      <c r="I51" s="94"/>
      <c r="J51" s="93"/>
      <c r="K51" s="85"/>
      <c r="M51" s="94"/>
      <c r="N51" s="93"/>
      <c r="O51" s="85"/>
      <c r="Q51" s="94"/>
      <c r="R51" s="93"/>
      <c r="S51" s="85"/>
      <c r="U51" s="94"/>
      <c r="V51" s="93"/>
      <c r="W51" s="85"/>
      <c r="Y51" s="94"/>
      <c r="Z51" s="93"/>
      <c r="AA51" s="85"/>
      <c r="AC51" s="94"/>
      <c r="AD51" s="93"/>
      <c r="AE51" s="85"/>
    </row>
    <row r="52" spans="7:31" ht="14.5" customHeight="1" x14ac:dyDescent="0.35">
      <c r="G52" s="85"/>
      <c r="H52" s="87"/>
      <c r="I52" s="94"/>
      <c r="J52" s="93"/>
      <c r="K52" s="85"/>
      <c r="M52" s="94"/>
      <c r="N52" s="93"/>
      <c r="O52" s="85"/>
      <c r="Q52" s="94"/>
      <c r="R52" s="93"/>
      <c r="S52" s="85"/>
      <c r="U52" s="94"/>
      <c r="V52" s="93"/>
      <c r="W52" s="85"/>
      <c r="Y52" s="94"/>
      <c r="Z52" s="93"/>
      <c r="AA52" s="85"/>
      <c r="AC52" s="94"/>
      <c r="AD52" s="93"/>
      <c r="AE52" s="85"/>
    </row>
    <row r="53" spans="7:31" ht="14.5" customHeight="1" x14ac:dyDescent="0.35">
      <c r="G53" s="85"/>
      <c r="H53" s="87"/>
      <c r="I53" s="94"/>
      <c r="J53" s="93"/>
      <c r="K53" s="85"/>
      <c r="M53" s="94"/>
      <c r="N53" s="93"/>
      <c r="O53" s="85"/>
      <c r="Q53" s="94"/>
      <c r="R53" s="93"/>
      <c r="S53" s="85"/>
      <c r="U53" s="94"/>
      <c r="V53" s="93"/>
      <c r="W53" s="85"/>
      <c r="Y53" s="94"/>
      <c r="Z53" s="93"/>
      <c r="AA53" s="85"/>
      <c r="AC53" s="94"/>
      <c r="AD53" s="93"/>
      <c r="AE53" s="85"/>
    </row>
    <row r="54" spans="7:31" ht="14.5" customHeight="1" x14ac:dyDescent="0.35">
      <c r="G54" s="85"/>
      <c r="H54" s="87"/>
      <c r="I54" s="94"/>
      <c r="J54" s="93"/>
      <c r="K54" s="85"/>
      <c r="M54" s="94"/>
      <c r="N54" s="93"/>
      <c r="O54" s="85"/>
      <c r="Q54" s="94"/>
      <c r="R54" s="93"/>
      <c r="S54" s="85"/>
      <c r="U54" s="94"/>
      <c r="V54" s="93"/>
      <c r="W54" s="85"/>
      <c r="Y54" s="94"/>
      <c r="Z54" s="93"/>
      <c r="AA54" s="85"/>
      <c r="AC54" s="94"/>
      <c r="AD54" s="93"/>
      <c r="AE54" s="85"/>
    </row>
    <row r="55" spans="7:31" ht="14.5" customHeight="1" x14ac:dyDescent="0.35">
      <c r="G55" s="85"/>
      <c r="H55" s="87"/>
      <c r="I55" s="94"/>
      <c r="J55" s="93"/>
      <c r="K55" s="85"/>
      <c r="M55" s="94"/>
      <c r="N55" s="93"/>
      <c r="O55" s="85"/>
      <c r="Q55" s="94"/>
      <c r="R55" s="93"/>
      <c r="S55" s="85"/>
      <c r="U55" s="94"/>
      <c r="V55" s="93"/>
      <c r="W55" s="85"/>
      <c r="Y55" s="94"/>
      <c r="Z55" s="93"/>
      <c r="AA55" s="85"/>
      <c r="AC55" s="94"/>
      <c r="AD55" s="93"/>
      <c r="AE55" s="85"/>
    </row>
    <row r="56" spans="7:31" ht="14.5" customHeight="1" x14ac:dyDescent="0.35">
      <c r="G56" s="85"/>
      <c r="H56" s="87"/>
      <c r="I56" s="94"/>
      <c r="J56" s="93"/>
      <c r="K56" s="85"/>
      <c r="M56" s="94"/>
      <c r="N56" s="93"/>
      <c r="O56" s="85"/>
      <c r="Q56" s="94"/>
      <c r="R56" s="93"/>
      <c r="S56" s="85"/>
      <c r="U56" s="94"/>
      <c r="V56" s="93"/>
      <c r="W56" s="85"/>
      <c r="Y56" s="94"/>
      <c r="Z56" s="93"/>
      <c r="AA56" s="85"/>
      <c r="AC56" s="94"/>
      <c r="AD56" s="93"/>
      <c r="AE56" s="85"/>
    </row>
    <row r="57" spans="7:31" ht="14.5" customHeight="1" x14ac:dyDescent="0.35">
      <c r="G57" s="85"/>
      <c r="H57" s="87"/>
      <c r="I57" s="94"/>
      <c r="J57" s="93"/>
      <c r="K57" s="85"/>
      <c r="M57" s="94"/>
      <c r="N57" s="93"/>
      <c r="O57" s="85"/>
      <c r="Q57" s="94"/>
      <c r="R57" s="93"/>
      <c r="S57" s="85"/>
      <c r="U57" s="94"/>
      <c r="V57" s="93"/>
      <c r="W57" s="85"/>
      <c r="Y57" s="94"/>
      <c r="Z57" s="93"/>
      <c r="AA57" s="85"/>
      <c r="AC57" s="94"/>
      <c r="AD57" s="93"/>
      <c r="AE57" s="85"/>
    </row>
    <row r="58" spans="7:31" ht="14.5" customHeight="1" x14ac:dyDescent="0.35">
      <c r="G58" s="85"/>
      <c r="H58" s="87"/>
      <c r="I58" s="94"/>
      <c r="J58" s="93"/>
      <c r="K58" s="85"/>
      <c r="M58" s="94"/>
      <c r="N58" s="93"/>
      <c r="O58" s="85"/>
      <c r="Q58" s="94"/>
      <c r="R58" s="93"/>
      <c r="S58" s="85"/>
      <c r="U58" s="94"/>
      <c r="V58" s="93"/>
      <c r="W58" s="85"/>
      <c r="Y58" s="94"/>
      <c r="Z58" s="93"/>
      <c r="AA58" s="85"/>
      <c r="AC58" s="94"/>
      <c r="AD58" s="93"/>
      <c r="AE58" s="85"/>
    </row>
    <row r="59" spans="7:31" ht="14.5" customHeight="1" x14ac:dyDescent="0.35">
      <c r="G59" s="85"/>
      <c r="H59" s="87"/>
      <c r="I59" s="94"/>
      <c r="J59" s="93"/>
      <c r="K59" s="85"/>
      <c r="M59" s="94"/>
      <c r="N59" s="93"/>
      <c r="O59" s="85"/>
      <c r="Q59" s="94"/>
      <c r="R59" s="93"/>
      <c r="S59" s="85"/>
      <c r="U59" s="94"/>
      <c r="V59" s="93"/>
      <c r="W59" s="85"/>
      <c r="Y59" s="94"/>
      <c r="Z59" s="93"/>
      <c r="AA59" s="85"/>
      <c r="AC59" s="94"/>
      <c r="AD59" s="93"/>
      <c r="AE59" s="85"/>
    </row>
    <row r="60" spans="7:31" ht="14.5" customHeight="1" x14ac:dyDescent="0.35">
      <c r="G60" s="85"/>
      <c r="H60" s="87"/>
      <c r="I60" s="94"/>
      <c r="J60" s="93"/>
      <c r="K60" s="85"/>
      <c r="M60" s="94"/>
      <c r="N60" s="93"/>
      <c r="O60" s="85"/>
      <c r="Q60" s="94"/>
      <c r="R60" s="93"/>
      <c r="S60" s="85"/>
      <c r="U60" s="94"/>
      <c r="V60" s="93"/>
      <c r="W60" s="85"/>
      <c r="Y60" s="94"/>
      <c r="Z60" s="93"/>
      <c r="AA60" s="85"/>
      <c r="AC60" s="94"/>
      <c r="AD60" s="93"/>
      <c r="AE60" s="85"/>
    </row>
    <row r="61" spans="7:31" ht="14.5" customHeight="1" x14ac:dyDescent="0.35">
      <c r="G61" s="85"/>
      <c r="H61" s="87"/>
      <c r="I61" s="94"/>
      <c r="J61" s="93"/>
      <c r="K61" s="85"/>
      <c r="M61" s="94"/>
      <c r="N61" s="93"/>
      <c r="O61" s="85"/>
      <c r="Q61" s="94"/>
      <c r="R61" s="93"/>
      <c r="S61" s="85"/>
      <c r="U61" s="94"/>
      <c r="V61" s="93"/>
      <c r="W61" s="85"/>
      <c r="Y61" s="94"/>
      <c r="Z61" s="93"/>
      <c r="AA61" s="85"/>
      <c r="AC61" s="94"/>
      <c r="AD61" s="93"/>
      <c r="AE61" s="85"/>
    </row>
    <row r="62" spans="7:31" ht="14.5" customHeight="1" x14ac:dyDescent="0.35">
      <c r="G62" s="85"/>
      <c r="H62" s="87"/>
      <c r="I62" s="94"/>
      <c r="J62" s="93"/>
      <c r="K62" s="85"/>
      <c r="M62" s="94"/>
      <c r="N62" s="93"/>
      <c r="O62" s="85"/>
      <c r="Q62" s="94"/>
      <c r="R62" s="93"/>
      <c r="S62" s="85"/>
      <c r="U62" s="94"/>
      <c r="V62" s="93"/>
      <c r="W62" s="85"/>
      <c r="Y62" s="94"/>
      <c r="Z62" s="93"/>
      <c r="AA62" s="85"/>
      <c r="AC62" s="94"/>
      <c r="AD62" s="93"/>
      <c r="AE62" s="85"/>
    </row>
    <row r="63" spans="7:31" ht="14.5" customHeight="1" x14ac:dyDescent="0.35">
      <c r="G63" s="85"/>
      <c r="H63" s="87"/>
      <c r="I63" s="94"/>
      <c r="J63" s="93"/>
      <c r="K63" s="85"/>
      <c r="M63" s="94"/>
      <c r="N63" s="93"/>
      <c r="O63" s="85"/>
      <c r="Q63" s="94"/>
      <c r="R63" s="93"/>
      <c r="S63" s="85"/>
      <c r="U63" s="94"/>
      <c r="V63" s="93"/>
      <c r="W63" s="85"/>
      <c r="Y63" s="94"/>
      <c r="Z63" s="93"/>
      <c r="AA63" s="85"/>
      <c r="AC63" s="94"/>
      <c r="AD63" s="93"/>
      <c r="AE63" s="85"/>
    </row>
    <row r="64" spans="7:31" ht="14.5" customHeight="1" x14ac:dyDescent="0.35">
      <c r="G64" s="85"/>
      <c r="H64" s="87"/>
      <c r="I64" s="94"/>
      <c r="J64" s="93"/>
      <c r="K64" s="85"/>
      <c r="M64" s="94"/>
      <c r="N64" s="93"/>
      <c r="O64" s="85"/>
      <c r="Q64" s="94"/>
      <c r="R64" s="93"/>
      <c r="S64" s="85"/>
      <c r="U64" s="94"/>
      <c r="V64" s="93"/>
      <c r="W64" s="85"/>
      <c r="Y64" s="94"/>
      <c r="Z64" s="93"/>
      <c r="AA64" s="85"/>
      <c r="AC64" s="94"/>
      <c r="AD64" s="93"/>
      <c r="AE64" s="85"/>
    </row>
    <row r="65" spans="7:31" ht="14.5" customHeight="1" x14ac:dyDescent="0.35">
      <c r="G65" s="85"/>
      <c r="H65" s="87"/>
      <c r="I65" s="94"/>
      <c r="J65" s="93"/>
      <c r="K65" s="85"/>
      <c r="M65" s="94"/>
      <c r="N65" s="93"/>
      <c r="O65" s="85"/>
      <c r="Q65" s="94"/>
      <c r="R65" s="93"/>
      <c r="S65" s="85"/>
      <c r="U65" s="94"/>
      <c r="V65" s="93"/>
      <c r="W65" s="85"/>
      <c r="Y65" s="94"/>
      <c r="Z65" s="93"/>
      <c r="AA65" s="85"/>
      <c r="AC65" s="94"/>
      <c r="AD65" s="93"/>
      <c r="AE65" s="85"/>
    </row>
    <row r="66" spans="7:31" ht="14.5" customHeight="1" x14ac:dyDescent="0.35">
      <c r="G66" s="85"/>
      <c r="H66" s="87"/>
      <c r="I66" s="94"/>
      <c r="J66" s="93"/>
      <c r="K66" s="85"/>
      <c r="M66" s="94"/>
      <c r="N66" s="93"/>
      <c r="O66" s="85"/>
      <c r="Q66" s="94"/>
      <c r="R66" s="93"/>
      <c r="S66" s="85"/>
      <c r="U66" s="94"/>
      <c r="V66" s="93"/>
      <c r="W66" s="85"/>
      <c r="Y66" s="94"/>
      <c r="Z66" s="93"/>
      <c r="AA66" s="85"/>
      <c r="AC66" s="94"/>
      <c r="AD66" s="93"/>
      <c r="AE66" s="85"/>
    </row>
    <row r="67" spans="7:31" ht="14.5" customHeight="1" x14ac:dyDescent="0.35">
      <c r="G67" s="85"/>
      <c r="H67" s="87"/>
      <c r="I67" s="94"/>
      <c r="J67" s="93"/>
      <c r="K67" s="85"/>
      <c r="M67" s="94"/>
      <c r="N67" s="93"/>
      <c r="O67" s="85"/>
      <c r="Q67" s="94"/>
      <c r="R67" s="93"/>
      <c r="S67" s="85"/>
      <c r="U67" s="94"/>
      <c r="V67" s="93"/>
      <c r="W67" s="85"/>
      <c r="Y67" s="94"/>
      <c r="Z67" s="93"/>
      <c r="AA67" s="85"/>
      <c r="AC67" s="94"/>
      <c r="AD67" s="93"/>
      <c r="AE67" s="85"/>
    </row>
    <row r="68" spans="7:31" ht="14.5" customHeight="1" x14ac:dyDescent="0.35">
      <c r="G68" s="85"/>
      <c r="H68" s="87"/>
      <c r="I68" s="94"/>
      <c r="J68" s="93"/>
      <c r="K68" s="85"/>
      <c r="M68" s="94"/>
      <c r="N68" s="93"/>
      <c r="O68" s="85"/>
      <c r="Q68" s="94"/>
      <c r="R68" s="93"/>
      <c r="S68" s="85"/>
      <c r="U68" s="94"/>
      <c r="V68" s="93"/>
      <c r="W68" s="85"/>
      <c r="Y68" s="94"/>
      <c r="Z68" s="93"/>
      <c r="AA68" s="85"/>
      <c r="AC68" s="94"/>
      <c r="AD68" s="93"/>
      <c r="AE68" s="85"/>
    </row>
    <row r="69" spans="7:31" ht="14.5" customHeight="1" x14ac:dyDescent="0.35">
      <c r="G69" s="85"/>
      <c r="H69" s="87"/>
      <c r="I69" s="94"/>
      <c r="J69" s="93"/>
      <c r="K69" s="85"/>
      <c r="M69" s="94"/>
      <c r="N69" s="93"/>
      <c r="O69" s="85"/>
      <c r="Q69" s="94"/>
      <c r="R69" s="93"/>
      <c r="S69" s="85"/>
      <c r="U69" s="94"/>
      <c r="V69" s="93"/>
      <c r="W69" s="85"/>
      <c r="Y69" s="94"/>
      <c r="Z69" s="93"/>
      <c r="AA69" s="85"/>
      <c r="AC69" s="94"/>
      <c r="AD69" s="93"/>
      <c r="AE69" s="85"/>
    </row>
    <row r="70" spans="7:31" ht="14.5" customHeight="1" x14ac:dyDescent="0.35">
      <c r="G70" s="85"/>
      <c r="H70" s="87"/>
      <c r="I70" s="94"/>
      <c r="J70" s="93"/>
      <c r="K70" s="85"/>
      <c r="M70" s="94"/>
      <c r="N70" s="93"/>
      <c r="O70" s="85"/>
      <c r="Q70" s="94"/>
      <c r="R70" s="93"/>
      <c r="S70" s="85"/>
      <c r="U70" s="94"/>
      <c r="V70" s="93"/>
      <c r="W70" s="85"/>
      <c r="Y70" s="94"/>
      <c r="Z70" s="93"/>
      <c r="AA70" s="85"/>
      <c r="AC70" s="94"/>
      <c r="AD70" s="93"/>
      <c r="AE70" s="85"/>
    </row>
    <row r="71" spans="7:31" ht="14.5" customHeight="1" x14ac:dyDescent="0.35">
      <c r="G71" s="85"/>
      <c r="H71" s="87"/>
      <c r="I71" s="94"/>
      <c r="J71" s="93"/>
      <c r="K71" s="85"/>
      <c r="M71" s="94"/>
      <c r="N71" s="93"/>
      <c r="O71" s="85"/>
      <c r="Q71" s="94"/>
      <c r="R71" s="93"/>
      <c r="S71" s="85"/>
      <c r="U71" s="94"/>
      <c r="V71" s="93"/>
      <c r="W71" s="85"/>
      <c r="Y71" s="94"/>
      <c r="Z71" s="93"/>
      <c r="AA71" s="85"/>
      <c r="AC71" s="94"/>
      <c r="AD71" s="93"/>
      <c r="AE71" s="85"/>
    </row>
    <row r="72" spans="7:31" ht="14.5" customHeight="1" x14ac:dyDescent="0.35">
      <c r="G72" s="85"/>
      <c r="H72" s="87"/>
      <c r="I72" s="94"/>
      <c r="J72" s="93"/>
      <c r="K72" s="85"/>
      <c r="M72" s="94"/>
      <c r="N72" s="93"/>
      <c r="O72" s="85"/>
      <c r="Q72" s="94"/>
      <c r="R72" s="93"/>
      <c r="S72" s="85"/>
      <c r="U72" s="94"/>
      <c r="V72" s="93"/>
      <c r="W72" s="85"/>
      <c r="Y72" s="94"/>
      <c r="Z72" s="93"/>
      <c r="AA72" s="85"/>
      <c r="AC72" s="94"/>
      <c r="AD72" s="93"/>
      <c r="AE72" s="85"/>
    </row>
    <row r="73" spans="7:31" ht="14.5" customHeight="1" x14ac:dyDescent="0.35">
      <c r="G73" s="85"/>
      <c r="H73" s="87"/>
      <c r="I73" s="94"/>
      <c r="J73" s="93"/>
      <c r="K73" s="85"/>
      <c r="M73" s="94"/>
      <c r="N73" s="93"/>
      <c r="O73" s="85"/>
      <c r="Q73" s="94"/>
      <c r="R73" s="93"/>
      <c r="S73" s="85"/>
      <c r="U73" s="94"/>
      <c r="V73" s="93"/>
      <c r="W73" s="85"/>
      <c r="Y73" s="94"/>
      <c r="Z73" s="93"/>
      <c r="AA73" s="85"/>
      <c r="AC73" s="94"/>
      <c r="AD73" s="93"/>
      <c r="AE73" s="85"/>
    </row>
    <row r="74" spans="7:31" ht="14.5" customHeight="1" x14ac:dyDescent="0.35">
      <c r="G74" s="85"/>
      <c r="H74" s="87"/>
      <c r="I74" s="94"/>
      <c r="J74" s="93"/>
      <c r="K74" s="85"/>
      <c r="M74" s="94"/>
      <c r="N74" s="93"/>
      <c r="O74" s="85"/>
      <c r="Q74" s="94"/>
      <c r="R74" s="93"/>
      <c r="S74" s="85"/>
      <c r="U74" s="94"/>
      <c r="V74" s="93"/>
      <c r="W74" s="85"/>
      <c r="Y74" s="94"/>
      <c r="Z74" s="93"/>
      <c r="AA74" s="85"/>
      <c r="AC74" s="94"/>
      <c r="AD74" s="93"/>
      <c r="AE74" s="85"/>
    </row>
    <row r="75" spans="7:31" ht="14.5" customHeight="1" x14ac:dyDescent="0.35">
      <c r="G75" s="85"/>
      <c r="H75" s="87"/>
      <c r="I75" s="94"/>
      <c r="J75" s="93"/>
      <c r="K75" s="85"/>
      <c r="M75" s="94"/>
      <c r="N75" s="93"/>
      <c r="O75" s="85"/>
      <c r="Q75" s="94"/>
      <c r="R75" s="93"/>
      <c r="S75" s="85"/>
      <c r="U75" s="94"/>
      <c r="V75" s="93"/>
      <c r="W75" s="85"/>
      <c r="Y75" s="94"/>
      <c r="Z75" s="93"/>
      <c r="AA75" s="85"/>
      <c r="AC75" s="94"/>
      <c r="AD75" s="93"/>
      <c r="AE75" s="85"/>
    </row>
    <row r="76" spans="7:31" ht="14.5" customHeight="1" x14ac:dyDescent="0.35">
      <c r="G76" s="85"/>
      <c r="H76" s="87"/>
      <c r="I76" s="94"/>
      <c r="J76" s="93"/>
      <c r="K76" s="85"/>
      <c r="M76" s="94"/>
      <c r="N76" s="93"/>
      <c r="O76" s="85"/>
      <c r="Q76" s="94"/>
      <c r="R76" s="93"/>
      <c r="S76" s="85"/>
      <c r="U76" s="94"/>
      <c r="V76" s="93"/>
      <c r="W76" s="85"/>
      <c r="Y76" s="94"/>
      <c r="Z76" s="93"/>
      <c r="AA76" s="85"/>
      <c r="AC76" s="94"/>
      <c r="AD76" s="93"/>
      <c r="AE76" s="85"/>
    </row>
    <row r="77" spans="7:31" ht="14.5" customHeight="1" x14ac:dyDescent="0.35">
      <c r="G77" s="85"/>
      <c r="H77" s="87"/>
      <c r="I77" s="94"/>
      <c r="J77" s="93"/>
      <c r="K77" s="85"/>
      <c r="M77" s="94"/>
      <c r="N77" s="93"/>
      <c r="O77" s="85"/>
      <c r="Q77" s="94"/>
      <c r="R77" s="93"/>
      <c r="S77" s="85"/>
      <c r="U77" s="94"/>
      <c r="V77" s="93"/>
      <c r="W77" s="85"/>
      <c r="Y77" s="94"/>
      <c r="Z77" s="93"/>
      <c r="AA77" s="85"/>
      <c r="AC77" s="94"/>
      <c r="AD77" s="93"/>
      <c r="AE77" s="85"/>
    </row>
    <row r="78" spans="7:31" ht="14.5" customHeight="1" x14ac:dyDescent="0.35">
      <c r="G78" s="85"/>
      <c r="H78" s="87"/>
      <c r="I78" s="94"/>
      <c r="J78" s="93"/>
      <c r="K78" s="85"/>
      <c r="M78" s="94"/>
      <c r="N78" s="93"/>
      <c r="O78" s="85"/>
      <c r="Q78" s="94"/>
      <c r="R78" s="93"/>
      <c r="S78" s="85"/>
      <c r="U78" s="94"/>
      <c r="V78" s="93"/>
      <c r="W78" s="85"/>
      <c r="Y78" s="94"/>
      <c r="Z78" s="93"/>
      <c r="AA78" s="85"/>
      <c r="AC78" s="94"/>
      <c r="AD78" s="93"/>
      <c r="AE78" s="85"/>
    </row>
    <row r="79" spans="7:31" ht="14.5" customHeight="1" x14ac:dyDescent="0.35">
      <c r="G79" s="85"/>
      <c r="H79" s="87"/>
      <c r="I79" s="94"/>
      <c r="J79" s="93"/>
      <c r="K79" s="85"/>
      <c r="M79" s="94"/>
      <c r="N79" s="93"/>
      <c r="O79" s="85"/>
      <c r="Q79" s="94"/>
      <c r="R79" s="93"/>
      <c r="S79" s="85"/>
      <c r="U79" s="94"/>
      <c r="V79" s="93"/>
      <c r="W79" s="85"/>
      <c r="Y79" s="94"/>
      <c r="Z79" s="93"/>
      <c r="AA79" s="85"/>
      <c r="AC79" s="94"/>
      <c r="AD79" s="93"/>
      <c r="AE79" s="85"/>
    </row>
    <row r="80" spans="7:31" ht="14.5" customHeight="1" x14ac:dyDescent="0.35">
      <c r="G80" s="85"/>
      <c r="H80" s="87"/>
      <c r="I80" s="94"/>
      <c r="J80" s="93"/>
      <c r="K80" s="85"/>
      <c r="M80" s="94"/>
      <c r="N80" s="93"/>
      <c r="O80" s="85"/>
      <c r="Q80" s="94"/>
      <c r="R80" s="93"/>
      <c r="S80" s="85"/>
      <c r="U80" s="94"/>
      <c r="V80" s="93"/>
      <c r="W80" s="85"/>
      <c r="Y80" s="94"/>
      <c r="Z80" s="93"/>
      <c r="AA80" s="85"/>
      <c r="AC80" s="94"/>
      <c r="AD80" s="93"/>
      <c r="AE80" s="85"/>
    </row>
    <row r="81" spans="7:31" ht="14.5" customHeight="1" x14ac:dyDescent="0.35">
      <c r="G81" s="85"/>
      <c r="H81" s="87"/>
      <c r="I81" s="94"/>
      <c r="J81" s="93"/>
      <c r="K81" s="85"/>
      <c r="M81" s="94"/>
      <c r="N81" s="93"/>
      <c r="O81" s="85"/>
      <c r="Q81" s="94"/>
      <c r="R81" s="93"/>
      <c r="S81" s="85"/>
      <c r="U81" s="94"/>
      <c r="V81" s="93"/>
      <c r="W81" s="85"/>
      <c r="Y81" s="94"/>
      <c r="Z81" s="93"/>
      <c r="AA81" s="85"/>
      <c r="AC81" s="94"/>
      <c r="AD81" s="93"/>
      <c r="AE81" s="85"/>
    </row>
    <row r="82" spans="7:31" ht="14.5" customHeight="1" x14ac:dyDescent="0.35">
      <c r="G82" s="85"/>
      <c r="H82" s="87"/>
      <c r="I82" s="94"/>
      <c r="J82" s="93"/>
      <c r="K82" s="85"/>
      <c r="M82" s="94"/>
      <c r="N82" s="93"/>
      <c r="O82" s="85"/>
      <c r="Q82" s="94"/>
      <c r="R82" s="93"/>
      <c r="S82" s="85"/>
      <c r="U82" s="94"/>
      <c r="V82" s="93"/>
      <c r="W82" s="85"/>
      <c r="Y82" s="94"/>
      <c r="Z82" s="93"/>
      <c r="AA82" s="85"/>
      <c r="AC82" s="94"/>
      <c r="AD82" s="93"/>
      <c r="AE82" s="85"/>
    </row>
    <row r="83" spans="7:31" ht="14.5" customHeight="1" x14ac:dyDescent="0.35">
      <c r="G83" s="85"/>
      <c r="H83" s="87"/>
      <c r="I83" s="94"/>
      <c r="J83" s="93"/>
      <c r="K83" s="85"/>
      <c r="M83" s="94"/>
      <c r="N83" s="93"/>
      <c r="O83" s="85"/>
      <c r="Q83" s="94"/>
      <c r="R83" s="93"/>
      <c r="S83" s="85"/>
      <c r="U83" s="94"/>
      <c r="V83" s="93"/>
      <c r="W83" s="85"/>
      <c r="Y83" s="94"/>
      <c r="Z83" s="93"/>
      <c r="AA83" s="85"/>
      <c r="AC83" s="94"/>
      <c r="AD83" s="93"/>
      <c r="AE83" s="85"/>
    </row>
    <row r="84" spans="7:31" ht="14.5" customHeight="1" x14ac:dyDescent="0.35">
      <c r="G84" s="85"/>
      <c r="H84" s="87"/>
      <c r="I84" s="94"/>
      <c r="J84" s="93"/>
      <c r="K84" s="85"/>
      <c r="M84" s="94"/>
      <c r="N84" s="93"/>
      <c r="O84" s="85"/>
      <c r="Q84" s="94"/>
      <c r="R84" s="93"/>
      <c r="S84" s="85"/>
      <c r="U84" s="94"/>
      <c r="V84" s="93"/>
      <c r="W84" s="85"/>
      <c r="Y84" s="94"/>
      <c r="Z84" s="93"/>
      <c r="AA84" s="85"/>
      <c r="AC84" s="94"/>
      <c r="AD84" s="93"/>
      <c r="AE84" s="85"/>
    </row>
    <row r="85" spans="7:31" ht="14.5" customHeight="1" x14ac:dyDescent="0.35">
      <c r="G85" s="85"/>
      <c r="H85" s="87"/>
      <c r="I85" s="94"/>
      <c r="J85" s="93"/>
      <c r="K85" s="85"/>
      <c r="M85" s="94"/>
      <c r="N85" s="93"/>
      <c r="O85" s="85"/>
      <c r="Q85" s="94"/>
      <c r="R85" s="93"/>
      <c r="S85" s="85"/>
      <c r="U85" s="94"/>
      <c r="V85" s="93"/>
      <c r="W85" s="85"/>
      <c r="Y85" s="94"/>
      <c r="Z85" s="93"/>
      <c r="AA85" s="85"/>
      <c r="AC85" s="94"/>
      <c r="AD85" s="93"/>
      <c r="AE85" s="85"/>
    </row>
    <row r="86" spans="7:31" ht="14.5" customHeight="1" x14ac:dyDescent="0.35">
      <c r="G86" s="85"/>
      <c r="H86" s="87"/>
      <c r="I86" s="94"/>
      <c r="J86" s="93"/>
      <c r="K86" s="85"/>
      <c r="M86" s="94"/>
      <c r="N86" s="93"/>
      <c r="O86" s="85"/>
      <c r="Q86" s="94"/>
      <c r="R86" s="93"/>
      <c r="S86" s="85"/>
      <c r="U86" s="94"/>
      <c r="V86" s="93"/>
      <c r="W86" s="85"/>
      <c r="Y86" s="94"/>
      <c r="Z86" s="93"/>
      <c r="AA86" s="85"/>
      <c r="AC86" s="94"/>
      <c r="AD86" s="93"/>
      <c r="AE86" s="85"/>
    </row>
    <row r="87" spans="7:31" ht="14.5" customHeight="1" x14ac:dyDescent="0.35">
      <c r="G87" s="85"/>
      <c r="H87" s="87"/>
      <c r="I87" s="94"/>
      <c r="J87" s="93"/>
      <c r="K87" s="85"/>
      <c r="M87" s="94"/>
      <c r="N87" s="93"/>
      <c r="O87" s="85"/>
      <c r="Q87" s="94"/>
      <c r="R87" s="93"/>
      <c r="S87" s="85"/>
      <c r="U87" s="94"/>
      <c r="V87" s="93"/>
      <c r="W87" s="85"/>
      <c r="Y87" s="94"/>
      <c r="Z87" s="93"/>
      <c r="AA87" s="85"/>
      <c r="AC87" s="94"/>
      <c r="AD87" s="93"/>
      <c r="AE87" s="85"/>
    </row>
    <row r="88" spans="7:31" ht="14.5" customHeight="1" x14ac:dyDescent="0.35">
      <c r="G88" s="85"/>
      <c r="H88" s="87"/>
      <c r="I88" s="94"/>
      <c r="J88" s="93"/>
      <c r="K88" s="85"/>
      <c r="M88" s="94"/>
      <c r="N88" s="93"/>
      <c r="O88" s="85"/>
      <c r="Q88" s="94"/>
      <c r="R88" s="93"/>
      <c r="S88" s="85"/>
      <c r="U88" s="94"/>
      <c r="V88" s="93"/>
      <c r="W88" s="85"/>
      <c r="Y88" s="94"/>
      <c r="Z88" s="93"/>
      <c r="AA88" s="85"/>
      <c r="AC88" s="94"/>
      <c r="AD88" s="93"/>
      <c r="AE88" s="85"/>
    </row>
    <row r="89" spans="7:31" ht="14.5" customHeight="1" x14ac:dyDescent="0.35">
      <c r="G89" s="85"/>
      <c r="H89" s="87"/>
      <c r="I89" s="94"/>
      <c r="J89" s="93"/>
      <c r="K89" s="85"/>
      <c r="M89" s="94"/>
      <c r="N89" s="93"/>
      <c r="O89" s="85"/>
      <c r="Q89" s="94"/>
      <c r="R89" s="93"/>
      <c r="S89" s="85"/>
      <c r="U89" s="94"/>
      <c r="V89" s="93"/>
      <c r="W89" s="85"/>
      <c r="Y89" s="94"/>
      <c r="Z89" s="93"/>
      <c r="AA89" s="85"/>
      <c r="AC89" s="94"/>
      <c r="AD89" s="93"/>
      <c r="AE89" s="85"/>
    </row>
    <row r="90" spans="7:31" ht="14.5" customHeight="1" x14ac:dyDescent="0.35">
      <c r="G90" s="85"/>
      <c r="H90" s="87"/>
      <c r="I90" s="94"/>
      <c r="J90" s="93"/>
      <c r="K90" s="85"/>
      <c r="M90" s="94"/>
      <c r="N90" s="93"/>
      <c r="O90" s="85"/>
      <c r="Q90" s="94"/>
      <c r="R90" s="93"/>
      <c r="S90" s="85"/>
      <c r="U90" s="94"/>
      <c r="V90" s="93"/>
      <c r="W90" s="85"/>
      <c r="Y90" s="94"/>
      <c r="Z90" s="93"/>
      <c r="AA90" s="85"/>
      <c r="AC90" s="94"/>
      <c r="AD90" s="93"/>
      <c r="AE90" s="85"/>
    </row>
    <row r="91" spans="7:31" ht="14.5" customHeight="1" x14ac:dyDescent="0.35">
      <c r="G91" s="85"/>
      <c r="H91" s="87"/>
      <c r="I91" s="94"/>
      <c r="J91" s="93"/>
      <c r="K91" s="85"/>
      <c r="M91" s="94"/>
      <c r="N91" s="93"/>
      <c r="O91" s="85"/>
      <c r="Q91" s="94"/>
      <c r="R91" s="93"/>
      <c r="S91" s="85"/>
      <c r="U91" s="94"/>
      <c r="V91" s="93"/>
      <c r="W91" s="85"/>
      <c r="Y91" s="94"/>
      <c r="Z91" s="93"/>
      <c r="AA91" s="85"/>
      <c r="AC91" s="94"/>
      <c r="AD91" s="93"/>
      <c r="AE91" s="85"/>
    </row>
    <row r="92" spans="7:31" ht="14.5" customHeight="1" x14ac:dyDescent="0.35">
      <c r="G92" s="85"/>
      <c r="H92" s="87"/>
      <c r="I92" s="94"/>
      <c r="J92" s="93"/>
      <c r="K92" s="85"/>
      <c r="M92" s="94"/>
      <c r="N92" s="93"/>
      <c r="O92" s="85"/>
      <c r="Q92" s="94"/>
      <c r="R92" s="93"/>
      <c r="S92" s="85"/>
      <c r="U92" s="94"/>
      <c r="V92" s="93"/>
      <c r="W92" s="85"/>
      <c r="Y92" s="94"/>
      <c r="Z92" s="93"/>
      <c r="AA92" s="85"/>
      <c r="AC92" s="94"/>
      <c r="AD92" s="93"/>
      <c r="AE92" s="85"/>
    </row>
    <row r="93" spans="7:31" ht="14.5" customHeight="1" x14ac:dyDescent="0.35">
      <c r="G93" s="85"/>
      <c r="H93" s="87"/>
      <c r="I93" s="94"/>
      <c r="J93" s="93"/>
      <c r="K93" s="85"/>
      <c r="M93" s="94"/>
      <c r="N93" s="93"/>
      <c r="O93" s="85"/>
      <c r="Q93" s="94"/>
      <c r="R93" s="93"/>
      <c r="S93" s="85"/>
      <c r="U93" s="94"/>
      <c r="V93" s="93"/>
      <c r="W93" s="85"/>
      <c r="Y93" s="94"/>
      <c r="Z93" s="93"/>
      <c r="AA93" s="85"/>
      <c r="AC93" s="94"/>
      <c r="AD93" s="93"/>
      <c r="AE93" s="85"/>
    </row>
    <row r="94" spans="7:31" ht="14.5" customHeight="1" x14ac:dyDescent="0.35">
      <c r="G94" s="85"/>
      <c r="H94" s="87"/>
      <c r="I94" s="94"/>
      <c r="J94" s="93"/>
      <c r="K94" s="85"/>
      <c r="M94" s="94"/>
      <c r="N94" s="93"/>
      <c r="O94" s="85"/>
      <c r="Q94" s="94"/>
      <c r="R94" s="93"/>
      <c r="S94" s="85"/>
      <c r="U94" s="94"/>
      <c r="V94" s="93"/>
      <c r="W94" s="85"/>
      <c r="Y94" s="94"/>
      <c r="Z94" s="93"/>
      <c r="AA94" s="85"/>
      <c r="AC94" s="94"/>
      <c r="AD94" s="93"/>
      <c r="AE94" s="85"/>
    </row>
    <row r="95" spans="7:31" ht="14.5" customHeight="1" x14ac:dyDescent="0.35">
      <c r="G95" s="85"/>
      <c r="H95" s="87"/>
      <c r="I95" s="94"/>
      <c r="J95" s="93"/>
      <c r="K95" s="85"/>
      <c r="M95" s="94"/>
      <c r="N95" s="93"/>
      <c r="O95" s="85"/>
      <c r="Q95" s="94"/>
      <c r="R95" s="93"/>
      <c r="S95" s="85"/>
      <c r="U95" s="94"/>
      <c r="V95" s="93"/>
      <c r="W95" s="85"/>
      <c r="Y95" s="94"/>
      <c r="Z95" s="93"/>
      <c r="AA95" s="85"/>
      <c r="AC95" s="94"/>
      <c r="AD95" s="93"/>
      <c r="AE95" s="85"/>
    </row>
    <row r="96" spans="7:31" ht="14.5" customHeight="1" x14ac:dyDescent="0.35">
      <c r="G96" s="85"/>
      <c r="H96" s="87"/>
      <c r="I96" s="94"/>
      <c r="J96" s="93"/>
      <c r="K96" s="85"/>
      <c r="M96" s="94"/>
      <c r="N96" s="93"/>
      <c r="O96" s="85"/>
      <c r="Q96" s="94"/>
      <c r="R96" s="93"/>
      <c r="S96" s="85"/>
      <c r="U96" s="94"/>
      <c r="V96" s="93"/>
      <c r="W96" s="85"/>
      <c r="Y96" s="94"/>
      <c r="Z96" s="93"/>
      <c r="AA96" s="85"/>
      <c r="AC96" s="94"/>
      <c r="AD96" s="93"/>
      <c r="AE96" s="85"/>
    </row>
    <row r="97" spans="7:31" ht="14.5" customHeight="1" x14ac:dyDescent="0.35">
      <c r="G97" s="85"/>
      <c r="H97" s="87"/>
      <c r="I97" s="94"/>
      <c r="J97" s="93"/>
      <c r="K97" s="85"/>
      <c r="M97" s="94"/>
      <c r="N97" s="93"/>
      <c r="O97" s="85"/>
      <c r="Q97" s="94"/>
      <c r="R97" s="93"/>
      <c r="S97" s="85"/>
      <c r="U97" s="94"/>
      <c r="V97" s="93"/>
      <c r="W97" s="85"/>
      <c r="Y97" s="94"/>
      <c r="Z97" s="93"/>
      <c r="AA97" s="85"/>
      <c r="AC97" s="94"/>
      <c r="AD97" s="93"/>
      <c r="AE97" s="85"/>
    </row>
    <row r="98" spans="7:31" ht="14.5" customHeight="1" x14ac:dyDescent="0.35">
      <c r="G98" s="85"/>
      <c r="H98" s="87"/>
      <c r="I98" s="94"/>
      <c r="J98" s="93"/>
      <c r="K98" s="85"/>
      <c r="M98" s="94"/>
      <c r="N98" s="93"/>
      <c r="O98" s="85"/>
      <c r="Q98" s="94"/>
      <c r="R98" s="93"/>
      <c r="S98" s="85"/>
      <c r="U98" s="94"/>
      <c r="V98" s="93"/>
      <c r="W98" s="85"/>
      <c r="Y98" s="94"/>
      <c r="Z98" s="93"/>
      <c r="AA98" s="85"/>
      <c r="AC98" s="94"/>
      <c r="AD98" s="93"/>
      <c r="AE98" s="85"/>
    </row>
    <row r="99" spans="7:31" ht="14.5" customHeight="1" x14ac:dyDescent="0.35">
      <c r="G99" s="85"/>
      <c r="H99" s="87"/>
      <c r="I99" s="94"/>
      <c r="J99" s="93"/>
      <c r="K99" s="85"/>
      <c r="M99" s="94"/>
      <c r="N99" s="93"/>
      <c r="O99" s="85"/>
      <c r="Q99" s="94"/>
      <c r="R99" s="93"/>
      <c r="S99" s="85"/>
      <c r="U99" s="94"/>
      <c r="V99" s="93"/>
      <c r="W99" s="85"/>
      <c r="Y99" s="94"/>
      <c r="Z99" s="93"/>
      <c r="AA99" s="85"/>
      <c r="AC99" s="94"/>
      <c r="AD99" s="93"/>
      <c r="AE99" s="85"/>
    </row>
    <row r="100" spans="7:31" ht="14.5" customHeight="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ht="14.5" customHeight="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ht="14.5" customHeight="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ht="14.5" customHeight="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ht="14.5" customHeight="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ht="14.5" customHeight="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ht="14.5" customHeight="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ht="14.5" customHeight="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ht="14.5" customHeight="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ht="14.5" customHeight="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ht="14.5" customHeight="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ht="14.5" customHeight="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ht="14.5" customHeight="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ht="14.5" customHeight="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ht="14.5" customHeight="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ht="14.5" customHeight="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ht="14.5" customHeight="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ht="14.5" customHeight="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ht="14.5" customHeight="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ht="14.5" customHeight="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ht="14.5" customHeight="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ht="14.5" customHeight="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ht="14.5" customHeight="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ht="14.5" customHeight="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ht="14.5" customHeight="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ht="14.5" customHeight="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ht="14.5" customHeight="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ht="14.5" customHeight="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ht="14.5" customHeight="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ht="14.5" customHeight="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ht="14.5" customHeight="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ht="14.5" customHeight="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ht="14.5" customHeight="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ht="14.5" customHeight="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ht="14.5" customHeight="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ht="14.5" customHeight="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ht="14.5" customHeight="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ht="14.5" customHeight="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ht="14.5" customHeight="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ht="14.5" customHeight="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ht="14.5" customHeight="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ht="14.5" customHeight="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ht="14.5" customHeight="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ht="14.5" customHeight="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ht="14.5" customHeight="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ht="14.5" customHeight="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ht="14.5" customHeight="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ht="14.5" customHeight="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ht="14.5" customHeight="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ht="14.5" customHeight="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ht="14.5" customHeight="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ht="14.5" customHeight="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ht="14.5" customHeight="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ht="14.5" customHeight="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ht="14.5" customHeight="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ht="14.5" customHeight="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ht="14.5" customHeight="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ht="14.5" customHeight="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ht="14.5" customHeight="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ht="14.5" customHeight="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ht="14.5" customHeight="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ht="14.5" customHeight="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ht="14.5" customHeight="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ht="14.5" customHeight="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ht="14.5" customHeight="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ht="14.5" customHeight="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ht="14.5" customHeight="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ht="14.5" customHeight="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ht="14.5" customHeight="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ht="14.5" customHeight="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ht="14.5" customHeight="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ht="14.5" customHeight="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ht="14.5" customHeight="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ht="14.5" customHeight="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ht="14.5" customHeight="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ht="14.5" customHeight="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ht="14.5" customHeight="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ht="14.5" customHeight="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ht="14.5" customHeight="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ht="14.5" customHeight="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ht="14.5" customHeight="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ht="14.5" customHeight="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ht="14.5" customHeight="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ht="14.5" customHeight="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ht="14.5" customHeight="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ht="14.5" customHeight="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ht="14.5" customHeight="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ht="14.5" customHeight="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ht="14.5" customHeight="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ht="14.5" customHeight="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ht="14.5" customHeight="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ht="14.5" customHeight="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ht="14.5" customHeight="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ht="14.5" customHeight="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ht="14.5" customHeight="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ht="14.5" customHeight="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ht="14.5" customHeight="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ht="14.5" customHeight="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ht="14.5" customHeight="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ht="14.5" customHeight="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ht="14.5" customHeight="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ht="14.5" customHeight="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ht="14.5" customHeight="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ht="14.5" customHeight="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ht="14.5" customHeight="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ht="14.5" customHeight="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ht="14.5" customHeight="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ht="14.5" customHeight="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ht="14.5" customHeight="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ht="14.5" customHeight="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ht="14.5" customHeight="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ht="14.5" customHeight="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ht="14.5" customHeight="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ht="14.5" customHeight="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ht="14.5" customHeight="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ht="14.5" customHeight="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ht="14.5" customHeight="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ht="14.5" customHeight="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ht="14.5" customHeight="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ht="14.5" customHeight="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ht="14.5" customHeight="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ht="14.5" customHeight="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ht="14.5" customHeight="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ht="14.5" customHeight="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ht="14.5" customHeight="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ht="14.5" customHeight="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ht="14.5" customHeight="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ht="14.5" customHeight="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ht="14.5" customHeight="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ht="14.5" customHeight="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ht="14.5" customHeight="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ht="14.5" customHeight="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ht="14.5" customHeight="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ht="14.5" customHeight="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ht="14.5" customHeight="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ht="14.5" customHeight="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ht="14.5" customHeight="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ht="14.5" customHeight="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ht="14.5" customHeight="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ht="14.5" customHeight="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ht="14.5" customHeight="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ht="14.5" customHeight="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ht="14.5" customHeight="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ht="14.5" customHeight="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ht="14.5" customHeight="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ht="14.5" customHeight="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ht="14.5" customHeight="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ht="14.5" customHeight="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ht="14.5" customHeight="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ht="14.5" customHeight="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ht="14.5" customHeight="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ht="14.5" customHeight="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ht="14.5" customHeight="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ht="14.5" customHeight="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ht="14.5" customHeight="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ht="14.5" customHeight="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ht="14.5" customHeight="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ht="14.5" customHeight="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ht="14.5" customHeight="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ht="14.5" customHeight="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ht="14.5" customHeight="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ht="14.5" customHeight="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ht="14.5" customHeight="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ht="14.5" customHeight="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ht="14.5" customHeight="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ht="14.5" customHeight="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ht="14.5" customHeight="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ht="14.5" customHeight="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ht="14.5" customHeight="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ht="14.5" customHeight="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ht="14.5" customHeight="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ht="14.5" customHeight="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ht="14.5" customHeight="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ht="14.5" customHeight="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ht="14.5" customHeight="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ht="14.5" customHeight="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ht="14.5" customHeight="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ht="14.5" customHeight="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ht="14.5" customHeight="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ht="14.5" customHeight="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ht="14.5" customHeight="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ht="14.5" customHeight="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ht="14.5" customHeight="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ht="14.5" customHeight="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ht="14.5" customHeight="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ht="14.5" customHeight="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ht="14.5" customHeight="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ht="14.5" customHeight="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ht="14.5" customHeight="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ht="14.5" customHeight="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ht="14.5" customHeight="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ht="14.5" customHeight="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ht="14.5" customHeight="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ht="14.5" customHeight="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ht="14.5" customHeight="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ht="14.5" customHeight="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ht="14.5" customHeight="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ht="14.5" customHeight="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ht="14.5" customHeight="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ht="14.5" customHeight="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ht="14.5" customHeight="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ht="14.5" customHeight="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ht="14.5" customHeight="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ht="14.5" customHeight="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ht="14.5" customHeight="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ht="14.5" customHeight="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ht="14.5" customHeight="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ht="14.5" customHeight="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ht="14.5" customHeight="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ht="14.5" customHeight="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ht="14.5" customHeight="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ht="14.5" customHeight="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ht="14.5" customHeight="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ht="14.5" customHeight="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ht="14.5" customHeight="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ht="14.5" customHeight="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ht="14.5" customHeight="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ht="14.5" customHeight="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ht="14.5" customHeight="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ht="14.5" customHeight="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ht="14.5" customHeight="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ht="14.5" customHeight="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ht="14.5" customHeight="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ht="14.5" customHeight="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ht="14.5" customHeight="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ht="14.5" customHeight="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ht="14.5" customHeight="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ht="14.5" customHeight="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ht="14.5" customHeight="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ht="14.5" customHeight="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ht="14.5" customHeight="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ht="14.5" customHeight="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ht="14.5" customHeight="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ht="14.5" customHeight="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ht="14.5" customHeight="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ht="14.5" customHeight="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ht="14.5" customHeight="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ht="14.5" customHeight="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ht="14.5" customHeight="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ht="14.5" customHeight="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ht="14.5" customHeight="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ht="14.5" customHeight="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ht="14.5" customHeight="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ht="14.5" customHeight="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ht="14.5" customHeight="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ht="14.5" customHeight="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ht="14.5" customHeight="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ht="14.5" customHeight="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ht="14.5" customHeight="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ht="14.5" customHeight="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ht="14.5" customHeight="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ht="14.5" customHeight="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ht="14.5" customHeight="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ht="14.5" customHeight="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ht="14.5" customHeight="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ht="14.5" customHeight="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ht="14.5" customHeight="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ht="14.5" customHeight="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ht="14.5" customHeight="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ht="14.5" customHeight="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ht="14.5" customHeight="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ht="14.5" customHeight="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ht="14.5" customHeight="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ht="14.5" customHeight="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ht="14.5" customHeight="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ht="14.5" customHeight="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ht="14.5" customHeight="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ht="14.5" customHeight="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ht="14.5" customHeight="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ht="14.5" customHeight="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ht="14.5" customHeight="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ht="14.5" customHeight="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ht="14.5" customHeight="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ht="14.5" customHeight="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ht="14.5" customHeight="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ht="14.5" customHeight="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ht="14.5" customHeight="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ht="14.5" customHeight="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ht="14.5" customHeight="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ht="14.5" customHeight="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ht="14.5" customHeight="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ht="14.5" customHeight="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ht="14.5" customHeight="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ht="14.5" customHeight="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ht="14.5" customHeight="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ht="14.5" customHeight="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ht="14.5" customHeight="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ht="14.5" customHeight="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ht="14.5" customHeight="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ht="14.5" customHeight="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ht="14.5" customHeight="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ht="14.5" customHeight="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ht="14.5" customHeight="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ht="14.5" customHeight="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ht="14.5" customHeight="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ht="14.5" customHeight="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ht="14.5" customHeight="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ht="14.5" customHeight="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ht="14.5" customHeight="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ht="14.5" customHeight="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ht="14.5" customHeight="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ht="14.5" customHeight="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ht="14.5" customHeight="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ht="14.5" customHeight="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ht="14.5" customHeight="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ht="14.5" customHeight="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ht="14.5" customHeight="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ht="14.5" customHeight="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ht="14.5" customHeight="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ht="14.5" customHeight="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ht="14.5" customHeight="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ht="14.5" customHeight="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ht="14.5" customHeight="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ht="14.5" customHeight="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ht="14.5" customHeight="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ht="14.5" customHeight="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ht="14.5" customHeight="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ht="14.5" customHeight="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ht="14.5" customHeight="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ht="14.5" customHeight="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ht="14.5" customHeight="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ht="14.5" customHeight="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ht="14.5" customHeight="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ht="14.5" customHeight="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ht="14.5" customHeight="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ht="14.5" customHeight="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ht="14.5" customHeight="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ht="14.5" customHeight="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ht="14.5" customHeight="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ht="14.5" customHeight="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ht="14.5" customHeight="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ht="14.5" customHeight="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ht="14.5" customHeight="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ht="14.5" customHeight="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ht="14.5" customHeight="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ht="14.5" customHeight="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ht="14.5" customHeight="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ht="14.5" customHeight="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ht="14.5" customHeight="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ht="14.5" customHeight="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ht="14.5" customHeight="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ht="14.5" customHeight="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ht="14.5" customHeight="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ht="14.5" customHeight="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ht="14.5" customHeight="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ht="14.5" customHeight="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ht="14.5" customHeight="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ht="14.5" customHeight="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ht="14.5" customHeight="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ht="14.5" customHeight="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ht="14.5" customHeight="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ht="14.5" customHeight="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ht="14.5" customHeight="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ht="14.5" customHeight="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ht="14.5" customHeight="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ht="14.5" customHeight="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ht="14.5" customHeight="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ht="14.5" customHeight="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ht="14.5" customHeight="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ht="14.5" customHeight="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ht="14.5" customHeight="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ht="14.5" customHeight="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ht="14.5" customHeight="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ht="14.5" customHeight="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ht="14.5" customHeight="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ht="14.5" customHeight="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ht="14.5" customHeight="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ht="14.5" customHeight="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ht="14.5" customHeight="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ht="14.5" customHeight="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ht="14.5" customHeight="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ht="14.5" customHeight="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ht="14.5" customHeight="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ht="14.5" customHeight="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ht="14.5" customHeight="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ht="14.5" customHeight="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ht="14.5" customHeight="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ht="14.5" customHeight="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ht="14.5" customHeight="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ht="14.5" customHeight="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ht="14.5" customHeight="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ht="14.5" customHeight="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ht="14.5" customHeight="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ht="14.5" customHeight="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ht="14.5" customHeight="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ht="14.5" customHeight="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ht="14.5" customHeight="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ht="14.5" customHeight="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ht="14.5" customHeight="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ht="14.5" customHeight="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ht="14.5" customHeight="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ht="14.5" customHeight="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ht="14.5" customHeight="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ht="14.5" customHeight="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ht="14.5" customHeight="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ht="14.5" customHeight="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ht="14.5" customHeight="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ht="14.5" customHeight="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ht="14.5" customHeight="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ht="14.5" customHeight="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ht="14.5" customHeight="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ht="14.5" customHeight="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ht="14.5" customHeight="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ht="14.5" customHeight="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ht="14.5" customHeight="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ht="14.5" customHeight="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ht="14.5" customHeight="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ht="14.5" customHeight="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ht="14.5" customHeight="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ht="14.5" customHeight="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ht="14.5" customHeight="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ht="14.5" customHeight="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ht="14.5" customHeight="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ht="14.5" customHeight="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ht="14.5" customHeight="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ht="14.5" customHeight="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ht="14.5" customHeight="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ht="14.5" customHeight="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ht="14.5" customHeight="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ht="14.5" customHeight="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ht="14.5" customHeight="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ht="14.5" customHeight="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ht="14.5" customHeight="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ht="14.5" customHeight="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ht="14.5" customHeight="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ht="14.5" customHeight="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ht="14.5" customHeight="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ht="14.5" customHeight="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ht="14.5" customHeight="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ht="14.5" customHeight="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ht="14.5" customHeight="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ht="14.5" customHeight="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ht="14.5" customHeight="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ht="14.5" customHeight="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ht="14.5" customHeight="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ht="14.5" customHeight="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ht="14.5" customHeight="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ht="14.5" customHeight="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ht="14.5" customHeight="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ht="14.5" customHeight="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ht="14.5" customHeight="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ht="14.5" customHeight="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ht="14.5" customHeight="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ht="14.5" customHeight="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ht="14.5" customHeight="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ht="14.5" customHeight="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ht="14.5" customHeight="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ht="14.5" customHeight="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ht="14.5" customHeight="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ht="14.5" customHeight="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ht="14.5" customHeight="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ht="14.5" customHeight="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ht="14.5" customHeight="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ht="14.5" customHeight="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ht="14.5" customHeight="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ht="14.5" customHeight="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ht="14.5" customHeight="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ht="14.5" customHeight="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ht="14.5" customHeight="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ht="14.5" customHeight="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ht="14.5" customHeight="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ht="14.5" customHeight="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ht="14.5" customHeight="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ht="14.5" customHeight="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ht="14.5" customHeight="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ht="14.5" customHeight="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ht="14.5" customHeight="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ht="14.5" customHeight="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ht="14.5" customHeight="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ht="14.5" customHeight="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ht="14.5" customHeight="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ht="14.5" customHeight="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ht="14.5" customHeight="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ht="14.5" customHeight="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ht="14.5" customHeight="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ht="14.5" customHeight="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ht="14.5" customHeight="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ht="14.5" customHeight="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ht="14.5" customHeight="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ht="14.5" customHeight="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ht="14.5" customHeight="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ht="14.5" customHeight="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ht="14.5" customHeight="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ht="14.5" customHeight="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ht="14.5" customHeight="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ht="14.5" customHeight="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ht="14.5" customHeight="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ht="14.5" customHeight="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ht="14.5" customHeight="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ht="14.5" customHeight="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ht="14.5" customHeight="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ht="14.5" customHeight="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ht="14.5" customHeight="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ht="14.5" customHeight="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ht="14.5" customHeight="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ht="14.5" customHeight="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ht="14.5" customHeight="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ht="14.5" customHeight="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ht="14.5" customHeight="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ht="14.5" customHeight="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ht="14.5" customHeight="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ht="14.5" customHeight="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ht="14.5" customHeight="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ht="14.5" customHeight="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ht="14.5" customHeight="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ht="14.5" customHeight="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ht="14.5" customHeight="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ht="14.5" customHeight="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ht="14.5" customHeight="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ht="14.5" customHeight="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ht="14.5" customHeight="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ht="14.5" customHeight="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ht="14.5" customHeight="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ht="14.5" customHeight="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ht="14.5" customHeight="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ht="14.5" customHeight="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ht="14.5" customHeight="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ht="14.5" customHeight="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ht="14.5" customHeight="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ht="14.5" customHeight="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ht="14.5" customHeight="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ht="14.5" customHeight="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ht="14.5" customHeight="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ht="14.5" customHeight="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ht="14.5" customHeight="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ht="14.5" customHeight="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ht="14.5" customHeight="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ht="14.5" customHeight="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ht="14.5" customHeight="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ht="14.5" customHeight="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ht="14.5" customHeight="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ht="14.5" customHeight="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ht="14.5" customHeight="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ht="14.5" customHeight="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ht="14.5" customHeight="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ht="14.5" customHeight="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ht="14.5" customHeight="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ht="14.5" customHeight="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ht="14.5" customHeight="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ht="14.5" customHeight="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ht="14.5" customHeight="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ht="14.5" customHeight="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ht="14.5" customHeight="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ht="14.5" customHeight="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ht="14.5" customHeight="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ht="14.5" customHeight="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ht="14.5" customHeight="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ht="14.5" customHeight="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ht="14.5" customHeight="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ht="14.5" customHeight="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ht="14.5" customHeight="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ht="14.5" customHeight="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ht="14.5" customHeight="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ht="14.5" customHeight="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ht="14.5" customHeight="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ht="14.5" customHeight="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ht="14.5" customHeight="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ht="14.5" customHeight="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ht="14.5" customHeight="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ht="14.5" customHeight="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ht="14.5" customHeight="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ht="14.5" customHeight="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ht="14.5" customHeight="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ht="14.5" customHeight="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ht="14.5" customHeight="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ht="14.5" customHeight="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ht="14.5" customHeight="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ht="14.5" customHeight="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ht="14.5" customHeight="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ht="14.5" customHeight="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ht="14.5" customHeight="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ht="14.5" customHeight="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ht="14.5" customHeight="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ht="14.5" customHeight="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ht="14.5" customHeight="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ht="14.5" customHeight="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ht="14.5" customHeight="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ht="14.5" customHeight="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ht="14.5" customHeight="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ht="14.5" customHeight="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ht="14.5" customHeight="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ht="14.5" customHeight="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ht="14.5" customHeight="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ht="14.5" customHeight="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ht="14.5" customHeight="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ht="14.5" customHeight="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ht="14.5" customHeight="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ht="14.5" customHeight="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ht="14.5" customHeight="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ht="14.5" customHeight="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ht="14.5" customHeight="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ht="14.5" customHeight="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ht="14.5" customHeight="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ht="14.5" customHeight="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ht="14.5" customHeight="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ht="14.5" customHeight="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ht="14.5" customHeight="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ht="14.5" customHeight="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ht="14.5" customHeight="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ht="14.5" customHeight="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ht="14.5" customHeight="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ht="14.5" customHeight="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ht="14.5" customHeight="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ht="14.5" customHeight="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ht="14.5" customHeight="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ht="14.5" customHeight="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ht="14.5" customHeight="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ht="14.5" customHeight="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ht="14.5" customHeight="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ht="14.5" customHeight="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ht="14.5" customHeight="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ht="14.5" customHeight="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ht="14.5" customHeight="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ht="14.5" customHeight="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ht="14.5" customHeight="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ht="14.5" customHeight="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ht="14.5" customHeight="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ht="14.5" customHeight="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ht="14.5" customHeight="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ht="14.5" customHeight="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ht="14.5" customHeight="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ht="14.5" customHeight="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ht="14.5" customHeight="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ht="14.5" customHeight="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ht="14.5" customHeight="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ht="14.5" customHeight="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ht="14.5" customHeight="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ht="14.5" customHeight="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ht="14.5" customHeight="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ht="14.5" customHeight="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ht="14.5" customHeight="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ht="14.5" customHeight="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ht="14.5" customHeight="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ht="14.5" customHeight="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ht="14.5" customHeight="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ht="14.5" customHeight="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ht="14.5" customHeight="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ht="14.5" customHeight="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ht="14.5" customHeight="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ht="14.5" customHeight="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ht="14.5" customHeight="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ht="14.5" customHeight="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ht="14.5" customHeight="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ht="14.5" customHeight="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ht="14.5" customHeight="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ht="14.5" customHeight="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ht="14.5" customHeight="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ht="14.5" customHeight="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ht="14.5" customHeight="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ht="14.5" customHeight="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ht="14.5" customHeight="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ht="14.5" customHeight="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ht="14.5" customHeight="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ht="14.5" customHeight="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ht="14.5" customHeight="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ht="14.5" customHeight="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ht="14.5" customHeight="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ht="14.5" customHeight="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ht="14.5" customHeight="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ht="14.5" customHeight="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ht="14.5" customHeight="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ht="14.5" customHeight="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ht="14.5" customHeight="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ht="14.5" customHeight="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ht="14.5" customHeight="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ht="14.5" customHeight="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ht="14.5" customHeight="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ht="14.5" customHeight="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ht="14.5" customHeight="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ht="14.5" customHeight="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ht="14.5" customHeight="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ht="14.5" customHeight="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ht="14.5" customHeight="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ht="14.5" customHeight="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ht="14.5" customHeight="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ht="14.5" customHeight="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ht="14.5" customHeight="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ht="14.5" customHeight="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ht="14.5" customHeight="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ht="14.5" customHeight="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ht="14.5" customHeight="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ht="14.5" customHeight="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ht="14.5" customHeight="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ht="14.5" customHeight="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ht="14.5" customHeight="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ht="14.5" customHeight="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ht="14.5" customHeight="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ht="14.5" customHeight="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ht="14.5" customHeight="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ht="14.5" customHeight="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ht="14.5" customHeight="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ht="14.5" customHeight="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ht="14.5" customHeight="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ht="14.5" customHeight="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ht="14.5" customHeight="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ht="14.5" customHeight="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ht="14.5" customHeight="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ht="14.5" customHeight="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ht="14.5" customHeight="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ht="14.5" customHeight="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ht="14.5" customHeight="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ht="14.5" customHeight="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ht="14.5" customHeight="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ht="14.5" customHeight="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ht="14.5" customHeight="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ht="14.5" customHeight="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ht="14.5" customHeight="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ht="14.5" customHeight="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ht="14.5" customHeight="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ht="14.5" customHeight="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ht="14.5" customHeight="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ht="14.5" customHeight="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ht="14.5" customHeight="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ht="14.5" customHeight="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ht="14.5" customHeight="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ht="14.5" customHeight="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ht="14.5" customHeight="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ht="14.5" customHeight="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ht="14.5" customHeight="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ht="14.5" customHeight="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ht="14.5" customHeight="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ht="14.5" customHeight="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ht="14.5" customHeight="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ht="14.5" customHeight="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ht="14.5" customHeight="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ht="14.5" customHeight="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ht="14.5" customHeight="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ht="14.5" customHeight="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ht="14.5" customHeight="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ht="14.5" customHeight="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ht="14.5" customHeight="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ht="14.5" customHeight="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ht="14.5" customHeight="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ht="14.5" customHeight="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ht="14.5" customHeight="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ht="14.5" customHeight="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ht="14.5" customHeight="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ht="14.5" customHeight="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ht="14.5" customHeight="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ht="14.5" customHeight="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ht="14.5" customHeight="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ht="14.5" customHeight="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ht="14.5" customHeight="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ht="14.5" customHeight="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ht="14.5" customHeight="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ht="14.5" customHeight="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ht="14.5" customHeight="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ht="14.5" customHeight="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ht="14.5" customHeight="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ht="14.5" customHeight="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ht="14.5" customHeight="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ht="14.5" customHeight="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ht="14.5" customHeight="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ht="14.5" customHeight="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ht="14.5" customHeight="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ht="14.5" customHeight="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ht="14.5" customHeight="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ht="14.5" customHeight="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ht="14.5" customHeight="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ht="14.5" customHeight="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ht="14.5" customHeight="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ht="14.5" customHeight="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ht="14.5" customHeight="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ht="14.5" customHeight="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ht="14.5" customHeight="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ht="14.5" customHeight="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ht="14.5" customHeight="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ht="14.5" customHeight="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ht="14.5" customHeight="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ht="14.5" customHeight="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ht="14.5" customHeight="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ht="14.5" customHeight="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ht="14.5" customHeight="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ht="14.5" customHeight="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ht="14.5" customHeight="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ht="14.5" customHeight="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ht="14.5" customHeight="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ht="14.5" customHeight="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ht="14.5" customHeight="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ht="14.5" customHeight="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ht="14.5" customHeight="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ht="14.5" customHeight="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ht="14.5" customHeight="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ht="14.5" customHeight="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ht="14.5" customHeight="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ht="14.5" customHeight="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ht="14.5" customHeight="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ht="14.5" customHeight="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ht="14.5" customHeight="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ht="14.5" customHeight="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ht="14.5" customHeight="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ht="14.5" customHeight="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ht="14.5" customHeight="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ht="14.5" customHeight="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ht="14.5" customHeight="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ht="14.5" customHeight="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ht="14.5" customHeight="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ht="14.5" customHeight="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ht="14.5" customHeight="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ht="14.5" customHeight="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ht="14.5" customHeight="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ht="14.5" customHeight="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ht="14.5" customHeight="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ht="14.5" customHeight="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ht="14.5" customHeight="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ht="14.5" customHeight="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ht="14.5" customHeight="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ht="14.5" customHeight="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ht="14.5" customHeight="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ht="14.5" customHeight="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ht="14.5" customHeight="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ht="14.5" customHeight="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ht="14.5" customHeight="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ht="14.5" customHeight="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ht="14.5" customHeight="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ht="14.5" customHeight="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ht="14.5" customHeight="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ht="14.5" customHeight="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ht="14.5" customHeight="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ht="14.5" customHeight="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ht="14.5" customHeight="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ht="14.5" customHeight="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ht="14.5" customHeight="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ht="14.5" customHeight="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ht="14.5" customHeight="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ht="14.5" customHeight="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ht="14.5" customHeight="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ht="14.5" customHeight="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ht="14.5" customHeight="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ht="14.5" customHeight="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ht="14.5" customHeight="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ht="14.5" customHeight="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ht="14.5" customHeight="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ht="14.5" customHeight="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ht="14.5" customHeight="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ht="14.5" customHeight="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ht="14.5" customHeight="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ht="14.5" customHeight="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ht="14.5" customHeight="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ht="14.5" customHeight="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ht="14.5" customHeight="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ht="14.5" customHeight="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ht="14.5" customHeight="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ht="14.5" customHeight="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ht="14.5" customHeight="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ht="14.5" customHeight="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ht="14.5" customHeight="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ht="14.5" customHeight="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ht="14.5" customHeight="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ht="14.5" customHeight="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ht="14.5" customHeight="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ht="14.5" customHeight="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ht="14.5" customHeight="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ht="14.5" customHeight="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ht="14.5" customHeight="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ht="14.5" customHeight="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ht="14.5" customHeight="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ht="14.5" customHeight="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ht="14.5" customHeight="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ht="14.5" customHeight="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ht="14.5" customHeight="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ht="14.5" customHeight="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ht="14.5" customHeight="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ht="14.5" customHeight="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ht="14.5" customHeight="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ht="14.5" customHeight="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ht="14.5" customHeight="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ht="14.5" customHeight="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ht="14.5" customHeight="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ht="14.5" customHeight="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ht="14.5" customHeight="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ht="14.5" customHeight="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ht="14.5" customHeight="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ht="14.5" customHeight="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ht="14.5" customHeight="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ht="14.5" customHeight="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ht="14.5" customHeight="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ht="14.5" customHeight="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ht="14.5" customHeight="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ht="14.5" customHeight="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ht="14.5" customHeight="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ht="14.5" customHeight="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ht="14.5" customHeight="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ht="14.5" customHeight="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ht="14.5" customHeight="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ht="14.5" customHeight="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ht="14.5" customHeight="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ht="14.5" customHeight="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ht="14.5" customHeight="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ht="14.5" customHeight="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ht="14.5" customHeight="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ht="14.5" customHeight="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ht="14.5" customHeight="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ht="14.5" customHeight="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ht="14.5" customHeight="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ht="14.5" customHeight="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ht="14.5" customHeight="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ht="14.5" customHeight="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ht="14.5" customHeight="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ht="14.5" customHeight="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ht="14.5" customHeight="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ht="14.5" customHeight="1" x14ac:dyDescent="0.35">
      <c r="M1001" s="94"/>
      <c r="N1001" s="93"/>
      <c r="O1001" s="85"/>
    </row>
  </sheetData>
  <conditionalFormatting sqref="A1:AG23 A24:L1048576 Q24:AG1048576 M24:P24">
    <cfRule type="expression" dxfId="54" priority="1">
      <formula>$A4="Spend to Date"</formula>
    </cfRule>
    <cfRule type="expression" dxfId="53" priority="2">
      <formula>$A4="Spend to Date"</formula>
    </cfRule>
  </conditionalFormatting>
  <conditionalFormatting sqref="M25:P1048576">
    <cfRule type="expression" dxfId="52" priority="69">
      <formula>$A27="Spend to Date"</formula>
    </cfRule>
    <cfRule type="expression" dxfId="51" priority="70">
      <formula>$A27="Spend to Date"</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AG1000"/>
  <sheetViews>
    <sheetView workbookViewId="0">
      <pane xSplit="2" ySplit="1" topLeftCell="G2" activePane="bottomRight" state="frozen"/>
      <selection pane="topRight" activeCell="C1" sqref="C1"/>
      <selection pane="bottomLeft" activeCell="A2" sqref="A2"/>
      <selection pane="bottomRight" activeCell="Q27" sqref="Q27"/>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31.7265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23.269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145</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30</v>
      </c>
      <c r="F2" s="87">
        <f>SUM(F3:F3)</f>
        <v>0</v>
      </c>
      <c r="I2" s="89">
        <f>SUM(I3:I4)</f>
        <v>-23</v>
      </c>
      <c r="J2" s="87">
        <f>SUM(J3:J4)</f>
        <v>0</v>
      </c>
      <c r="M2" s="89">
        <f>SUM(M3:M4)</f>
        <v>-24</v>
      </c>
      <c r="N2" s="87">
        <f>SUM(N3:N4)</f>
        <v>0</v>
      </c>
      <c r="Q2" s="89">
        <f>SUM(Q3:Q4)</f>
        <v>0</v>
      </c>
      <c r="R2" s="87">
        <f>SUM(R3:R4)</f>
        <v>0</v>
      </c>
      <c r="U2" s="89">
        <f>SUM(U3:U4)</f>
        <v>0</v>
      </c>
      <c r="V2" s="87">
        <f>SUM(V3:V4)</f>
        <v>0</v>
      </c>
      <c r="Y2" s="89">
        <f>SUM(Y3:Y4)</f>
        <v>0</v>
      </c>
      <c r="Z2" s="87">
        <f>SUM(Z3:Z4)</f>
        <v>0</v>
      </c>
      <c r="AC2" s="89">
        <f>SUM(AC3:AC4)</f>
        <v>0</v>
      </c>
      <c r="AD2" s="87">
        <f>SUM(AD3:AD4)</f>
        <v>0</v>
      </c>
    </row>
    <row r="3" spans="1:33" ht="14.5" customHeight="1" x14ac:dyDescent="0.35">
      <c r="A3" s="86" t="s">
        <v>145</v>
      </c>
      <c r="B3" s="85">
        <v>1</v>
      </c>
      <c r="D3" s="86">
        <v>167</v>
      </c>
      <c r="E3" s="87">
        <v>30</v>
      </c>
      <c r="F3" s="87">
        <f>SUMIFS(H$16:H$1002,E$16:E$1002,1)</f>
        <v>0</v>
      </c>
      <c r="G3" s="87">
        <f>D3+E3-F3+SUMIFS(E$7:E$10,$C$7:$C$10,$A3)-SUMIFS(F$7:F$10,$C$7:$C$10,$A3)</f>
        <v>147.97999999999956</v>
      </c>
      <c r="I3" s="89">
        <v>-23</v>
      </c>
      <c r="J3" s="87">
        <f>SUMIFS(L$16:L$1002,I$16:I$1002,1)</f>
        <v>0</v>
      </c>
      <c r="K3" s="87">
        <f>G3+I3-J3+SUMIFS(I$7:I$10,$C$7:$C$10,$A3)-SUMIFS(J$7:J$10,$C$7:$C$10,$A3)</f>
        <v>147.97999999999956</v>
      </c>
      <c r="L3" s="86"/>
      <c r="M3" s="89">
        <v>-24</v>
      </c>
      <c r="N3" s="87">
        <f>SUMIFS(P$16:P$1002,M$16:M$1002,1)</f>
        <v>0</v>
      </c>
      <c r="O3" s="87">
        <f>K3+M3-N3+SUMIFS(M$7:M$10,$C$7:$C$10,$A3)-SUMIFS(N$7:N$10,$C$7:$C$10,$A3)</f>
        <v>123.97999999999956</v>
      </c>
      <c r="R3" s="87">
        <f>SUMIFS(T$16:T$1002,Q$16:Q$1002,1)</f>
        <v>0</v>
      </c>
      <c r="S3" s="87">
        <f>O3+Q3-R3+SUMIFS(Q$7:Q$10,$C$7:$C$10,$A3)-SUMIFS(R$7:R$10,$C$7:$C$10,$A3)</f>
        <v>123.97999999999956</v>
      </c>
      <c r="V3" s="87">
        <f>SUMIFS(X$16:X$1002,U$16:U$1002,1)</f>
        <v>0</v>
      </c>
      <c r="W3" s="87">
        <f>S3+U3-V3+SUMIFS(U$7:U$10,$C$7:$C$10,$A3)-SUMIFS(V$7:V$10,$C$7:$C$10,$A3)</f>
        <v>123.97999999999956</v>
      </c>
      <c r="Z3" s="87">
        <f>SUMIFS(AB$16:AB$1002,Y$16:Y$1002,1)</f>
        <v>0</v>
      </c>
      <c r="AA3" s="87">
        <f>W3+Y3-Z3+SUMIFS(Y$7:Y$10,$C$7:$C$10,$A3)-SUMIFS(Z$7:Z$10,$C$7:$C$10,$A3)</f>
        <v>123.97999999999956</v>
      </c>
      <c r="AD3" s="87">
        <f>SUMIFS(AF$16:AF$1002,AC$16:AC$1002,1)</f>
        <v>0</v>
      </c>
      <c r="AE3" s="87">
        <f>AA3+AC3-AD3+SUMIFS(AC$7:AC$10,$C$7:$C$10,$A3)-SUMIFS(AD$7:AD$10,$C$7:$C$10,$A3)</f>
        <v>123.97999999999956</v>
      </c>
      <c r="AG3" s="87">
        <v>25000</v>
      </c>
    </row>
    <row r="4" spans="1:33" ht="14.5" customHeight="1" x14ac:dyDescent="0.35">
      <c r="A4" s="86" t="s">
        <v>72</v>
      </c>
      <c r="B4" s="85">
        <v>2</v>
      </c>
      <c r="D4" s="86">
        <v>0</v>
      </c>
      <c r="E4" s="87">
        <v>0</v>
      </c>
      <c r="F4" s="87">
        <v>0</v>
      </c>
      <c r="G4" s="87">
        <f>D4+E4-F4+SUMIFS(E$7:E$10,$C$7:$C$10,$A4)-SUMIFS(F$7:F$10,$C$7:$C$10,$A4)</f>
        <v>0</v>
      </c>
      <c r="J4" s="87">
        <f>SUMIFS(L$16:L$1002,I$16:I$1002,2)</f>
        <v>0</v>
      </c>
      <c r="K4" s="87">
        <f>G4+I4-J4+SUMIFS(I$7:I$10,$C$7:$C$10,$A4)-SUMIFS(J$7:J$10,$C$7:$C$10,$A4)</f>
        <v>0</v>
      </c>
      <c r="L4" s="86"/>
      <c r="N4" s="87">
        <f>SUMIFS(P$16:P$1002,M$16:M$1002,2)</f>
        <v>0</v>
      </c>
      <c r="O4" s="87">
        <f>K4+M4-N4+SUMIFS(M$7:M$10,$C$7:$C$10,$A4)-SUMIFS(N$7:N$10,$C$7:$C$10,$A4)</f>
        <v>0</v>
      </c>
      <c r="R4" s="87">
        <f>SUMIFS(T$16:T$1002,Q$16:Q$1002,2)</f>
        <v>0</v>
      </c>
      <c r="S4" s="87">
        <f>O4+Q4-R4+SUMIFS(Q$7:Q$10,$C$7:$C$10,$A4)-SUMIFS(R$7:R$10,$C$7:$C$10,$A4)</f>
        <v>0</v>
      </c>
      <c r="V4" s="87">
        <f>SUMIFS(X$16:X$1002,U$16:U$1002,2)</f>
        <v>0</v>
      </c>
      <c r="W4" s="87">
        <f>S4+U4-V4+SUMIFS(U$7:U$10,$C$7:$C$10,$A4)-SUMIFS(V$7:V$10,$C$7:$C$10,$A4)</f>
        <v>0</v>
      </c>
      <c r="Z4" s="87">
        <f>SUMIFS(AB$16:AB$1002,Y$16:Y$1002,2)</f>
        <v>0</v>
      </c>
      <c r="AA4" s="87">
        <f>W4+Y4-Z4+SUMIFS(Y$7:Y$10,$C$7:$C$10,$A4)-SUMIFS(Z$7:Z$10,$C$7:$C$10,$A4)</f>
        <v>0</v>
      </c>
      <c r="AD4" s="87">
        <f>SUMIFS(AF$16:AF$1002,AC$16:AC$1002,2)</f>
        <v>0</v>
      </c>
      <c r="AE4" s="87">
        <f>AA4+AC4-AD4+SUMIFS(AC$7:AC$10,$C$7:$C$10,$A4)-SUMIFS(AD$7:AD$10,$C$7:$C$10,$A4)</f>
        <v>0</v>
      </c>
    </row>
    <row r="5" spans="1:33" ht="14.5" customHeight="1" x14ac:dyDescent="0.35">
      <c r="E5" s="87"/>
    </row>
    <row r="6" spans="1:33" ht="14.5" customHeight="1" x14ac:dyDescent="0.35">
      <c r="A6" s="84" t="s">
        <v>146</v>
      </c>
      <c r="D6" s="84"/>
      <c r="E6" s="87">
        <f>SUM(E7:E10)</f>
        <v>4148</v>
      </c>
      <c r="F6" s="87">
        <f>SUM(F7:F10)</f>
        <v>4197.0200000000004</v>
      </c>
      <c r="I6" s="89">
        <f>SUM(I7:I10)</f>
        <v>23</v>
      </c>
      <c r="J6" s="87">
        <f>SUM(J7:J10)</f>
        <v>0</v>
      </c>
      <c r="M6" s="89">
        <f>SUM(M7:M10)</f>
        <v>24</v>
      </c>
      <c r="N6" s="87">
        <f>$M$6</f>
        <v>24</v>
      </c>
      <c r="Q6" s="89">
        <f>SUM(Q7:Q10)</f>
        <v>25</v>
      </c>
      <c r="R6" s="87">
        <f>$Q$6</f>
        <v>25</v>
      </c>
      <c r="U6" s="89">
        <f>SUM(U7:U10)</f>
        <v>26</v>
      </c>
      <c r="V6" s="87">
        <f>$U$6</f>
        <v>26</v>
      </c>
      <c r="Y6" s="89">
        <f>SUM(Y7:Y10)</f>
        <v>27</v>
      </c>
      <c r="Z6" s="87">
        <f>$Y$6</f>
        <v>27</v>
      </c>
      <c r="AC6" s="89">
        <f>SUM(AC7:AC10)</f>
        <v>28</v>
      </c>
      <c r="AD6" s="87">
        <f>$AC$6</f>
        <v>28</v>
      </c>
    </row>
    <row r="7" spans="1:33" ht="35.25" customHeight="1" x14ac:dyDescent="0.35">
      <c r="A7" s="86" t="s">
        <v>146</v>
      </c>
      <c r="B7" s="85">
        <v>3</v>
      </c>
      <c r="C7" s="86" t="s">
        <v>145</v>
      </c>
      <c r="D7" s="84"/>
      <c r="E7" s="87">
        <v>0</v>
      </c>
      <c r="F7" s="87">
        <f>SUMIFS(H$16:H$1002,E$16:E$1002,$B7)</f>
        <v>51.45</v>
      </c>
      <c r="I7" s="89">
        <f>ROUNDUP((E7)*RPICurrent,0)</f>
        <v>0</v>
      </c>
      <c r="J7" s="87">
        <f>SUMIFS(L$16:L$1002,I$16:I$1002,$B7)</f>
        <v>0</v>
      </c>
      <c r="M7" s="89">
        <f>ROUNDUP((I7)*RPI,0)</f>
        <v>0</v>
      </c>
      <c r="N7" s="87">
        <f>$M$7</f>
        <v>0</v>
      </c>
      <c r="P7" s="105" t="s">
        <v>1245</v>
      </c>
      <c r="Q7" s="89">
        <f>ROUNDUP((M7)*RPI,0)</f>
        <v>0</v>
      </c>
      <c r="R7" s="87">
        <f>$Q$7</f>
        <v>0</v>
      </c>
      <c r="U7" s="89">
        <f>ROUNDUP((Q7)*RPI,0)</f>
        <v>0</v>
      </c>
      <c r="V7" s="87">
        <f>$U$7</f>
        <v>0</v>
      </c>
      <c r="Y7" s="89">
        <f>ROUNDUP((U7)*RPI,0)</f>
        <v>0</v>
      </c>
      <c r="Z7" s="87">
        <f>$Y$7</f>
        <v>0</v>
      </c>
      <c r="AC7" s="89">
        <f>ROUNDUP((Y7)*RPI,0)</f>
        <v>0</v>
      </c>
      <c r="AD7" s="87">
        <f>$AC$7</f>
        <v>0</v>
      </c>
    </row>
    <row r="8" spans="1:33" ht="35.25" customHeight="1" x14ac:dyDescent="0.35">
      <c r="A8" s="86" t="s">
        <v>147</v>
      </c>
      <c r="B8" s="85">
        <v>4</v>
      </c>
      <c r="C8" s="86" t="s">
        <v>145</v>
      </c>
      <c r="D8" s="84"/>
      <c r="E8" s="87">
        <v>25</v>
      </c>
      <c r="F8" s="87">
        <f>SUMIFS(H$16:H$1002,E$16:E$1002,$B8)</f>
        <v>22.57</v>
      </c>
      <c r="I8" s="89">
        <v>23</v>
      </c>
      <c r="J8" s="87">
        <f>SUMIFS(L$16:L$1002,I$16:I$1002,$B8)</f>
        <v>0</v>
      </c>
      <c r="M8" s="89">
        <f>ROUNDUP((I8)*RPI,0)</f>
        <v>24</v>
      </c>
      <c r="N8" s="87">
        <f>$M$8</f>
        <v>24</v>
      </c>
      <c r="Q8" s="89">
        <f>ROUNDUP((M8)*RPI,0)</f>
        <v>25</v>
      </c>
      <c r="R8" s="87">
        <f>$Q$8</f>
        <v>25</v>
      </c>
      <c r="U8" s="89">
        <f>ROUNDUP((Q8)*RPI,0)</f>
        <v>26</v>
      </c>
      <c r="V8" s="87">
        <f>$U$8</f>
        <v>26</v>
      </c>
      <c r="Y8" s="89">
        <f>ROUNDUP((U8)*RPI,0)</f>
        <v>27</v>
      </c>
      <c r="Z8" s="87">
        <f>$Y$8</f>
        <v>27</v>
      </c>
      <c r="AC8" s="89">
        <f>ROUNDUP((Y8)*RPI,0)</f>
        <v>28</v>
      </c>
      <c r="AD8" s="87">
        <f>$AC$8</f>
        <v>28</v>
      </c>
    </row>
    <row r="9" spans="1:33" ht="35.25" customHeight="1" x14ac:dyDescent="0.35">
      <c r="A9" s="86" t="s">
        <v>80</v>
      </c>
      <c r="B9" s="85">
        <v>5</v>
      </c>
      <c r="C9" s="86" t="s">
        <v>145</v>
      </c>
      <c r="D9" s="84"/>
      <c r="E9" s="87">
        <v>4123</v>
      </c>
      <c r="F9" s="87">
        <f>SUMIFS(H$16:H$1002,E$16:E$1002,$B9)</f>
        <v>4123</v>
      </c>
      <c r="I9" s="89">
        <v>0</v>
      </c>
      <c r="J9" s="87">
        <f>SUMIFS(L$16:L$1002,I$16:I$1002,$B9)</f>
        <v>0</v>
      </c>
      <c r="M9" s="89">
        <f>ROUNDUP((I9)*RPI,0)</f>
        <v>0</v>
      </c>
      <c r="N9" s="87">
        <f>$M$9</f>
        <v>0</v>
      </c>
      <c r="Q9" s="89">
        <f>ROUNDUP((M9)*RPI,0)</f>
        <v>0</v>
      </c>
      <c r="R9" s="87">
        <f>$Q$9</f>
        <v>0</v>
      </c>
      <c r="U9" s="89">
        <f>ROUNDUP((Q9)*RPI,0)</f>
        <v>0</v>
      </c>
      <c r="V9" s="87">
        <f>$U$9</f>
        <v>0</v>
      </c>
      <c r="Y9" s="89">
        <f>ROUNDUP((U9)*RPI,0)</f>
        <v>0</v>
      </c>
      <c r="Z9" s="87">
        <f>$Y$9</f>
        <v>0</v>
      </c>
      <c r="AC9" s="89">
        <f>ROUNDUP((Y9)*RPI,0)</f>
        <v>0</v>
      </c>
      <c r="AD9" s="87">
        <f>$AC$9</f>
        <v>0</v>
      </c>
    </row>
    <row r="10" spans="1:33" ht="14.5" customHeight="1" x14ac:dyDescent="0.35">
      <c r="A10" s="86" t="s">
        <v>75</v>
      </c>
      <c r="B10" s="85">
        <v>6</v>
      </c>
      <c r="C10" s="86" t="s">
        <v>72</v>
      </c>
      <c r="D10" s="84"/>
      <c r="E10" s="87">
        <v>0</v>
      </c>
      <c r="F10" s="87">
        <f>SUMIFS(H$16:H$1002,E$16:E$1002,$B10)</f>
        <v>0</v>
      </c>
      <c r="I10" s="89">
        <v>0</v>
      </c>
      <c r="J10" s="87">
        <f>SUMIFS(L$16:L$1002,I$16:I$1002,$B10)</f>
        <v>0</v>
      </c>
      <c r="M10" s="89">
        <v>0</v>
      </c>
      <c r="N10" s="87">
        <f>$M$10</f>
        <v>0</v>
      </c>
      <c r="Q10" s="89">
        <v>0</v>
      </c>
      <c r="R10" s="87">
        <f>$Q$10</f>
        <v>0</v>
      </c>
      <c r="U10" s="89">
        <v>0</v>
      </c>
      <c r="V10" s="87">
        <f>$U$10</f>
        <v>0</v>
      </c>
      <c r="Y10" s="89">
        <v>0</v>
      </c>
      <c r="Z10" s="87">
        <f>$Y$10</f>
        <v>0</v>
      </c>
      <c r="AC10" s="89">
        <v>0</v>
      </c>
      <c r="AD10" s="87">
        <f>$AC$10</f>
        <v>0</v>
      </c>
    </row>
    <row r="11" spans="1:33" ht="14.5" customHeight="1" x14ac:dyDescent="0.35">
      <c r="E11" s="87"/>
    </row>
    <row r="12" spans="1:33" ht="14.5" customHeight="1" x14ac:dyDescent="0.35">
      <c r="E12" s="87"/>
    </row>
    <row r="13" spans="1:33" ht="14.5" customHeight="1" x14ac:dyDescent="0.35">
      <c r="E13" s="87"/>
    </row>
    <row r="14" spans="1:33" ht="14.5" customHeight="1" x14ac:dyDescent="0.35">
      <c r="A14" s="84" t="s">
        <v>487</v>
      </c>
      <c r="F14" s="93"/>
      <c r="G14" s="85"/>
      <c r="H14" s="87"/>
      <c r="I14" s="94"/>
      <c r="J14" s="93"/>
      <c r="K14" s="85"/>
      <c r="M14" s="94"/>
      <c r="N14" s="93"/>
      <c r="O14" s="85"/>
      <c r="Q14" s="94"/>
      <c r="R14" s="93"/>
      <c r="S14" s="85"/>
      <c r="U14" s="94"/>
      <c r="V14" s="93"/>
      <c r="W14" s="85"/>
      <c r="Y14" s="94"/>
      <c r="Z14" s="93"/>
      <c r="AA14" s="85"/>
      <c r="AC14" s="94"/>
      <c r="AD14" s="93"/>
      <c r="AE14" s="85"/>
    </row>
    <row r="15" spans="1:33" ht="14.5" customHeight="1"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ht="14.5" customHeight="1" x14ac:dyDescent="0.35">
      <c r="A16" s="85"/>
      <c r="D16" s="85"/>
      <c r="E16" s="85">
        <v>5</v>
      </c>
      <c r="F16" s="93" t="s">
        <v>790</v>
      </c>
      <c r="G16" s="85" t="s">
        <v>1246</v>
      </c>
      <c r="H16" s="87">
        <v>4123</v>
      </c>
      <c r="I16" s="94"/>
      <c r="J16" s="93"/>
      <c r="K16" s="85"/>
      <c r="M16" s="94"/>
      <c r="N16" s="93"/>
      <c r="O16" s="85"/>
      <c r="Q16" s="94"/>
      <c r="R16" s="93"/>
      <c r="S16" s="85"/>
      <c r="U16" s="94"/>
      <c r="V16" s="93"/>
      <c r="W16" s="85"/>
      <c r="Y16" s="94"/>
      <c r="Z16" s="93"/>
      <c r="AA16" s="85"/>
      <c r="AC16" s="94"/>
      <c r="AD16" s="93"/>
      <c r="AE16" s="85"/>
    </row>
    <row r="17" spans="5:31" ht="14.5" customHeight="1" x14ac:dyDescent="0.35">
      <c r="E17" s="85">
        <v>4</v>
      </c>
      <c r="F17" s="93">
        <v>44652</v>
      </c>
      <c r="G17" s="85" t="s">
        <v>1247</v>
      </c>
      <c r="H17" s="87">
        <v>22.57</v>
      </c>
      <c r="I17" s="94"/>
      <c r="J17" s="93"/>
      <c r="K17" s="85"/>
      <c r="M17" s="94"/>
      <c r="N17" s="93"/>
      <c r="O17" s="85"/>
      <c r="Q17" s="94"/>
      <c r="R17" s="93"/>
      <c r="S17" s="85"/>
      <c r="U17" s="94"/>
      <c r="V17" s="93"/>
      <c r="W17" s="85"/>
      <c r="Y17" s="94"/>
      <c r="Z17" s="93"/>
      <c r="AA17" s="85"/>
      <c r="AC17" s="94"/>
      <c r="AD17" s="93"/>
      <c r="AE17" s="85"/>
    </row>
    <row r="18" spans="5:31" ht="14.5" customHeight="1" x14ac:dyDescent="0.35">
      <c r="E18" s="85">
        <v>3</v>
      </c>
      <c r="F18" s="93" t="s">
        <v>699</v>
      </c>
      <c r="G18" s="85" t="s">
        <v>1237</v>
      </c>
      <c r="H18" s="87">
        <v>51.45</v>
      </c>
      <c r="I18" s="94"/>
      <c r="J18" s="93"/>
      <c r="K18" s="85"/>
      <c r="M18" s="94"/>
      <c r="N18" s="93"/>
      <c r="O18" s="85"/>
      <c r="Q18" s="94"/>
      <c r="R18" s="93"/>
      <c r="S18" s="85"/>
      <c r="U18" s="94"/>
      <c r="V18" s="93"/>
      <c r="W18" s="85"/>
      <c r="Y18" s="94"/>
      <c r="Z18" s="93"/>
      <c r="AA18" s="85"/>
      <c r="AC18" s="94"/>
      <c r="AD18" s="93"/>
      <c r="AE18" s="85"/>
    </row>
    <row r="19" spans="5:31" ht="14.5" customHeight="1" x14ac:dyDescent="0.35">
      <c r="F19" s="93"/>
      <c r="G19" s="85"/>
      <c r="H19" s="87"/>
      <c r="I19" s="94"/>
      <c r="J19" s="93"/>
      <c r="K19" s="85"/>
      <c r="M19" s="94"/>
      <c r="N19" s="93"/>
      <c r="O19" s="85"/>
      <c r="Q19" s="94"/>
      <c r="R19" s="93"/>
      <c r="S19" s="85"/>
      <c r="U19" s="94"/>
      <c r="V19" s="93"/>
      <c r="W19" s="85"/>
      <c r="Y19" s="94"/>
      <c r="Z19" s="93"/>
      <c r="AA19" s="85"/>
      <c r="AC19" s="94"/>
      <c r="AD19" s="93"/>
      <c r="AE19" s="85"/>
    </row>
    <row r="20" spans="5:31" ht="14.5" customHeight="1" x14ac:dyDescent="0.35">
      <c r="F20" s="93"/>
      <c r="G20" s="85"/>
      <c r="H20" s="87"/>
      <c r="I20" s="94"/>
      <c r="J20" s="93"/>
      <c r="K20" s="85"/>
      <c r="M20" s="94"/>
      <c r="N20" s="93"/>
      <c r="O20" s="85"/>
      <c r="Q20" s="94"/>
      <c r="R20" s="93"/>
      <c r="S20" s="85"/>
      <c r="U20" s="94"/>
      <c r="V20" s="93"/>
      <c r="W20" s="85"/>
      <c r="Y20" s="94"/>
      <c r="Z20" s="93"/>
      <c r="AA20" s="85"/>
      <c r="AC20" s="94"/>
      <c r="AD20" s="93"/>
      <c r="AE20" s="85"/>
    </row>
    <row r="21" spans="5:31" ht="14.5" customHeight="1" x14ac:dyDescent="0.35">
      <c r="F21" s="93"/>
      <c r="G21" s="85"/>
      <c r="H21" s="87"/>
      <c r="I21" s="94"/>
      <c r="J21" s="93"/>
      <c r="K21" s="85"/>
      <c r="M21" s="94"/>
      <c r="N21" s="93"/>
      <c r="O21" s="85"/>
      <c r="Q21" s="94"/>
      <c r="R21" s="93"/>
      <c r="S21" s="85"/>
      <c r="U21" s="94"/>
      <c r="V21" s="93"/>
      <c r="W21" s="85"/>
      <c r="Y21" s="94"/>
      <c r="Z21" s="93"/>
      <c r="AA21" s="85"/>
      <c r="AC21" s="94"/>
      <c r="AD21" s="93"/>
      <c r="AE21" s="85"/>
    </row>
    <row r="22" spans="5:31" ht="14.5" customHeight="1" x14ac:dyDescent="0.35">
      <c r="F22" s="93"/>
      <c r="G22" s="85"/>
      <c r="H22" s="87"/>
      <c r="I22" s="94"/>
      <c r="J22" s="93"/>
      <c r="K22" s="85"/>
      <c r="M22" s="94"/>
      <c r="N22" s="93"/>
      <c r="O22" s="85"/>
      <c r="Q22" s="94"/>
      <c r="R22" s="93"/>
      <c r="S22" s="85"/>
      <c r="U22" s="94"/>
      <c r="V22" s="93"/>
      <c r="W22" s="85"/>
      <c r="Y22" s="94"/>
      <c r="Z22" s="93"/>
      <c r="AA22" s="85"/>
      <c r="AC22" s="94"/>
      <c r="AD22" s="93"/>
      <c r="AE22" s="85"/>
    </row>
    <row r="23" spans="5:31" ht="14.5" customHeight="1" x14ac:dyDescent="0.35">
      <c r="F23" s="93"/>
      <c r="G23" s="85"/>
      <c r="H23" s="87"/>
      <c r="I23" s="94"/>
      <c r="J23" s="93"/>
      <c r="K23" s="85"/>
      <c r="M23" s="94"/>
      <c r="N23" s="93"/>
      <c r="O23" s="85"/>
      <c r="Q23" s="94"/>
      <c r="R23" s="93"/>
      <c r="S23" s="85"/>
      <c r="U23" s="94"/>
      <c r="V23" s="93"/>
      <c r="W23" s="85"/>
      <c r="Y23" s="94"/>
      <c r="Z23" s="93"/>
      <c r="AA23" s="85"/>
      <c r="AC23" s="94"/>
      <c r="AD23" s="93"/>
      <c r="AE23" s="85"/>
    </row>
    <row r="24" spans="5:31" ht="14.5" customHeight="1" x14ac:dyDescent="0.35">
      <c r="F24" s="93"/>
      <c r="G24" s="85"/>
      <c r="H24" s="87"/>
      <c r="I24" s="94"/>
      <c r="J24" s="93"/>
      <c r="K24" s="85"/>
      <c r="M24" s="94"/>
      <c r="N24" s="93"/>
      <c r="O24" s="85"/>
      <c r="Q24" s="94"/>
      <c r="R24" s="93"/>
      <c r="S24" s="85"/>
      <c r="U24" s="94"/>
      <c r="V24" s="93"/>
      <c r="W24" s="85"/>
      <c r="Y24" s="94"/>
      <c r="Z24" s="93"/>
      <c r="AA24" s="85"/>
      <c r="AC24" s="94"/>
      <c r="AD24" s="93"/>
      <c r="AE24" s="85"/>
    </row>
    <row r="25" spans="5:31" x14ac:dyDescent="0.35">
      <c r="F25" s="93"/>
      <c r="G25" s="85"/>
      <c r="H25" s="87"/>
      <c r="I25" s="94"/>
      <c r="J25" s="93"/>
      <c r="K25" s="85"/>
      <c r="M25" s="94"/>
      <c r="N25" s="93"/>
      <c r="O25" s="85"/>
      <c r="Q25" s="94"/>
      <c r="R25" s="93"/>
      <c r="S25" s="85"/>
      <c r="U25" s="94"/>
      <c r="V25" s="93"/>
      <c r="W25" s="85"/>
      <c r="Y25" s="94"/>
      <c r="Z25" s="93"/>
      <c r="AA25" s="85"/>
      <c r="AC25" s="94"/>
      <c r="AD25" s="93"/>
      <c r="AE25" s="85"/>
    </row>
    <row r="26" spans="5:31" x14ac:dyDescent="0.35">
      <c r="F26" s="93"/>
      <c r="G26" s="85"/>
      <c r="H26" s="87"/>
      <c r="I26" s="94"/>
      <c r="J26" s="93"/>
      <c r="K26" s="85"/>
      <c r="M26" s="94"/>
      <c r="N26" s="93"/>
      <c r="O26" s="85"/>
      <c r="Q26" s="94"/>
      <c r="R26" s="93"/>
      <c r="S26" s="85"/>
      <c r="U26" s="94"/>
      <c r="V26" s="93"/>
      <c r="W26" s="85"/>
      <c r="Y26" s="94"/>
      <c r="Z26" s="93"/>
      <c r="AA26" s="85"/>
      <c r="AC26" s="94"/>
      <c r="AD26" s="93"/>
      <c r="AE26" s="85"/>
    </row>
    <row r="27" spans="5:31" x14ac:dyDescent="0.35">
      <c r="F27" s="93"/>
      <c r="G27" s="85"/>
      <c r="H27" s="87"/>
      <c r="I27" s="94"/>
      <c r="J27" s="93"/>
      <c r="K27" s="85"/>
      <c r="M27" s="94"/>
      <c r="N27" s="93"/>
      <c r="O27" s="85"/>
      <c r="Q27" s="94"/>
      <c r="R27" s="93"/>
      <c r="S27" s="85"/>
      <c r="U27" s="94"/>
      <c r="V27" s="93"/>
      <c r="W27" s="85"/>
      <c r="Y27" s="94"/>
      <c r="Z27" s="93"/>
      <c r="AA27" s="85"/>
      <c r="AC27" s="94"/>
      <c r="AD27" s="93"/>
      <c r="AE27" s="85"/>
    </row>
    <row r="28" spans="5:31" x14ac:dyDescent="0.35">
      <c r="F28" s="93"/>
      <c r="G28" s="85"/>
      <c r="H28" s="87"/>
      <c r="I28" s="94"/>
      <c r="J28" s="93"/>
      <c r="K28" s="85"/>
      <c r="M28" s="94"/>
      <c r="N28" s="93"/>
      <c r="O28" s="85"/>
      <c r="Q28" s="94"/>
      <c r="R28" s="93"/>
      <c r="S28" s="85"/>
      <c r="U28" s="94"/>
      <c r="V28" s="93"/>
      <c r="W28" s="85"/>
      <c r="Y28" s="94"/>
      <c r="Z28" s="93"/>
      <c r="AA28" s="85"/>
      <c r="AC28" s="94"/>
      <c r="AD28" s="93"/>
      <c r="AE28" s="85"/>
    </row>
    <row r="29" spans="5:31" x14ac:dyDescent="0.35">
      <c r="F29" s="93"/>
      <c r="G29" s="85"/>
      <c r="H29" s="87"/>
      <c r="I29" s="94"/>
      <c r="J29" s="93"/>
      <c r="K29" s="85"/>
      <c r="M29" s="94"/>
      <c r="N29" s="93"/>
      <c r="O29" s="85"/>
      <c r="Q29" s="94"/>
      <c r="R29" s="93"/>
      <c r="S29" s="85"/>
      <c r="U29" s="94"/>
      <c r="V29" s="93"/>
      <c r="W29" s="85"/>
      <c r="Y29" s="94"/>
      <c r="Z29" s="93"/>
      <c r="AA29" s="85"/>
      <c r="AC29" s="94"/>
      <c r="AD29" s="93"/>
      <c r="AE29" s="85"/>
    </row>
    <row r="30" spans="5:31" x14ac:dyDescent="0.35">
      <c r="F30" s="93"/>
      <c r="G30" s="85"/>
      <c r="H30" s="87"/>
      <c r="I30" s="94"/>
      <c r="J30" s="93"/>
      <c r="K30" s="85"/>
      <c r="M30" s="94"/>
      <c r="N30" s="93"/>
      <c r="O30" s="85"/>
      <c r="Q30" s="94"/>
      <c r="R30" s="93"/>
      <c r="S30" s="85"/>
      <c r="U30" s="94"/>
      <c r="V30" s="93"/>
      <c r="W30" s="85"/>
      <c r="Y30" s="94"/>
      <c r="Z30" s="93"/>
      <c r="AA30" s="85"/>
      <c r="AC30" s="94"/>
      <c r="AD30" s="93"/>
      <c r="AE30" s="85"/>
    </row>
    <row r="31" spans="5:31" x14ac:dyDescent="0.35">
      <c r="F31" s="93"/>
      <c r="G31" s="85"/>
      <c r="H31" s="87"/>
      <c r="I31" s="94"/>
      <c r="J31" s="93"/>
      <c r="K31" s="85"/>
      <c r="M31" s="94"/>
      <c r="N31" s="93"/>
      <c r="O31" s="85"/>
      <c r="Q31" s="94"/>
      <c r="R31" s="93"/>
      <c r="S31" s="85"/>
      <c r="U31" s="94"/>
      <c r="V31" s="93"/>
      <c r="W31" s="85"/>
      <c r="Y31" s="94"/>
      <c r="Z31" s="93"/>
      <c r="AA31" s="85"/>
      <c r="AC31" s="94"/>
      <c r="AD31" s="93"/>
      <c r="AE31" s="85"/>
    </row>
    <row r="32" spans="5: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50" priority="1">
      <formula>$A4="Spend to Date"</formula>
    </cfRule>
    <cfRule type="expression" dxfId="49" priority="2">
      <formula>$A4="Spend to Date"</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AG1000"/>
  <sheetViews>
    <sheetView workbookViewId="0">
      <pane xSplit="2" ySplit="1" topLeftCell="I5" activePane="bottomRight" state="frozen"/>
      <selection pane="topRight" activeCell="C1" sqref="C1"/>
      <selection pane="bottomLeft" activeCell="A2" sqref="A2"/>
      <selection pane="bottomRight" activeCell="M9" sqref="M9"/>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1.7265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7.81640625" style="87"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148</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3277.5200000000004</v>
      </c>
      <c r="F2" s="87">
        <f>SUM(F3:F3)</f>
        <v>632.20000000000005</v>
      </c>
      <c r="I2" s="89">
        <f>SUM(I3:I4)</f>
        <v>-2121</v>
      </c>
      <c r="J2" s="87">
        <f>SUM(J3:J4)</f>
        <v>10000</v>
      </c>
      <c r="M2" s="89">
        <f>SUM(M3:M4)</f>
        <v>-2185</v>
      </c>
      <c r="N2" s="87">
        <f>SUM(N3:N4)</f>
        <v>0</v>
      </c>
      <c r="Q2" s="89">
        <f>SUM(Q3:Q4)</f>
        <v>0</v>
      </c>
      <c r="R2" s="87">
        <f>SUM(R3:R4)</f>
        <v>0</v>
      </c>
      <c r="U2" s="89">
        <f>SUM(U3:U4)</f>
        <v>0</v>
      </c>
      <c r="V2" s="87">
        <f>SUM(V3:V4)</f>
        <v>0</v>
      </c>
      <c r="Y2" s="89">
        <f>SUM(Y3:Y4)</f>
        <v>0</v>
      </c>
      <c r="Z2" s="87">
        <f>SUM(Z3:Z4)</f>
        <v>0</v>
      </c>
      <c r="AC2" s="89">
        <f>SUM(AC3:AC4)</f>
        <v>0</v>
      </c>
      <c r="AD2" s="87">
        <f>SUM(AD3:AD4)</f>
        <v>0</v>
      </c>
    </row>
    <row r="3" spans="1:33" x14ac:dyDescent="0.35">
      <c r="A3" s="86" t="s">
        <v>148</v>
      </c>
      <c r="B3" s="85">
        <v>1</v>
      </c>
      <c r="D3" s="86">
        <v>8353</v>
      </c>
      <c r="E3" s="87">
        <f>7500-1973.48-2249</f>
        <v>3277.5200000000004</v>
      </c>
      <c r="F3" s="87">
        <f>SUMIFS(H$16:H$1002,E$16:E$1002,1)</f>
        <v>632.20000000000005</v>
      </c>
      <c r="G3" s="87">
        <f>D3+E3-F3+SUMIFS(E$7:E$10,$C$7:$C$10,$A3)-SUMIFS(F$7:F$10,$C$7:$C$10,$A3)</f>
        <v>17167.059999999998</v>
      </c>
      <c r="I3" s="89">
        <f>-I6</f>
        <v>-2121</v>
      </c>
      <c r="J3" s="87">
        <f>SUMIFS(L$16:L$1002,I$16:I$1002,1)</f>
        <v>10000</v>
      </c>
      <c r="K3" s="87">
        <f>G3+I3-J3+SUMIFS(I$7:I$10,$C$7:$C$10,$A3)-SUMIFS(J$7:J$10,$C$7:$C$10,$A3)</f>
        <v>7382.2499999999982</v>
      </c>
      <c r="L3" s="86"/>
      <c r="M3" s="89">
        <v>-2185</v>
      </c>
      <c r="N3" s="87">
        <f>SUMIFS(P$15:P$1002,M$15:M$1002,1)</f>
        <v>0</v>
      </c>
      <c r="O3" s="87">
        <f>K3+M3-N3+SUMIFS(M$7:M$10,$C$7:$C$10,$A3)-SUMIFS(N$7:N$10,$C$7:$C$10,$A3)</f>
        <v>5261.4999999999982</v>
      </c>
      <c r="R3" s="87">
        <f>SUMIFS(T$16:T$1002,Q$16:Q$1002,1)</f>
        <v>0</v>
      </c>
      <c r="S3" s="87">
        <f>O3+Q3-R3+SUMIFS(Q$7:Q$10,$C$7:$C$10,$A3)-SUMIFS(R$7:R$10,$C$7:$C$10,$A3)</f>
        <v>5261.4999999999982</v>
      </c>
      <c r="V3" s="87">
        <f>SUMIFS(X$16:X$1002,U$16:U$1002,1)</f>
        <v>0</v>
      </c>
      <c r="W3" s="87">
        <f>S3+U3-V3+SUMIFS(U$7:U$10,$C$7:$C$10,$A3)-SUMIFS(V$7:V$10,$C$7:$C$10,$A3)</f>
        <v>5261.4999999999982</v>
      </c>
      <c r="Z3" s="87">
        <f>SUMIFS(AB$16:AB$1002,Y$16:Y$1002,1)</f>
        <v>0</v>
      </c>
      <c r="AA3" s="87">
        <f>W3+Y3-Z3+SUMIFS(Y$7:Y$10,$C$7:$C$10,$A3)-SUMIFS(Z$7:Z$10,$C$7:$C$10,$A3)</f>
        <v>5261.4999999999982</v>
      </c>
      <c r="AD3" s="87">
        <f>SUMIFS(AF$16:AF$1002,AC$16:AC$1002,1)</f>
        <v>0</v>
      </c>
      <c r="AE3" s="87">
        <f>AA3+AC3-AD3+SUMIFS(AC$7:AC$10,$C$7:$C$10,$A3)-SUMIFS(AD$7:AD$10,$C$7:$C$10,$A3)</f>
        <v>5261.4999999999982</v>
      </c>
      <c r="AG3" s="87">
        <v>25000</v>
      </c>
    </row>
    <row r="4" spans="1:33" ht="14.5" customHeight="1" x14ac:dyDescent="0.35">
      <c r="A4" s="86" t="s">
        <v>149</v>
      </c>
      <c r="B4" s="85">
        <v>2</v>
      </c>
      <c r="D4" s="86">
        <v>0</v>
      </c>
      <c r="E4" s="87">
        <v>0</v>
      </c>
      <c r="F4" s="87">
        <v>0</v>
      </c>
      <c r="G4" s="87">
        <f>D4+E4-F4+SUMIFS(E$7:E$10,$C$7:$C$10,$A4)-SUMIFS(F$7:F$10,$C$7:$C$10,$A4)</f>
        <v>0</v>
      </c>
      <c r="J4" s="87">
        <f>SUMIFS(L$16:L$1002,I$16:I$1002,2)</f>
        <v>0</v>
      </c>
      <c r="K4" s="87">
        <f>G4+I4-J4+SUMIFS(I$7:I$10,$C$7:$C$10,$A4)-SUMIFS(J$7:J$10,$C$7:$C$10,$A4)</f>
        <v>0</v>
      </c>
      <c r="L4" s="86"/>
      <c r="N4" s="87">
        <f>SUMIFS(P$15:P$1002,M$15:M$1002,2)</f>
        <v>0</v>
      </c>
      <c r="O4" s="87">
        <f>K4+M4-N4+SUMIFS(M$7:M$10,$C$7:$C$10,$A4)-SUMIFS(N$7:N$10,$C$7:$C$10,$A4)</f>
        <v>0</v>
      </c>
      <c r="R4" s="87">
        <f>SUMIFS(T$16:T$1002,Q$16:Q$1002,2)</f>
        <v>0</v>
      </c>
      <c r="S4" s="87">
        <f>O4+Q4-R4+SUMIFS(Q$7:Q$10,$C$7:$C$10,$A4)-SUMIFS(R$7:R$10,$C$7:$C$10,$A4)</f>
        <v>0</v>
      </c>
      <c r="V4" s="87">
        <f>SUMIFS(X$16:X$1002,U$16:U$1002,2)</f>
        <v>0</v>
      </c>
      <c r="W4" s="87">
        <f>S4+U4-V4+SUMIFS(U$7:U$10,$C$7:$C$10,$A4)-SUMIFS(V$7:V$10,$C$7:$C$10,$A4)</f>
        <v>0</v>
      </c>
      <c r="Z4" s="87">
        <f>SUMIFS(AB$16:AB$1002,Y$16:Y$1002,2)</f>
        <v>0</v>
      </c>
      <c r="AA4" s="87">
        <f>W4+Y4-Z4+SUMIFS(Y$7:Y$10,$C$7:$C$10,$A4)-SUMIFS(Z$7:Z$10,$C$7:$C$10,$A4)</f>
        <v>0</v>
      </c>
      <c r="AD4" s="87">
        <f>SUMIFS(AF$16:AF$1002,AC$16:AC$1002,2)</f>
        <v>0</v>
      </c>
      <c r="AE4" s="87">
        <f>AA4+AC4-AD4+SUMIFS(AC$7:AC$10,$C$7:$C$10,$A4)-SUMIFS(AD$7:AD$10,$C$7:$C$10,$A4)</f>
        <v>0</v>
      </c>
    </row>
    <row r="5" spans="1:33" ht="14.5" customHeight="1" x14ac:dyDescent="0.35">
      <c r="E5" s="87"/>
      <c r="F5" s="87"/>
    </row>
    <row r="6" spans="1:33" ht="14.5" customHeight="1" x14ac:dyDescent="0.35">
      <c r="A6" s="84" t="s">
        <v>150</v>
      </c>
      <c r="D6" s="84"/>
      <c r="E6" s="87">
        <f>SUM(E7:E10)</f>
        <v>-3277.5200000000004</v>
      </c>
      <c r="F6" s="87">
        <f>SUM(F7:F10)</f>
        <v>-9446.26</v>
      </c>
      <c r="I6" s="89">
        <f>SUM(I7:I10)</f>
        <v>2121</v>
      </c>
      <c r="J6" s="87">
        <f>SUM(J7:J10)</f>
        <v>-215.19000000000005</v>
      </c>
      <c r="M6" s="89">
        <f>SUM(M7:M10)</f>
        <v>2185</v>
      </c>
      <c r="N6" s="87">
        <f>SUM(N7:N10)</f>
        <v>2120.75</v>
      </c>
      <c r="Q6" s="89">
        <f>SUM(Q7:Q10)</f>
        <v>2251</v>
      </c>
      <c r="R6" s="87">
        <f>$Q$6</f>
        <v>2251</v>
      </c>
      <c r="U6" s="89">
        <f>SUM(U7:U10)</f>
        <v>2319</v>
      </c>
      <c r="V6" s="87">
        <f>$U$6</f>
        <v>2319</v>
      </c>
      <c r="Y6" s="89">
        <f>SUM(Y7:Y10)</f>
        <v>2389</v>
      </c>
      <c r="Z6" s="87">
        <f>$Y$6</f>
        <v>2389</v>
      </c>
      <c r="AC6" s="89">
        <f>SUM(AC7:AC10)</f>
        <v>2461</v>
      </c>
      <c r="AD6" s="87">
        <f>$AC$6</f>
        <v>2461</v>
      </c>
    </row>
    <row r="7" spans="1:33" ht="14.5" customHeight="1" x14ac:dyDescent="0.35">
      <c r="A7" s="86" t="s">
        <v>150</v>
      </c>
      <c r="B7" s="85">
        <v>3</v>
      </c>
      <c r="C7" s="86" t="s">
        <v>148</v>
      </c>
      <c r="D7" s="84"/>
      <c r="E7" s="87">
        <v>0</v>
      </c>
      <c r="F7" s="87">
        <f>SUMIFS(H$16:H$1002,E$16:E$1002,$B7)</f>
        <v>0</v>
      </c>
      <c r="I7" s="89">
        <f>ROUNDUP((E7)*RPICurrent,0)</f>
        <v>0</v>
      </c>
      <c r="J7" s="87">
        <f>SUMIFS(L$16:L$1002,I$16:I$1002,$B7)</f>
        <v>0</v>
      </c>
      <c r="M7" s="89">
        <f>ROUNDUP((I7)*RPI,0)</f>
        <v>0</v>
      </c>
      <c r="N7" s="87">
        <f>SUMIFS(P$15:P$1002,M$15:M$1002,$B7)</f>
        <v>0</v>
      </c>
      <c r="Q7" s="89">
        <f>ROUNDUP((M7)*RPI,0)</f>
        <v>0</v>
      </c>
      <c r="R7" s="87">
        <f>$Q$7</f>
        <v>0</v>
      </c>
      <c r="U7" s="89">
        <f>ROUNDUP((Q7)*RPI,0)</f>
        <v>0</v>
      </c>
      <c r="V7" s="87">
        <f>$U$7</f>
        <v>0</v>
      </c>
      <c r="Y7" s="89">
        <f>ROUNDUP((U7)*RPI,0)</f>
        <v>0</v>
      </c>
      <c r="Z7" s="87">
        <f>$Y$7</f>
        <v>0</v>
      </c>
      <c r="AC7" s="89">
        <f>ROUNDUP((Y7)*RPI,0)</f>
        <v>0</v>
      </c>
      <c r="AD7" s="87">
        <f>$AC$7</f>
        <v>0</v>
      </c>
    </row>
    <row r="8" spans="1:33" ht="32.25" customHeight="1" x14ac:dyDescent="0.35">
      <c r="A8" s="86" t="s">
        <v>130</v>
      </c>
      <c r="B8" s="85">
        <v>4</v>
      </c>
      <c r="C8" s="86" t="s">
        <v>148</v>
      </c>
      <c r="D8" s="84"/>
      <c r="E8" s="87">
        <v>-7500</v>
      </c>
      <c r="F8" s="87">
        <f>SUMIFS(H$16:H$1002,E$16:E$1002,$B8)</f>
        <v>-11562.5</v>
      </c>
      <c r="I8" s="89">
        <v>0</v>
      </c>
      <c r="J8" s="87">
        <f>SUMIFS(L$16:L$1002,I$16:I$1002,$B8)</f>
        <v>-2180</v>
      </c>
      <c r="L8" s="105" t="s">
        <v>1248</v>
      </c>
      <c r="M8" s="89">
        <f>ROUNDUP((I8)*RPI,0)</f>
        <v>0</v>
      </c>
      <c r="N8" s="87">
        <f>SUMIFS(P$15:P$1002,M$15:M$1002,$B8)</f>
        <v>0</v>
      </c>
      <c r="Q8" s="89">
        <f>ROUNDUP((M8)*RPI,0)</f>
        <v>0</v>
      </c>
      <c r="R8" s="87">
        <f>$Q$8</f>
        <v>0</v>
      </c>
      <c r="U8" s="89">
        <f>ROUNDUP((Q8)*RPI,0)</f>
        <v>0</v>
      </c>
      <c r="V8" s="87">
        <f>$U$8</f>
        <v>0</v>
      </c>
      <c r="Y8" s="89">
        <f>ROUNDUP((U8)*RPI,0)</f>
        <v>0</v>
      </c>
      <c r="Z8" s="87">
        <f>$Y$8</f>
        <v>0</v>
      </c>
      <c r="AC8" s="89">
        <f>ROUNDUP((Y8)*RPI,0)</f>
        <v>0</v>
      </c>
      <c r="AD8" s="87">
        <f>$AC$8</f>
        <v>0</v>
      </c>
    </row>
    <row r="9" spans="1:33" ht="14.5" customHeight="1" x14ac:dyDescent="0.35">
      <c r="A9" s="86" t="s">
        <v>151</v>
      </c>
      <c r="B9" s="85">
        <v>5</v>
      </c>
      <c r="C9" s="86" t="s">
        <v>148</v>
      </c>
      <c r="D9" s="84"/>
      <c r="E9" s="87">
        <v>1973.48</v>
      </c>
      <c r="F9" s="87">
        <f>SUMIFS(H$16:H$1002,E$16:E$1002,$B9)</f>
        <v>1871.25</v>
      </c>
      <c r="I9" s="89">
        <v>2121</v>
      </c>
      <c r="J9" s="87">
        <f>SUMIFS(L$16:L$1002,I$16:I$1002,$B9)</f>
        <v>1964.81</v>
      </c>
      <c r="L9" s="87" t="s">
        <v>2106</v>
      </c>
      <c r="M9" s="89">
        <f>ROUNDUP((I9)*RPI,0)</f>
        <v>2185</v>
      </c>
      <c r="N9" s="87">
        <f>SUMIFS(P$15:P$1002,M$15:M$1002,$B9)</f>
        <v>2120.75</v>
      </c>
      <c r="Q9" s="89">
        <f>ROUNDUP((M9)*RPI,0)</f>
        <v>2251</v>
      </c>
      <c r="R9" s="87">
        <f>$Q$9</f>
        <v>2251</v>
      </c>
      <c r="U9" s="89">
        <f>ROUNDUP((Q9)*RPI,0)</f>
        <v>2319</v>
      </c>
      <c r="V9" s="87">
        <f>$U$9</f>
        <v>2319</v>
      </c>
      <c r="Y9" s="89">
        <f>ROUNDUP((U9)*RPI,0)</f>
        <v>2389</v>
      </c>
      <c r="Z9" s="87">
        <f>$Y$9</f>
        <v>2389</v>
      </c>
      <c r="AC9" s="89">
        <f>ROUNDUP((Y9)*RPI,0)</f>
        <v>2461</v>
      </c>
      <c r="AD9" s="87">
        <f>$AC$9</f>
        <v>2461</v>
      </c>
    </row>
    <row r="10" spans="1:33" ht="14.5" customHeight="1" x14ac:dyDescent="0.35">
      <c r="A10" s="86" t="s">
        <v>80</v>
      </c>
      <c r="B10" s="85">
        <v>6</v>
      </c>
      <c r="C10" s="86" t="s">
        <v>148</v>
      </c>
      <c r="D10" s="84"/>
      <c r="E10" s="87">
        <v>2249</v>
      </c>
      <c r="F10" s="87">
        <f>SUMIFS(H$16:H$1002,E$16:E$1002,$B10)</f>
        <v>244.99</v>
      </c>
      <c r="I10" s="89">
        <v>0</v>
      </c>
      <c r="J10" s="87">
        <f>SUMIFS(L$16:L$1002,I$16:I$1002,$B10)</f>
        <v>0</v>
      </c>
      <c r="M10" s="89">
        <v>0</v>
      </c>
      <c r="N10" s="87">
        <f>SUMIFS(P$15:P$1002,M$15:M$1002,$B10)</f>
        <v>0</v>
      </c>
      <c r="Q10" s="89">
        <v>0</v>
      </c>
      <c r="R10" s="87">
        <f>$Q$10</f>
        <v>0</v>
      </c>
      <c r="U10" s="89">
        <v>0</v>
      </c>
      <c r="V10" s="87">
        <f>$U$10</f>
        <v>0</v>
      </c>
      <c r="Y10" s="89">
        <v>0</v>
      </c>
      <c r="Z10" s="87">
        <f>$Y$10</f>
        <v>0</v>
      </c>
      <c r="AC10" s="89">
        <v>0</v>
      </c>
      <c r="AD10" s="87">
        <f>$AC$10</f>
        <v>0</v>
      </c>
    </row>
    <row r="11" spans="1:33" ht="14.5" customHeight="1" x14ac:dyDescent="0.35">
      <c r="E11" s="87"/>
      <c r="F11" s="87"/>
    </row>
    <row r="12" spans="1:33" ht="14.5" customHeight="1" x14ac:dyDescent="0.35">
      <c r="E12" s="87"/>
      <c r="F12" s="87"/>
    </row>
    <row r="13" spans="1:33" ht="14.5" customHeight="1" x14ac:dyDescent="0.35">
      <c r="E13" s="87"/>
      <c r="F13" s="87"/>
    </row>
    <row r="14" spans="1:33" ht="14.5" customHeight="1" x14ac:dyDescent="0.35">
      <c r="A14" s="84" t="s">
        <v>487</v>
      </c>
      <c r="G14" s="85"/>
      <c r="H14" s="87"/>
      <c r="I14" s="94"/>
      <c r="J14" s="93"/>
      <c r="K14" s="85"/>
      <c r="M14" s="94"/>
      <c r="N14" s="93"/>
      <c r="O14" s="85"/>
      <c r="Q14" s="94"/>
      <c r="R14" s="93"/>
      <c r="S14" s="85"/>
      <c r="U14" s="94"/>
      <c r="V14" s="93"/>
      <c r="W14" s="85"/>
      <c r="Y14" s="94"/>
      <c r="Z14" s="93"/>
      <c r="AA14" s="85"/>
      <c r="AC14" s="94"/>
      <c r="AD14" s="93"/>
      <c r="AE14" s="85"/>
    </row>
    <row r="15" spans="1:33" ht="14.5" customHeight="1"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ht="14.5" customHeight="1" x14ac:dyDescent="0.35">
      <c r="A16" s="85"/>
      <c r="D16" s="85"/>
      <c r="E16" s="85">
        <v>6</v>
      </c>
      <c r="F16" s="93" t="s">
        <v>790</v>
      </c>
      <c r="G16" s="85" t="s">
        <v>80</v>
      </c>
      <c r="H16" s="87">
        <v>244.99</v>
      </c>
      <c r="I16" s="94">
        <v>5</v>
      </c>
      <c r="J16" s="93">
        <v>45017</v>
      </c>
      <c r="K16" s="85" t="s">
        <v>151</v>
      </c>
      <c r="L16" s="87">
        <v>1964.81</v>
      </c>
      <c r="M16" s="94">
        <v>5</v>
      </c>
      <c r="N16" s="93">
        <v>45383</v>
      </c>
      <c r="O16" s="85" t="s">
        <v>151</v>
      </c>
      <c r="P16" s="149">
        <v>2120.75</v>
      </c>
      <c r="Q16" s="94"/>
      <c r="R16" s="93"/>
      <c r="S16" s="85"/>
      <c r="U16" s="94"/>
      <c r="V16" s="93"/>
      <c r="W16" s="85"/>
      <c r="Y16" s="94"/>
      <c r="Z16" s="93"/>
      <c r="AA16" s="85"/>
      <c r="AC16" s="94"/>
      <c r="AD16" s="93"/>
      <c r="AE16" s="85"/>
    </row>
    <row r="17" spans="5:31" ht="14.5" customHeight="1" x14ac:dyDescent="0.35">
      <c r="E17" s="85">
        <v>4</v>
      </c>
      <c r="F17" s="93" t="s">
        <v>1186</v>
      </c>
      <c r="G17" s="85" t="s">
        <v>1249</v>
      </c>
      <c r="H17" s="87">
        <v>-7500</v>
      </c>
      <c r="I17" s="95">
        <v>1</v>
      </c>
      <c r="J17" s="96" t="s">
        <v>814</v>
      </c>
      <c r="K17" s="96" t="s">
        <v>1250</v>
      </c>
      <c r="L17" s="87">
        <v>10000</v>
      </c>
      <c r="M17" s="95"/>
      <c r="N17" s="96"/>
      <c r="O17" s="85"/>
      <c r="Q17" s="94"/>
      <c r="R17" s="93"/>
      <c r="S17" s="85"/>
      <c r="U17" s="94"/>
      <c r="V17" s="93"/>
      <c r="W17" s="85"/>
      <c r="Y17" s="94"/>
      <c r="Z17" s="93"/>
      <c r="AA17" s="85"/>
      <c r="AC17" s="94"/>
      <c r="AD17" s="93"/>
      <c r="AE17" s="85"/>
    </row>
    <row r="18" spans="5:31" ht="14.5" customHeight="1" x14ac:dyDescent="0.35">
      <c r="E18" s="85">
        <v>5</v>
      </c>
      <c r="F18" s="93" t="s">
        <v>790</v>
      </c>
      <c r="G18" s="85" t="s">
        <v>151</v>
      </c>
      <c r="H18" s="87">
        <v>1871.25</v>
      </c>
      <c r="I18" s="94">
        <v>4</v>
      </c>
      <c r="J18" s="93">
        <v>45299</v>
      </c>
      <c r="K18" s="85" t="s">
        <v>147</v>
      </c>
      <c r="L18" s="87">
        <f>-20*109</f>
        <v>-2180</v>
      </c>
      <c r="M18" s="94"/>
      <c r="N18" s="93"/>
      <c r="O18" s="85"/>
      <c r="Q18" s="94"/>
      <c r="R18" s="93"/>
      <c r="S18" s="85"/>
      <c r="U18" s="94"/>
      <c r="V18" s="93"/>
      <c r="W18" s="85"/>
      <c r="Y18" s="94"/>
      <c r="Z18" s="93"/>
      <c r="AA18" s="85"/>
      <c r="AC18" s="94"/>
      <c r="AD18" s="93"/>
      <c r="AE18" s="85"/>
    </row>
    <row r="19" spans="5:31" ht="14.5" customHeight="1" x14ac:dyDescent="0.35">
      <c r="E19" s="85">
        <v>4</v>
      </c>
      <c r="F19" s="93">
        <v>44871</v>
      </c>
      <c r="G19" s="85" t="s">
        <v>1249</v>
      </c>
      <c r="H19" s="87">
        <v>-2100</v>
      </c>
      <c r="I19" s="94"/>
      <c r="J19" s="93"/>
      <c r="K19" s="85"/>
      <c r="M19" s="94"/>
      <c r="N19" s="93"/>
      <c r="O19" s="85"/>
      <c r="Q19" s="94"/>
      <c r="R19" s="93"/>
      <c r="S19" s="85"/>
      <c r="U19" s="94"/>
      <c r="V19" s="93"/>
      <c r="W19" s="85"/>
      <c r="Y19" s="94"/>
      <c r="Z19" s="93"/>
      <c r="AA19" s="85"/>
      <c r="AC19" s="94"/>
      <c r="AD19" s="93"/>
      <c r="AE19" s="85"/>
    </row>
    <row r="20" spans="5:31" ht="14.5" customHeight="1" x14ac:dyDescent="0.35">
      <c r="E20" s="85">
        <v>1</v>
      </c>
      <c r="F20" s="93" t="s">
        <v>699</v>
      </c>
      <c r="G20" s="85" t="s">
        <v>1237</v>
      </c>
      <c r="H20" s="87">
        <v>64.319999999999993</v>
      </c>
      <c r="I20" s="94"/>
      <c r="J20" s="93"/>
      <c r="K20" s="85"/>
      <c r="M20" s="94"/>
      <c r="N20" s="93"/>
      <c r="O20" s="85"/>
      <c r="Q20" s="94"/>
      <c r="R20" s="93"/>
      <c r="S20" s="85"/>
      <c r="U20" s="94"/>
      <c r="V20" s="93"/>
      <c r="W20" s="85"/>
      <c r="Y20" s="94"/>
      <c r="Z20" s="93"/>
      <c r="AA20" s="85"/>
      <c r="AC20" s="94"/>
      <c r="AD20" s="93"/>
      <c r="AE20" s="85"/>
    </row>
    <row r="21" spans="5:31" ht="14.5" customHeight="1" x14ac:dyDescent="0.35">
      <c r="E21" s="85">
        <v>1</v>
      </c>
      <c r="F21" s="93">
        <v>44994</v>
      </c>
      <c r="G21" s="85" t="s">
        <v>1251</v>
      </c>
      <c r="H21" s="87">
        <v>143.24</v>
      </c>
      <c r="I21" s="94"/>
      <c r="J21" s="93"/>
      <c r="K21" s="85"/>
      <c r="M21" s="94"/>
      <c r="N21" s="93"/>
      <c r="O21" s="85"/>
      <c r="Q21" s="94"/>
      <c r="R21" s="93"/>
      <c r="S21" s="85"/>
      <c r="U21" s="94"/>
      <c r="V21" s="93"/>
      <c r="W21" s="85"/>
      <c r="Y21" s="94"/>
      <c r="Z21" s="93"/>
      <c r="AA21" s="85"/>
      <c r="AC21" s="94"/>
      <c r="AD21" s="93"/>
      <c r="AE21" s="85"/>
    </row>
    <row r="22" spans="5:31" ht="14.5" customHeight="1" x14ac:dyDescent="0.35">
      <c r="E22" s="85">
        <v>1</v>
      </c>
      <c r="F22" s="93">
        <v>44974</v>
      </c>
      <c r="G22" s="85" t="s">
        <v>1252</v>
      </c>
      <c r="H22" s="87">
        <v>220.9</v>
      </c>
      <c r="I22" s="94"/>
      <c r="J22" s="93"/>
      <c r="K22" s="85"/>
      <c r="M22" s="94"/>
      <c r="N22" s="93"/>
      <c r="O22" s="85"/>
      <c r="Q22" s="94"/>
      <c r="R22" s="93"/>
      <c r="S22" s="85"/>
      <c r="U22" s="94"/>
      <c r="V22" s="93"/>
      <c r="W22" s="85"/>
      <c r="Y22" s="94"/>
      <c r="Z22" s="93"/>
      <c r="AA22" s="85"/>
      <c r="AC22" s="94"/>
      <c r="AD22" s="93"/>
      <c r="AE22" s="85"/>
    </row>
    <row r="23" spans="5:31" ht="14.5" customHeight="1" x14ac:dyDescent="0.35">
      <c r="E23" s="85">
        <v>1</v>
      </c>
      <c r="F23" s="93">
        <v>44974</v>
      </c>
      <c r="G23" s="85" t="s">
        <v>1252</v>
      </c>
      <c r="H23" s="87">
        <v>60.5</v>
      </c>
      <c r="I23" s="94"/>
      <c r="J23" s="93"/>
      <c r="K23" s="85"/>
      <c r="M23" s="94"/>
      <c r="N23" s="93"/>
      <c r="O23" s="85"/>
      <c r="Q23" s="94"/>
      <c r="R23" s="93"/>
      <c r="S23" s="85"/>
      <c r="U23" s="94"/>
      <c r="V23" s="93"/>
      <c r="W23" s="85"/>
      <c r="Y23" s="94"/>
      <c r="Z23" s="93"/>
      <c r="AA23" s="85"/>
      <c r="AC23" s="94"/>
      <c r="AD23" s="93"/>
      <c r="AE23" s="85"/>
    </row>
    <row r="24" spans="5:31" ht="14.5" customHeight="1" x14ac:dyDescent="0.35">
      <c r="E24" s="85">
        <v>4</v>
      </c>
      <c r="F24" s="93">
        <v>44938</v>
      </c>
      <c r="G24" s="85" t="s">
        <v>1252</v>
      </c>
      <c r="H24" s="87">
        <v>-1962.5</v>
      </c>
      <c r="I24" s="94"/>
      <c r="J24" s="93"/>
      <c r="K24" s="85"/>
      <c r="M24" s="94"/>
      <c r="N24" s="93"/>
      <c r="O24" s="85"/>
      <c r="Q24" s="94"/>
      <c r="R24" s="93"/>
      <c r="S24" s="85"/>
      <c r="U24" s="94"/>
      <c r="V24" s="93"/>
      <c r="W24" s="85"/>
      <c r="Y24" s="94"/>
      <c r="Z24" s="93"/>
      <c r="AA24" s="85"/>
      <c r="AC24" s="94"/>
      <c r="AD24" s="93"/>
      <c r="AE24" s="85"/>
    </row>
    <row r="25" spans="5:31" x14ac:dyDescent="0.35">
      <c r="E25" s="85">
        <v>1</v>
      </c>
      <c r="F25" s="93">
        <v>44994</v>
      </c>
      <c r="G25" s="85" t="s">
        <v>1251</v>
      </c>
      <c r="H25" s="87">
        <v>143.24</v>
      </c>
      <c r="I25" s="94"/>
      <c r="J25" s="93"/>
      <c r="K25" s="85"/>
      <c r="M25" s="94"/>
      <c r="N25" s="93"/>
      <c r="O25" s="85"/>
      <c r="Q25" s="94"/>
      <c r="R25" s="93"/>
      <c r="S25" s="85"/>
      <c r="U25" s="94"/>
      <c r="V25" s="93"/>
      <c r="W25" s="85"/>
      <c r="Y25" s="94"/>
      <c r="Z25" s="93"/>
      <c r="AA25" s="85"/>
      <c r="AC25" s="94"/>
      <c r="AD25" s="93"/>
      <c r="AE25" s="85"/>
    </row>
    <row r="26" spans="5:31" x14ac:dyDescent="0.35">
      <c r="G26" s="85"/>
      <c r="H26" s="87"/>
      <c r="I26" s="94"/>
      <c r="J26" s="93"/>
      <c r="K26" s="85"/>
      <c r="M26" s="94"/>
      <c r="N26" s="93"/>
      <c r="O26" s="85"/>
      <c r="Q26" s="94"/>
      <c r="R26" s="93"/>
      <c r="S26" s="85"/>
      <c r="U26" s="94"/>
      <c r="V26" s="93"/>
      <c r="W26" s="85"/>
      <c r="Y26" s="94"/>
      <c r="Z26" s="93"/>
      <c r="AA26" s="85"/>
      <c r="AC26" s="94"/>
      <c r="AD26" s="93"/>
      <c r="AE26" s="85"/>
    </row>
    <row r="27" spans="5:31" x14ac:dyDescent="0.35">
      <c r="G27" s="85"/>
      <c r="H27" s="87"/>
      <c r="I27" s="94"/>
      <c r="J27" s="93"/>
      <c r="K27" s="85"/>
      <c r="M27" s="94"/>
      <c r="N27" s="93"/>
      <c r="O27" s="85"/>
      <c r="Q27" s="94"/>
      <c r="R27" s="93"/>
      <c r="S27" s="85"/>
      <c r="U27" s="94"/>
      <c r="V27" s="93"/>
      <c r="W27" s="85"/>
      <c r="Y27" s="94"/>
      <c r="Z27" s="93"/>
      <c r="AA27" s="85"/>
      <c r="AC27" s="94"/>
      <c r="AD27" s="93"/>
      <c r="AE27" s="85"/>
    </row>
    <row r="28" spans="5:31" x14ac:dyDescent="0.35">
      <c r="G28" s="85"/>
      <c r="H28" s="87"/>
      <c r="I28" s="94"/>
      <c r="J28" s="93"/>
      <c r="K28" s="85"/>
      <c r="M28" s="94"/>
      <c r="N28" s="93"/>
      <c r="O28" s="85"/>
      <c r="Q28" s="94"/>
      <c r="R28" s="93"/>
      <c r="S28" s="85"/>
      <c r="U28" s="94"/>
      <c r="V28" s="93"/>
      <c r="W28" s="85"/>
      <c r="Y28" s="94"/>
      <c r="Z28" s="93"/>
      <c r="AA28" s="85"/>
      <c r="AC28" s="94"/>
      <c r="AD28" s="93"/>
      <c r="AE28" s="85"/>
    </row>
    <row r="29" spans="5:31" x14ac:dyDescent="0.35">
      <c r="G29" s="85"/>
      <c r="H29" s="87"/>
      <c r="I29" s="94"/>
      <c r="J29" s="93"/>
      <c r="K29" s="85"/>
      <c r="M29" s="94"/>
      <c r="N29" s="93"/>
      <c r="O29" s="85"/>
      <c r="Q29" s="94"/>
      <c r="R29" s="93"/>
      <c r="S29" s="85"/>
      <c r="U29" s="94"/>
      <c r="V29" s="93"/>
      <c r="W29" s="85"/>
      <c r="Y29" s="94"/>
      <c r="Z29" s="93"/>
      <c r="AA29" s="85"/>
      <c r="AC29" s="94"/>
      <c r="AD29" s="93"/>
      <c r="AE29" s="85"/>
    </row>
    <row r="30" spans="5:31" x14ac:dyDescent="0.35">
      <c r="G30" s="85"/>
      <c r="H30" s="87"/>
      <c r="I30" s="94"/>
      <c r="J30" s="93"/>
      <c r="K30" s="85"/>
      <c r="M30" s="94"/>
      <c r="N30" s="93"/>
      <c r="O30" s="85"/>
      <c r="Q30" s="94"/>
      <c r="R30" s="93"/>
      <c r="S30" s="85"/>
      <c r="U30" s="94"/>
      <c r="V30" s="93"/>
      <c r="W30" s="85"/>
      <c r="Y30" s="94"/>
      <c r="Z30" s="93"/>
      <c r="AA30" s="85"/>
      <c r="AC30" s="94"/>
      <c r="AD30" s="93"/>
      <c r="AE30" s="85"/>
    </row>
    <row r="31" spans="5:31" x14ac:dyDescent="0.35">
      <c r="G31" s="85"/>
      <c r="H31" s="87"/>
      <c r="I31" s="94"/>
      <c r="J31" s="93"/>
      <c r="K31" s="85"/>
      <c r="M31" s="94"/>
      <c r="N31" s="93"/>
      <c r="O31" s="85"/>
      <c r="Q31" s="94"/>
      <c r="R31" s="93"/>
      <c r="S31" s="85"/>
      <c r="U31" s="94"/>
      <c r="V31" s="93"/>
      <c r="W31" s="85"/>
      <c r="Y31" s="94"/>
      <c r="Z31" s="93"/>
      <c r="AA31" s="85"/>
      <c r="AC31" s="94"/>
      <c r="AD31" s="93"/>
      <c r="AE31" s="85"/>
    </row>
    <row r="32" spans="5:31" x14ac:dyDescent="0.35">
      <c r="G32" s="85"/>
      <c r="H32" s="87"/>
      <c r="I32" s="94"/>
      <c r="J32" s="93"/>
      <c r="K32" s="85"/>
      <c r="M32" s="94"/>
      <c r="N32" s="93"/>
      <c r="O32" s="85"/>
      <c r="Q32" s="94"/>
      <c r="R32" s="93"/>
      <c r="S32" s="85"/>
      <c r="U32" s="94"/>
      <c r="V32" s="93"/>
      <c r="W32" s="85"/>
      <c r="Y32" s="94"/>
      <c r="Z32" s="93"/>
      <c r="AA32" s="85"/>
      <c r="AC32" s="94"/>
      <c r="AD32" s="93"/>
      <c r="AE32" s="85"/>
    </row>
    <row r="33" spans="7:31" x14ac:dyDescent="0.35">
      <c r="G33" s="85"/>
      <c r="H33" s="87"/>
      <c r="I33" s="94"/>
      <c r="J33" s="93"/>
      <c r="K33" s="85"/>
      <c r="M33" s="94"/>
      <c r="N33" s="93"/>
      <c r="O33" s="85"/>
      <c r="Q33" s="94"/>
      <c r="R33" s="93"/>
      <c r="S33" s="85"/>
      <c r="U33" s="94"/>
      <c r="V33" s="93"/>
      <c r="W33" s="85"/>
      <c r="Y33" s="94"/>
      <c r="Z33" s="93"/>
      <c r="AA33" s="85"/>
      <c r="AC33" s="94"/>
      <c r="AD33" s="93"/>
      <c r="AE33" s="85"/>
    </row>
    <row r="34" spans="7:31" x14ac:dyDescent="0.35">
      <c r="G34" s="85"/>
      <c r="H34" s="87"/>
      <c r="I34" s="94"/>
      <c r="J34" s="93"/>
      <c r="K34" s="85"/>
      <c r="M34" s="94"/>
      <c r="N34" s="93"/>
      <c r="O34" s="85"/>
      <c r="Q34" s="94"/>
      <c r="R34" s="93"/>
      <c r="S34" s="85"/>
      <c r="U34" s="94"/>
      <c r="V34" s="93"/>
      <c r="W34" s="85"/>
      <c r="Y34" s="94"/>
      <c r="Z34" s="93"/>
      <c r="AA34" s="85"/>
      <c r="AC34" s="94"/>
      <c r="AD34" s="93"/>
      <c r="AE34" s="85"/>
    </row>
    <row r="35" spans="7:31" x14ac:dyDescent="0.35">
      <c r="G35" s="85"/>
      <c r="H35" s="87"/>
      <c r="I35" s="94"/>
      <c r="J35" s="93"/>
      <c r="K35" s="85"/>
      <c r="M35" s="94"/>
      <c r="N35" s="93"/>
      <c r="O35" s="85"/>
      <c r="Q35" s="94"/>
      <c r="R35" s="93"/>
      <c r="S35" s="85"/>
      <c r="U35" s="94"/>
      <c r="V35" s="93"/>
      <c r="W35" s="85"/>
      <c r="Y35" s="94"/>
      <c r="Z35" s="93"/>
      <c r="AA35" s="85"/>
      <c r="AC35" s="94"/>
      <c r="AD35" s="93"/>
      <c r="AE35" s="85"/>
    </row>
    <row r="36" spans="7:31" x14ac:dyDescent="0.35">
      <c r="G36" s="85"/>
      <c r="H36" s="87"/>
      <c r="I36" s="94"/>
      <c r="J36" s="93"/>
      <c r="K36" s="85"/>
      <c r="M36" s="94"/>
      <c r="N36" s="93"/>
      <c r="O36" s="85"/>
      <c r="Q36" s="94"/>
      <c r="R36" s="93"/>
      <c r="S36" s="85"/>
      <c r="U36" s="94"/>
      <c r="V36" s="93"/>
      <c r="W36" s="85"/>
      <c r="Y36" s="94"/>
      <c r="Z36" s="93"/>
      <c r="AA36" s="85"/>
      <c r="AC36" s="94"/>
      <c r="AD36" s="93"/>
      <c r="AE36" s="85"/>
    </row>
    <row r="37" spans="7:31" x14ac:dyDescent="0.35">
      <c r="G37" s="85"/>
      <c r="H37" s="87"/>
      <c r="I37" s="94"/>
      <c r="J37" s="93"/>
      <c r="K37" s="85"/>
      <c r="M37" s="94"/>
      <c r="N37" s="93"/>
      <c r="O37" s="85"/>
      <c r="Q37" s="94"/>
      <c r="R37" s="93"/>
      <c r="S37" s="85"/>
      <c r="U37" s="94"/>
      <c r="V37" s="93"/>
      <c r="W37" s="85"/>
      <c r="Y37" s="94"/>
      <c r="Z37" s="93"/>
      <c r="AA37" s="85"/>
      <c r="AC37" s="94"/>
      <c r="AD37" s="93"/>
      <c r="AE37" s="85"/>
    </row>
    <row r="38" spans="7:31" x14ac:dyDescent="0.35">
      <c r="G38" s="85"/>
      <c r="H38" s="87"/>
      <c r="I38" s="94"/>
      <c r="J38" s="93"/>
      <c r="K38" s="85"/>
      <c r="M38" s="94"/>
      <c r="N38" s="93"/>
      <c r="O38" s="85"/>
      <c r="Q38" s="94"/>
      <c r="R38" s="93"/>
      <c r="S38" s="85"/>
      <c r="U38" s="94"/>
      <c r="V38" s="93"/>
      <c r="W38" s="85"/>
      <c r="Y38" s="94"/>
      <c r="Z38" s="93"/>
      <c r="AA38" s="85"/>
      <c r="AC38" s="94"/>
      <c r="AD38" s="93"/>
      <c r="AE38" s="85"/>
    </row>
    <row r="39" spans="7:31" x14ac:dyDescent="0.35">
      <c r="G39" s="85"/>
      <c r="H39" s="87"/>
      <c r="I39" s="94"/>
      <c r="J39" s="93"/>
      <c r="K39" s="85"/>
      <c r="M39" s="94"/>
      <c r="N39" s="93"/>
      <c r="O39" s="85"/>
      <c r="Q39" s="94"/>
      <c r="R39" s="93"/>
      <c r="S39" s="85"/>
      <c r="U39" s="94"/>
      <c r="V39" s="93"/>
      <c r="W39" s="85"/>
      <c r="Y39" s="94"/>
      <c r="Z39" s="93"/>
      <c r="AA39" s="85"/>
      <c r="AC39" s="94"/>
      <c r="AD39" s="93"/>
      <c r="AE39" s="85"/>
    </row>
    <row r="40" spans="7:31" x14ac:dyDescent="0.35">
      <c r="G40" s="85"/>
      <c r="H40" s="87"/>
      <c r="I40" s="94"/>
      <c r="J40" s="93"/>
      <c r="K40" s="85"/>
      <c r="M40" s="94"/>
      <c r="N40" s="93"/>
      <c r="O40" s="85"/>
      <c r="Q40" s="94"/>
      <c r="R40" s="93"/>
      <c r="S40" s="85"/>
      <c r="U40" s="94"/>
      <c r="V40" s="93"/>
      <c r="W40" s="85"/>
      <c r="Y40" s="94"/>
      <c r="Z40" s="93"/>
      <c r="AA40" s="85"/>
      <c r="AC40" s="94"/>
      <c r="AD40" s="93"/>
      <c r="AE40" s="85"/>
    </row>
    <row r="41" spans="7:31" x14ac:dyDescent="0.35">
      <c r="G41" s="85"/>
      <c r="H41" s="87"/>
      <c r="I41" s="94"/>
      <c r="J41" s="93"/>
      <c r="K41" s="85"/>
      <c r="M41" s="94"/>
      <c r="N41" s="93"/>
      <c r="O41" s="85"/>
      <c r="Q41" s="94"/>
      <c r="R41" s="93"/>
      <c r="S41" s="85"/>
      <c r="U41" s="94"/>
      <c r="V41" s="93"/>
      <c r="W41" s="85"/>
      <c r="Y41" s="94"/>
      <c r="Z41" s="93"/>
      <c r="AA41" s="85"/>
      <c r="AC41" s="94"/>
      <c r="AD41" s="93"/>
      <c r="AE41" s="85"/>
    </row>
    <row r="42" spans="7:31" x14ac:dyDescent="0.35">
      <c r="G42" s="85"/>
      <c r="H42" s="87"/>
      <c r="I42" s="94"/>
      <c r="J42" s="93"/>
      <c r="K42" s="85"/>
      <c r="M42" s="94"/>
      <c r="N42" s="93"/>
      <c r="O42" s="85"/>
      <c r="Q42" s="94"/>
      <c r="R42" s="93"/>
      <c r="S42" s="85"/>
      <c r="U42" s="94"/>
      <c r="V42" s="93"/>
      <c r="W42" s="85"/>
      <c r="Y42" s="94"/>
      <c r="Z42" s="93"/>
      <c r="AA42" s="85"/>
      <c r="AC42" s="94"/>
      <c r="AD42" s="93"/>
      <c r="AE42" s="85"/>
    </row>
    <row r="43" spans="7:31" x14ac:dyDescent="0.35">
      <c r="G43" s="85"/>
      <c r="H43" s="87"/>
      <c r="I43" s="94"/>
      <c r="J43" s="93"/>
      <c r="K43" s="85"/>
      <c r="M43" s="94"/>
      <c r="N43" s="93"/>
      <c r="O43" s="85"/>
      <c r="Q43" s="94"/>
      <c r="R43" s="93"/>
      <c r="S43" s="85"/>
      <c r="U43" s="94"/>
      <c r="V43" s="93"/>
      <c r="W43" s="85"/>
      <c r="Y43" s="94"/>
      <c r="Z43" s="93"/>
      <c r="AA43" s="85"/>
      <c r="AC43" s="94"/>
      <c r="AD43" s="93"/>
      <c r="AE43" s="85"/>
    </row>
    <row r="44" spans="7:31" x14ac:dyDescent="0.35">
      <c r="G44" s="85"/>
      <c r="H44" s="87"/>
      <c r="I44" s="94"/>
      <c r="J44" s="93"/>
      <c r="K44" s="85"/>
      <c r="M44" s="94"/>
      <c r="N44" s="93"/>
      <c r="O44" s="85"/>
      <c r="Q44" s="94"/>
      <c r="R44" s="93"/>
      <c r="S44" s="85"/>
      <c r="U44" s="94"/>
      <c r="V44" s="93"/>
      <c r="W44" s="85"/>
      <c r="Y44" s="94"/>
      <c r="Z44" s="93"/>
      <c r="AA44" s="85"/>
      <c r="AC44" s="94"/>
      <c r="AD44" s="93"/>
      <c r="AE44" s="85"/>
    </row>
    <row r="45" spans="7:31" x14ac:dyDescent="0.35">
      <c r="G45" s="85"/>
      <c r="H45" s="87"/>
      <c r="I45" s="94"/>
      <c r="J45" s="93"/>
      <c r="K45" s="85"/>
      <c r="M45" s="94"/>
      <c r="N45" s="93"/>
      <c r="O45" s="85"/>
      <c r="Q45" s="94"/>
      <c r="R45" s="93"/>
      <c r="S45" s="85"/>
      <c r="U45" s="94"/>
      <c r="V45" s="93"/>
      <c r="W45" s="85"/>
      <c r="Y45" s="94"/>
      <c r="Z45" s="93"/>
      <c r="AA45" s="85"/>
      <c r="AC45" s="94"/>
      <c r="AD45" s="93"/>
      <c r="AE45" s="85"/>
    </row>
    <row r="46" spans="7:31" x14ac:dyDescent="0.35">
      <c r="G46" s="85"/>
      <c r="H46" s="87"/>
      <c r="I46" s="94"/>
      <c r="J46" s="93"/>
      <c r="K46" s="85"/>
      <c r="M46" s="94"/>
      <c r="N46" s="93"/>
      <c r="O46" s="85"/>
      <c r="Q46" s="94"/>
      <c r="R46" s="93"/>
      <c r="S46" s="85"/>
      <c r="U46" s="94"/>
      <c r="V46" s="93"/>
      <c r="W46" s="85"/>
      <c r="Y46" s="94"/>
      <c r="Z46" s="93"/>
      <c r="AA46" s="85"/>
      <c r="AC46" s="94"/>
      <c r="AD46" s="93"/>
      <c r="AE46" s="85"/>
    </row>
    <row r="47" spans="7:31" x14ac:dyDescent="0.35">
      <c r="G47" s="85"/>
      <c r="H47" s="87"/>
      <c r="I47" s="94"/>
      <c r="J47" s="93"/>
      <c r="K47" s="85"/>
      <c r="M47" s="94"/>
      <c r="N47" s="93"/>
      <c r="O47" s="85"/>
      <c r="Q47" s="94"/>
      <c r="R47" s="93"/>
      <c r="S47" s="85"/>
      <c r="U47" s="94"/>
      <c r="V47" s="93"/>
      <c r="W47" s="85"/>
      <c r="Y47" s="94"/>
      <c r="Z47" s="93"/>
      <c r="AA47" s="85"/>
      <c r="AC47" s="94"/>
      <c r="AD47" s="93"/>
      <c r="AE47" s="85"/>
    </row>
    <row r="48" spans="7:31" x14ac:dyDescent="0.35">
      <c r="G48" s="85"/>
      <c r="H48" s="87"/>
      <c r="I48" s="94"/>
      <c r="J48" s="93"/>
      <c r="K48" s="85"/>
      <c r="M48" s="94"/>
      <c r="N48" s="93"/>
      <c r="O48" s="85"/>
      <c r="Q48" s="94"/>
      <c r="R48" s="93"/>
      <c r="S48" s="85"/>
      <c r="U48" s="94"/>
      <c r="V48" s="93"/>
      <c r="W48" s="85"/>
      <c r="Y48" s="94"/>
      <c r="Z48" s="93"/>
      <c r="AA48" s="85"/>
      <c r="AC48" s="94"/>
      <c r="AD48" s="93"/>
      <c r="AE48" s="85"/>
    </row>
    <row r="49" spans="7:31" x14ac:dyDescent="0.35">
      <c r="G49" s="85"/>
      <c r="H49" s="87"/>
      <c r="I49" s="94"/>
      <c r="J49" s="93"/>
      <c r="K49" s="85"/>
      <c r="M49" s="94"/>
      <c r="N49" s="93"/>
      <c r="O49" s="85"/>
      <c r="Q49" s="94"/>
      <c r="R49" s="93"/>
      <c r="S49" s="85"/>
      <c r="U49" s="94"/>
      <c r="V49" s="93"/>
      <c r="W49" s="85"/>
      <c r="Y49" s="94"/>
      <c r="Z49" s="93"/>
      <c r="AA49" s="85"/>
      <c r="AC49" s="94"/>
      <c r="AD49" s="93"/>
      <c r="AE49" s="85"/>
    </row>
    <row r="50" spans="7:31" x14ac:dyDescent="0.35">
      <c r="G50" s="85"/>
      <c r="H50" s="87"/>
      <c r="I50" s="94"/>
      <c r="J50" s="93"/>
      <c r="K50" s="85"/>
      <c r="M50" s="94"/>
      <c r="N50" s="93"/>
      <c r="O50" s="85"/>
      <c r="Q50" s="94"/>
      <c r="R50" s="93"/>
      <c r="S50" s="85"/>
      <c r="U50" s="94"/>
      <c r="V50" s="93"/>
      <c r="W50" s="85"/>
      <c r="Y50" s="94"/>
      <c r="Z50" s="93"/>
      <c r="AA50" s="85"/>
      <c r="AC50" s="94"/>
      <c r="AD50" s="93"/>
      <c r="AE50" s="85"/>
    </row>
    <row r="51" spans="7:31" x14ac:dyDescent="0.35">
      <c r="G51" s="85"/>
      <c r="H51" s="87"/>
      <c r="I51" s="94"/>
      <c r="J51" s="93"/>
      <c r="K51" s="85"/>
      <c r="M51" s="94"/>
      <c r="N51" s="93"/>
      <c r="O51" s="85"/>
      <c r="Q51" s="94"/>
      <c r="R51" s="93"/>
      <c r="S51" s="85"/>
      <c r="U51" s="94"/>
      <c r="V51" s="93"/>
      <c r="W51" s="85"/>
      <c r="Y51" s="94"/>
      <c r="Z51" s="93"/>
      <c r="AA51" s="85"/>
      <c r="AC51" s="94"/>
      <c r="AD51" s="93"/>
      <c r="AE51" s="85"/>
    </row>
    <row r="52" spans="7:31" x14ac:dyDescent="0.35">
      <c r="G52" s="85"/>
      <c r="H52" s="87"/>
      <c r="I52" s="94"/>
      <c r="J52" s="93"/>
      <c r="K52" s="85"/>
      <c r="M52" s="94"/>
      <c r="N52" s="93"/>
      <c r="O52" s="85"/>
      <c r="Q52" s="94"/>
      <c r="R52" s="93"/>
      <c r="S52" s="85"/>
      <c r="U52" s="94"/>
      <c r="V52" s="93"/>
      <c r="W52" s="85"/>
      <c r="Y52" s="94"/>
      <c r="Z52" s="93"/>
      <c r="AA52" s="85"/>
      <c r="AC52" s="94"/>
      <c r="AD52" s="93"/>
      <c r="AE52" s="85"/>
    </row>
    <row r="53" spans="7:31" x14ac:dyDescent="0.35">
      <c r="G53" s="85"/>
      <c r="H53" s="87"/>
      <c r="I53" s="94"/>
      <c r="J53" s="93"/>
      <c r="K53" s="85"/>
      <c r="M53" s="94"/>
      <c r="N53" s="93"/>
      <c r="O53" s="85"/>
      <c r="Q53" s="94"/>
      <c r="R53" s="93"/>
      <c r="S53" s="85"/>
      <c r="U53" s="94"/>
      <c r="V53" s="93"/>
      <c r="W53" s="85"/>
      <c r="Y53" s="94"/>
      <c r="Z53" s="93"/>
      <c r="AA53" s="85"/>
      <c r="AC53" s="94"/>
      <c r="AD53" s="93"/>
      <c r="AE53" s="85"/>
    </row>
    <row r="54" spans="7:31" x14ac:dyDescent="0.35">
      <c r="G54" s="85"/>
      <c r="H54" s="87"/>
      <c r="I54" s="94"/>
      <c r="J54" s="93"/>
      <c r="K54" s="85"/>
      <c r="M54" s="94"/>
      <c r="N54" s="93"/>
      <c r="O54" s="85"/>
      <c r="Q54" s="94"/>
      <c r="R54" s="93"/>
      <c r="S54" s="85"/>
      <c r="U54" s="94"/>
      <c r="V54" s="93"/>
      <c r="W54" s="85"/>
      <c r="Y54" s="94"/>
      <c r="Z54" s="93"/>
      <c r="AA54" s="85"/>
      <c r="AC54" s="94"/>
      <c r="AD54" s="93"/>
      <c r="AE54" s="85"/>
    </row>
    <row r="55" spans="7:31" x14ac:dyDescent="0.35">
      <c r="G55" s="85"/>
      <c r="H55" s="87"/>
      <c r="I55" s="94"/>
      <c r="J55" s="93"/>
      <c r="K55" s="85"/>
      <c r="M55" s="94"/>
      <c r="N55" s="93"/>
      <c r="O55" s="85"/>
      <c r="Q55" s="94"/>
      <c r="R55" s="93"/>
      <c r="S55" s="85"/>
      <c r="U55" s="94"/>
      <c r="V55" s="93"/>
      <c r="W55" s="85"/>
      <c r="Y55" s="94"/>
      <c r="Z55" s="93"/>
      <c r="AA55" s="85"/>
      <c r="AC55" s="94"/>
      <c r="AD55" s="93"/>
      <c r="AE55" s="85"/>
    </row>
    <row r="56" spans="7:31" x14ac:dyDescent="0.35">
      <c r="G56" s="85"/>
      <c r="H56" s="87"/>
      <c r="I56" s="94"/>
      <c r="J56" s="93"/>
      <c r="K56" s="85"/>
      <c r="M56" s="94"/>
      <c r="N56" s="93"/>
      <c r="O56" s="85"/>
      <c r="Q56" s="94"/>
      <c r="R56" s="93"/>
      <c r="S56" s="85"/>
      <c r="U56" s="94"/>
      <c r="V56" s="93"/>
      <c r="W56" s="85"/>
      <c r="Y56" s="94"/>
      <c r="Z56" s="93"/>
      <c r="AA56" s="85"/>
      <c r="AC56" s="94"/>
      <c r="AD56" s="93"/>
      <c r="AE56" s="85"/>
    </row>
    <row r="57" spans="7:31" x14ac:dyDescent="0.35">
      <c r="G57" s="85"/>
      <c r="H57" s="87"/>
      <c r="I57" s="94"/>
      <c r="J57" s="93"/>
      <c r="K57" s="85"/>
      <c r="M57" s="94"/>
      <c r="N57" s="93"/>
      <c r="O57" s="85"/>
      <c r="Q57" s="94"/>
      <c r="R57" s="93"/>
      <c r="S57" s="85"/>
      <c r="U57" s="94"/>
      <c r="V57" s="93"/>
      <c r="W57" s="85"/>
      <c r="Y57" s="94"/>
      <c r="Z57" s="93"/>
      <c r="AA57" s="85"/>
      <c r="AC57" s="94"/>
      <c r="AD57" s="93"/>
      <c r="AE57" s="85"/>
    </row>
    <row r="58" spans="7:31" x14ac:dyDescent="0.35">
      <c r="G58" s="85"/>
      <c r="H58" s="87"/>
      <c r="I58" s="94"/>
      <c r="J58" s="93"/>
      <c r="K58" s="85"/>
      <c r="M58" s="94"/>
      <c r="N58" s="93"/>
      <c r="O58" s="85"/>
      <c r="Q58" s="94"/>
      <c r="R58" s="93"/>
      <c r="S58" s="85"/>
      <c r="U58" s="94"/>
      <c r="V58" s="93"/>
      <c r="W58" s="85"/>
      <c r="Y58" s="94"/>
      <c r="Z58" s="93"/>
      <c r="AA58" s="85"/>
      <c r="AC58" s="94"/>
      <c r="AD58" s="93"/>
      <c r="AE58" s="85"/>
    </row>
    <row r="59" spans="7:31" x14ac:dyDescent="0.35">
      <c r="G59" s="85"/>
      <c r="H59" s="87"/>
      <c r="I59" s="94"/>
      <c r="J59" s="93"/>
      <c r="K59" s="85"/>
      <c r="M59" s="94"/>
      <c r="N59" s="93"/>
      <c r="O59" s="85"/>
      <c r="Q59" s="94"/>
      <c r="R59" s="93"/>
      <c r="S59" s="85"/>
      <c r="U59" s="94"/>
      <c r="V59" s="93"/>
      <c r="W59" s="85"/>
      <c r="Y59" s="94"/>
      <c r="Z59" s="93"/>
      <c r="AA59" s="85"/>
      <c r="AC59" s="94"/>
      <c r="AD59" s="93"/>
      <c r="AE59" s="85"/>
    </row>
    <row r="60" spans="7:31" x14ac:dyDescent="0.35">
      <c r="G60" s="85"/>
      <c r="H60" s="87"/>
      <c r="I60" s="94"/>
      <c r="J60" s="93"/>
      <c r="K60" s="85"/>
      <c r="M60" s="94"/>
      <c r="N60" s="93"/>
      <c r="O60" s="85"/>
      <c r="Q60" s="94"/>
      <c r="R60" s="93"/>
      <c r="S60" s="85"/>
      <c r="U60" s="94"/>
      <c r="V60" s="93"/>
      <c r="W60" s="85"/>
      <c r="Y60" s="94"/>
      <c r="Z60" s="93"/>
      <c r="AA60" s="85"/>
      <c r="AC60" s="94"/>
      <c r="AD60" s="93"/>
      <c r="AE60" s="85"/>
    </row>
    <row r="61" spans="7:31" x14ac:dyDescent="0.35">
      <c r="G61" s="85"/>
      <c r="H61" s="87"/>
      <c r="I61" s="94"/>
      <c r="J61" s="93"/>
      <c r="K61" s="85"/>
      <c r="M61" s="94"/>
      <c r="N61" s="93"/>
      <c r="O61" s="85"/>
      <c r="Q61" s="94"/>
      <c r="R61" s="93"/>
      <c r="S61" s="85"/>
      <c r="U61" s="94"/>
      <c r="V61" s="93"/>
      <c r="W61" s="85"/>
      <c r="Y61" s="94"/>
      <c r="Z61" s="93"/>
      <c r="AA61" s="85"/>
      <c r="AC61" s="94"/>
      <c r="AD61" s="93"/>
      <c r="AE61" s="85"/>
    </row>
    <row r="62" spans="7:31" x14ac:dyDescent="0.35">
      <c r="G62" s="85"/>
      <c r="H62" s="87"/>
      <c r="I62" s="94"/>
      <c r="J62" s="93"/>
      <c r="K62" s="85"/>
      <c r="M62" s="94"/>
      <c r="N62" s="93"/>
      <c r="O62" s="85"/>
      <c r="Q62" s="94"/>
      <c r="R62" s="93"/>
      <c r="S62" s="85"/>
      <c r="U62" s="94"/>
      <c r="V62" s="93"/>
      <c r="W62" s="85"/>
      <c r="Y62" s="94"/>
      <c r="Z62" s="93"/>
      <c r="AA62" s="85"/>
      <c r="AC62" s="94"/>
      <c r="AD62" s="93"/>
      <c r="AE62" s="85"/>
    </row>
    <row r="63" spans="7:31" x14ac:dyDescent="0.35">
      <c r="G63" s="85"/>
      <c r="H63" s="87"/>
      <c r="I63" s="94"/>
      <c r="J63" s="93"/>
      <c r="K63" s="85"/>
      <c r="M63" s="94"/>
      <c r="N63" s="93"/>
      <c r="O63" s="85"/>
      <c r="Q63" s="94"/>
      <c r="R63" s="93"/>
      <c r="S63" s="85"/>
      <c r="U63" s="94"/>
      <c r="V63" s="93"/>
      <c r="W63" s="85"/>
      <c r="Y63" s="94"/>
      <c r="Z63" s="93"/>
      <c r="AA63" s="85"/>
      <c r="AC63" s="94"/>
      <c r="AD63" s="93"/>
      <c r="AE63" s="85"/>
    </row>
    <row r="64" spans="7:31" x14ac:dyDescent="0.35">
      <c r="G64" s="85"/>
      <c r="H64" s="87"/>
      <c r="I64" s="94"/>
      <c r="J64" s="93"/>
      <c r="K64" s="85"/>
      <c r="M64" s="94"/>
      <c r="N64" s="93"/>
      <c r="O64" s="85"/>
      <c r="Q64" s="94"/>
      <c r="R64" s="93"/>
      <c r="S64" s="85"/>
      <c r="U64" s="94"/>
      <c r="V64" s="93"/>
      <c r="W64" s="85"/>
      <c r="Y64" s="94"/>
      <c r="Z64" s="93"/>
      <c r="AA64" s="85"/>
      <c r="AC64" s="94"/>
      <c r="AD64" s="93"/>
      <c r="AE64" s="85"/>
    </row>
    <row r="65" spans="7:31" x14ac:dyDescent="0.35">
      <c r="G65" s="85"/>
      <c r="H65" s="87"/>
      <c r="I65" s="94"/>
      <c r="J65" s="93"/>
      <c r="K65" s="85"/>
      <c r="M65" s="94"/>
      <c r="N65" s="93"/>
      <c r="O65" s="85"/>
      <c r="Q65" s="94"/>
      <c r="R65" s="93"/>
      <c r="S65" s="85"/>
      <c r="U65" s="94"/>
      <c r="V65" s="93"/>
      <c r="W65" s="85"/>
      <c r="Y65" s="94"/>
      <c r="Z65" s="93"/>
      <c r="AA65" s="85"/>
      <c r="AC65" s="94"/>
      <c r="AD65" s="93"/>
      <c r="AE65" s="85"/>
    </row>
    <row r="66" spans="7:31" x14ac:dyDescent="0.35">
      <c r="G66" s="85"/>
      <c r="H66" s="87"/>
      <c r="I66" s="94"/>
      <c r="J66" s="93"/>
      <c r="K66" s="85"/>
      <c r="M66" s="94"/>
      <c r="N66" s="93"/>
      <c r="O66" s="85"/>
      <c r="Q66" s="94"/>
      <c r="R66" s="93"/>
      <c r="S66" s="85"/>
      <c r="U66" s="94"/>
      <c r="V66" s="93"/>
      <c r="W66" s="85"/>
      <c r="Y66" s="94"/>
      <c r="Z66" s="93"/>
      <c r="AA66" s="85"/>
      <c r="AC66" s="94"/>
      <c r="AD66" s="93"/>
      <c r="AE66" s="85"/>
    </row>
    <row r="67" spans="7:31" x14ac:dyDescent="0.35">
      <c r="G67" s="85"/>
      <c r="H67" s="87"/>
      <c r="I67" s="94"/>
      <c r="J67" s="93"/>
      <c r="K67" s="85"/>
      <c r="M67" s="94"/>
      <c r="N67" s="93"/>
      <c r="O67" s="85"/>
      <c r="Q67" s="94"/>
      <c r="R67" s="93"/>
      <c r="S67" s="85"/>
      <c r="U67" s="94"/>
      <c r="V67" s="93"/>
      <c r="W67" s="85"/>
      <c r="Y67" s="94"/>
      <c r="Z67" s="93"/>
      <c r="AA67" s="85"/>
      <c r="AC67" s="94"/>
      <c r="AD67" s="93"/>
      <c r="AE67" s="85"/>
    </row>
    <row r="68" spans="7:31" x14ac:dyDescent="0.35">
      <c r="G68" s="85"/>
      <c r="H68" s="87"/>
      <c r="I68" s="94"/>
      <c r="J68" s="93"/>
      <c r="K68" s="85"/>
      <c r="M68" s="94"/>
      <c r="N68" s="93"/>
      <c r="O68" s="85"/>
      <c r="Q68" s="94"/>
      <c r="R68" s="93"/>
      <c r="S68" s="85"/>
      <c r="U68" s="94"/>
      <c r="V68" s="93"/>
      <c r="W68" s="85"/>
      <c r="Y68" s="94"/>
      <c r="Z68" s="93"/>
      <c r="AA68" s="85"/>
      <c r="AC68" s="94"/>
      <c r="AD68" s="93"/>
      <c r="AE68" s="85"/>
    </row>
    <row r="69" spans="7:31" x14ac:dyDescent="0.35">
      <c r="G69" s="85"/>
      <c r="H69" s="87"/>
      <c r="I69" s="94"/>
      <c r="J69" s="93"/>
      <c r="K69" s="85"/>
      <c r="M69" s="94"/>
      <c r="N69" s="93"/>
      <c r="O69" s="85"/>
      <c r="Q69" s="94"/>
      <c r="R69" s="93"/>
      <c r="S69" s="85"/>
      <c r="U69" s="94"/>
      <c r="V69" s="93"/>
      <c r="W69" s="85"/>
      <c r="Y69" s="94"/>
      <c r="Z69" s="93"/>
      <c r="AA69" s="85"/>
      <c r="AC69" s="94"/>
      <c r="AD69" s="93"/>
      <c r="AE69" s="85"/>
    </row>
    <row r="70" spans="7:31" x14ac:dyDescent="0.35">
      <c r="G70" s="85"/>
      <c r="H70" s="87"/>
      <c r="I70" s="94"/>
      <c r="J70" s="93"/>
      <c r="K70" s="85"/>
      <c r="M70" s="94"/>
      <c r="N70" s="93"/>
      <c r="O70" s="85"/>
      <c r="Q70" s="94"/>
      <c r="R70" s="93"/>
      <c r="S70" s="85"/>
      <c r="U70" s="94"/>
      <c r="V70" s="93"/>
      <c r="W70" s="85"/>
      <c r="Y70" s="94"/>
      <c r="Z70" s="93"/>
      <c r="AA70" s="85"/>
      <c r="AC70" s="94"/>
      <c r="AD70" s="93"/>
      <c r="AE70" s="85"/>
    </row>
    <row r="71" spans="7:31" x14ac:dyDescent="0.35">
      <c r="G71" s="85"/>
      <c r="H71" s="87"/>
      <c r="I71" s="94"/>
      <c r="J71" s="93"/>
      <c r="K71" s="85"/>
      <c r="M71" s="94"/>
      <c r="N71" s="93"/>
      <c r="O71" s="85"/>
      <c r="Q71" s="94"/>
      <c r="R71" s="93"/>
      <c r="S71" s="85"/>
      <c r="U71" s="94"/>
      <c r="V71" s="93"/>
      <c r="W71" s="85"/>
      <c r="Y71" s="94"/>
      <c r="Z71" s="93"/>
      <c r="AA71" s="85"/>
      <c r="AC71" s="94"/>
      <c r="AD71" s="93"/>
      <c r="AE71" s="85"/>
    </row>
    <row r="72" spans="7:31" x14ac:dyDescent="0.35">
      <c r="G72" s="85"/>
      <c r="H72" s="87"/>
      <c r="I72" s="94"/>
      <c r="J72" s="93"/>
      <c r="K72" s="85"/>
      <c r="M72" s="94"/>
      <c r="N72" s="93"/>
      <c r="O72" s="85"/>
      <c r="Q72" s="94"/>
      <c r="R72" s="93"/>
      <c r="S72" s="85"/>
      <c r="U72" s="94"/>
      <c r="V72" s="93"/>
      <c r="W72" s="85"/>
      <c r="Y72" s="94"/>
      <c r="Z72" s="93"/>
      <c r="AA72" s="85"/>
      <c r="AC72" s="94"/>
      <c r="AD72" s="93"/>
      <c r="AE72" s="85"/>
    </row>
    <row r="73" spans="7:31" x14ac:dyDescent="0.35">
      <c r="G73" s="85"/>
      <c r="H73" s="87"/>
      <c r="I73" s="94"/>
      <c r="J73" s="93"/>
      <c r="K73" s="85"/>
      <c r="M73" s="94"/>
      <c r="N73" s="93"/>
      <c r="O73" s="85"/>
      <c r="Q73" s="94"/>
      <c r="R73" s="93"/>
      <c r="S73" s="85"/>
      <c r="U73" s="94"/>
      <c r="V73" s="93"/>
      <c r="W73" s="85"/>
      <c r="Y73" s="94"/>
      <c r="Z73" s="93"/>
      <c r="AA73" s="85"/>
      <c r="AC73" s="94"/>
      <c r="AD73" s="93"/>
      <c r="AE73" s="85"/>
    </row>
    <row r="74" spans="7:31" x14ac:dyDescent="0.35">
      <c r="G74" s="85"/>
      <c r="H74" s="87"/>
      <c r="I74" s="94"/>
      <c r="J74" s="93"/>
      <c r="K74" s="85"/>
      <c r="M74" s="94"/>
      <c r="N74" s="93"/>
      <c r="O74" s="85"/>
      <c r="Q74" s="94"/>
      <c r="R74" s="93"/>
      <c r="S74" s="85"/>
      <c r="U74" s="94"/>
      <c r="V74" s="93"/>
      <c r="W74" s="85"/>
      <c r="Y74" s="94"/>
      <c r="Z74" s="93"/>
      <c r="AA74" s="85"/>
      <c r="AC74" s="94"/>
      <c r="AD74" s="93"/>
      <c r="AE74" s="85"/>
    </row>
    <row r="75" spans="7:31" x14ac:dyDescent="0.35">
      <c r="G75" s="85"/>
      <c r="H75" s="87"/>
      <c r="I75" s="94"/>
      <c r="J75" s="93"/>
      <c r="K75" s="85"/>
      <c r="M75" s="94"/>
      <c r="N75" s="93"/>
      <c r="O75" s="85"/>
      <c r="Q75" s="94"/>
      <c r="R75" s="93"/>
      <c r="S75" s="85"/>
      <c r="U75" s="94"/>
      <c r="V75" s="93"/>
      <c r="W75" s="85"/>
      <c r="Y75" s="94"/>
      <c r="Z75" s="93"/>
      <c r="AA75" s="85"/>
      <c r="AC75" s="94"/>
      <c r="AD75" s="93"/>
      <c r="AE75" s="85"/>
    </row>
    <row r="76" spans="7:31" x14ac:dyDescent="0.35">
      <c r="G76" s="85"/>
      <c r="H76" s="87"/>
      <c r="I76" s="94"/>
      <c r="J76" s="93"/>
      <c r="K76" s="85"/>
      <c r="M76" s="94"/>
      <c r="N76" s="93"/>
      <c r="O76" s="85"/>
      <c r="Q76" s="94"/>
      <c r="R76" s="93"/>
      <c r="S76" s="85"/>
      <c r="U76" s="94"/>
      <c r="V76" s="93"/>
      <c r="W76" s="85"/>
      <c r="Y76" s="94"/>
      <c r="Z76" s="93"/>
      <c r="AA76" s="85"/>
      <c r="AC76" s="94"/>
      <c r="AD76" s="93"/>
      <c r="AE76" s="85"/>
    </row>
    <row r="77" spans="7:31" x14ac:dyDescent="0.35">
      <c r="G77" s="85"/>
      <c r="H77" s="87"/>
      <c r="I77" s="94"/>
      <c r="J77" s="93"/>
      <c r="K77" s="85"/>
      <c r="M77" s="94"/>
      <c r="N77" s="93"/>
      <c r="O77" s="85"/>
      <c r="Q77" s="94"/>
      <c r="R77" s="93"/>
      <c r="S77" s="85"/>
      <c r="U77" s="94"/>
      <c r="V77" s="93"/>
      <c r="W77" s="85"/>
      <c r="Y77" s="94"/>
      <c r="Z77" s="93"/>
      <c r="AA77" s="85"/>
      <c r="AC77" s="94"/>
      <c r="AD77" s="93"/>
      <c r="AE77" s="85"/>
    </row>
    <row r="78" spans="7:31" x14ac:dyDescent="0.35">
      <c r="G78" s="85"/>
      <c r="H78" s="87"/>
      <c r="I78" s="94"/>
      <c r="J78" s="93"/>
      <c r="K78" s="85"/>
      <c r="M78" s="94"/>
      <c r="N78" s="93"/>
      <c r="O78" s="85"/>
      <c r="Q78" s="94"/>
      <c r="R78" s="93"/>
      <c r="S78" s="85"/>
      <c r="U78" s="94"/>
      <c r="V78" s="93"/>
      <c r="W78" s="85"/>
      <c r="Y78" s="94"/>
      <c r="Z78" s="93"/>
      <c r="AA78" s="85"/>
      <c r="AC78" s="94"/>
      <c r="AD78" s="93"/>
      <c r="AE78" s="85"/>
    </row>
    <row r="79" spans="7:31" x14ac:dyDescent="0.35">
      <c r="G79" s="85"/>
      <c r="H79" s="87"/>
      <c r="I79" s="94"/>
      <c r="J79" s="93"/>
      <c r="K79" s="85"/>
      <c r="M79" s="94"/>
      <c r="N79" s="93"/>
      <c r="O79" s="85"/>
      <c r="Q79" s="94"/>
      <c r="R79" s="93"/>
      <c r="S79" s="85"/>
      <c r="U79" s="94"/>
      <c r="V79" s="93"/>
      <c r="W79" s="85"/>
      <c r="Y79" s="94"/>
      <c r="Z79" s="93"/>
      <c r="AA79" s="85"/>
      <c r="AC79" s="94"/>
      <c r="AD79" s="93"/>
      <c r="AE79" s="85"/>
    </row>
    <row r="80" spans="7: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4 A17:AG1048576 A15:L16 Q15:AG16">
    <cfRule type="expression" dxfId="48" priority="1">
      <formula>$A4="Spend to Date"</formula>
    </cfRule>
    <cfRule type="expression" dxfId="47" priority="2">
      <formula>$A4="Spend to Date"</formula>
    </cfRule>
  </conditionalFormatting>
  <conditionalFormatting sqref="M15:P15">
    <cfRule type="expression" dxfId="46" priority="83">
      <formula>$A19="Spend to Date"</formula>
    </cfRule>
    <cfRule type="expression" dxfId="45" priority="84">
      <formula>$A19="Spend to Date"</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AG1000"/>
  <sheetViews>
    <sheetView workbookViewId="0">
      <pane xSplit="2" ySplit="1" topLeftCell="J23" activePane="bottomRight" state="frozen"/>
      <selection pane="topRight" activeCell="C1" sqref="C1"/>
      <selection pane="bottomLeft" activeCell="A2" sqref="A2"/>
      <selection pane="bottomRight" activeCell="N31" sqref="N31"/>
    </sheetView>
  </sheetViews>
  <sheetFormatPr defaultColWidth="8.81640625" defaultRowHeight="14.5" x14ac:dyDescent="0.35"/>
  <cols>
    <col min="1" max="1" width="27" style="86" customWidth="1"/>
    <col min="2" max="2" width="5.453125" style="85" bestFit="1" customWidth="1"/>
    <col min="3" max="3" width="5.453125" style="85" customWidth="1"/>
    <col min="4" max="4" width="10.453125" style="86" bestFit="1" customWidth="1"/>
    <col min="5" max="5" width="13.81640625" style="85" customWidth="1"/>
    <col min="6" max="6" width="19.54296875" style="93" customWidth="1"/>
    <col min="7" max="7" width="33.54296875" style="87" customWidth="1"/>
    <col min="8" max="8" width="13.453125" style="88" customWidth="1"/>
    <col min="9" max="9" width="13.81640625" style="89" bestFit="1" customWidth="1"/>
    <col min="10" max="10" width="19.54296875" style="87" bestFit="1" customWidth="1"/>
    <col min="11" max="11" width="11" style="87" bestFit="1" customWidth="1"/>
    <col min="12" max="12" width="24.81640625" style="87" customWidth="1"/>
    <col min="13" max="13" width="25.1796875" style="89" customWidth="1"/>
    <col min="14" max="14" width="21.1796875" style="87" customWidth="1"/>
    <col min="15" max="15" width="11.54296875" style="87" bestFit="1" customWidth="1"/>
    <col min="16" max="16" width="35.542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152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SUM(E3:E5)</f>
        <v>26912.149999999998</v>
      </c>
      <c r="F2" s="87">
        <f>SUM(F3:F3)</f>
        <v>94286.71</v>
      </c>
      <c r="I2" s="89">
        <f>SUM(I3:I5)</f>
        <v>53168</v>
      </c>
      <c r="J2" s="87">
        <f>SUM(J3:J5)</f>
        <v>37044.51</v>
      </c>
      <c r="M2" s="89">
        <f>SUM(M3:M5)</f>
        <v>0</v>
      </c>
      <c r="N2" s="87">
        <f>SUM(N3:N5)</f>
        <v>30929.599999999999</v>
      </c>
      <c r="Q2" s="89">
        <f>SUM(Q3:Q5)</f>
        <v>0</v>
      </c>
      <c r="R2" s="87">
        <f>SUM(R3:R5)</f>
        <v>0</v>
      </c>
      <c r="U2" s="89">
        <f>SUM(U3:U5)</f>
        <v>0</v>
      </c>
      <c r="V2" s="87">
        <f>SUM(V3:V5)</f>
        <v>0</v>
      </c>
      <c r="Y2" s="89">
        <f>SUM(Y3:Y5)</f>
        <v>0</v>
      </c>
      <c r="Z2" s="87">
        <f>SUM(Z3:Z5)</f>
        <v>0</v>
      </c>
      <c r="AC2" s="89">
        <f>SUM(AC3:AC5)</f>
        <v>0</v>
      </c>
      <c r="AD2" s="87">
        <f>SUM(AD3:AD5)</f>
        <v>0</v>
      </c>
    </row>
    <row r="3" spans="1:33" x14ac:dyDescent="0.35">
      <c r="A3" s="86" t="s">
        <v>152</v>
      </c>
      <c r="B3" s="85">
        <v>1</v>
      </c>
      <c r="D3" s="86">
        <v>78781</v>
      </c>
      <c r="E3" s="87">
        <f>25000+5172.3-3260.15</f>
        <v>26912.149999999998</v>
      </c>
      <c r="F3" s="87">
        <f>SUMIFS(H$20:H$1004,E$20:E$1004,B3)</f>
        <v>94286.71</v>
      </c>
      <c r="G3" s="90">
        <f>D3+E3-F3+SUMIFS(E$8:E$14,$C$8:$C$14,$A3)-SUMIFS(F$8:F$14,$C$8:$C$14,$A3)</f>
        <v>424.75999999998021</v>
      </c>
      <c r="I3" s="91">
        <v>0</v>
      </c>
      <c r="J3" s="87">
        <f>SUMIFS(L$20:L$1004,I$20:I$1004,1)</f>
        <v>-2535.4899999999998</v>
      </c>
      <c r="K3" s="87">
        <f>G3+I3-J3+SUMIFS(I$8:I$14,$C$8:$C$14,$A3)-SUMIFS(J$8:J$14,$C$8:$C$14,$A3)</f>
        <v>0</v>
      </c>
      <c r="L3" s="86"/>
      <c r="N3" s="87">
        <f>SUMIFS(P$20:P$1004,M$20:M$1004,1)</f>
        <v>0</v>
      </c>
      <c r="O3" s="87">
        <f>K3+M3-N3+SUMIFS(M$8:M$14,$C$8:$C$14,$A3)-SUMIFS(N$8:N$14,$C$8:$C$14,$A3)</f>
        <v>5374.64</v>
      </c>
      <c r="R3" s="87">
        <f>SUMIFS(T$20:T$1004,Q$20:Q$1004,1)</f>
        <v>0</v>
      </c>
      <c r="S3" s="87">
        <f>O3+Q3-R3+SUMIFS(Q$8:Q$14,$C$8:$C$14,$A3)-SUMIFS(R$8:R$14,$C$8:$C$14,$A3)</f>
        <v>5374.6399999999994</v>
      </c>
      <c r="V3" s="87">
        <f>SUMIFS(X$20:X$1004,U$20:U$1004,1)</f>
        <v>0</v>
      </c>
      <c r="W3" s="87">
        <f>S3+U3-V3+SUMIFS(U$8:U$14,$C$8:$C$14,$A3)-SUMIFS(V$8:V$14,$C$8:$C$14,$A3)</f>
        <v>5374.6399999999994</v>
      </c>
      <c r="Z3" s="87">
        <f>SUMIFS(AB$20:AB$1004,Y$20:Y$1004,1)</f>
        <v>0</v>
      </c>
      <c r="AA3" s="87">
        <f>W3+Y3-Z3+SUMIFS(Y$8:Y$14,$C$8:$C$14,$A3)-SUMIFS(Z$8:Z$14,$C$8:$C$14,$A3)</f>
        <v>5374.6399999999994</v>
      </c>
      <c r="AD3" s="87">
        <f>SUMIFS(AF$20:AF$1004,AC$20:AC$1004,1)</f>
        <v>0</v>
      </c>
      <c r="AE3" s="87">
        <f>AA3+AC3-AD3+SUMIFS(AC$8:AC$14,$C$8:$C$14,$A3)-SUMIFS(AD$8:AD$14,$C$8:$C$14,$A3)</f>
        <v>5374.6399999999994</v>
      </c>
      <c r="AG3" s="87">
        <v>150000</v>
      </c>
    </row>
    <row r="4" spans="1:33" x14ac:dyDescent="0.35">
      <c r="A4" s="86" t="s">
        <v>72</v>
      </c>
      <c r="B4" s="85">
        <v>2</v>
      </c>
      <c r="D4" s="86">
        <v>0</v>
      </c>
      <c r="E4" s="87">
        <v>0</v>
      </c>
      <c r="F4" s="87">
        <f>SUMIFS(H$20:H$1004,E$20:E$1004,B4)</f>
        <v>0</v>
      </c>
      <c r="G4" s="87">
        <f>D4+E4-F4+SUMIFS(E$8:E$14,$C$8:$C$14,$A4)-SUMIFS(F$8:F$14,$C$8:$C$14,$A4)</f>
        <v>0</v>
      </c>
      <c r="I4" s="89">
        <v>0</v>
      </c>
      <c r="J4" s="87">
        <f>SUMIFS(L$20:L$1004,I$20:I$1004,2)</f>
        <v>0</v>
      </c>
      <c r="K4" s="87">
        <f>G4+I4-J4+SUMIFS(I$8:I$14,$C$8:$C$14,$A4)-SUMIFS(J$8:J$14,$C$8:$C$14,$A4)</f>
        <v>0</v>
      </c>
      <c r="L4" s="86"/>
      <c r="M4" s="89">
        <v>0</v>
      </c>
      <c r="N4" s="87">
        <f>SUMIFS(P$20:P$1004,M$20:M$1004,2)</f>
        <v>0</v>
      </c>
      <c r="O4" s="87">
        <f>K4+M4-N4+SUMIFS(M$8:M$14,$C$8:$C$14,$A4)-SUMIFS(N$8:N$14,$C$8:$C$14,$A4)</f>
        <v>0</v>
      </c>
      <c r="R4" s="87">
        <f>SUMIFS(T$20:T$1004,Q$20:Q$1004,2)</f>
        <v>0</v>
      </c>
      <c r="S4" s="87">
        <f>O4+Q4-R4+SUMIFS(Q$8:Q$14,$C$8:$C$14,$A4)-SUMIFS(R$8:R$14,$C$8:$C$14,$A4)</f>
        <v>0</v>
      </c>
      <c r="V4" s="87">
        <f>SUMIFS(X$20:X$1004,U$20:U$1004,2)</f>
        <v>0</v>
      </c>
      <c r="W4" s="87">
        <f>S4+U4-V4+SUMIFS(U$8:U$14,$C$8:$C$14,$A4)-SUMIFS(V$8:V$14,$C$8:$C$14,$A4)</f>
        <v>0</v>
      </c>
      <c r="Z4" s="87">
        <f>SUMIFS(AB$20:AB$1004,Y$20:Y$1004,2)</f>
        <v>0</v>
      </c>
      <c r="AA4" s="87">
        <f>W4+Y4-Z4+SUMIFS(Y$8:Y$14,$C$8:$C$14,$A4)-SUMIFS(Z$8:Z$14,$C$8:$C$14,$A4)</f>
        <v>0</v>
      </c>
      <c r="AD4" s="87">
        <f>SUMIFS(AF$20:AF$1004,AC$20:AC$1004,2)</f>
        <v>0</v>
      </c>
      <c r="AE4" s="87">
        <f>AA4+AC4-AD4+SUMIFS(AC$8:AC$14,$C$8:$C$14,$A4)-SUMIFS(AD$8:AD$14,$C$8:$C$14,$A4)</f>
        <v>0</v>
      </c>
    </row>
    <row r="5" spans="1:33" x14ac:dyDescent="0.35">
      <c r="A5" s="86" t="s">
        <v>153</v>
      </c>
      <c r="B5" s="85">
        <v>3</v>
      </c>
      <c r="D5" s="86">
        <v>0</v>
      </c>
      <c r="E5" s="87">
        <v>0</v>
      </c>
      <c r="F5" s="87">
        <f>SUMIFS(H$20:H$1004,E$20:E$1004,B5)</f>
        <v>-17341.600000000002</v>
      </c>
      <c r="G5" s="90">
        <f>D5+E5-F5+SUMIFS(E$8:E$14,$C$8:$C$14,$A5)-SUMIFS(F$8:F$14,$C$8:$C$14,$A5)</f>
        <v>17341.600000000002</v>
      </c>
      <c r="I5" s="91">
        <f>ROUNDUP(9900+1406.35+(11666.59-3260.15)+3000+30454.85,0)</f>
        <v>53168</v>
      </c>
      <c r="J5" s="87">
        <f>SUMIFS(L$20:L$1004,I$20:I$1004,3)</f>
        <v>39580</v>
      </c>
      <c r="K5" s="87">
        <f>G5+I5-J5+SUMIFS(I$8:I$14,$C$8:$C$14,$A5)-SUMIFS(J$8:J$14,$C$8:$C$14,$A5)</f>
        <v>30929.600000000006</v>
      </c>
      <c r="L5" s="86"/>
      <c r="N5" s="87">
        <f>SUMIFS(P$20:P$1004,M$20:M$1004,3)</f>
        <v>30929.599999999999</v>
      </c>
      <c r="O5" s="87">
        <f>K5+M5-N5+SUMIFS(M$8:M$14,$C$8:$C$14,$A5)-SUMIFS(N$8:N$14,$C$8:$C$14,$A5)</f>
        <v>7.2759576141834259E-12</v>
      </c>
      <c r="R5" s="87">
        <f>SUMIFS(T$20:T$1004,Q$20:Q$1004,2)</f>
        <v>0</v>
      </c>
      <c r="S5" s="87">
        <f>O5+Q5-R5+SUMIFS(Q$8:Q$14,$C$8:$C$14,$A5)-SUMIFS(R$8:R$14,$C$8:$C$14,$A5)</f>
        <v>7.2759576141834259E-12</v>
      </c>
      <c r="V5" s="87">
        <f>SUMIFS(X$20:X$1004,U$20:U$1004,2)</f>
        <v>0</v>
      </c>
      <c r="W5" s="87">
        <f>S5+U5-V5+SUMIFS(U$8:U$14,$C$8:$C$14,$A5)-SUMIFS(V$8:V$14,$C$8:$C$14,$A5)</f>
        <v>7.2759576141834259E-12</v>
      </c>
      <c r="Z5" s="87">
        <f>SUMIFS(AB$20:AB$1004,Y$20:Y$1004,2)</f>
        <v>0</v>
      </c>
      <c r="AA5" s="87">
        <f>W5+Y5-Z5+SUMIFS(Y$8:Y$14,$C$8:$C$14,$A5)-SUMIFS(Z$8:Z$14,$C$8:$C$14,$A5)</f>
        <v>7.2759576141834259E-12</v>
      </c>
      <c r="AD5" s="87">
        <f>SUMIFS(AF$20:AF$1004,AC$20:AC$1004,2)</f>
        <v>0</v>
      </c>
      <c r="AE5" s="87">
        <f>AA5+AC5-AD5+SUMIFS(AC$8:AC$14,$C$8:$C$14,$A5)-SUMIFS(AD$8:AD$14,$C$8:$C$14,$A5)</f>
        <v>7.2759576141834259E-12</v>
      </c>
    </row>
    <row r="6" spans="1:33" ht="14.5" customHeight="1" x14ac:dyDescent="0.35">
      <c r="E6" s="87"/>
      <c r="F6" s="87"/>
    </row>
    <row r="7" spans="1:33" ht="14.5" customHeight="1" x14ac:dyDescent="0.35">
      <c r="A7" s="84" t="s">
        <v>154</v>
      </c>
      <c r="D7" s="84"/>
      <c r="E7" s="87">
        <f>SUM(E8:E14)</f>
        <v>66071.149999999994</v>
      </c>
      <c r="F7" s="87">
        <f>SUM(F8:F14)</f>
        <v>77052.83</v>
      </c>
      <c r="I7" s="89">
        <f>SUM(I8:I14)</f>
        <v>14500</v>
      </c>
      <c r="J7" s="87">
        <f>SUM(J8:J14)</f>
        <v>17460.25</v>
      </c>
      <c r="M7" s="89">
        <f>SUM(M8:M14)</f>
        <v>7500</v>
      </c>
      <c r="N7" s="87">
        <f>SUM(N8:N14)</f>
        <v>18325.36</v>
      </c>
      <c r="Q7" s="89">
        <f>SUM(Q8:Q14)</f>
        <v>7725</v>
      </c>
      <c r="R7" s="87">
        <f>$Q$7</f>
        <v>7725</v>
      </c>
      <c r="U7" s="89">
        <f>SUM(U8:U14)</f>
        <v>7957</v>
      </c>
      <c r="V7" s="87">
        <f>$U$7</f>
        <v>7957</v>
      </c>
      <c r="Y7" s="89">
        <f>SUM(Y8:Y14)</f>
        <v>8196</v>
      </c>
      <c r="Z7" s="87">
        <f>$Y$7</f>
        <v>8196</v>
      </c>
      <c r="AC7" s="89">
        <f>SUM(AC8:AC14)</f>
        <v>8442</v>
      </c>
      <c r="AD7" s="87">
        <f>$AC$7</f>
        <v>8442</v>
      </c>
    </row>
    <row r="8" spans="1:33" ht="14.5" customHeight="1" x14ac:dyDescent="0.35">
      <c r="A8" s="86" t="s">
        <v>154</v>
      </c>
      <c r="B8" s="85">
        <v>4</v>
      </c>
      <c r="C8" s="86" t="s">
        <v>152</v>
      </c>
      <c r="D8" s="84"/>
      <c r="E8" s="87">
        <v>0</v>
      </c>
      <c r="F8" s="87">
        <f t="shared" ref="F8:F14" si="0">SUMIFS(H$20:H$1004,E$20:E$1004,$B8)</f>
        <v>0</v>
      </c>
      <c r="I8" s="89">
        <f>ROUNDUP((E8)*RPICurrent,0)</f>
        <v>0</v>
      </c>
      <c r="J8" s="87">
        <f t="shared" ref="J8:J14" si="1">SUMIFS(L$20:L$1004,I$20:I$1004,$B8)</f>
        <v>0</v>
      </c>
      <c r="M8" s="89">
        <f>ROUNDUP((I8)*RPI,0)</f>
        <v>0</v>
      </c>
      <c r="N8" s="87">
        <f t="shared" ref="N8:N14" si="2">SUMIFS(P$20:P$1004,M$20:M$1004,$B8)</f>
        <v>0</v>
      </c>
      <c r="Q8" s="89">
        <f t="shared" ref="Q8:Q14" si="3">ROUNDUP((M8)*RPI,0)</f>
        <v>0</v>
      </c>
      <c r="R8" s="87">
        <f>$Q$8</f>
        <v>0</v>
      </c>
      <c r="U8" s="89">
        <f t="shared" ref="U8:U14" si="4">ROUNDUP((Q8)*RPI,0)</f>
        <v>0</v>
      </c>
      <c r="V8" s="87">
        <f>$U$8</f>
        <v>0</v>
      </c>
      <c r="Y8" s="89">
        <f t="shared" ref="Y8:Y14" si="5">ROUNDUP((U8)*RPI,0)</f>
        <v>0</v>
      </c>
      <c r="Z8" s="87">
        <f>$Y$8</f>
        <v>0</v>
      </c>
      <c r="AC8" s="89">
        <f t="shared" ref="AC8:AC14" si="6">ROUNDUP((Y8)*RPI,0)</f>
        <v>0</v>
      </c>
      <c r="AD8" s="87">
        <f>$AC$8</f>
        <v>0</v>
      </c>
    </row>
    <row r="9" spans="1:33" ht="14.5" customHeight="1" x14ac:dyDescent="0.35">
      <c r="A9" s="86" t="s">
        <v>124</v>
      </c>
      <c r="B9" s="85">
        <v>5</v>
      </c>
      <c r="C9" s="86" t="s">
        <v>152</v>
      </c>
      <c r="D9" s="84"/>
      <c r="E9" s="87">
        <v>3260.15</v>
      </c>
      <c r="F9" s="87">
        <f t="shared" si="0"/>
        <v>14241.83</v>
      </c>
      <c r="I9" s="89">
        <f>7500+7000</f>
        <v>14500</v>
      </c>
      <c r="J9" s="87">
        <f t="shared" si="1"/>
        <v>17460.25</v>
      </c>
      <c r="M9" s="89">
        <v>7500</v>
      </c>
      <c r="N9" s="87">
        <f t="shared" si="2"/>
        <v>2125.3599999999997</v>
      </c>
      <c r="Q9" s="89">
        <f t="shared" si="3"/>
        <v>7725</v>
      </c>
      <c r="R9" s="87">
        <f>$Q$9</f>
        <v>7725</v>
      </c>
      <c r="U9" s="89">
        <f t="shared" si="4"/>
        <v>7957</v>
      </c>
      <c r="V9" s="87">
        <f>$U$9</f>
        <v>7957</v>
      </c>
      <c r="Y9" s="89">
        <f t="shared" si="5"/>
        <v>8196</v>
      </c>
      <c r="Z9" s="87">
        <f>$Y$9</f>
        <v>8196</v>
      </c>
      <c r="AC9" s="89">
        <f t="shared" si="6"/>
        <v>8442</v>
      </c>
      <c r="AD9" s="87">
        <f>$AC$9</f>
        <v>8442</v>
      </c>
    </row>
    <row r="10" spans="1:33" ht="14.5" customHeight="1" x14ac:dyDescent="0.35">
      <c r="A10" s="86" t="s">
        <v>75</v>
      </c>
      <c r="B10" s="85">
        <v>6</v>
      </c>
      <c r="C10" s="86" t="s">
        <v>72</v>
      </c>
      <c r="D10" s="84"/>
      <c r="E10" s="87">
        <v>0</v>
      </c>
      <c r="F10" s="87">
        <f t="shared" si="0"/>
        <v>0</v>
      </c>
      <c r="I10" s="89">
        <v>0</v>
      </c>
      <c r="J10" s="87">
        <f t="shared" si="1"/>
        <v>0</v>
      </c>
      <c r="M10" s="89">
        <v>0</v>
      </c>
      <c r="N10" s="87">
        <f t="shared" si="2"/>
        <v>0</v>
      </c>
      <c r="Q10" s="89">
        <v>0</v>
      </c>
      <c r="R10" s="87">
        <f>$Q$10</f>
        <v>0</v>
      </c>
      <c r="U10" s="89">
        <v>0</v>
      </c>
      <c r="V10" s="87">
        <f>$U$10</f>
        <v>0</v>
      </c>
      <c r="Y10" s="89">
        <v>0</v>
      </c>
      <c r="Z10" s="87">
        <f>$Y$10</f>
        <v>0</v>
      </c>
      <c r="AC10" s="89">
        <v>0</v>
      </c>
      <c r="AD10" s="87">
        <f>$AC$10</f>
        <v>0</v>
      </c>
    </row>
    <row r="11" spans="1:33" ht="14.5" customHeight="1" x14ac:dyDescent="0.35">
      <c r="A11" s="86" t="s">
        <v>80</v>
      </c>
      <c r="B11" s="85">
        <v>7</v>
      </c>
      <c r="C11" s="86" t="s">
        <v>152</v>
      </c>
      <c r="D11" s="84"/>
      <c r="E11" s="87">
        <v>62811</v>
      </c>
      <c r="F11" s="87">
        <f t="shared" si="0"/>
        <v>62811</v>
      </c>
      <c r="I11" s="89">
        <v>0</v>
      </c>
      <c r="J11" s="87">
        <f t="shared" si="1"/>
        <v>0</v>
      </c>
      <c r="M11" s="89">
        <f>ROUNDUP((I11)*RPI,0)</f>
        <v>0</v>
      </c>
      <c r="N11" s="87">
        <f t="shared" si="2"/>
        <v>0</v>
      </c>
      <c r="Q11" s="89">
        <f t="shared" si="3"/>
        <v>0</v>
      </c>
      <c r="R11" s="87">
        <f>$Q$11</f>
        <v>0</v>
      </c>
      <c r="U11" s="89">
        <f t="shared" si="4"/>
        <v>0</v>
      </c>
      <c r="V11" s="87">
        <f>$U$11</f>
        <v>0</v>
      </c>
      <c r="Y11" s="89">
        <f t="shared" si="5"/>
        <v>0</v>
      </c>
      <c r="Z11" s="87">
        <f>$Y$11</f>
        <v>0</v>
      </c>
      <c r="AC11" s="89">
        <f t="shared" si="6"/>
        <v>0</v>
      </c>
      <c r="AD11" s="87">
        <f>$AC$11</f>
        <v>0</v>
      </c>
    </row>
    <row r="12" spans="1:33" ht="114.75" customHeight="1" x14ac:dyDescent="0.35">
      <c r="A12" s="86" t="s">
        <v>142</v>
      </c>
      <c r="B12" s="85">
        <v>8</v>
      </c>
      <c r="C12" s="86" t="s">
        <v>155</v>
      </c>
      <c r="D12" s="84"/>
      <c r="E12" s="87">
        <v>0</v>
      </c>
      <c r="F12" s="87">
        <f t="shared" si="0"/>
        <v>0</v>
      </c>
      <c r="I12" s="89">
        <f>ROUNDUP((E12)*RPICurrent,0)</f>
        <v>0</v>
      </c>
      <c r="J12" s="87">
        <f t="shared" si="1"/>
        <v>0</v>
      </c>
      <c r="N12" s="87">
        <f t="shared" si="2"/>
        <v>16200</v>
      </c>
      <c r="P12" s="86" t="s">
        <v>1253</v>
      </c>
      <c r="Q12" s="89">
        <f t="shared" si="3"/>
        <v>0</v>
      </c>
      <c r="R12" s="87">
        <f>$Q$12</f>
        <v>0</v>
      </c>
      <c r="U12" s="89">
        <f t="shared" si="4"/>
        <v>0</v>
      </c>
      <c r="V12" s="87">
        <f>$U$12</f>
        <v>0</v>
      </c>
      <c r="Y12" s="89">
        <f t="shared" si="5"/>
        <v>0</v>
      </c>
      <c r="Z12" s="87">
        <f>$Y$12</f>
        <v>0</v>
      </c>
      <c r="AC12" s="89">
        <f t="shared" si="6"/>
        <v>0</v>
      </c>
      <c r="AD12" s="87">
        <f>$AC$12</f>
        <v>0</v>
      </c>
    </row>
    <row r="13" spans="1:33" ht="14.5" customHeight="1" x14ac:dyDescent="0.35">
      <c r="A13" s="86" t="s">
        <v>143</v>
      </c>
      <c r="B13" s="85">
        <v>9</v>
      </c>
      <c r="C13" s="86" t="s">
        <v>153</v>
      </c>
      <c r="D13" s="84"/>
      <c r="E13" s="87">
        <v>0</v>
      </c>
      <c r="F13" s="87">
        <f t="shared" si="0"/>
        <v>0</v>
      </c>
      <c r="I13" s="89">
        <f>ROUNDUP((E13)*RPICurrent,0)</f>
        <v>0</v>
      </c>
      <c r="J13" s="87">
        <f t="shared" si="1"/>
        <v>0</v>
      </c>
      <c r="M13" s="89">
        <f>ROUNDUP((I13)*RPI,0)</f>
        <v>0</v>
      </c>
      <c r="N13" s="87">
        <f t="shared" si="2"/>
        <v>0</v>
      </c>
      <c r="Q13" s="89">
        <f t="shared" si="3"/>
        <v>0</v>
      </c>
      <c r="R13" s="87">
        <f>$Q$13</f>
        <v>0</v>
      </c>
      <c r="U13" s="89">
        <f t="shared" si="4"/>
        <v>0</v>
      </c>
      <c r="V13" s="87">
        <f>$U$13</f>
        <v>0</v>
      </c>
      <c r="Y13" s="89">
        <f t="shared" si="5"/>
        <v>0</v>
      </c>
      <c r="Z13" s="87">
        <f>$Y$13</f>
        <v>0</v>
      </c>
      <c r="AC13" s="89">
        <f t="shared" si="6"/>
        <v>0</v>
      </c>
      <c r="AD13" s="87">
        <f>$AC$13</f>
        <v>0</v>
      </c>
    </row>
    <row r="14" spans="1:33" ht="14.5" customHeight="1" x14ac:dyDescent="0.35">
      <c r="A14" s="86" t="s">
        <v>156</v>
      </c>
      <c r="B14" s="85">
        <v>10</v>
      </c>
      <c r="C14" s="86" t="s">
        <v>152</v>
      </c>
      <c r="D14" s="84"/>
      <c r="E14" s="87">
        <v>0</v>
      </c>
      <c r="F14" s="87">
        <f t="shared" si="0"/>
        <v>0</v>
      </c>
      <c r="I14" s="89">
        <f>ROUNDUP((E14)*RPICurrent,0)</f>
        <v>0</v>
      </c>
      <c r="J14" s="87">
        <f t="shared" si="1"/>
        <v>0</v>
      </c>
      <c r="M14" s="89">
        <f>ROUNDUP((I14)*RPI,0)</f>
        <v>0</v>
      </c>
      <c r="N14" s="87">
        <f t="shared" si="2"/>
        <v>0</v>
      </c>
      <c r="Q14" s="89">
        <f t="shared" si="3"/>
        <v>0</v>
      </c>
      <c r="R14" s="87">
        <f>$Q$14</f>
        <v>0</v>
      </c>
      <c r="U14" s="89">
        <f t="shared" si="4"/>
        <v>0</v>
      </c>
      <c r="V14" s="87">
        <f>$U$14</f>
        <v>0</v>
      </c>
      <c r="Y14" s="89">
        <f t="shared" si="5"/>
        <v>0</v>
      </c>
      <c r="Z14" s="87">
        <f>$Y$14</f>
        <v>0</v>
      </c>
      <c r="AC14" s="89">
        <f t="shared" si="6"/>
        <v>0</v>
      </c>
      <c r="AD14" s="87">
        <f>$AC$14</f>
        <v>0</v>
      </c>
    </row>
    <row r="15" spans="1:33" ht="14.5" customHeight="1" x14ac:dyDescent="0.35">
      <c r="E15" s="87"/>
      <c r="F15" s="87"/>
    </row>
    <row r="16" spans="1:33" ht="14.5" customHeight="1" x14ac:dyDescent="0.35">
      <c r="E16" s="87"/>
      <c r="F16" s="87"/>
    </row>
    <row r="17" spans="1:31" ht="14.5" customHeight="1" x14ac:dyDescent="0.35">
      <c r="E17" s="87"/>
      <c r="F17" s="87"/>
      <c r="J17" s="90"/>
    </row>
    <row r="18" spans="1:31" ht="14.5" customHeight="1" x14ac:dyDescent="0.35">
      <c r="A18" s="84" t="s">
        <v>487</v>
      </c>
      <c r="G18" s="85"/>
      <c r="H18" s="87"/>
      <c r="I18" s="94"/>
      <c r="J18" s="93"/>
      <c r="K18" s="85"/>
      <c r="M18" s="94"/>
      <c r="N18" s="93"/>
      <c r="O18" s="85"/>
      <c r="Q18" s="94"/>
      <c r="R18" s="93"/>
      <c r="S18" s="85"/>
      <c r="U18" s="94"/>
      <c r="V18" s="93"/>
      <c r="W18" s="85"/>
      <c r="Y18" s="94"/>
      <c r="Z18" s="93"/>
      <c r="AA18" s="85"/>
      <c r="AC18" s="94"/>
      <c r="AD18" s="93"/>
      <c r="AE18" s="85"/>
    </row>
    <row r="19" spans="1:31" ht="14.5" customHeight="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94"/>
      <c r="R19" s="93"/>
      <c r="S19" s="85"/>
      <c r="U19" s="94"/>
      <c r="V19" s="93"/>
      <c r="W19" s="85"/>
      <c r="Y19" s="94"/>
      <c r="Z19" s="93"/>
      <c r="AA19" s="85"/>
      <c r="AC19" s="94"/>
      <c r="AD19" s="93"/>
      <c r="AE19" s="85"/>
    </row>
    <row r="20" spans="1:31" ht="14.5" customHeight="1" x14ac:dyDescent="0.35">
      <c r="A20" s="85"/>
      <c r="D20" s="85"/>
      <c r="E20" s="85">
        <v>7</v>
      </c>
      <c r="F20" s="93" t="s">
        <v>790</v>
      </c>
      <c r="G20" s="85" t="s">
        <v>1246</v>
      </c>
      <c r="H20" s="87">
        <v>62811</v>
      </c>
      <c r="I20" s="94" t="s">
        <v>23</v>
      </c>
      <c r="J20" s="93" t="s">
        <v>1227</v>
      </c>
      <c r="K20" s="85" t="s">
        <v>1227</v>
      </c>
      <c r="L20" s="90">
        <f>75416.68-4907.44-SUMIF(I21:I390,3,L21:L390)</f>
        <v>30929.239999999991</v>
      </c>
      <c r="M20" s="94">
        <v>3</v>
      </c>
      <c r="N20" s="93" t="s">
        <v>1227</v>
      </c>
      <c r="O20" s="85" t="s">
        <v>1227</v>
      </c>
      <c r="P20" s="90">
        <v>30929.599999999999</v>
      </c>
      <c r="Q20" s="94"/>
      <c r="R20" s="93"/>
      <c r="S20" s="85"/>
      <c r="U20" s="94"/>
      <c r="V20" s="93"/>
      <c r="W20" s="85"/>
      <c r="Y20" s="94"/>
      <c r="Z20" s="93"/>
      <c r="AA20" s="85"/>
      <c r="AC20" s="94"/>
      <c r="AD20" s="93"/>
      <c r="AE20" s="85"/>
    </row>
    <row r="21" spans="1:31" ht="44.5" customHeight="1" x14ac:dyDescent="0.35">
      <c r="E21" s="92">
        <v>3</v>
      </c>
      <c r="F21" s="93">
        <v>44831</v>
      </c>
      <c r="G21" s="85" t="s">
        <v>1254</v>
      </c>
      <c r="H21" s="87">
        <v>13291.66</v>
      </c>
      <c r="I21" s="94" t="s">
        <v>11</v>
      </c>
      <c r="J21" s="93" t="s">
        <v>1255</v>
      </c>
      <c r="K21" s="85" t="s">
        <v>1256</v>
      </c>
      <c r="L21" s="87">
        <v>13291.66</v>
      </c>
      <c r="M21" s="94">
        <v>5</v>
      </c>
      <c r="N21" s="121">
        <v>45420</v>
      </c>
      <c r="O21" s="85" t="s">
        <v>2903</v>
      </c>
      <c r="P21" s="148">
        <v>351.85</v>
      </c>
      <c r="Q21" s="94"/>
      <c r="R21" s="93"/>
      <c r="S21" s="85"/>
      <c r="U21" s="94"/>
      <c r="V21" s="93"/>
      <c r="W21" s="85"/>
      <c r="Y21" s="94"/>
      <c r="Z21" s="93"/>
      <c r="AA21" s="85"/>
      <c r="AC21" s="94"/>
      <c r="AD21" s="93"/>
      <c r="AE21" s="85"/>
    </row>
    <row r="22" spans="1:31" ht="28.5" customHeight="1" x14ac:dyDescent="0.35">
      <c r="E22" s="92">
        <v>3</v>
      </c>
      <c r="F22" s="93" t="s">
        <v>491</v>
      </c>
      <c r="G22" s="85" t="s">
        <v>1256</v>
      </c>
      <c r="H22" s="87">
        <v>13291.66</v>
      </c>
      <c r="I22" s="94" t="s">
        <v>11</v>
      </c>
      <c r="J22" s="93" t="s">
        <v>491</v>
      </c>
      <c r="K22" s="87" t="s">
        <v>1257</v>
      </c>
      <c r="L22" s="87">
        <v>6000</v>
      </c>
      <c r="M22" s="94">
        <v>5</v>
      </c>
      <c r="N22" s="121">
        <v>45450</v>
      </c>
      <c r="O22" s="85" t="s">
        <v>1231</v>
      </c>
      <c r="P22" s="148">
        <v>425.71</v>
      </c>
      <c r="Q22" s="94"/>
      <c r="R22" s="93"/>
      <c r="S22" s="85"/>
      <c r="U22" s="94"/>
      <c r="V22" s="93"/>
      <c r="W22" s="85"/>
      <c r="Y22" s="94"/>
      <c r="Z22" s="93"/>
      <c r="AA22" s="85"/>
      <c r="AC22" s="94"/>
      <c r="AD22" s="93"/>
      <c r="AE22" s="85"/>
    </row>
    <row r="23" spans="1:31" ht="14.5" customHeight="1" x14ac:dyDescent="0.35">
      <c r="E23" s="85">
        <v>5</v>
      </c>
      <c r="F23" s="93" t="s">
        <v>891</v>
      </c>
      <c r="G23" s="85" t="s">
        <v>1258</v>
      </c>
      <c r="H23" s="87">
        <f>448.2+542.14+545.84+941.65+893.99+574.72+533.45+900.43+474.3+950.79+554.07+427.99+599.91+330.76+350.5+675.76</f>
        <v>9744.5</v>
      </c>
      <c r="I23" s="94">
        <v>5</v>
      </c>
      <c r="J23" s="93">
        <v>45057</v>
      </c>
      <c r="K23" s="85" t="s">
        <v>1259</v>
      </c>
      <c r="L23" s="87">
        <v>443.07</v>
      </c>
      <c r="M23" s="94">
        <v>5</v>
      </c>
      <c r="N23" s="93">
        <v>45455</v>
      </c>
      <c r="O23" s="85" t="s">
        <v>1263</v>
      </c>
      <c r="P23" s="148">
        <v>929.04</v>
      </c>
      <c r="Q23" s="94"/>
      <c r="R23" s="93"/>
      <c r="S23" s="85"/>
      <c r="U23" s="94"/>
      <c r="V23" s="93"/>
      <c r="W23" s="85"/>
      <c r="Y23" s="94"/>
      <c r="Z23" s="93"/>
      <c r="AA23" s="85"/>
      <c r="AC23" s="94"/>
      <c r="AD23" s="93"/>
      <c r="AE23" s="85"/>
    </row>
    <row r="24" spans="1:31" ht="14.5" customHeight="1" x14ac:dyDescent="0.35">
      <c r="E24" s="85">
        <v>1</v>
      </c>
      <c r="F24" s="93">
        <v>44712</v>
      </c>
      <c r="G24" s="85" t="s">
        <v>1260</v>
      </c>
      <c r="H24" s="87">
        <v>9900</v>
      </c>
      <c r="I24" s="94">
        <v>5</v>
      </c>
      <c r="J24" s="93">
        <v>45084</v>
      </c>
      <c r="K24" s="85" t="s">
        <v>1261</v>
      </c>
      <c r="L24" s="87">
        <v>542.91999999999996</v>
      </c>
      <c r="M24" s="94">
        <v>5</v>
      </c>
      <c r="N24" s="93">
        <v>45478</v>
      </c>
      <c r="O24" s="85" t="s">
        <v>1232</v>
      </c>
      <c r="P24" s="87">
        <v>418.76</v>
      </c>
      <c r="Q24" s="94"/>
      <c r="R24" s="93"/>
      <c r="S24" s="85"/>
      <c r="U24" s="94"/>
      <c r="V24" s="93"/>
      <c r="W24" s="85"/>
      <c r="Y24" s="94"/>
      <c r="Z24" s="93"/>
      <c r="AA24" s="85"/>
      <c r="AC24" s="94"/>
      <c r="AD24" s="93"/>
      <c r="AE24" s="85"/>
    </row>
    <row r="25" spans="1:31" ht="14.5" customHeight="1" x14ac:dyDescent="0.35">
      <c r="E25" s="92">
        <v>3</v>
      </c>
      <c r="F25" s="93">
        <v>44708</v>
      </c>
      <c r="G25" s="85" t="s">
        <v>1262</v>
      </c>
      <c r="H25" s="87">
        <v>148</v>
      </c>
      <c r="I25" s="94">
        <v>5</v>
      </c>
      <c r="J25" s="93">
        <v>45097</v>
      </c>
      <c r="K25" s="85" t="s">
        <v>1263</v>
      </c>
      <c r="L25" s="87">
        <v>737.18</v>
      </c>
      <c r="M25" s="94">
        <v>8</v>
      </c>
      <c r="N25" s="93">
        <v>45471</v>
      </c>
      <c r="O25" s="85" t="s">
        <v>3153</v>
      </c>
      <c r="P25" s="87">
        <v>5200</v>
      </c>
      <c r="Q25" s="94"/>
      <c r="R25" s="93"/>
      <c r="S25" s="85"/>
      <c r="U25" s="94"/>
      <c r="V25" s="93"/>
      <c r="W25" s="85"/>
      <c r="Y25" s="94"/>
      <c r="Z25" s="93"/>
      <c r="AA25" s="85"/>
      <c r="AC25" s="94"/>
      <c r="AD25" s="93"/>
      <c r="AE25" s="85"/>
    </row>
    <row r="26" spans="1:31" ht="14.5" customHeight="1" x14ac:dyDescent="0.35">
      <c r="E26" s="92">
        <v>3</v>
      </c>
      <c r="F26" s="93">
        <v>44880</v>
      </c>
      <c r="G26" s="85" t="s">
        <v>1264</v>
      </c>
      <c r="H26" s="87">
        <v>8400</v>
      </c>
      <c r="I26" s="94">
        <v>5</v>
      </c>
      <c r="J26" s="93">
        <v>45114</v>
      </c>
      <c r="K26" s="85" t="s">
        <v>1265</v>
      </c>
      <c r="L26" s="87">
        <v>452.81</v>
      </c>
      <c r="M26" s="94">
        <v>8</v>
      </c>
      <c r="N26" s="93">
        <v>45496</v>
      </c>
      <c r="O26" s="85" t="s">
        <v>3160</v>
      </c>
      <c r="P26" s="87">
        <v>11000</v>
      </c>
      <c r="Q26" s="94"/>
      <c r="R26" s="93"/>
      <c r="S26" s="85"/>
      <c r="U26" s="94"/>
      <c r="V26" s="93"/>
      <c r="W26" s="85"/>
      <c r="Y26" s="94"/>
      <c r="Z26" s="93"/>
      <c r="AA26" s="85"/>
      <c r="AC26" s="94"/>
      <c r="AD26" s="93"/>
      <c r="AE26" s="85"/>
    </row>
    <row r="27" spans="1:31" x14ac:dyDescent="0.35">
      <c r="E27" s="92">
        <v>3</v>
      </c>
      <c r="F27" s="93" t="s">
        <v>491</v>
      </c>
      <c r="G27" s="85" t="s">
        <v>1257</v>
      </c>
      <c r="H27" s="87">
        <v>6000</v>
      </c>
      <c r="I27" s="94">
        <v>3</v>
      </c>
      <c r="J27" s="93">
        <v>45135</v>
      </c>
      <c r="K27" s="85" t="s">
        <v>1266</v>
      </c>
      <c r="L27" s="87">
        <v>840</v>
      </c>
      <c r="M27" s="94"/>
      <c r="N27" s="93"/>
      <c r="O27" s="85"/>
      <c r="Q27" s="94"/>
      <c r="R27" s="93"/>
      <c r="S27" s="85"/>
      <c r="U27" s="94"/>
      <c r="V27" s="93"/>
      <c r="W27" s="85"/>
      <c r="Y27" s="94"/>
      <c r="Z27" s="93"/>
      <c r="AA27" s="85"/>
      <c r="AC27" s="94"/>
      <c r="AD27" s="93"/>
      <c r="AE27" s="85"/>
    </row>
    <row r="28" spans="1:31" x14ac:dyDescent="0.35">
      <c r="E28" s="92">
        <v>3</v>
      </c>
      <c r="F28" s="93">
        <v>44965</v>
      </c>
      <c r="G28" s="85" t="s">
        <v>1267</v>
      </c>
      <c r="H28" s="87">
        <f>H26*0.4/0.3</f>
        <v>11200</v>
      </c>
      <c r="I28" s="94">
        <v>5</v>
      </c>
      <c r="J28" s="93">
        <v>45143</v>
      </c>
      <c r="K28" s="85" t="s">
        <v>1234</v>
      </c>
      <c r="L28" s="87">
        <v>437.87</v>
      </c>
      <c r="M28" s="94"/>
      <c r="N28" s="93"/>
      <c r="O28" s="85"/>
      <c r="Q28" s="94"/>
      <c r="R28" s="93"/>
      <c r="S28" s="85"/>
      <c r="U28" s="94"/>
      <c r="V28" s="93"/>
      <c r="W28" s="85"/>
      <c r="Y28" s="94"/>
      <c r="Z28" s="93"/>
      <c r="AA28" s="85"/>
      <c r="AC28" s="94"/>
      <c r="AD28" s="93"/>
      <c r="AE28" s="85"/>
    </row>
    <row r="29" spans="1:31" x14ac:dyDescent="0.35">
      <c r="E29" s="85">
        <v>1</v>
      </c>
      <c r="F29" s="93" t="s">
        <v>699</v>
      </c>
      <c r="G29" s="85" t="s">
        <v>1237</v>
      </c>
      <c r="H29" s="87">
        <v>1406.35</v>
      </c>
      <c r="I29" s="94">
        <v>3</v>
      </c>
      <c r="J29" s="93">
        <v>45166</v>
      </c>
      <c r="K29" s="85" t="s">
        <v>1268</v>
      </c>
      <c r="L29" s="87">
        <v>9028</v>
      </c>
      <c r="M29" s="94"/>
      <c r="N29" s="93"/>
      <c r="O29" s="85"/>
      <c r="Q29" s="94"/>
      <c r="R29" s="93"/>
      <c r="S29" s="85"/>
      <c r="U29" s="94"/>
      <c r="V29" s="93"/>
      <c r="W29" s="85"/>
      <c r="Y29" s="94"/>
      <c r="Z29" s="93"/>
      <c r="AA29" s="85"/>
      <c r="AC29" s="94"/>
      <c r="AD29" s="93"/>
      <c r="AE29" s="85"/>
    </row>
    <row r="30" spans="1:31" x14ac:dyDescent="0.35">
      <c r="E30" s="92">
        <v>3</v>
      </c>
      <c r="F30" s="93">
        <v>44896</v>
      </c>
      <c r="G30" s="85" t="s">
        <v>1264</v>
      </c>
      <c r="H30" s="87">
        <v>8400</v>
      </c>
      <c r="I30" s="94">
        <v>5</v>
      </c>
      <c r="J30" s="93">
        <v>45176</v>
      </c>
      <c r="K30" s="85" t="s">
        <v>1269</v>
      </c>
      <c r="L30" s="87">
        <v>431.73</v>
      </c>
      <c r="M30" s="94"/>
      <c r="N30" s="93"/>
      <c r="O30" s="85"/>
      <c r="Q30" s="94"/>
      <c r="R30" s="93"/>
      <c r="S30" s="85"/>
      <c r="U30" s="94"/>
      <c r="V30" s="93"/>
      <c r="W30" s="85"/>
      <c r="Y30" s="94"/>
      <c r="Z30" s="93"/>
      <c r="AA30" s="85"/>
      <c r="AC30" s="94"/>
      <c r="AD30" s="93"/>
      <c r="AE30" s="85"/>
    </row>
    <row r="31" spans="1:31" ht="43.5" x14ac:dyDescent="0.35">
      <c r="E31" s="92"/>
      <c r="F31" s="97"/>
      <c r="G31" s="98" t="s">
        <v>1241</v>
      </c>
      <c r="H31" s="90">
        <v>3000</v>
      </c>
      <c r="I31" s="94">
        <v>3</v>
      </c>
      <c r="J31" s="93">
        <v>45180</v>
      </c>
      <c r="K31" s="85" t="s">
        <v>1270</v>
      </c>
      <c r="L31" s="87">
        <v>700</v>
      </c>
      <c r="M31" s="94"/>
      <c r="N31" s="93"/>
      <c r="O31" s="85"/>
      <c r="Q31" s="94"/>
      <c r="R31" s="93"/>
      <c r="S31" s="85"/>
      <c r="U31" s="94"/>
      <c r="V31" s="93"/>
      <c r="W31" s="85"/>
      <c r="Y31" s="94"/>
      <c r="Z31" s="93"/>
      <c r="AA31" s="85"/>
      <c r="AC31" s="94"/>
      <c r="AD31" s="93"/>
      <c r="AE31" s="85"/>
    </row>
    <row r="32" spans="1:31" x14ac:dyDescent="0.35">
      <c r="E32" s="92">
        <v>1</v>
      </c>
      <c r="F32" s="97" t="s">
        <v>699</v>
      </c>
      <c r="G32" s="92" t="s">
        <v>1271</v>
      </c>
      <c r="H32" s="90">
        <v>82980.36</v>
      </c>
      <c r="I32" s="94">
        <v>3</v>
      </c>
      <c r="J32" s="93">
        <v>45184</v>
      </c>
      <c r="K32" s="85" t="s">
        <v>1272</v>
      </c>
      <c r="L32" s="87">
        <v>20000</v>
      </c>
      <c r="M32" s="94"/>
      <c r="N32" s="93"/>
      <c r="O32" s="85"/>
      <c r="Q32" s="94"/>
      <c r="R32" s="93"/>
      <c r="S32" s="85"/>
      <c r="U32" s="94"/>
      <c r="V32" s="93"/>
      <c r="W32" s="85"/>
      <c r="Y32" s="94"/>
      <c r="Z32" s="93"/>
      <c r="AA32" s="85"/>
      <c r="AC32" s="94"/>
      <c r="AD32" s="93"/>
      <c r="AE32" s="85"/>
    </row>
    <row r="33" spans="5:31" x14ac:dyDescent="0.35">
      <c r="E33" s="92">
        <v>3</v>
      </c>
      <c r="F33" s="97" t="s">
        <v>699</v>
      </c>
      <c r="G33" s="92" t="s">
        <v>1273</v>
      </c>
      <c r="H33" s="90">
        <v>-82980.36</v>
      </c>
      <c r="I33" s="94">
        <v>3</v>
      </c>
      <c r="J33" s="93">
        <v>45180</v>
      </c>
      <c r="K33" s="85" t="s">
        <v>1274</v>
      </c>
      <c r="L33" s="87">
        <v>1500</v>
      </c>
      <c r="M33" s="94"/>
      <c r="N33" s="93"/>
      <c r="O33" s="85"/>
      <c r="Q33" s="94"/>
      <c r="R33" s="93"/>
      <c r="S33" s="85"/>
      <c r="U33" s="94"/>
      <c r="V33" s="93"/>
      <c r="W33" s="85"/>
      <c r="Y33" s="94"/>
      <c r="Z33" s="93"/>
      <c r="AA33" s="85"/>
      <c r="AC33" s="94"/>
      <c r="AD33" s="93"/>
      <c r="AE33" s="85"/>
    </row>
    <row r="34" spans="5:31" x14ac:dyDescent="0.35">
      <c r="E34" s="92">
        <v>5</v>
      </c>
      <c r="F34" s="93">
        <v>44964</v>
      </c>
      <c r="G34" s="85" t="s">
        <v>1275</v>
      </c>
      <c r="H34" s="87">
        <v>574.16999999999996</v>
      </c>
      <c r="I34" s="94">
        <v>3</v>
      </c>
      <c r="J34" s="93">
        <v>45180</v>
      </c>
      <c r="K34" s="85" t="s">
        <v>1276</v>
      </c>
      <c r="L34" s="87">
        <v>4512</v>
      </c>
      <c r="M34" s="94"/>
      <c r="N34" s="93"/>
      <c r="O34" s="85"/>
      <c r="Q34" s="94"/>
      <c r="R34" s="93"/>
      <c r="S34" s="85"/>
      <c r="U34" s="94"/>
      <c r="V34" s="93"/>
      <c r="W34" s="85"/>
      <c r="Y34" s="94"/>
      <c r="Z34" s="93"/>
      <c r="AA34" s="85"/>
      <c r="AC34" s="94"/>
      <c r="AD34" s="93"/>
      <c r="AE34" s="85"/>
    </row>
    <row r="35" spans="5:31" x14ac:dyDescent="0.35">
      <c r="E35" s="92">
        <v>3</v>
      </c>
      <c r="F35" s="93">
        <v>44965</v>
      </c>
      <c r="G35" s="85" t="s">
        <v>1277</v>
      </c>
      <c r="H35" s="87">
        <v>4907.4399999999996</v>
      </c>
      <c r="I35" s="94">
        <v>5</v>
      </c>
      <c r="J35" s="93">
        <v>45205</v>
      </c>
      <c r="K35" s="85" t="s">
        <v>1203</v>
      </c>
      <c r="L35" s="87">
        <v>402.89</v>
      </c>
      <c r="M35" s="94"/>
      <c r="N35" s="93"/>
      <c r="O35" s="85"/>
      <c r="Q35" s="94"/>
      <c r="R35" s="93"/>
      <c r="S35" s="85"/>
      <c r="U35" s="94"/>
      <c r="V35" s="93"/>
      <c r="W35" s="85"/>
      <c r="Y35" s="94"/>
      <c r="Z35" s="93"/>
      <c r="AA35" s="85"/>
      <c r="AC35" s="94"/>
      <c r="AD35" s="93"/>
      <c r="AE35" s="85"/>
    </row>
    <row r="36" spans="5:31" x14ac:dyDescent="0.35">
      <c r="E36" s="92">
        <v>5</v>
      </c>
      <c r="F36" s="93">
        <v>44992</v>
      </c>
      <c r="G36" s="85" t="s">
        <v>1208</v>
      </c>
      <c r="H36" s="87">
        <v>517.84</v>
      </c>
      <c r="I36" s="94">
        <v>5</v>
      </c>
      <c r="J36" s="93">
        <v>45193</v>
      </c>
      <c r="K36" s="85" t="s">
        <v>1317</v>
      </c>
      <c r="L36" s="87">
        <v>683.66</v>
      </c>
      <c r="M36" s="94"/>
      <c r="N36" s="93"/>
      <c r="O36" s="85"/>
      <c r="Q36" s="94"/>
      <c r="R36" s="93"/>
      <c r="S36" s="85"/>
      <c r="U36" s="94"/>
      <c r="V36" s="93"/>
      <c r="W36" s="85"/>
      <c r="Y36" s="94"/>
      <c r="Z36" s="93"/>
      <c r="AA36" s="85"/>
      <c r="AC36" s="94"/>
      <c r="AD36" s="93"/>
      <c r="AE36" s="85"/>
    </row>
    <row r="37" spans="5:31" x14ac:dyDescent="0.35">
      <c r="E37" s="92">
        <v>5</v>
      </c>
      <c r="F37" s="93">
        <v>45009</v>
      </c>
      <c r="G37" s="85" t="s">
        <v>1278</v>
      </c>
      <c r="H37" s="87">
        <v>1448.23</v>
      </c>
      <c r="I37" s="94">
        <v>5</v>
      </c>
      <c r="J37" s="93">
        <v>45193</v>
      </c>
      <c r="K37" s="85" t="s">
        <v>2170</v>
      </c>
      <c r="L37" s="87">
        <v>744.91</v>
      </c>
      <c r="M37" s="94"/>
      <c r="N37" s="93"/>
      <c r="O37" s="85"/>
      <c r="Q37" s="94"/>
      <c r="R37" s="93"/>
      <c r="S37" s="85"/>
      <c r="U37" s="94"/>
      <c r="V37" s="93"/>
      <c r="W37" s="85"/>
      <c r="Y37" s="94"/>
      <c r="Z37" s="93"/>
      <c r="AA37" s="85"/>
      <c r="AC37" s="94"/>
      <c r="AD37" s="93"/>
      <c r="AE37" s="85"/>
    </row>
    <row r="38" spans="5:31" x14ac:dyDescent="0.35">
      <c r="E38" s="92">
        <v>5</v>
      </c>
      <c r="F38" s="93">
        <v>45009</v>
      </c>
      <c r="G38" s="85" t="s">
        <v>1243</v>
      </c>
      <c r="H38" s="87">
        <v>1372.56</v>
      </c>
      <c r="I38" s="94">
        <v>5</v>
      </c>
      <c r="J38" s="93">
        <v>45101</v>
      </c>
      <c r="K38" s="85" t="s">
        <v>1263</v>
      </c>
      <c r="L38" s="87">
        <v>678.32</v>
      </c>
      <c r="M38" s="94"/>
      <c r="N38" s="93"/>
      <c r="O38" s="85"/>
      <c r="Q38" s="94"/>
      <c r="R38" s="93"/>
      <c r="S38" s="85"/>
      <c r="U38" s="94"/>
      <c r="V38" s="93"/>
      <c r="W38" s="85"/>
      <c r="Y38" s="94"/>
      <c r="Z38" s="93"/>
      <c r="AA38" s="85"/>
      <c r="AC38" s="94"/>
      <c r="AD38" s="93"/>
      <c r="AE38" s="85"/>
    </row>
    <row r="39" spans="5:31" x14ac:dyDescent="0.35">
      <c r="E39" s="92">
        <v>5</v>
      </c>
      <c r="F39" s="93" t="s">
        <v>775</v>
      </c>
      <c r="G39" s="85" t="s">
        <v>1279</v>
      </c>
      <c r="H39" s="87">
        <v>584.53</v>
      </c>
      <c r="I39" s="94">
        <v>5</v>
      </c>
      <c r="J39" s="93">
        <v>45237</v>
      </c>
      <c r="K39" s="85" t="s">
        <v>2164</v>
      </c>
      <c r="L39" s="87">
        <v>609.98</v>
      </c>
      <c r="M39" s="94"/>
      <c r="N39" s="93"/>
      <c r="O39" s="85"/>
      <c r="Q39" s="94"/>
      <c r="R39" s="93"/>
      <c r="S39" s="85"/>
      <c r="U39" s="94"/>
      <c r="V39" s="93"/>
      <c r="W39" s="85"/>
      <c r="Y39" s="94"/>
      <c r="Z39" s="93"/>
      <c r="AA39" s="85"/>
      <c r="AC39" s="94"/>
      <c r="AD39" s="93"/>
      <c r="AE39" s="85"/>
    </row>
    <row r="40" spans="5:31" x14ac:dyDescent="0.35">
      <c r="G40" s="85"/>
      <c r="H40" s="87"/>
      <c r="I40" s="94">
        <v>5</v>
      </c>
      <c r="J40" s="93">
        <v>45272</v>
      </c>
      <c r="K40" s="85" t="s">
        <v>2260</v>
      </c>
      <c r="L40" s="87">
        <v>1349.92</v>
      </c>
      <c r="M40" s="94"/>
      <c r="N40" s="93"/>
      <c r="O40" s="85"/>
      <c r="Q40" s="94"/>
      <c r="R40" s="93"/>
      <c r="S40" s="85"/>
      <c r="U40" s="94"/>
      <c r="V40" s="93"/>
      <c r="W40" s="85"/>
      <c r="Y40" s="94"/>
      <c r="Z40" s="93"/>
      <c r="AA40" s="85"/>
      <c r="AC40" s="94"/>
      <c r="AD40" s="93"/>
      <c r="AE40" s="85"/>
    </row>
    <row r="41" spans="5:31" x14ac:dyDescent="0.35">
      <c r="G41" s="85"/>
      <c r="H41" s="87"/>
      <c r="I41" s="94">
        <v>5</v>
      </c>
      <c r="J41" s="93">
        <v>45267</v>
      </c>
      <c r="K41" s="85" t="s">
        <v>2262</v>
      </c>
      <c r="L41" s="87">
        <v>706.2</v>
      </c>
      <c r="M41" s="94"/>
      <c r="N41" s="93"/>
      <c r="O41" s="85"/>
      <c r="Q41" s="94"/>
      <c r="R41" s="93"/>
      <c r="S41" s="85"/>
      <c r="U41" s="94"/>
      <c r="V41" s="93"/>
      <c r="W41" s="85"/>
      <c r="Y41" s="94"/>
      <c r="Z41" s="93"/>
      <c r="AA41" s="85"/>
      <c r="AC41" s="94"/>
      <c r="AD41" s="93"/>
      <c r="AE41" s="85"/>
    </row>
    <row r="42" spans="5:31" x14ac:dyDescent="0.35">
      <c r="G42" s="85"/>
      <c r="H42" s="87"/>
      <c r="I42" s="94">
        <v>5</v>
      </c>
      <c r="J42" s="93">
        <v>45272</v>
      </c>
      <c r="K42" s="85" t="s">
        <v>2279</v>
      </c>
      <c r="L42" s="87">
        <v>6215.77</v>
      </c>
      <c r="M42" s="94"/>
      <c r="N42" s="93"/>
      <c r="O42" s="85"/>
      <c r="Q42" s="94"/>
      <c r="R42" s="93"/>
      <c r="S42" s="85"/>
      <c r="U42" s="94"/>
      <c r="V42" s="93"/>
      <c r="W42" s="85"/>
      <c r="Y42" s="94"/>
      <c r="Z42" s="93"/>
      <c r="AA42" s="85"/>
      <c r="AC42" s="94"/>
      <c r="AD42" s="93"/>
      <c r="AE42" s="85"/>
    </row>
    <row r="43" spans="5:31" x14ac:dyDescent="0.35">
      <c r="G43" s="85"/>
      <c r="H43" s="87"/>
      <c r="I43" s="94">
        <v>5</v>
      </c>
      <c r="J43" s="93">
        <v>45265</v>
      </c>
      <c r="K43" s="85" t="s">
        <v>2278</v>
      </c>
      <c r="L43" s="87">
        <v>-1950.84</v>
      </c>
      <c r="M43" s="94"/>
      <c r="N43" s="93"/>
      <c r="O43" s="85"/>
      <c r="Q43" s="94"/>
      <c r="R43" s="93"/>
      <c r="S43" s="85"/>
      <c r="U43" s="94"/>
      <c r="V43" s="93"/>
      <c r="W43" s="85"/>
      <c r="Y43" s="94"/>
      <c r="Z43" s="93"/>
      <c r="AA43" s="85"/>
      <c r="AC43" s="94"/>
      <c r="AD43" s="93"/>
      <c r="AE43" s="85"/>
    </row>
    <row r="44" spans="5:31" x14ac:dyDescent="0.35">
      <c r="G44" s="85"/>
      <c r="H44" s="87"/>
      <c r="I44" s="94">
        <v>5</v>
      </c>
      <c r="J44" s="93">
        <v>45284</v>
      </c>
      <c r="K44" s="85" t="s">
        <v>2260</v>
      </c>
      <c r="L44" s="87">
        <v>217.74</v>
      </c>
      <c r="M44" s="94"/>
      <c r="N44" s="93"/>
      <c r="O44" s="85"/>
      <c r="Q44" s="94"/>
      <c r="R44" s="93"/>
      <c r="S44" s="85"/>
      <c r="U44" s="94"/>
      <c r="V44" s="93"/>
      <c r="W44" s="85"/>
      <c r="Y44" s="94"/>
      <c r="Z44" s="93"/>
      <c r="AA44" s="85"/>
      <c r="AC44" s="94"/>
      <c r="AD44" s="93"/>
      <c r="AE44" s="85"/>
    </row>
    <row r="45" spans="5:31" x14ac:dyDescent="0.35">
      <c r="G45" s="85"/>
      <c r="H45" s="87"/>
      <c r="I45" s="94">
        <v>5</v>
      </c>
      <c r="J45" s="93">
        <v>45284</v>
      </c>
      <c r="K45" s="85" t="s">
        <v>2260</v>
      </c>
      <c r="L45" s="87">
        <v>194.53</v>
      </c>
      <c r="M45" s="94"/>
      <c r="N45" s="93"/>
      <c r="O45" s="85"/>
      <c r="Q45" s="94"/>
      <c r="R45" s="93"/>
      <c r="S45" s="85"/>
      <c r="U45" s="94"/>
      <c r="V45" s="93"/>
      <c r="W45" s="85"/>
      <c r="Y45" s="94"/>
      <c r="Z45" s="93"/>
      <c r="AA45" s="85"/>
      <c r="AC45" s="94"/>
      <c r="AD45" s="93"/>
      <c r="AE45" s="85"/>
    </row>
    <row r="46" spans="5:31" x14ac:dyDescent="0.35">
      <c r="G46" s="85"/>
      <c r="H46" s="87"/>
      <c r="I46" s="94">
        <v>5</v>
      </c>
      <c r="J46" s="93">
        <v>45297</v>
      </c>
      <c r="K46" s="85" t="s">
        <v>2350</v>
      </c>
      <c r="L46" s="87">
        <v>52.77</v>
      </c>
      <c r="M46" s="94"/>
      <c r="N46" s="93"/>
      <c r="O46" s="85"/>
      <c r="Q46" s="94"/>
      <c r="R46" s="93"/>
      <c r="S46" s="85"/>
      <c r="U46" s="94"/>
      <c r="V46" s="93"/>
      <c r="W46" s="85"/>
      <c r="Y46" s="94"/>
      <c r="Z46" s="93"/>
      <c r="AA46" s="85"/>
      <c r="AC46" s="94"/>
      <c r="AD46" s="93"/>
      <c r="AE46" s="85"/>
    </row>
    <row r="47" spans="5:31" x14ac:dyDescent="0.35">
      <c r="G47" s="85"/>
      <c r="H47" s="87"/>
      <c r="I47" s="94">
        <v>5</v>
      </c>
      <c r="J47" s="93">
        <v>45226</v>
      </c>
      <c r="K47" s="85" t="s">
        <v>2370</v>
      </c>
      <c r="L47" s="87">
        <v>2057.29</v>
      </c>
      <c r="M47" s="94"/>
      <c r="N47" s="93"/>
      <c r="O47" s="85"/>
      <c r="Q47" s="94"/>
      <c r="R47" s="93"/>
      <c r="S47" s="85"/>
      <c r="U47" s="94"/>
      <c r="V47" s="93"/>
      <c r="W47" s="85"/>
      <c r="Y47" s="94"/>
      <c r="Z47" s="93"/>
      <c r="AA47" s="85"/>
      <c r="AC47" s="94"/>
      <c r="AD47" s="93"/>
      <c r="AE47" s="85"/>
    </row>
    <row r="48" spans="5:31" x14ac:dyDescent="0.35">
      <c r="G48" s="85"/>
      <c r="H48" s="87"/>
      <c r="I48" s="94">
        <v>5</v>
      </c>
      <c r="J48" s="93">
        <v>45265</v>
      </c>
      <c r="K48" s="85" t="s">
        <v>2371</v>
      </c>
      <c r="L48" s="87">
        <v>14.5</v>
      </c>
      <c r="M48" s="94"/>
      <c r="N48" s="93"/>
      <c r="O48" s="85"/>
      <c r="Q48" s="94"/>
      <c r="R48" s="93"/>
      <c r="S48" s="85"/>
      <c r="U48" s="94"/>
      <c r="V48" s="93"/>
      <c r="W48" s="85"/>
      <c r="Y48" s="94"/>
      <c r="Z48" s="93"/>
      <c r="AA48" s="85"/>
      <c r="AC48" s="94"/>
      <c r="AD48" s="93"/>
      <c r="AE48" s="85"/>
    </row>
    <row r="49" spans="7:31" x14ac:dyDescent="0.35">
      <c r="G49" s="85"/>
      <c r="H49" s="87"/>
      <c r="I49" s="94">
        <v>5</v>
      </c>
      <c r="J49" s="93" t="s">
        <v>814</v>
      </c>
      <c r="K49" s="85" t="s">
        <v>2409</v>
      </c>
      <c r="L49" s="87">
        <v>-98.46</v>
      </c>
      <c r="M49" s="94"/>
      <c r="N49" s="93"/>
      <c r="O49" s="85"/>
      <c r="Q49" s="94"/>
      <c r="R49" s="93"/>
      <c r="S49" s="85"/>
      <c r="U49" s="94"/>
      <c r="V49" s="93"/>
      <c r="W49" s="85"/>
      <c r="Y49" s="94"/>
      <c r="Z49" s="93"/>
      <c r="AA49" s="85"/>
      <c r="AC49" s="94"/>
      <c r="AD49" s="93"/>
      <c r="AE49" s="85"/>
    </row>
    <row r="50" spans="7:31" x14ac:dyDescent="0.35">
      <c r="G50" s="85"/>
      <c r="H50" s="87"/>
      <c r="I50" s="94">
        <v>5</v>
      </c>
      <c r="J50" s="93">
        <v>45329</v>
      </c>
      <c r="K50" s="85" t="s">
        <v>1275</v>
      </c>
      <c r="L50" s="87">
        <v>731.09</v>
      </c>
      <c r="M50" s="94"/>
      <c r="N50" s="93"/>
      <c r="O50" s="85"/>
      <c r="Q50" s="94"/>
      <c r="R50" s="93"/>
      <c r="S50" s="85"/>
      <c r="U50" s="94"/>
      <c r="V50" s="93"/>
      <c r="W50" s="85"/>
      <c r="Y50" s="94"/>
      <c r="Z50" s="93"/>
      <c r="AA50" s="85"/>
      <c r="AC50" s="94"/>
      <c r="AD50" s="93"/>
      <c r="AE50" s="85"/>
    </row>
    <row r="51" spans="7:31" x14ac:dyDescent="0.35">
      <c r="G51" s="85"/>
      <c r="H51" s="87"/>
      <c r="I51" s="94">
        <v>5</v>
      </c>
      <c r="J51" s="93">
        <v>45363</v>
      </c>
      <c r="K51" s="85" t="s">
        <v>1243</v>
      </c>
      <c r="L51" s="87">
        <v>2733.93</v>
      </c>
      <c r="M51" s="94"/>
      <c r="N51" s="93"/>
      <c r="O51" s="85"/>
      <c r="Q51" s="94"/>
      <c r="R51" s="93"/>
      <c r="S51" s="85"/>
      <c r="U51" s="94"/>
      <c r="V51" s="93"/>
      <c r="W51" s="85"/>
      <c r="Y51" s="94"/>
      <c r="Z51" s="93"/>
      <c r="AA51" s="85"/>
      <c r="AC51" s="94"/>
      <c r="AD51" s="93"/>
      <c r="AE51" s="85"/>
    </row>
    <row r="52" spans="7:31" x14ac:dyDescent="0.35">
      <c r="G52" s="85"/>
      <c r="H52" s="87"/>
      <c r="I52" s="94">
        <v>5</v>
      </c>
      <c r="J52" s="93">
        <v>45358</v>
      </c>
      <c r="K52" s="85" t="s">
        <v>1208</v>
      </c>
      <c r="L52" s="87">
        <v>583.94000000000005</v>
      </c>
      <c r="M52" s="94"/>
      <c r="N52" s="93"/>
      <c r="O52" s="85"/>
      <c r="Q52" s="94"/>
      <c r="R52" s="93"/>
      <c r="S52" s="85"/>
      <c r="U52" s="94"/>
      <c r="V52" s="93"/>
      <c r="W52" s="85"/>
      <c r="Y52" s="94"/>
      <c r="Z52" s="93"/>
      <c r="AA52" s="85"/>
      <c r="AC52" s="94"/>
      <c r="AD52" s="93"/>
      <c r="AE52" s="85"/>
    </row>
    <row r="53" spans="7:31" x14ac:dyDescent="0.35">
      <c r="G53" s="85"/>
      <c r="H53" s="87"/>
      <c r="I53" s="94">
        <v>3</v>
      </c>
      <c r="J53" s="93">
        <v>45316</v>
      </c>
      <c r="K53" s="85" t="s">
        <v>2750</v>
      </c>
      <c r="L53" s="87">
        <v>3000</v>
      </c>
      <c r="M53" s="94"/>
      <c r="N53" s="93"/>
      <c r="O53" s="85"/>
      <c r="Q53" s="94"/>
      <c r="R53" s="93"/>
      <c r="S53" s="85"/>
      <c r="U53" s="94"/>
      <c r="V53" s="93"/>
      <c r="W53" s="85"/>
      <c r="Y53" s="94"/>
      <c r="Z53" s="93"/>
      <c r="AA53" s="85"/>
      <c r="AC53" s="94"/>
      <c r="AD53" s="93"/>
      <c r="AE53" s="85"/>
    </row>
    <row r="54" spans="7:31" x14ac:dyDescent="0.35">
      <c r="G54" s="85"/>
      <c r="H54" s="87"/>
      <c r="I54" s="94">
        <v>5</v>
      </c>
      <c r="J54" s="93">
        <v>45376</v>
      </c>
      <c r="K54" s="85" t="s">
        <v>2765</v>
      </c>
      <c r="L54" s="87">
        <v>-1040.52</v>
      </c>
      <c r="M54" s="94"/>
      <c r="N54" s="93"/>
      <c r="O54" s="85"/>
      <c r="Q54" s="94"/>
      <c r="R54" s="93"/>
      <c r="S54" s="85"/>
      <c r="U54" s="94"/>
      <c r="V54" s="93"/>
      <c r="W54" s="85"/>
      <c r="Y54" s="94"/>
      <c r="Z54" s="93"/>
      <c r="AA54" s="85"/>
      <c r="AC54" s="94"/>
      <c r="AD54" s="93"/>
      <c r="AE54" s="85"/>
    </row>
    <row r="55" spans="7:31" x14ac:dyDescent="0.35">
      <c r="G55" s="85"/>
      <c r="H55" s="87"/>
      <c r="I55" s="94">
        <v>5</v>
      </c>
      <c r="J55" s="93">
        <v>45376</v>
      </c>
      <c r="K55" s="85" t="s">
        <v>2766</v>
      </c>
      <c r="L55" s="87">
        <v>-1113.1400000000001</v>
      </c>
      <c r="M55" s="94"/>
      <c r="N55" s="93"/>
      <c r="O55" s="85"/>
      <c r="Q55" s="94"/>
      <c r="R55" s="93"/>
      <c r="S55" s="85"/>
      <c r="U55" s="94"/>
      <c r="V55" s="93"/>
      <c r="W55" s="85"/>
      <c r="Y55" s="94"/>
      <c r="Z55" s="93"/>
      <c r="AA55" s="85"/>
      <c r="AC55" s="94"/>
      <c r="AD55" s="93"/>
      <c r="AE55" s="85"/>
    </row>
    <row r="56" spans="7:31" x14ac:dyDescent="0.35">
      <c r="G56" s="85"/>
      <c r="H56" s="87"/>
      <c r="I56" s="94">
        <v>5</v>
      </c>
      <c r="J56" s="93" t="s">
        <v>775</v>
      </c>
      <c r="K56" s="85" t="s">
        <v>1209</v>
      </c>
      <c r="L56" s="148">
        <v>640.19000000000005</v>
      </c>
      <c r="M56" s="94"/>
      <c r="N56" s="93"/>
      <c r="O56" s="85"/>
      <c r="Q56" s="94"/>
      <c r="R56" s="93"/>
      <c r="S56" s="85"/>
      <c r="U56" s="94"/>
      <c r="V56" s="93"/>
      <c r="W56" s="85"/>
      <c r="Y56" s="94"/>
      <c r="Z56" s="93"/>
      <c r="AA56" s="85"/>
      <c r="AC56" s="94"/>
      <c r="AD56" s="93"/>
      <c r="AE56" s="85"/>
    </row>
    <row r="57" spans="7:31" x14ac:dyDescent="0.35">
      <c r="G57" s="85"/>
      <c r="H57" s="87"/>
      <c r="I57" s="94">
        <v>1</v>
      </c>
      <c r="J57" s="93" t="s">
        <v>699</v>
      </c>
      <c r="K57" s="93" t="s">
        <v>3099</v>
      </c>
      <c r="L57" s="87">
        <v>-2535.4899999999998</v>
      </c>
      <c r="M57" s="94"/>
      <c r="N57" s="93"/>
      <c r="O57" s="85"/>
      <c r="Q57" s="94"/>
      <c r="R57" s="93"/>
      <c r="S57" s="85"/>
      <c r="U57" s="94"/>
      <c r="V57" s="93"/>
      <c r="W57" s="85"/>
      <c r="Y57" s="94"/>
      <c r="Z57" s="93"/>
      <c r="AA57" s="85"/>
      <c r="AC57" s="94"/>
      <c r="AD57" s="93"/>
      <c r="AE57" s="85"/>
    </row>
    <row r="58" spans="7:31" x14ac:dyDescent="0.35">
      <c r="G58" s="85"/>
      <c r="H58" s="87"/>
      <c r="I58" s="94"/>
      <c r="J58" s="93"/>
      <c r="K58" s="85"/>
      <c r="M58" s="94"/>
      <c r="N58" s="93"/>
      <c r="O58" s="85"/>
      <c r="Q58" s="94"/>
      <c r="R58" s="93"/>
      <c r="S58" s="85"/>
      <c r="U58" s="94"/>
      <c r="V58" s="93"/>
      <c r="W58" s="85"/>
      <c r="Y58" s="94"/>
      <c r="Z58" s="93"/>
      <c r="AA58" s="85"/>
      <c r="AC58" s="94"/>
      <c r="AD58" s="93"/>
      <c r="AE58" s="85"/>
    </row>
    <row r="59" spans="7:31" x14ac:dyDescent="0.35">
      <c r="G59" s="85"/>
      <c r="H59" s="87"/>
      <c r="I59" s="94"/>
      <c r="J59" s="93"/>
      <c r="K59" s="85"/>
      <c r="M59" s="94"/>
      <c r="N59" s="93"/>
      <c r="O59" s="85"/>
      <c r="Q59" s="94"/>
      <c r="R59" s="93"/>
      <c r="S59" s="85"/>
      <c r="U59" s="94"/>
      <c r="V59" s="93"/>
      <c r="W59" s="85"/>
      <c r="Y59" s="94"/>
      <c r="Z59" s="93"/>
      <c r="AA59" s="85"/>
      <c r="AC59" s="94"/>
      <c r="AD59" s="93"/>
      <c r="AE59" s="85"/>
    </row>
    <row r="60" spans="7:31" x14ac:dyDescent="0.35">
      <c r="G60" s="85"/>
      <c r="H60" s="87"/>
      <c r="I60" s="94"/>
      <c r="J60" s="93"/>
      <c r="K60" s="85"/>
      <c r="M60" s="94"/>
      <c r="N60" s="93"/>
      <c r="O60" s="85"/>
      <c r="Q60" s="94"/>
      <c r="R60" s="93"/>
      <c r="S60" s="85"/>
      <c r="U60" s="94"/>
      <c r="V60" s="93"/>
      <c r="W60" s="85"/>
      <c r="Y60" s="94"/>
      <c r="Z60" s="93"/>
      <c r="AA60" s="85"/>
      <c r="AC60" s="94"/>
      <c r="AD60" s="93"/>
      <c r="AE60" s="85"/>
    </row>
    <row r="61" spans="7:31" x14ac:dyDescent="0.35">
      <c r="G61" s="85"/>
      <c r="H61" s="87"/>
      <c r="I61" s="94"/>
      <c r="J61" s="93"/>
      <c r="K61" s="85"/>
      <c r="M61" s="94"/>
      <c r="N61" s="93"/>
      <c r="O61" s="85"/>
      <c r="Q61" s="94"/>
      <c r="R61" s="93"/>
      <c r="S61" s="85"/>
      <c r="U61" s="94"/>
      <c r="V61" s="93"/>
      <c r="W61" s="85"/>
      <c r="Y61" s="94"/>
      <c r="Z61" s="93"/>
      <c r="AA61" s="85"/>
      <c r="AC61" s="94"/>
      <c r="AD61" s="93"/>
      <c r="AE61" s="85"/>
    </row>
    <row r="62" spans="7:31" x14ac:dyDescent="0.35">
      <c r="G62" s="85"/>
      <c r="H62" s="87"/>
      <c r="I62" s="94"/>
      <c r="J62" s="93"/>
      <c r="K62" s="85"/>
      <c r="M62" s="94"/>
      <c r="N62" s="93"/>
      <c r="O62" s="85"/>
      <c r="Q62" s="94"/>
      <c r="R62" s="93"/>
      <c r="S62" s="85"/>
      <c r="U62" s="94"/>
      <c r="V62" s="93"/>
      <c r="W62" s="85"/>
      <c r="Y62" s="94"/>
      <c r="Z62" s="93"/>
      <c r="AA62" s="85"/>
      <c r="AC62" s="94"/>
      <c r="AD62" s="93"/>
      <c r="AE62" s="85"/>
    </row>
    <row r="63" spans="7:31" x14ac:dyDescent="0.35">
      <c r="G63" s="85"/>
      <c r="H63" s="87"/>
      <c r="I63" s="94"/>
      <c r="J63" s="93"/>
      <c r="K63" s="85"/>
      <c r="M63" s="94"/>
      <c r="N63" s="93"/>
      <c r="O63" s="85"/>
      <c r="Q63" s="94"/>
      <c r="R63" s="93"/>
      <c r="S63" s="85"/>
      <c r="U63" s="94"/>
      <c r="V63" s="93"/>
      <c r="W63" s="85"/>
      <c r="Y63" s="94"/>
      <c r="Z63" s="93"/>
      <c r="AA63" s="85"/>
      <c r="AC63" s="94"/>
      <c r="AD63" s="93"/>
      <c r="AE63" s="85"/>
    </row>
    <row r="64" spans="7:31" x14ac:dyDescent="0.35">
      <c r="G64" s="85"/>
      <c r="H64" s="87"/>
      <c r="I64" s="94"/>
      <c r="J64" s="93"/>
      <c r="K64" s="85"/>
      <c r="M64" s="94"/>
      <c r="N64" s="93"/>
      <c r="O64" s="85"/>
      <c r="Q64" s="94"/>
      <c r="R64" s="93"/>
      <c r="S64" s="85"/>
      <c r="U64" s="94"/>
      <c r="V64" s="93"/>
      <c r="W64" s="85"/>
      <c r="Y64" s="94"/>
      <c r="Z64" s="93"/>
      <c r="AA64" s="85"/>
      <c r="AC64" s="94"/>
      <c r="AD64" s="93"/>
      <c r="AE64" s="85"/>
    </row>
    <row r="65" spans="7:31" x14ac:dyDescent="0.35">
      <c r="G65" s="85"/>
      <c r="H65" s="87"/>
      <c r="I65" s="94"/>
      <c r="J65" s="93"/>
      <c r="K65" s="85"/>
      <c r="M65" s="94"/>
      <c r="N65" s="93"/>
      <c r="O65" s="85"/>
      <c r="Q65" s="94"/>
      <c r="R65" s="93"/>
      <c r="S65" s="85"/>
      <c r="U65" s="94"/>
      <c r="V65" s="93"/>
      <c r="W65" s="85"/>
      <c r="Y65" s="94"/>
      <c r="Z65" s="93"/>
      <c r="AA65" s="85"/>
      <c r="AC65" s="94"/>
      <c r="AD65" s="93"/>
      <c r="AE65" s="85"/>
    </row>
    <row r="66" spans="7:31" x14ac:dyDescent="0.35">
      <c r="G66" s="85"/>
      <c r="H66" s="87"/>
      <c r="I66" s="94"/>
      <c r="J66" s="93"/>
      <c r="K66" s="85"/>
      <c r="M66" s="94"/>
      <c r="N66" s="93"/>
      <c r="O66" s="85"/>
      <c r="Q66" s="94"/>
      <c r="R66" s="93"/>
      <c r="S66" s="85"/>
      <c r="U66" s="94"/>
      <c r="V66" s="93"/>
      <c r="W66" s="85"/>
      <c r="Y66" s="94"/>
      <c r="Z66" s="93"/>
      <c r="AA66" s="85"/>
      <c r="AC66" s="94"/>
      <c r="AD66" s="93"/>
      <c r="AE66" s="85"/>
    </row>
    <row r="67" spans="7:31" x14ac:dyDescent="0.35">
      <c r="G67" s="85"/>
      <c r="H67" s="87"/>
      <c r="I67" s="94"/>
      <c r="J67" s="93"/>
      <c r="K67" s="85"/>
      <c r="M67" s="94"/>
      <c r="N67" s="93"/>
      <c r="O67" s="85"/>
      <c r="Q67" s="94"/>
      <c r="R67" s="93"/>
      <c r="S67" s="85"/>
      <c r="U67" s="94"/>
      <c r="V67" s="93"/>
      <c r="W67" s="85"/>
      <c r="Y67" s="94"/>
      <c r="Z67" s="93"/>
      <c r="AA67" s="85"/>
      <c r="AC67" s="94"/>
      <c r="AD67" s="93"/>
      <c r="AE67" s="85"/>
    </row>
    <row r="68" spans="7:31" x14ac:dyDescent="0.35">
      <c r="G68" s="85"/>
      <c r="H68" s="87"/>
      <c r="I68" s="94"/>
      <c r="J68" s="93"/>
      <c r="K68" s="85"/>
      <c r="M68" s="94"/>
      <c r="N68" s="93"/>
      <c r="O68" s="85"/>
      <c r="Q68" s="94"/>
      <c r="R68" s="93"/>
      <c r="S68" s="85"/>
      <c r="U68" s="94"/>
      <c r="V68" s="93"/>
      <c r="W68" s="85"/>
      <c r="Y68" s="94"/>
      <c r="Z68" s="93"/>
      <c r="AA68" s="85"/>
      <c r="AC68" s="94"/>
      <c r="AD68" s="93"/>
      <c r="AE68" s="85"/>
    </row>
    <row r="69" spans="7:31" x14ac:dyDescent="0.35">
      <c r="G69" s="85"/>
      <c r="H69" s="87"/>
      <c r="I69" s="94"/>
      <c r="J69" s="93"/>
      <c r="K69" s="85"/>
      <c r="M69" s="94"/>
      <c r="N69" s="93"/>
      <c r="O69" s="85"/>
      <c r="Q69" s="94"/>
      <c r="R69" s="93"/>
      <c r="S69" s="85"/>
      <c r="U69" s="94"/>
      <c r="V69" s="93"/>
      <c r="W69" s="85"/>
      <c r="Y69" s="94"/>
      <c r="Z69" s="93"/>
      <c r="AA69" s="85"/>
      <c r="AC69" s="94"/>
      <c r="AD69" s="93"/>
      <c r="AE69" s="85"/>
    </row>
    <row r="70" spans="7:31" x14ac:dyDescent="0.35">
      <c r="G70" s="85"/>
      <c r="H70" s="87"/>
      <c r="I70" s="94"/>
      <c r="J70" s="93"/>
      <c r="K70" s="85"/>
      <c r="M70" s="94"/>
      <c r="N70" s="93"/>
      <c r="O70" s="85"/>
      <c r="Q70" s="94"/>
      <c r="R70" s="93"/>
      <c r="S70" s="85"/>
      <c r="U70" s="94"/>
      <c r="V70" s="93"/>
      <c r="W70" s="85"/>
      <c r="Y70" s="94"/>
      <c r="Z70" s="93"/>
      <c r="AA70" s="85"/>
      <c r="AC70" s="94"/>
      <c r="AD70" s="93"/>
      <c r="AE70" s="85"/>
    </row>
    <row r="71" spans="7:31" x14ac:dyDescent="0.35">
      <c r="G71" s="85"/>
      <c r="H71" s="87"/>
      <c r="I71" s="94"/>
      <c r="J71" s="93"/>
      <c r="K71" s="85"/>
      <c r="M71" s="94"/>
      <c r="N71" s="93"/>
      <c r="O71" s="85"/>
      <c r="Q71" s="94"/>
      <c r="R71" s="93"/>
      <c r="S71" s="85"/>
      <c r="U71" s="94"/>
      <c r="V71" s="93"/>
      <c r="W71" s="85"/>
      <c r="Y71" s="94"/>
      <c r="Z71" s="93"/>
      <c r="AA71" s="85"/>
      <c r="AC71" s="94"/>
      <c r="AD71" s="93"/>
      <c r="AE71" s="85"/>
    </row>
    <row r="72" spans="7:31" x14ac:dyDescent="0.35">
      <c r="G72" s="85"/>
      <c r="H72" s="87"/>
      <c r="I72" s="94"/>
      <c r="J72" s="93"/>
      <c r="K72" s="85"/>
      <c r="M72" s="94"/>
      <c r="N72" s="93"/>
      <c r="O72" s="85"/>
      <c r="Q72" s="94"/>
      <c r="R72" s="93"/>
      <c r="S72" s="85"/>
      <c r="U72" s="94"/>
      <c r="V72" s="93"/>
      <c r="W72" s="85"/>
      <c r="Y72" s="94"/>
      <c r="Z72" s="93"/>
      <c r="AA72" s="85"/>
      <c r="AC72" s="94"/>
      <c r="AD72" s="93"/>
      <c r="AE72" s="85"/>
    </row>
    <row r="73" spans="7:31" x14ac:dyDescent="0.35">
      <c r="G73" s="85"/>
      <c r="H73" s="87"/>
      <c r="I73" s="94"/>
      <c r="J73" s="93"/>
      <c r="K73" s="85"/>
      <c r="M73" s="94"/>
      <c r="N73" s="93"/>
      <c r="O73" s="85"/>
      <c r="Q73" s="94"/>
      <c r="R73" s="93"/>
      <c r="S73" s="85"/>
      <c r="U73" s="94"/>
      <c r="V73" s="93"/>
      <c r="W73" s="85"/>
      <c r="Y73" s="94"/>
      <c r="Z73" s="93"/>
      <c r="AA73" s="85"/>
      <c r="AC73" s="94"/>
      <c r="AD73" s="93"/>
      <c r="AE73" s="85"/>
    </row>
    <row r="74" spans="7:31" x14ac:dyDescent="0.35">
      <c r="G74" s="85"/>
      <c r="H74" s="87"/>
      <c r="I74" s="94"/>
      <c r="J74" s="93"/>
      <c r="K74" s="85"/>
      <c r="M74" s="94"/>
      <c r="N74" s="93"/>
      <c r="O74" s="85"/>
      <c r="Q74" s="94"/>
      <c r="R74" s="93"/>
      <c r="S74" s="85"/>
      <c r="U74" s="94"/>
      <c r="V74" s="93"/>
      <c r="W74" s="85"/>
      <c r="Y74" s="94"/>
      <c r="Z74" s="93"/>
      <c r="AA74" s="85"/>
      <c r="AC74" s="94"/>
      <c r="AD74" s="93"/>
      <c r="AE74" s="85"/>
    </row>
    <row r="75" spans="7:31" x14ac:dyDescent="0.35">
      <c r="G75" s="85"/>
      <c r="H75" s="87"/>
      <c r="I75" s="94"/>
      <c r="J75" s="93"/>
      <c r="K75" s="85"/>
      <c r="M75" s="94"/>
      <c r="N75" s="93"/>
      <c r="O75" s="85"/>
      <c r="Q75" s="94"/>
      <c r="R75" s="93"/>
      <c r="S75" s="85"/>
      <c r="U75" s="94"/>
      <c r="V75" s="93"/>
      <c r="W75" s="85"/>
      <c r="Y75" s="94"/>
      <c r="Z75" s="93"/>
      <c r="AA75" s="85"/>
      <c r="AC75" s="94"/>
      <c r="AD75" s="93"/>
      <c r="AE75" s="85"/>
    </row>
    <row r="76" spans="7:31" x14ac:dyDescent="0.35">
      <c r="G76" s="85"/>
      <c r="H76" s="87"/>
      <c r="I76" s="94"/>
      <c r="J76" s="93"/>
      <c r="K76" s="85"/>
      <c r="M76" s="94"/>
      <c r="N76" s="93"/>
      <c r="O76" s="85"/>
      <c r="Q76" s="94"/>
      <c r="R76" s="93"/>
      <c r="S76" s="85"/>
      <c r="U76" s="94"/>
      <c r="V76" s="93"/>
      <c r="W76" s="85"/>
      <c r="Y76" s="94"/>
      <c r="Z76" s="93"/>
      <c r="AA76" s="85"/>
      <c r="AC76" s="94"/>
      <c r="AD76" s="93"/>
      <c r="AE76" s="85"/>
    </row>
    <row r="77" spans="7:31" x14ac:dyDescent="0.35">
      <c r="G77" s="85"/>
      <c r="H77" s="87"/>
      <c r="I77" s="94"/>
      <c r="J77" s="93"/>
      <c r="K77" s="85"/>
      <c r="M77" s="94"/>
      <c r="N77" s="93"/>
      <c r="O77" s="85"/>
      <c r="Q77" s="94"/>
      <c r="R77" s="93"/>
      <c r="S77" s="85"/>
      <c r="U77" s="94"/>
      <c r="V77" s="93"/>
      <c r="W77" s="85"/>
      <c r="Y77" s="94"/>
      <c r="Z77" s="93"/>
      <c r="AA77" s="85"/>
      <c r="AC77" s="94"/>
      <c r="AD77" s="93"/>
      <c r="AE77" s="85"/>
    </row>
    <row r="78" spans="7:31" x14ac:dyDescent="0.35">
      <c r="G78" s="85"/>
      <c r="H78" s="87"/>
      <c r="I78" s="94"/>
      <c r="J78" s="93"/>
      <c r="K78" s="85"/>
      <c r="M78" s="94"/>
      <c r="N78" s="93"/>
      <c r="O78" s="85"/>
      <c r="Q78" s="94"/>
      <c r="R78" s="93"/>
      <c r="S78" s="85"/>
      <c r="U78" s="94"/>
      <c r="V78" s="93"/>
      <c r="W78" s="85"/>
      <c r="Y78" s="94"/>
      <c r="Z78" s="93"/>
      <c r="AA78" s="85"/>
      <c r="AC78" s="94"/>
      <c r="AD78" s="93"/>
      <c r="AE78" s="85"/>
    </row>
    <row r="79" spans="7:31" x14ac:dyDescent="0.35">
      <c r="G79" s="85"/>
      <c r="H79" s="87"/>
      <c r="I79" s="94"/>
      <c r="J79" s="93"/>
      <c r="K79" s="85"/>
      <c r="M79" s="94"/>
      <c r="N79" s="93"/>
      <c r="O79" s="85"/>
      <c r="Q79" s="94"/>
      <c r="R79" s="93"/>
      <c r="S79" s="85"/>
      <c r="U79" s="94"/>
      <c r="V79" s="93"/>
      <c r="W79" s="85"/>
      <c r="Y79" s="94"/>
      <c r="Z79" s="93"/>
      <c r="AA79" s="85"/>
      <c r="AC79" s="94"/>
      <c r="AD79" s="93"/>
      <c r="AE79" s="85"/>
    </row>
    <row r="80" spans="7: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44" priority="1">
      <formula>$A4="Spend to Date"</formula>
    </cfRule>
    <cfRule type="expression" dxfId="43" priority="2">
      <formula>$A4="Spend to Date"</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G1001"/>
  <sheetViews>
    <sheetView zoomScaleNormal="100" workbookViewId="0">
      <pane xSplit="2" ySplit="1" topLeftCell="K9" activePane="bottomRight" state="frozen"/>
      <selection pane="topRight" activeCell="C1" sqref="C1"/>
      <selection pane="bottomLeft" activeCell="A2" sqref="A2"/>
      <selection pane="bottomRight" activeCell="N14" sqref="N14"/>
    </sheetView>
  </sheetViews>
  <sheetFormatPr defaultColWidth="8.81640625" defaultRowHeight="14.5" x14ac:dyDescent="0.35"/>
  <cols>
    <col min="1" max="1" width="27" style="86" customWidth="1"/>
    <col min="2" max="2" width="5.453125" style="85" bestFit="1" customWidth="1"/>
    <col min="3" max="3" width="5.453125" style="85" customWidth="1"/>
    <col min="4" max="4" width="10.81640625" style="86" bestFit="1" customWidth="1"/>
    <col min="5" max="5" width="13.81640625" style="85" bestFit="1" customWidth="1"/>
    <col min="6" max="6" width="68.1796875" style="87" bestFit="1" customWidth="1"/>
    <col min="7" max="7" width="31.7265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27" style="89"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157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SUM(E3:E6)</f>
        <v>39437</v>
      </c>
      <c r="F2" s="87">
        <f>SUM(F3:F3)</f>
        <v>300319.43</v>
      </c>
      <c r="I2" s="89">
        <f>SUM(I3:I6)</f>
        <v>2771</v>
      </c>
      <c r="J2" s="87">
        <f>SUM(J3:J6)</f>
        <v>0</v>
      </c>
      <c r="M2" s="89">
        <f>SUM(M3:M6)</f>
        <v>-8077</v>
      </c>
      <c r="N2" s="87">
        <f>SUM(N3:N6)</f>
        <v>0</v>
      </c>
      <c r="Q2" s="89">
        <f>SUM(Q3:Q6)</f>
        <v>0</v>
      </c>
      <c r="R2" s="87">
        <f>SUM(R3:R6)</f>
        <v>0</v>
      </c>
      <c r="U2" s="89">
        <f>SUM(U3:U6)</f>
        <v>0</v>
      </c>
      <c r="V2" s="87">
        <f>SUM(V3:V6)</f>
        <v>0</v>
      </c>
      <c r="Y2" s="89">
        <f>SUM(Y3:Y6)</f>
        <v>0</v>
      </c>
      <c r="Z2" s="87">
        <f>SUM(Z3:Z6)</f>
        <v>0</v>
      </c>
      <c r="AC2" s="89">
        <f>SUM(AC3:AC6)</f>
        <v>0</v>
      </c>
      <c r="AD2" s="87">
        <f>SUM(AD3:AD6)</f>
        <v>0</v>
      </c>
    </row>
    <row r="3" spans="1:33" ht="64" customHeight="1" x14ac:dyDescent="0.35">
      <c r="A3" s="86" t="s">
        <v>157</v>
      </c>
      <c r="B3" s="85">
        <v>1</v>
      </c>
      <c r="D3" s="86">
        <f>38189+275000</f>
        <v>313189</v>
      </c>
      <c r="E3" s="87">
        <f>10000+2771-13334</f>
        <v>-563</v>
      </c>
      <c r="F3" s="87">
        <f>SUMIFS(H$20:H$1006,E$20:E$1006,1)</f>
        <v>300319.43</v>
      </c>
      <c r="G3" s="87">
        <f>D3+E3-F3+SUMIFS(E$9:E$14,$C$9:$C$14,$A3)-SUMIFS(F$9:F$14,$C$9:$C$14,$A3)</f>
        <v>12306.650000000007</v>
      </c>
      <c r="I3" s="89">
        <f>ROUNDUP(2771,0)</f>
        <v>2771</v>
      </c>
      <c r="J3" s="87">
        <f>SUMIFS(L$20:L$1006,I$20:I$1006,1)</f>
        <v>0</v>
      </c>
      <c r="K3" s="87">
        <f>G3+I3-J3+SUMIFS(I$9:I$14,$C$9:$C$14,$A3)-SUMIFS(J$9:J$14,$C$9:$C$14,$A3)</f>
        <v>15077.730000000007</v>
      </c>
      <c r="L3" s="86"/>
      <c r="M3" s="89">
        <v>-8077</v>
      </c>
      <c r="N3" s="87">
        <f>SUMIFS(P$21:P$1007,M$21:M$1007,1)</f>
        <v>0</v>
      </c>
      <c r="O3" s="87">
        <f>K3+M3-N3+SUMIFS(M$9:M$14,$C$9:$C$14,$A3)-SUMIFS(N$9:N$14,$C$9:$C$14,$A3)</f>
        <v>7000.7300000000068</v>
      </c>
      <c r="R3" s="87">
        <f>SUMIFS(T$20:T$1006,Q$20:Q$1006,1)</f>
        <v>0</v>
      </c>
      <c r="S3" s="87">
        <f>O3+Q3-R3+SUMIFS(Q$9:Q$14,$C$9:$C$14,$A3)-SUMIFS(R$9:R$14,$C$9:$C$14,$A3)</f>
        <v>7000.7300000000068</v>
      </c>
      <c r="V3" s="87">
        <f>SUMIFS(X$20:X$1006,U$20:U$1006,1)</f>
        <v>0</v>
      </c>
      <c r="W3" s="87">
        <f>S3+U3-V3+SUMIFS(U$9:U$14,$C$9:$C$14,$A3)-SUMIFS(V$9:V$14,$C$9:$C$14,$A3)</f>
        <v>7000.7300000000068</v>
      </c>
      <c r="Z3" s="87">
        <f>SUMIFS(AB$20:AB$1006,Y$20:Y$1006,1)</f>
        <v>0</v>
      </c>
      <c r="AA3" s="87">
        <f>W3+Y3-Z3+SUMIFS(Y$9:Y$14,$C$9:$C$14,$A3)-SUMIFS(Z$9:Z$14,$C$9:$C$14,$A3)</f>
        <v>7000.7300000000068</v>
      </c>
      <c r="AD3" s="87">
        <f>SUMIFS(AF$20:AF$1006,AC$20:AC$1006,1)</f>
        <v>0</v>
      </c>
      <c r="AE3" s="87">
        <f>AA3+AC3-AD3+SUMIFS(AC$9:AC$14,$C$9:$C$14,$A3)-SUMIFS(AD$9:AD$14,$C$9:$C$14,$A3)</f>
        <v>7000.7300000000068</v>
      </c>
      <c r="AG3" s="87">
        <v>150000</v>
      </c>
    </row>
    <row r="4" spans="1:33" ht="29.5" customHeight="1" x14ac:dyDescent="0.35">
      <c r="A4" s="84" t="s">
        <v>158</v>
      </c>
      <c r="B4" s="85">
        <v>2</v>
      </c>
      <c r="D4" s="86">
        <v>0</v>
      </c>
      <c r="E4" s="87">
        <v>40000</v>
      </c>
      <c r="F4" s="87">
        <f>SUMIFS(H$20:H$1006,E$20:E$1006,2)</f>
        <v>40000</v>
      </c>
      <c r="G4" s="87">
        <f>D4+E4-F4+SUMIFS(E$9:E$14,$C$9:$C$14,$A4)-SUMIFS(F$9:F$14,$C$9:$C$14,$A4)</f>
        <v>0</v>
      </c>
      <c r="I4" s="89">
        <v>0</v>
      </c>
      <c r="J4" s="87">
        <f>SUMIFS(L$20:L$1006,I$20:I$1006,2)</f>
        <v>0</v>
      </c>
      <c r="K4" s="87">
        <f>G4+I4-J4+SUMIFS(I$9:I$14,$C$9:$C$14,$A4)-SUMIFS(J$9:J$14,$C$9:$C$14,$A4)</f>
        <v>0</v>
      </c>
      <c r="L4" s="86"/>
      <c r="M4" s="89">
        <v>0</v>
      </c>
      <c r="N4" s="87">
        <f>SUMIFS(P$21:P$1007,M$21:M$1007,2)</f>
        <v>0</v>
      </c>
      <c r="O4" s="87">
        <f>K4+M4-N4+SUMIFS(M$9:M$14,$C$9:$C$14,$A4)-SUMIFS(N$9:N$14,$C$9:$C$14,$A4)</f>
        <v>0</v>
      </c>
      <c r="R4" s="87">
        <f>SUMIFS(T$20:T$1006,Q$20:Q$1006,2)</f>
        <v>0</v>
      </c>
      <c r="S4" s="87">
        <f>O4+Q4-R4+SUMIFS(Q$9:Q$14,$C$9:$C$14,$A4)-SUMIFS(R$9:R$14,$C$9:$C$14,$A4)</f>
        <v>0</v>
      </c>
      <c r="V4" s="87">
        <f>SUMIFS(X$20:X$1006,U$20:U$1006,2)</f>
        <v>0</v>
      </c>
      <c r="W4" s="87">
        <f>S4+U4-V4+SUMIFS(U$9:U$14,$C$9:$C$14,$A4)-SUMIFS(V$9:V$14,$C$9:$C$14,$A4)</f>
        <v>0</v>
      </c>
      <c r="Z4" s="87">
        <f>SUMIFS(AB$20:AB$1006,Y$20:Y$1006,2)</f>
        <v>0</v>
      </c>
      <c r="AA4" s="87">
        <f>W4+Y4-Z4+SUMIFS(Y$9:Y$14,$C$9:$C$14,$A4)-SUMIFS(Z$9:Z$14,$C$9:$C$14,$A4)</f>
        <v>0</v>
      </c>
      <c r="AD4" s="87">
        <f>SUMIFS(AF$20:AF$1006,AC$20:AC$1006,2)</f>
        <v>0</v>
      </c>
      <c r="AE4" s="87">
        <f>AA4+AC4-AD4+SUMIFS(AC$9:AC$14,$C$9:$C$14,$A4)-SUMIFS(AD$9:AD$14,$C$9:$C$14,$A4)</f>
        <v>0</v>
      </c>
    </row>
    <row r="5" spans="1:33" ht="21" customHeight="1" x14ac:dyDescent="0.35">
      <c r="A5" s="86" t="s">
        <v>159</v>
      </c>
      <c r="B5" s="85">
        <v>3</v>
      </c>
      <c r="D5" s="86">
        <v>0</v>
      </c>
      <c r="E5" s="87">
        <v>0</v>
      </c>
      <c r="F5" s="87">
        <f>SUMIFS(H$20:H$1006,E$20:E$1006,3)</f>
        <v>0</v>
      </c>
      <c r="G5" s="87">
        <f>D5+E5-F5+SUMIFS(E$9:E$14,$C$9:$C$14,$A5)-SUMIFS(F$9:F$14,$C$9:$C$14,$A5)</f>
        <v>0</v>
      </c>
      <c r="I5" s="89">
        <v>0</v>
      </c>
      <c r="J5" s="87">
        <f>SUMIFS(L$20:L$1006,I$20:I$1006,3)</f>
        <v>0</v>
      </c>
      <c r="K5" s="87">
        <f>G5+I5-J5+SUMIFS(I$9:I$14,$C$9:$C$14,$A5)-SUMIFS(J$9:J$14,$C$9:$C$14,$A5)</f>
        <v>0</v>
      </c>
      <c r="L5" s="86"/>
      <c r="N5" s="87">
        <f>SUMIFS(P$21:P$1007,M$21:M$1007,3)</f>
        <v>0</v>
      </c>
      <c r="O5" s="87">
        <f>K5+M5-N5+SUMIFS(M$9:M$14,$C$9:$C$14,$A5)-SUMIFS(N$9:N$14,$C$9:$C$14,$A5)</f>
        <v>0</v>
      </c>
      <c r="R5" s="87">
        <f>SUMIFS(T$20:T$1006,Q$20:Q$1006,3)</f>
        <v>0</v>
      </c>
      <c r="S5" s="87">
        <f>O5+Q5-R5+SUMIFS(Q$9:Q$14,$C$9:$C$14,$A5)-SUMIFS(R$9:R$14,$C$9:$C$14,$A5)</f>
        <v>0</v>
      </c>
      <c r="V5" s="87">
        <f>SUMIFS(X$20:X$1006,U$20:U$1006,3)</f>
        <v>0</v>
      </c>
      <c r="W5" s="87">
        <f>S5+U5-V5+SUMIFS(U$9:U$14,$C$9:$C$14,$A5)-SUMIFS(V$9:V$14,$C$9:$C$14,$A5)</f>
        <v>0</v>
      </c>
      <c r="Z5" s="87">
        <f>SUMIFS(AB$20:AB$1006,Y$20:Y$1006,3)</f>
        <v>0</v>
      </c>
      <c r="AA5" s="87">
        <f>W5+Y5-Z5+SUMIFS(Y$9:Y$14,$C$9:$C$14,$A5)-SUMIFS(Z$9:Z$14,$C$9:$C$14,$A5)</f>
        <v>0</v>
      </c>
      <c r="AD5" s="87">
        <f>SUMIFS(AF$20:AF$1006,AC$20:AC$1006,3)</f>
        <v>0</v>
      </c>
      <c r="AE5" s="87">
        <f>AA5+AC5-AD5+SUMIFS(AC$9:AC$14,$C$9:$C$14,$A5)-SUMIFS(AD$9:AD$14,$C$9:$C$14,$A5)</f>
        <v>0</v>
      </c>
    </row>
    <row r="6" spans="1:33" ht="23.5" customHeight="1" x14ac:dyDescent="0.35">
      <c r="A6" s="86" t="s">
        <v>72</v>
      </c>
      <c r="B6" s="85">
        <v>4</v>
      </c>
      <c r="D6" s="86">
        <v>0</v>
      </c>
      <c r="E6" s="87">
        <v>0</v>
      </c>
      <c r="F6" s="87">
        <f>SUMIFS(H$20:H$1006,E$20:E$1006,4)</f>
        <v>0</v>
      </c>
      <c r="G6" s="87">
        <f>D6+E6-F6+SUMIFS(E$9:E$14,$C$9:$C$14,$A6)-SUMIFS(F$9:F$14,$C$9:$C$14,$A6)</f>
        <v>0</v>
      </c>
      <c r="I6" s="89">
        <v>0</v>
      </c>
      <c r="J6" s="87">
        <f>SUMIFS(L$20:L$1006,I$20:I$1006,4)</f>
        <v>0</v>
      </c>
      <c r="K6" s="87">
        <f>G6+I6-J6+SUMIFS(I$9:I$14,$C$9:$C$14,$A6)-SUMIFS(J$9:J$14,$C$9:$C$14,$A6)</f>
        <v>0</v>
      </c>
      <c r="L6" s="86"/>
      <c r="N6" s="87">
        <f>SUMIFS(P$21:P$1007,M$21:M$1007,4)</f>
        <v>0</v>
      </c>
      <c r="O6" s="87">
        <f>K6+M6-N6+SUMIFS(M$9:M$14,$C$9:$C$14,$A6)-SUMIFS(N$9:N$14,$C$9:$C$14,$A6)</f>
        <v>0</v>
      </c>
      <c r="R6" s="87">
        <f>SUMIFS(T$20:T$1006,Q$20:Q$1006,4)</f>
        <v>0</v>
      </c>
      <c r="S6" s="87">
        <f>O6+Q6-R6+SUMIFS(Q$9:Q$14,$C$9:$C$14,$A6)-SUMIFS(R$9:R$14,$C$9:$C$14,$A6)</f>
        <v>0</v>
      </c>
      <c r="V6" s="87">
        <f>SUMIFS(X$20:X$1006,U$20:U$1006,4)</f>
        <v>0</v>
      </c>
      <c r="W6" s="87">
        <f>S6+U6-V6+SUMIFS(U$9:U$14,$C$9:$C$14,$A6)-SUMIFS(V$9:V$14,$C$9:$C$14,$A6)</f>
        <v>0</v>
      </c>
      <c r="Z6" s="87">
        <f>SUMIFS(AB$20:AB$1006,Y$20:Y$1006,4)</f>
        <v>0</v>
      </c>
      <c r="AA6" s="87">
        <f>W6+Y6-Z6+SUMIFS(Y$9:Y$14,$C$9:$C$14,$A6)-SUMIFS(Z$9:Z$14,$C$9:$C$14,$A6)</f>
        <v>0</v>
      </c>
      <c r="AD6" s="87">
        <f>SUMIFS(AF$20:AF$1006,AC$20:AC$1006,4)</f>
        <v>0</v>
      </c>
      <c r="AE6" s="87">
        <f>AA6+AC6-AD6+SUMIFS(AC$9:AC$14,$C$9:$C$14,$A6)-SUMIFS(AD$9:AD$14,$C$9:$C$14,$A6)</f>
        <v>0</v>
      </c>
    </row>
    <row r="7" spans="1:33" x14ac:dyDescent="0.35">
      <c r="E7" s="87"/>
    </row>
    <row r="8" spans="1:33" x14ac:dyDescent="0.35">
      <c r="A8" s="84" t="s">
        <v>160</v>
      </c>
      <c r="D8" s="84"/>
      <c r="E8" s="87">
        <f>SUM(E9:E14)</f>
        <v>10563</v>
      </c>
      <c r="F8" s="87">
        <f>SUM(F9:F14)</f>
        <v>10562.92</v>
      </c>
      <c r="I8" s="89">
        <f>SUM(I9:I14)</f>
        <v>-2771</v>
      </c>
      <c r="J8" s="87">
        <f>SUM(J9:J14)</f>
        <v>-2771.08</v>
      </c>
      <c r="M8" s="89">
        <f>SUM(M9:M14)</f>
        <v>8078</v>
      </c>
      <c r="N8" s="87">
        <f>SUM(N9:N14)</f>
        <v>-24322.15</v>
      </c>
      <c r="Q8" s="89">
        <f>SUM(Q9:Q14)</f>
        <v>8320</v>
      </c>
      <c r="R8" s="87">
        <f>$Q$8</f>
        <v>8320</v>
      </c>
      <c r="U8" s="89">
        <f>SUM(U9:U14)</f>
        <v>8570</v>
      </c>
      <c r="V8" s="87">
        <f>$U$8</f>
        <v>8570</v>
      </c>
      <c r="Y8" s="89">
        <f>SUM(Y9:Y14)</f>
        <v>8827</v>
      </c>
      <c r="Z8" s="87">
        <f>$Y$8</f>
        <v>8827</v>
      </c>
      <c r="AC8" s="89">
        <f>SUM(AC9:AC14)</f>
        <v>9092</v>
      </c>
      <c r="AD8" s="87">
        <f>$AC$8</f>
        <v>9092</v>
      </c>
    </row>
    <row r="9" spans="1:33" ht="14.5" customHeight="1" x14ac:dyDescent="0.35">
      <c r="A9" s="86" t="s">
        <v>160</v>
      </c>
      <c r="B9" s="85">
        <v>5</v>
      </c>
      <c r="C9" s="86" t="s">
        <v>157</v>
      </c>
      <c r="D9" s="84"/>
      <c r="E9" s="87">
        <v>0</v>
      </c>
      <c r="F9" s="87">
        <f t="shared" ref="F9:F14" si="0">SUMIFS(H$20:H$1006,E$20:E$1006,$B9)</f>
        <v>0</v>
      </c>
      <c r="I9" s="89">
        <f t="shared" ref="I9:I14" si="1">ROUNDUP((E9)*RPICurrent,0)</f>
        <v>0</v>
      </c>
      <c r="J9" s="87">
        <f>SUMIFS(L$20:L$1006,I$20:I$1006,$B9)</f>
        <v>0</v>
      </c>
      <c r="M9" s="89">
        <f t="shared" ref="M9:M14" si="2">ROUNDUP((I9)*RPI,0)</f>
        <v>0</v>
      </c>
      <c r="N9" s="87">
        <f t="shared" ref="N9:N14" si="3">SUMIFS(P$18:P$1007,M$18:M$1007,$B9)</f>
        <v>0</v>
      </c>
      <c r="Q9" s="89">
        <f t="shared" ref="Q9:Q14" si="4">ROUNDUP((M9)*RPI,0)</f>
        <v>0</v>
      </c>
      <c r="R9" s="87">
        <f>$Q$9</f>
        <v>0</v>
      </c>
      <c r="U9" s="89">
        <f t="shared" ref="U9:U14" si="5">ROUNDUP((Q9)*RPI,0)</f>
        <v>0</v>
      </c>
      <c r="V9" s="87">
        <f>$U$9</f>
        <v>0</v>
      </c>
      <c r="Y9" s="89">
        <f t="shared" ref="Y9:Y14" si="6">ROUNDUP((U9)*RPI,0)</f>
        <v>0</v>
      </c>
      <c r="Z9" s="87">
        <f>$Y$9</f>
        <v>0</v>
      </c>
      <c r="AC9" s="89">
        <f t="shared" ref="AC9:AC14" si="7">ROUNDUP((Y9)*RPI,0)</f>
        <v>0</v>
      </c>
      <c r="AD9" s="87">
        <f>$AC$9</f>
        <v>0</v>
      </c>
    </row>
    <row r="10" spans="1:33" ht="14.5" customHeight="1" x14ac:dyDescent="0.35">
      <c r="A10" s="86" t="s">
        <v>130</v>
      </c>
      <c r="B10" s="85">
        <v>6</v>
      </c>
      <c r="C10" s="86" t="s">
        <v>157</v>
      </c>
      <c r="D10" s="84"/>
      <c r="E10" s="87">
        <v>-2771</v>
      </c>
      <c r="F10" s="87">
        <f t="shared" si="0"/>
        <v>-2771.08</v>
      </c>
      <c r="I10" s="89">
        <v>-2771</v>
      </c>
      <c r="J10" s="87">
        <f t="shared" ref="J10:J14" si="8">SUMIFS(L$20:L$1006,I$20:I$1006,$B10)</f>
        <v>-2771.08</v>
      </c>
      <c r="M10" s="89">
        <f>ROUNDUP((I10),0)</f>
        <v>-2771</v>
      </c>
      <c r="N10" s="87">
        <f t="shared" si="3"/>
        <v>-2771</v>
      </c>
      <c r="Q10" s="89">
        <f t="shared" si="4"/>
        <v>-2855</v>
      </c>
      <c r="R10" s="87">
        <f>$Q$10</f>
        <v>-2855</v>
      </c>
      <c r="U10" s="89">
        <f t="shared" si="5"/>
        <v>-2941</v>
      </c>
      <c r="V10" s="87">
        <f>$U$10</f>
        <v>-2941</v>
      </c>
      <c r="Y10" s="89">
        <f t="shared" si="6"/>
        <v>-3030</v>
      </c>
      <c r="Z10" s="87">
        <f>$Y$10</f>
        <v>-3030</v>
      </c>
      <c r="AC10" s="89">
        <f t="shared" si="7"/>
        <v>-3121</v>
      </c>
      <c r="AD10" s="87">
        <f>$AC$10</f>
        <v>-3121</v>
      </c>
    </row>
    <row r="11" spans="1:33" ht="14.5" customHeight="1" x14ac:dyDescent="0.35">
      <c r="A11" s="86" t="s">
        <v>75</v>
      </c>
      <c r="B11" s="85">
        <v>7</v>
      </c>
      <c r="C11" s="86" t="s">
        <v>72</v>
      </c>
      <c r="D11" s="84"/>
      <c r="E11" s="87">
        <v>0</v>
      </c>
      <c r="F11" s="87">
        <f t="shared" si="0"/>
        <v>0</v>
      </c>
      <c r="I11" s="89">
        <f t="shared" si="1"/>
        <v>0</v>
      </c>
      <c r="J11" s="87">
        <f t="shared" si="8"/>
        <v>0</v>
      </c>
      <c r="M11" s="89">
        <f t="shared" si="2"/>
        <v>0</v>
      </c>
      <c r="N11" s="87">
        <f t="shared" si="3"/>
        <v>0</v>
      </c>
      <c r="Q11" s="89">
        <f t="shared" si="4"/>
        <v>0</v>
      </c>
      <c r="R11" s="87">
        <f>$Q$11</f>
        <v>0</v>
      </c>
      <c r="U11" s="89">
        <f t="shared" si="5"/>
        <v>0</v>
      </c>
      <c r="V11" s="87">
        <f>$U$11</f>
        <v>0</v>
      </c>
      <c r="Y11" s="89">
        <f t="shared" si="6"/>
        <v>0</v>
      </c>
      <c r="Z11" s="87">
        <f>$Y$11</f>
        <v>0</v>
      </c>
      <c r="AC11" s="89">
        <f t="shared" si="7"/>
        <v>0</v>
      </c>
      <c r="AD11" s="87">
        <f>$AC$11</f>
        <v>0</v>
      </c>
    </row>
    <row r="12" spans="1:33" ht="14.5" customHeight="1" x14ac:dyDescent="0.35">
      <c r="A12" s="86" t="s">
        <v>161</v>
      </c>
      <c r="B12" s="85">
        <v>8</v>
      </c>
      <c r="C12" s="86" t="s">
        <v>161</v>
      </c>
      <c r="D12" s="84"/>
      <c r="E12" s="87">
        <v>0</v>
      </c>
      <c r="F12" s="87">
        <f t="shared" si="0"/>
        <v>0</v>
      </c>
      <c r="I12" s="89">
        <f t="shared" si="1"/>
        <v>0</v>
      </c>
      <c r="J12" s="87">
        <f t="shared" si="8"/>
        <v>0</v>
      </c>
      <c r="M12" s="89">
        <f>ROUNDUP(32400-21551.15,0)</f>
        <v>10849</v>
      </c>
      <c r="N12" s="87">
        <f t="shared" si="3"/>
        <v>-21551.15</v>
      </c>
      <c r="Q12" s="89">
        <f t="shared" si="4"/>
        <v>11175</v>
      </c>
      <c r="R12" s="87">
        <f>$Q$12</f>
        <v>11175</v>
      </c>
      <c r="U12" s="89">
        <f t="shared" si="5"/>
        <v>11511</v>
      </c>
      <c r="V12" s="87">
        <f>$U$12</f>
        <v>11511</v>
      </c>
      <c r="Y12" s="89">
        <f t="shared" si="6"/>
        <v>11857</v>
      </c>
      <c r="Z12" s="87">
        <f>$Y$12</f>
        <v>11857</v>
      </c>
      <c r="AC12" s="89">
        <f t="shared" si="7"/>
        <v>12213</v>
      </c>
      <c r="AD12" s="87">
        <f>$AC$12</f>
        <v>12213</v>
      </c>
    </row>
    <row r="13" spans="1:33" ht="14.5" customHeight="1" x14ac:dyDescent="0.35">
      <c r="A13" s="86" t="s">
        <v>80</v>
      </c>
      <c r="B13" s="85">
        <v>9</v>
      </c>
      <c r="C13" s="86" t="s">
        <v>157</v>
      </c>
      <c r="D13" s="84"/>
      <c r="E13" s="87">
        <v>13334</v>
      </c>
      <c r="F13" s="87">
        <f t="shared" si="0"/>
        <v>13334</v>
      </c>
      <c r="I13" s="89">
        <v>0</v>
      </c>
      <c r="J13" s="87">
        <f t="shared" si="8"/>
        <v>0</v>
      </c>
      <c r="M13" s="89">
        <f t="shared" si="2"/>
        <v>0</v>
      </c>
      <c r="N13" s="87">
        <f t="shared" si="3"/>
        <v>0</v>
      </c>
      <c r="Q13" s="89">
        <f t="shared" si="4"/>
        <v>0</v>
      </c>
      <c r="R13" s="87">
        <f>$Q$13</f>
        <v>0</v>
      </c>
      <c r="U13" s="89">
        <f t="shared" si="5"/>
        <v>0</v>
      </c>
      <c r="V13" s="87">
        <f>$U$13</f>
        <v>0</v>
      </c>
      <c r="Y13" s="89">
        <f t="shared" si="6"/>
        <v>0</v>
      </c>
      <c r="Z13" s="87">
        <f>$Y$13</f>
        <v>0</v>
      </c>
      <c r="AC13" s="89">
        <f t="shared" si="7"/>
        <v>0</v>
      </c>
      <c r="AD13" s="87">
        <f>$AC$13</f>
        <v>0</v>
      </c>
    </row>
    <row r="14" spans="1:33" ht="14.5" customHeight="1" x14ac:dyDescent="0.35">
      <c r="A14" s="86" t="s">
        <v>142</v>
      </c>
      <c r="B14" s="85">
        <v>10</v>
      </c>
      <c r="C14" s="86" t="s">
        <v>159</v>
      </c>
      <c r="D14" s="84"/>
      <c r="E14" s="87">
        <v>0</v>
      </c>
      <c r="F14" s="87">
        <f t="shared" si="0"/>
        <v>0</v>
      </c>
      <c r="I14" s="89">
        <f t="shared" si="1"/>
        <v>0</v>
      </c>
      <c r="J14" s="87">
        <f t="shared" si="8"/>
        <v>0</v>
      </c>
      <c r="M14" s="89">
        <f t="shared" si="2"/>
        <v>0</v>
      </c>
      <c r="N14" s="87">
        <f t="shared" si="3"/>
        <v>0</v>
      </c>
      <c r="Q14" s="89">
        <f t="shared" si="4"/>
        <v>0</v>
      </c>
      <c r="R14" s="87">
        <f>$Q$14</f>
        <v>0</v>
      </c>
      <c r="U14" s="89">
        <f t="shared" si="5"/>
        <v>0</v>
      </c>
      <c r="V14" s="87">
        <f>$U$14</f>
        <v>0</v>
      </c>
      <c r="Y14" s="89">
        <f t="shared" si="6"/>
        <v>0</v>
      </c>
      <c r="Z14" s="87">
        <f>$Y$14</f>
        <v>0</v>
      </c>
      <c r="AC14" s="89">
        <f t="shared" si="7"/>
        <v>0</v>
      </c>
      <c r="AD14" s="87">
        <f>$AC$14</f>
        <v>0</v>
      </c>
    </row>
    <row r="15" spans="1:33" x14ac:dyDescent="0.35">
      <c r="E15" s="87"/>
    </row>
    <row r="16" spans="1:33" x14ac:dyDescent="0.35">
      <c r="E16" s="87"/>
    </row>
    <row r="17" spans="1:31" x14ac:dyDescent="0.35">
      <c r="E17" s="87"/>
    </row>
    <row r="18" spans="1:31" x14ac:dyDescent="0.35">
      <c r="A18" s="84" t="s">
        <v>487</v>
      </c>
      <c r="F18" s="93"/>
      <c r="G18" s="85"/>
      <c r="H18" s="87"/>
      <c r="I18" s="94"/>
      <c r="J18" s="93"/>
      <c r="K18" s="85"/>
      <c r="M18" s="94"/>
      <c r="N18" s="93"/>
      <c r="O18" s="85"/>
      <c r="Q18" s="94"/>
      <c r="R18" s="93"/>
      <c r="S18" s="85"/>
      <c r="U18" s="94"/>
      <c r="V18" s="93"/>
      <c r="W18" s="85"/>
      <c r="Y18" s="94"/>
      <c r="Z18" s="93"/>
      <c r="AA18" s="85"/>
      <c r="AC18" s="94"/>
      <c r="AD18" s="93"/>
      <c r="AE18" s="85"/>
    </row>
    <row r="19" spans="1:3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94"/>
      <c r="R19" s="93"/>
      <c r="S19" s="85"/>
      <c r="U19" s="94"/>
      <c r="V19" s="93"/>
      <c r="W19" s="85"/>
      <c r="Y19" s="94"/>
      <c r="Z19" s="93"/>
      <c r="AA19" s="85"/>
      <c r="AC19" s="94"/>
      <c r="AD19" s="93"/>
      <c r="AE19" s="85"/>
    </row>
    <row r="20" spans="1:31" x14ac:dyDescent="0.35">
      <c r="A20" s="85"/>
      <c r="D20" s="85"/>
      <c r="E20" s="85">
        <v>9</v>
      </c>
      <c r="F20" s="93" t="s">
        <v>790</v>
      </c>
      <c r="G20" s="85" t="s">
        <v>1246</v>
      </c>
      <c r="H20" s="87">
        <v>13334</v>
      </c>
      <c r="I20" s="94">
        <v>6</v>
      </c>
      <c r="J20" s="93" t="s">
        <v>790</v>
      </c>
      <c r="K20" s="85" t="s">
        <v>147</v>
      </c>
      <c r="L20" s="87">
        <v>-2771.08</v>
      </c>
      <c r="M20" s="85">
        <v>6</v>
      </c>
      <c r="N20" s="93" t="s">
        <v>790</v>
      </c>
      <c r="O20" s="85" t="s">
        <v>130</v>
      </c>
      <c r="P20" s="87">
        <v>-2771</v>
      </c>
      <c r="Q20" s="94"/>
      <c r="R20" s="93"/>
      <c r="S20" s="85"/>
      <c r="U20" s="94"/>
      <c r="V20" s="93"/>
      <c r="W20" s="85"/>
      <c r="Y20" s="94"/>
      <c r="Z20" s="93"/>
      <c r="AA20" s="85"/>
      <c r="AC20" s="94"/>
      <c r="AD20" s="93"/>
      <c r="AE20" s="85"/>
    </row>
    <row r="21" spans="1:31" x14ac:dyDescent="0.35">
      <c r="E21" s="85">
        <v>1</v>
      </c>
      <c r="F21" s="93" t="s">
        <v>699</v>
      </c>
      <c r="G21" s="85" t="s">
        <v>699</v>
      </c>
      <c r="H21" s="87">
        <v>300000</v>
      </c>
      <c r="I21" s="94"/>
      <c r="J21" s="93"/>
      <c r="K21" s="85"/>
      <c r="M21" s="94">
        <v>8</v>
      </c>
      <c r="N21" s="93" t="s">
        <v>492</v>
      </c>
      <c r="O21" s="85" t="s">
        <v>497</v>
      </c>
      <c r="P21" s="87">
        <v>-21551.15</v>
      </c>
      <c r="Q21" s="94"/>
      <c r="R21" s="93"/>
      <c r="S21" s="85"/>
      <c r="U21" s="94"/>
      <c r="V21" s="93"/>
      <c r="W21" s="85"/>
      <c r="Y21" s="94"/>
      <c r="Z21" s="93"/>
      <c r="AA21" s="85"/>
      <c r="AC21" s="94"/>
      <c r="AD21" s="93"/>
      <c r="AE21" s="85"/>
    </row>
    <row r="22" spans="1:31" x14ac:dyDescent="0.35">
      <c r="E22" s="85">
        <v>6</v>
      </c>
      <c r="F22" s="93" t="s">
        <v>967</v>
      </c>
      <c r="G22" s="85" t="s">
        <v>1280</v>
      </c>
      <c r="H22" s="87">
        <v>-2771.08</v>
      </c>
      <c r="I22" s="94"/>
      <c r="J22" s="93"/>
      <c r="K22" s="85"/>
      <c r="M22" s="86"/>
      <c r="N22" s="93"/>
      <c r="O22" s="85"/>
      <c r="Q22" s="94"/>
      <c r="R22" s="93"/>
      <c r="S22" s="85"/>
      <c r="U22" s="94"/>
      <c r="V22" s="93"/>
      <c r="W22" s="85"/>
      <c r="Y22" s="94"/>
      <c r="Z22" s="93"/>
      <c r="AA22" s="85"/>
      <c r="AC22" s="94"/>
      <c r="AD22" s="93"/>
      <c r="AE22" s="85"/>
    </row>
    <row r="23" spans="1:31" x14ac:dyDescent="0.35">
      <c r="E23" s="85">
        <v>1</v>
      </c>
      <c r="F23" s="93" t="s">
        <v>699</v>
      </c>
      <c r="G23" s="85" t="s">
        <v>1237</v>
      </c>
      <c r="H23" s="87">
        <v>319.43</v>
      </c>
      <c r="I23" s="94"/>
      <c r="J23" s="93"/>
      <c r="K23" s="85"/>
      <c r="M23" s="94"/>
      <c r="N23" s="93"/>
      <c r="O23" s="85"/>
      <c r="Q23" s="94"/>
      <c r="R23" s="93"/>
      <c r="S23" s="85"/>
      <c r="U23" s="94"/>
      <c r="V23" s="93"/>
      <c r="W23" s="85"/>
      <c r="Y23" s="94"/>
      <c r="Z23" s="93"/>
      <c r="AA23" s="85"/>
      <c r="AC23" s="94"/>
      <c r="AD23" s="93"/>
      <c r="AE23" s="85"/>
    </row>
    <row r="24" spans="1:31" x14ac:dyDescent="0.35">
      <c r="E24" s="92"/>
      <c r="F24" s="97"/>
      <c r="G24" s="98"/>
      <c r="H24" s="90"/>
      <c r="I24" s="94"/>
      <c r="J24" s="93"/>
      <c r="K24" s="85"/>
      <c r="M24" s="94"/>
      <c r="N24" s="93"/>
      <c r="O24" s="85"/>
      <c r="Q24" s="94"/>
      <c r="R24" s="93"/>
      <c r="S24" s="85"/>
      <c r="U24" s="94"/>
      <c r="V24" s="93"/>
      <c r="W24" s="85"/>
      <c r="Y24" s="94"/>
      <c r="Z24" s="93"/>
      <c r="AA24" s="85"/>
      <c r="AC24" s="94"/>
      <c r="AD24" s="93"/>
      <c r="AE24" s="85"/>
    </row>
    <row r="25" spans="1:31" x14ac:dyDescent="0.35">
      <c r="F25" s="97"/>
      <c r="G25" s="85"/>
      <c r="H25" s="87"/>
      <c r="I25" s="94"/>
      <c r="J25" s="93"/>
      <c r="K25" s="85"/>
      <c r="M25" s="94"/>
      <c r="N25" s="93"/>
      <c r="O25" s="85"/>
      <c r="Q25" s="94"/>
      <c r="R25" s="93"/>
      <c r="S25" s="85"/>
      <c r="U25" s="94"/>
      <c r="V25" s="93"/>
      <c r="W25" s="85"/>
      <c r="Y25" s="94"/>
      <c r="Z25" s="93"/>
      <c r="AA25" s="85"/>
      <c r="AC25" s="94"/>
      <c r="AD25" s="93"/>
      <c r="AE25" s="85"/>
    </row>
    <row r="26" spans="1:31" x14ac:dyDescent="0.35">
      <c r="E26" s="92"/>
      <c r="F26" s="97"/>
      <c r="G26" s="92"/>
      <c r="H26" s="90"/>
      <c r="I26" s="94"/>
      <c r="J26" s="93"/>
      <c r="K26" s="85"/>
      <c r="M26" s="94"/>
      <c r="N26" s="93"/>
      <c r="O26" s="85"/>
      <c r="Q26" s="94"/>
      <c r="R26" s="93"/>
      <c r="S26" s="85"/>
      <c r="U26" s="94"/>
      <c r="V26" s="93"/>
      <c r="W26" s="85"/>
      <c r="Y26" s="94"/>
      <c r="Z26" s="93"/>
      <c r="AA26" s="85"/>
      <c r="AC26" s="94"/>
      <c r="AD26" s="93"/>
      <c r="AE26" s="85"/>
    </row>
    <row r="27" spans="1:31" x14ac:dyDescent="0.35">
      <c r="E27" s="85">
        <v>2</v>
      </c>
      <c r="F27" s="93" t="s">
        <v>699</v>
      </c>
      <c r="G27" s="85" t="s">
        <v>1281</v>
      </c>
      <c r="H27" s="87">
        <v>12975</v>
      </c>
      <c r="I27" s="94"/>
      <c r="J27" s="93"/>
      <c r="K27" s="85"/>
      <c r="M27" s="94"/>
      <c r="N27" s="93"/>
      <c r="O27" s="85"/>
      <c r="Q27" s="94"/>
      <c r="R27" s="93"/>
      <c r="S27" s="85"/>
      <c r="U27" s="94"/>
      <c r="V27" s="93"/>
      <c r="W27" s="85"/>
      <c r="Y27" s="94"/>
      <c r="Z27" s="93"/>
      <c r="AA27" s="85"/>
      <c r="AC27" s="94"/>
      <c r="AD27" s="93"/>
      <c r="AE27" s="85"/>
    </row>
    <row r="28" spans="1:31" x14ac:dyDescent="0.35">
      <c r="E28" s="85">
        <v>2</v>
      </c>
      <c r="F28" s="93" t="s">
        <v>699</v>
      </c>
      <c r="G28" s="85" t="s">
        <v>1282</v>
      </c>
      <c r="H28" s="87">
        <v>27025</v>
      </c>
      <c r="I28" s="94"/>
      <c r="J28" s="93"/>
      <c r="K28" s="85"/>
      <c r="M28" s="94"/>
      <c r="N28" s="93"/>
      <c r="O28" s="85"/>
      <c r="Q28" s="94"/>
      <c r="R28" s="93"/>
      <c r="S28" s="85"/>
      <c r="U28" s="94"/>
      <c r="V28" s="93"/>
      <c r="W28" s="85"/>
      <c r="Y28" s="94"/>
      <c r="Z28" s="93"/>
      <c r="AA28" s="85"/>
      <c r="AC28" s="94"/>
      <c r="AD28" s="93"/>
      <c r="AE28" s="85"/>
    </row>
    <row r="29" spans="1:31" x14ac:dyDescent="0.35">
      <c r="E29" s="92"/>
      <c r="F29" s="97"/>
      <c r="G29" s="92"/>
      <c r="H29" s="90"/>
      <c r="I29" s="94"/>
      <c r="J29" s="93"/>
      <c r="K29" s="85"/>
      <c r="M29" s="94"/>
      <c r="N29" s="93"/>
      <c r="O29" s="85"/>
      <c r="Q29" s="94"/>
      <c r="R29" s="93"/>
      <c r="S29" s="85"/>
      <c r="U29" s="94"/>
      <c r="V29" s="93"/>
      <c r="W29" s="85"/>
      <c r="Y29" s="94"/>
      <c r="Z29" s="93"/>
      <c r="AA29" s="85"/>
      <c r="AC29" s="94"/>
      <c r="AD29" s="93"/>
      <c r="AE29" s="85"/>
    </row>
    <row r="30" spans="1:31" x14ac:dyDescent="0.35">
      <c r="F30" s="93"/>
      <c r="G30" s="85"/>
      <c r="H30" s="87"/>
      <c r="I30" s="94"/>
      <c r="J30" s="93"/>
      <c r="K30" s="85"/>
      <c r="M30" s="94"/>
      <c r="N30" s="93"/>
      <c r="O30" s="85"/>
      <c r="Q30" s="94"/>
      <c r="R30" s="93"/>
      <c r="S30" s="85"/>
      <c r="U30" s="94"/>
      <c r="V30" s="93"/>
      <c r="W30" s="85"/>
      <c r="Y30" s="94"/>
      <c r="Z30" s="93"/>
      <c r="AA30" s="85"/>
      <c r="AC30" s="94"/>
      <c r="AD30" s="93"/>
      <c r="AE30" s="85"/>
    </row>
    <row r="31" spans="1:31" x14ac:dyDescent="0.35">
      <c r="F31" s="93"/>
      <c r="G31" s="85"/>
      <c r="H31" s="87"/>
      <c r="I31" s="94"/>
      <c r="J31" s="93"/>
      <c r="K31" s="85"/>
      <c r="M31" s="94"/>
      <c r="N31" s="93"/>
      <c r="O31" s="85"/>
      <c r="Q31" s="94"/>
      <c r="R31" s="93"/>
      <c r="S31" s="85"/>
      <c r="U31" s="94"/>
      <c r="V31" s="93"/>
      <c r="W31" s="85"/>
      <c r="Y31" s="94"/>
      <c r="Z31" s="93"/>
      <c r="AA31" s="85"/>
      <c r="AC31" s="94"/>
      <c r="AD31" s="93"/>
      <c r="AE31" s="85"/>
    </row>
    <row r="32" spans="1: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6:31" x14ac:dyDescent="0.35">
      <c r="M1001" s="94"/>
      <c r="N1001" s="93"/>
      <c r="O1001" s="85"/>
    </row>
  </sheetData>
  <conditionalFormatting sqref="A20:L1048576 Q20:AG1048576 M20:P20 A1:AG19">
    <cfRule type="expression" dxfId="42" priority="1">
      <formula>$A4="Spend to Date"</formula>
    </cfRule>
    <cfRule type="expression" dxfId="41" priority="2">
      <formula>$A4="Spend to Date"</formula>
    </cfRule>
  </conditionalFormatting>
  <conditionalFormatting sqref="M21:P1048576">
    <cfRule type="expression" dxfId="40" priority="65">
      <formula>$A23="Spend to Date"</formula>
    </cfRule>
    <cfRule type="expression" dxfId="39" priority="66">
      <formula>$A23="Spend to Date"</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G1000"/>
  <sheetViews>
    <sheetView workbookViewId="0">
      <pane xSplit="2" ySplit="1" topLeftCell="J37" activePane="bottomRight" state="frozen"/>
      <selection pane="topRight" activeCell="C1" sqref="C1"/>
      <selection pane="bottomLeft" activeCell="A2" sqref="A2"/>
      <selection pane="bottomRight" activeCell="P45" sqref="P45"/>
    </sheetView>
  </sheetViews>
  <sheetFormatPr defaultColWidth="8.81640625" defaultRowHeight="14.5" x14ac:dyDescent="0.35"/>
  <cols>
    <col min="1" max="1" width="27" style="86" customWidth="1"/>
    <col min="2" max="2" width="5.453125" style="85" bestFit="1" customWidth="1"/>
    <col min="3" max="3" width="5.453125" style="85" customWidth="1"/>
    <col min="4" max="4" width="10.453125" style="86" bestFit="1" customWidth="1"/>
    <col min="5" max="5" width="13.81640625" style="85" customWidth="1"/>
    <col min="6" max="6" width="19.54296875" style="93" customWidth="1"/>
    <col min="7" max="7" width="30.1796875" style="87" customWidth="1"/>
    <col min="8" max="8" width="13.453125" style="88" customWidth="1"/>
    <col min="9" max="9" width="13.81640625" style="89" bestFit="1" customWidth="1"/>
    <col min="10" max="10" width="19.54296875" style="87" bestFit="1" customWidth="1"/>
    <col min="11" max="11" width="27.1796875" style="87" customWidth="1"/>
    <col min="12" max="12" width="13.453125" style="87" bestFit="1" customWidth="1"/>
    <col min="13" max="13" width="19.81640625" style="89" customWidth="1"/>
    <col min="14" max="14" width="13.81640625" style="87" customWidth="1"/>
    <col min="15" max="15" width="11.54296875" style="87" bestFit="1" customWidth="1"/>
    <col min="16" max="16" width="50.269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162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SUM(E3:E6)</f>
        <v>-80354.179999999993</v>
      </c>
      <c r="F2" s="87">
        <f>SUM(F3:F3)</f>
        <v>4476.83</v>
      </c>
      <c r="I2" s="89">
        <f>SUM(I3:I6)</f>
        <v>0</v>
      </c>
      <c r="J2" s="87">
        <f>SUM(J3:J6)</f>
        <v>24517.430000000004</v>
      </c>
      <c r="M2" s="89">
        <f>SUM(M3:M6)</f>
        <v>1799</v>
      </c>
      <c r="N2" s="87">
        <f>SUM(N3:N6)</f>
        <v>36432.67</v>
      </c>
      <c r="Q2" s="89">
        <f>SUM(Q3:Q6)</f>
        <v>0</v>
      </c>
      <c r="R2" s="87">
        <f>SUM(R3:R6)</f>
        <v>0</v>
      </c>
      <c r="U2" s="89">
        <f>SUM(U3:U6)</f>
        <v>0</v>
      </c>
      <c r="V2" s="87">
        <f>SUM(V3:V6)</f>
        <v>0</v>
      </c>
      <c r="Y2" s="89">
        <f>SUM(Y3:Y6)</f>
        <v>0</v>
      </c>
      <c r="Z2" s="87">
        <f>SUM(Z3:Z6)</f>
        <v>0</v>
      </c>
      <c r="AC2" s="89">
        <f>SUM(AC3:AC6)</f>
        <v>0</v>
      </c>
      <c r="AD2" s="87">
        <f>SUM(AD3:AD6)</f>
        <v>0</v>
      </c>
    </row>
    <row r="3" spans="1:33" x14ac:dyDescent="0.35">
      <c r="A3" s="86" t="s">
        <v>162</v>
      </c>
      <c r="B3" s="85">
        <v>1</v>
      </c>
      <c r="D3" s="86">
        <v>0</v>
      </c>
      <c r="E3" s="87">
        <f>25200-6195.66-1157.72</f>
        <v>17846.62</v>
      </c>
      <c r="F3" s="87">
        <f>SUMIFS(H$21:H$1004,E$21:E$1004,$B3)</f>
        <v>4476.83</v>
      </c>
      <c r="G3" s="87">
        <f>D3+E3-F3+SUMIFS(E$9:E$15,$C$9:$C$15,$A3)-SUMIFS(F$9:F$15,$C$9:$C$15,$A3)</f>
        <v>2248.6599999999962</v>
      </c>
      <c r="J3" s="87">
        <f>SUMIFS(L$21:L$1003,I$21:I$1003,1)</f>
        <v>1583.24</v>
      </c>
      <c r="K3" s="87">
        <f>G3+I3-J3+SUMIFS(I$9:I$15,$C$9:$C$15,$A3)-SUMIFS(J$9:J$15,$C$9:$C$15,$A3)</f>
        <v>-161.56000000000495</v>
      </c>
      <c r="L3" s="86"/>
      <c r="M3" s="89">
        <f>ROUNDUP(1798.3,0)</f>
        <v>1799</v>
      </c>
      <c r="N3" s="87">
        <f>SUMIFS(P$21:P$1003,M$21:M$1003,1)</f>
        <v>-117</v>
      </c>
      <c r="O3" s="87">
        <f>K3+M3-N3+SUMIFS(M$9:M$15,$C$9:$C$15,$A3)-SUMIFS(N$9:N$15,$C$9:$C$15,$A3)</f>
        <v>-12128.000000000005</v>
      </c>
      <c r="R3" s="87">
        <f>SUMIFS(T$21:T$1004,Q$21:Q$1004,1)</f>
        <v>0</v>
      </c>
      <c r="S3" s="87">
        <f>O3+Q3-R3+SUMIFS(Q$9:Q$15,$C$9:$C$15,$A3)-SUMIFS(R$9:R$15,$C$9:$C$15,$A3)</f>
        <v>-12128.000000000007</v>
      </c>
      <c r="V3" s="87">
        <f>SUMIFS(X$21:X$1004,U$21:U$1004,1)</f>
        <v>0</v>
      </c>
      <c r="W3" s="87">
        <f>S3+U3-V3+SUMIFS(U$9:U$15,$C$9:$C$15,$A3)-SUMIFS(V$9:V$15,$C$9:$C$15,$A3)</f>
        <v>-12128.000000000007</v>
      </c>
      <c r="Z3" s="87">
        <f>SUMIFS(AB$21:AB$1004,Y$21:Y$1004,1)</f>
        <v>0</v>
      </c>
      <c r="AA3" s="87">
        <f>W3+Y3-Z3+SUMIFS(Y$9:Y$15,$C$9:$C$15,$A3)-SUMIFS(Z$9:Z$15,$C$9:$C$15,$A3)</f>
        <v>-12128.000000000007</v>
      </c>
      <c r="AD3" s="87">
        <f>SUMIFS(AF$21:AF$1004,AC$21:AC$1004,1)</f>
        <v>0</v>
      </c>
      <c r="AE3" s="87">
        <f>AA3+AC3-AD3+SUMIFS(AC$9:AC$15,$C$9:$C$15,$A3)-SUMIFS(AD$9:AD$15,$C$9:$C$15,$A3)</f>
        <v>-12128.000000000007</v>
      </c>
      <c r="AG3" s="87">
        <v>150000</v>
      </c>
    </row>
    <row r="4" spans="1:33" x14ac:dyDescent="0.35">
      <c r="A4" s="86" t="s">
        <v>163</v>
      </c>
      <c r="B4" s="85">
        <v>2</v>
      </c>
      <c r="D4" s="86">
        <v>31407.3</v>
      </c>
      <c r="E4" s="87">
        <v>-31259.3</v>
      </c>
      <c r="F4" s="87">
        <f>SUMIFS(H$21:H$1004,E$21:E$1004,$B4)</f>
        <v>148</v>
      </c>
      <c r="G4" s="90">
        <f>D4+E4-F4+SUMIFS(E$9:E$15,$C$9:$C$15,$A4)-SUMIFS(F$9:F$15,$C$9:$C$15,$A4)</f>
        <v>0</v>
      </c>
      <c r="I4" s="91"/>
      <c r="J4" s="87">
        <f>SUMIFS(L$21:L$1003,I$21:I$1003,2)</f>
        <v>0</v>
      </c>
      <c r="K4" s="87">
        <f>G4+I4-J4+SUMIFS(I$9:I$15,$C$9:$C$15,$A4)-SUMIFS(J$9:J$15,$C$9:$C$15,$A4)</f>
        <v>0</v>
      </c>
      <c r="L4" s="84"/>
      <c r="N4" s="87">
        <f>SUMIFS(P$21:P$1003,M$21:M$1003,1)</f>
        <v>-117</v>
      </c>
      <c r="O4" s="87">
        <f>K4+M4-N4+SUMIFS(M$9:M$15,$C$9:$C$15,$A4)-SUMIFS(N$9:N$15,$C$9:$C$15,$A4)</f>
        <v>117</v>
      </c>
      <c r="R4" s="87">
        <f>SUMIFS(T$21:T$1004,Q$21:Q$1004,1)</f>
        <v>0</v>
      </c>
      <c r="S4" s="87">
        <f>O4+Q4-R4+SUMIFS(Q$9:Q$15,$C$9:$C$15,$A4)-SUMIFS(R$9:R$15,$C$9:$C$15,$A4)</f>
        <v>117</v>
      </c>
      <c r="V4" s="87">
        <f>SUMIFS(X$21:X$1004,U$21:U$1004,1)</f>
        <v>0</v>
      </c>
      <c r="W4" s="87">
        <f>S4+U4-V4+SUMIFS(U$9:U$15,$C$9:$C$15,$A4)-SUMIFS(V$9:V$15,$C$9:$C$15,$A4)</f>
        <v>117</v>
      </c>
      <c r="Z4" s="87">
        <f>SUMIFS(AB$21:AB$1004,Y$21:Y$1004,1)</f>
        <v>0</v>
      </c>
      <c r="AA4" s="87">
        <f>W4+Y4-Z4+SUMIFS(Y$9:Y$15,$C$9:$C$15,$A4)-SUMIFS(Z$9:Z$15,$C$9:$C$15,$A4)</f>
        <v>117</v>
      </c>
      <c r="AD4" s="87">
        <f>SUMIFS(AF$21:AF$1004,AC$21:AC$1004,1)</f>
        <v>0</v>
      </c>
      <c r="AE4" s="87">
        <f>AA4+AC4-AD4+SUMIFS(AC$9:AC$15,$C$9:$C$15,$A4)-SUMIFS(AD$9:AD$15,$C$9:$C$15,$A4)</f>
        <v>117</v>
      </c>
    </row>
    <row r="5" spans="1:33" x14ac:dyDescent="0.35">
      <c r="A5" s="86" t="s">
        <v>164</v>
      </c>
      <c r="B5" s="85">
        <v>3</v>
      </c>
      <c r="D5" s="86">
        <f>62829.7+9545</f>
        <v>72374.7</v>
      </c>
      <c r="E5" s="87">
        <f>-57396.5-9545</f>
        <v>-66941.5</v>
      </c>
      <c r="F5" s="87">
        <f>SUMIFS(H$21:H$1004,E$21:E$1004,$B5)</f>
        <v>-148</v>
      </c>
      <c r="G5" s="87">
        <f>D5+E5-F5+SUMIFS(E$9:E$15,$C$9:$C$15,$A5)-SUMIFS(F$9:F$15,$C$9:$C$15,$A5)</f>
        <v>103782</v>
      </c>
      <c r="H5" s="88" t="s">
        <v>1283</v>
      </c>
      <c r="I5" s="89">
        <v>0</v>
      </c>
      <c r="J5" s="87">
        <f>SUMIFS(L$21:L$1003,I$21:I$1003,3)</f>
        <v>22934.190000000002</v>
      </c>
      <c r="K5" s="87">
        <f>G5+I5-J5+SUMIFS(I$9:I$15,$C$9:$C$15,$A5)-SUMIFS(J$9:J$15,$C$9:$C$15,$A5)</f>
        <v>127940.81</v>
      </c>
      <c r="L5" s="86"/>
      <c r="N5" s="87">
        <f>SUMIFS(P$21:P$1003,M$21:M$1003,2)</f>
        <v>0</v>
      </c>
      <c r="O5" s="87">
        <f>K5+M5-N5+SUMIFS(M$9:M$15,$C$9:$C$15,$A5)-SUMIFS(N$9:N$15,$C$9:$C$15,$A5)</f>
        <v>187390.81</v>
      </c>
      <c r="P5" s="105"/>
      <c r="R5" s="87">
        <f>SUMIFS(T$21:T$1004,Q$21:Q$1004,2)</f>
        <v>0</v>
      </c>
      <c r="S5" s="87">
        <f>O5+Q5-R5+SUMIFS(Q$9:Q$15,$C$9:$C$15,$A5)-SUMIFS(R$9:R$15,$C$9:$C$15,$A5)</f>
        <v>187390.81</v>
      </c>
      <c r="V5" s="87">
        <f>SUMIFS(X$21:X$1004,U$21:U$1004,2)</f>
        <v>0</v>
      </c>
      <c r="W5" s="87">
        <f>S5+U5-V5+SUMIFS(U$9:U$15,$C$9:$C$15,$A5)-SUMIFS(V$9:V$15,$C$9:$C$15,$A5)</f>
        <v>187390.81</v>
      </c>
      <c r="Z5" s="87">
        <f>SUMIFS(AB$21:AB$1004,Y$21:Y$1004,2)</f>
        <v>0</v>
      </c>
      <c r="AA5" s="87">
        <f>W5+Y5-Z5+SUMIFS(Y$9:Y$15,$C$9:$C$15,$A5)-SUMIFS(Z$9:Z$15,$C$9:$C$15,$A5)</f>
        <v>187390.81</v>
      </c>
      <c r="AD5" s="87">
        <f>SUMIFS(AF$21:AF$1004,AC$21:AC$1004,2)</f>
        <v>0</v>
      </c>
      <c r="AE5" s="87">
        <f>AA5+AC5-AD5+SUMIFS(AC$9:AC$15,$C$9:$C$15,$A5)-SUMIFS(AD$9:AD$15,$C$9:$C$15,$A5)</f>
        <v>187390.81</v>
      </c>
    </row>
    <row r="6" spans="1:33" x14ac:dyDescent="0.35">
      <c r="A6" s="86" t="s">
        <v>72</v>
      </c>
      <c r="B6" s="85">
        <v>4</v>
      </c>
      <c r="D6" s="86">
        <v>0</v>
      </c>
      <c r="E6" s="87">
        <v>0</v>
      </c>
      <c r="F6" s="87">
        <f>SUMIFS(H$21:H$1004,E$21:E$1004,$B6)</f>
        <v>0</v>
      </c>
      <c r="G6" s="87">
        <f>D6+E6-F6+SUMIFS(E$9:E$15,$C$9:$C$15,$A6)-SUMIFS(F$9:F$15,$C$9:$C$15,$A6)</f>
        <v>0</v>
      </c>
      <c r="J6" s="87">
        <f>SUMIFS(L$21:L$1003,I$21:I$1003,4)</f>
        <v>0</v>
      </c>
      <c r="K6" s="87">
        <f>G6+I6-J6+SUMIFS(I$9:I$15,$C$9:$C$15,$A6)-SUMIFS(J$9:J$15,$C$9:$C$15,$A6)</f>
        <v>0</v>
      </c>
      <c r="L6" s="86"/>
      <c r="N6" s="87">
        <f>SUMIFS(P$21:P$1003,M$21:M$1003,3)</f>
        <v>36666.67</v>
      </c>
      <c r="O6" s="87">
        <f>K6+M6-N6+SUMIFS(M$9:M$15,$C$9:$C$15,$A6)-SUMIFS(N$9:N$15,$C$9:$C$15,$A6)</f>
        <v>-36666.67</v>
      </c>
      <c r="R6" s="87">
        <f>SUMIFS(T$21:T$1004,Q$21:Q$1004,3)</f>
        <v>0</v>
      </c>
      <c r="S6" s="87">
        <f>O6+Q6-R6+SUMIFS(Q$9:Q$15,$C$9:$C$15,$A6)-SUMIFS(R$9:R$15,$C$9:$C$15,$A6)</f>
        <v>-36666.67</v>
      </c>
      <c r="V6" s="87">
        <f>SUMIFS(X$21:X$1004,U$21:U$1004,3)</f>
        <v>0</v>
      </c>
      <c r="W6" s="87">
        <f>S6+U6-V6+SUMIFS(U$9:U$15,$C$9:$C$15,$A6)-SUMIFS(V$9:V$15,$C$9:$C$15,$A6)</f>
        <v>-36666.67</v>
      </c>
      <c r="Z6" s="87">
        <f>SUMIFS(AB$21:AB$1004,Y$21:Y$1004,3)</f>
        <v>0</v>
      </c>
      <c r="AA6" s="87">
        <f>W6+Y6-Z6+SUMIFS(Y$9:Y$15,$C$9:$C$15,$A6)-SUMIFS(Z$9:Z$15,$C$9:$C$15,$A6)</f>
        <v>-36666.67</v>
      </c>
      <c r="AD6" s="87">
        <f>SUMIFS(AF$21:AF$1004,AC$21:AC$1004,3)</f>
        <v>0</v>
      </c>
      <c r="AE6" s="87">
        <f>AA6+AC6-AD6+SUMIFS(AC$9:AC$15,$C$9:$C$15,$A6)-SUMIFS(AD$9:AD$15,$C$9:$C$15,$A6)</f>
        <v>-36666.67</v>
      </c>
    </row>
    <row r="7" spans="1:33" x14ac:dyDescent="0.35">
      <c r="E7" s="87"/>
      <c r="F7" s="87"/>
    </row>
    <row r="8" spans="1:33" x14ac:dyDescent="0.35">
      <c r="A8" s="84" t="s">
        <v>165</v>
      </c>
      <c r="D8" s="84"/>
      <c r="E8" s="87">
        <f>SUM(E9:E15)</f>
        <v>150459.18</v>
      </c>
      <c r="F8" s="87">
        <f>SUM(F9:F15)</f>
        <v>63379.51</v>
      </c>
      <c r="I8" s="89">
        <f>SUM(I9:I15)</f>
        <v>36663</v>
      </c>
      <c r="J8" s="87">
        <f>SUM(J9:J15)</f>
        <v>-9603.0199999999986</v>
      </c>
      <c r="M8" s="89">
        <f>SUM(M9:M15)</f>
        <v>89773</v>
      </c>
      <c r="N8" s="87">
        <f>SUM(N9:N15)</f>
        <v>44205.440000000002</v>
      </c>
      <c r="Q8" s="89">
        <f>SUM(Q9:Q15)</f>
        <v>92468</v>
      </c>
      <c r="R8" s="87">
        <f>$Q$8</f>
        <v>92468</v>
      </c>
      <c r="U8" s="89">
        <f>SUM(U9:U15)</f>
        <v>95243</v>
      </c>
      <c r="V8" s="87">
        <f>$U$8</f>
        <v>95243</v>
      </c>
      <c r="Y8" s="89">
        <f>SUM(Y9:Y15)</f>
        <v>98101</v>
      </c>
      <c r="Z8" s="87">
        <f>$Y$8</f>
        <v>98101</v>
      </c>
      <c r="AC8" s="89">
        <f>SUM(AC9:AC15)</f>
        <v>101045</v>
      </c>
      <c r="AD8" s="87">
        <f>$AC$8</f>
        <v>101045</v>
      </c>
    </row>
    <row r="9" spans="1:33" ht="14.5" customHeight="1" x14ac:dyDescent="0.35">
      <c r="A9" s="86" t="s">
        <v>165</v>
      </c>
      <c r="B9" s="85">
        <v>5</v>
      </c>
      <c r="C9" s="86" t="s">
        <v>162</v>
      </c>
      <c r="D9" s="84"/>
      <c r="E9" s="87">
        <v>0</v>
      </c>
      <c r="F9" s="87">
        <f t="shared" ref="F9:F15" si="0">SUMIFS(H$21:H$1004,E$21:E$1004,$B9)</f>
        <v>0</v>
      </c>
      <c r="I9" s="89">
        <f>ROUNDUP((E9)*RPICurrent,0)</f>
        <v>0</v>
      </c>
      <c r="J9" s="87">
        <f t="shared" ref="J9:J15" si="1">SUMIFS(L$21:L$1003,I$21:I$1003,$B9)</f>
        <v>0</v>
      </c>
      <c r="M9" s="89">
        <f>ROUNDUP((I9)*RPI,0)</f>
        <v>0</v>
      </c>
      <c r="N9" s="87">
        <f t="shared" ref="N9:N15" si="2">SUMIFS(P$21:P$1002,M$21:M$1002,$B9)</f>
        <v>0</v>
      </c>
      <c r="Q9" s="89">
        <f t="shared" ref="Q9:Q15" si="3">ROUNDUP((M9)*RPI,0)</f>
        <v>0</v>
      </c>
      <c r="R9" s="87">
        <f>$Q$9</f>
        <v>0</v>
      </c>
      <c r="U9" s="89">
        <f t="shared" ref="U9:U15" si="4">ROUNDUP((Q9)*RPI,0)</f>
        <v>0</v>
      </c>
      <c r="V9" s="87">
        <f>$U$9</f>
        <v>0</v>
      </c>
      <c r="Y9" s="89">
        <f t="shared" ref="Y9:Y15" si="5">ROUNDUP((U9)*RPI,0)</f>
        <v>0</v>
      </c>
      <c r="Z9" s="87">
        <f>$Y$9</f>
        <v>0</v>
      </c>
      <c r="AC9" s="89">
        <f t="shared" ref="AC9:AC15" si="6">ROUNDUP((Y9)*RPI,0)</f>
        <v>0</v>
      </c>
      <c r="AD9" s="87">
        <f>$AC$9</f>
        <v>0</v>
      </c>
    </row>
    <row r="10" spans="1:33" ht="14.5" customHeight="1" x14ac:dyDescent="0.35">
      <c r="A10" s="86" t="s">
        <v>80</v>
      </c>
      <c r="B10" s="85">
        <v>6</v>
      </c>
      <c r="C10" s="86" t="s">
        <v>162</v>
      </c>
      <c r="D10" s="84"/>
      <c r="E10" s="87">
        <f>59918+10187</f>
        <v>70105</v>
      </c>
      <c r="F10" s="87">
        <f t="shared" si="0"/>
        <v>70105</v>
      </c>
      <c r="I10" s="89">
        <v>0</v>
      </c>
      <c r="J10" s="87">
        <f t="shared" si="1"/>
        <v>0</v>
      </c>
      <c r="M10" s="89">
        <f t="shared" ref="M10:M15" si="7">ROUNDUP((I10)*RPI,0)</f>
        <v>0</v>
      </c>
      <c r="N10" s="87">
        <f t="shared" si="2"/>
        <v>0</v>
      </c>
      <c r="Q10" s="89">
        <f t="shared" si="3"/>
        <v>0</v>
      </c>
      <c r="R10" s="87">
        <f>$Q$10</f>
        <v>0</v>
      </c>
      <c r="U10" s="89">
        <f t="shared" si="4"/>
        <v>0</v>
      </c>
      <c r="V10" s="87">
        <f>$U$10</f>
        <v>0</v>
      </c>
      <c r="Y10" s="89">
        <f t="shared" si="5"/>
        <v>0</v>
      </c>
      <c r="Z10" s="87">
        <f>$Y$10</f>
        <v>0</v>
      </c>
      <c r="AC10" s="89">
        <f t="shared" si="6"/>
        <v>0</v>
      </c>
      <c r="AD10" s="87">
        <f>$AC$10</f>
        <v>0</v>
      </c>
    </row>
    <row r="11" spans="1:33" ht="14.5" customHeight="1" x14ac:dyDescent="0.35">
      <c r="A11" s="86" t="s">
        <v>130</v>
      </c>
      <c r="B11" s="85">
        <v>7</v>
      </c>
      <c r="C11" s="86" t="s">
        <v>162</v>
      </c>
      <c r="D11" s="84"/>
      <c r="E11" s="87">
        <v>-25200</v>
      </c>
      <c r="F11" s="87">
        <f t="shared" si="0"/>
        <v>-25215</v>
      </c>
      <c r="I11" s="89">
        <v>-25200</v>
      </c>
      <c r="J11" s="87">
        <f t="shared" si="1"/>
        <v>-25200</v>
      </c>
      <c r="M11" s="89">
        <f>ROUNDUP((I11),0)</f>
        <v>-25200</v>
      </c>
      <c r="N11" s="87">
        <f t="shared" si="2"/>
        <v>0</v>
      </c>
      <c r="Q11" s="89">
        <f t="shared" si="3"/>
        <v>-25956</v>
      </c>
      <c r="R11" s="87">
        <f>$Q$11</f>
        <v>-25956</v>
      </c>
      <c r="U11" s="89">
        <f t="shared" si="4"/>
        <v>-26735</v>
      </c>
      <c r="V11" s="87">
        <f>$U$11</f>
        <v>-26735</v>
      </c>
      <c r="Y11" s="89">
        <f t="shared" si="5"/>
        <v>-27538</v>
      </c>
      <c r="Z11" s="87">
        <f>$Y$11</f>
        <v>-27538</v>
      </c>
      <c r="AC11" s="89">
        <f t="shared" si="6"/>
        <v>-28365</v>
      </c>
      <c r="AD11" s="87">
        <f>$AC$11</f>
        <v>-28365</v>
      </c>
    </row>
    <row r="12" spans="1:33" ht="64.5" customHeight="1" x14ac:dyDescent="0.35">
      <c r="A12" s="86" t="s">
        <v>124</v>
      </c>
      <c r="B12" s="85">
        <v>8</v>
      </c>
      <c r="C12" s="86" t="s">
        <v>162</v>
      </c>
      <c r="D12" s="84"/>
      <c r="E12" s="87">
        <v>6195.66</v>
      </c>
      <c r="F12" s="87">
        <f t="shared" si="0"/>
        <v>17391.71</v>
      </c>
      <c r="I12" s="89">
        <f>11000+2500</f>
        <v>13500</v>
      </c>
      <c r="J12" s="87">
        <f t="shared" si="1"/>
        <v>14327.550000000001</v>
      </c>
      <c r="M12" s="89">
        <f>ROUNDUP((I12)*RPI,0)</f>
        <v>13905</v>
      </c>
      <c r="N12" s="87">
        <f t="shared" si="2"/>
        <v>2620.0100000000002</v>
      </c>
      <c r="P12" s="105"/>
      <c r="Q12" s="89">
        <f>ROUNDUP((M12)*RPI,0)</f>
        <v>14323</v>
      </c>
      <c r="R12" s="87">
        <f>$Q$12</f>
        <v>14323</v>
      </c>
      <c r="U12" s="89">
        <f>ROUNDUP((Q12)*RPI,0)</f>
        <v>14753</v>
      </c>
      <c r="V12" s="87">
        <f>$U$12</f>
        <v>14753</v>
      </c>
      <c r="Y12" s="89">
        <f>ROUNDUP((U12)*RPI,0)</f>
        <v>15196</v>
      </c>
      <c r="Z12" s="87">
        <f>$Y$12</f>
        <v>15196</v>
      </c>
      <c r="AC12" s="89">
        <f>ROUNDUP((Y12)*RPI,0)</f>
        <v>15652</v>
      </c>
      <c r="AD12" s="87">
        <f>$AC$12</f>
        <v>15652</v>
      </c>
    </row>
    <row r="13" spans="1:33" ht="14.5" customHeight="1" x14ac:dyDescent="0.35">
      <c r="A13" s="86" t="s">
        <v>151</v>
      </c>
      <c r="B13" s="85">
        <v>9</v>
      </c>
      <c r="C13" s="86" t="s">
        <v>162</v>
      </c>
      <c r="D13" s="84"/>
      <c r="E13" s="87">
        <v>1157.72</v>
      </c>
      <c r="F13" s="87">
        <f t="shared" si="0"/>
        <v>1097.8</v>
      </c>
      <c r="I13" s="89">
        <v>1036</v>
      </c>
      <c r="J13" s="87">
        <f t="shared" si="1"/>
        <v>1035.43</v>
      </c>
      <c r="M13" s="89">
        <f t="shared" si="7"/>
        <v>1068</v>
      </c>
      <c r="N13" s="87">
        <f t="shared" si="2"/>
        <v>1035.43</v>
      </c>
      <c r="Q13" s="89">
        <f t="shared" si="3"/>
        <v>1101</v>
      </c>
      <c r="R13" s="87">
        <f>$Q$13</f>
        <v>1101</v>
      </c>
      <c r="U13" s="89">
        <f t="shared" si="4"/>
        <v>1135</v>
      </c>
      <c r="V13" s="87">
        <f>$U$13</f>
        <v>1135</v>
      </c>
      <c r="Y13" s="89">
        <f t="shared" si="5"/>
        <v>1170</v>
      </c>
      <c r="Z13" s="87">
        <f>$Y$13</f>
        <v>1170</v>
      </c>
      <c r="AC13" s="89">
        <f t="shared" si="6"/>
        <v>1206</v>
      </c>
      <c r="AD13" s="87">
        <f>$AC$13</f>
        <v>1206</v>
      </c>
    </row>
    <row r="14" spans="1:33" ht="144.75" customHeight="1" x14ac:dyDescent="0.35">
      <c r="A14" s="86" t="s">
        <v>142</v>
      </c>
      <c r="B14" s="85">
        <v>10</v>
      </c>
      <c r="C14" s="86" t="s">
        <v>164</v>
      </c>
      <c r="D14" s="84"/>
      <c r="E14" s="87">
        <f>57396.5+31259.3+9545</f>
        <v>98200.8</v>
      </c>
      <c r="F14" s="87">
        <f t="shared" si="0"/>
        <v>0</v>
      </c>
      <c r="I14" s="91">
        <v>47327</v>
      </c>
      <c r="J14" s="87">
        <f t="shared" si="1"/>
        <v>234</v>
      </c>
      <c r="M14" s="89">
        <v>100000</v>
      </c>
      <c r="N14" s="87">
        <f t="shared" si="2"/>
        <v>40550</v>
      </c>
      <c r="P14" s="119" t="s">
        <v>1284</v>
      </c>
      <c r="Q14" s="89">
        <f t="shared" si="3"/>
        <v>103000</v>
      </c>
      <c r="R14" s="87">
        <f>$Q$14</f>
        <v>103000</v>
      </c>
      <c r="U14" s="89">
        <f t="shared" si="4"/>
        <v>106090</v>
      </c>
      <c r="V14" s="87">
        <f>$U$14</f>
        <v>106090</v>
      </c>
      <c r="Y14" s="89">
        <f t="shared" si="5"/>
        <v>109273</v>
      </c>
      <c r="Z14" s="87">
        <f>$Y$14</f>
        <v>109273</v>
      </c>
      <c r="AC14" s="89">
        <f t="shared" si="6"/>
        <v>112552</v>
      </c>
      <c r="AD14" s="87">
        <f>$AC$14</f>
        <v>112552</v>
      </c>
    </row>
    <row r="15" spans="1:33" ht="14.5" customHeight="1" x14ac:dyDescent="0.35">
      <c r="A15" s="86" t="s">
        <v>75</v>
      </c>
      <c r="B15" s="85">
        <v>11</v>
      </c>
      <c r="C15" s="86" t="s">
        <v>72</v>
      </c>
      <c r="D15" s="84"/>
      <c r="E15" s="87">
        <v>0</v>
      </c>
      <c r="F15" s="87">
        <f t="shared" si="0"/>
        <v>0</v>
      </c>
      <c r="I15" s="89">
        <f>ROUNDUP((E15)*RPICurrent,0)</f>
        <v>0</v>
      </c>
      <c r="J15" s="87">
        <f t="shared" si="1"/>
        <v>0</v>
      </c>
      <c r="M15" s="89">
        <f t="shared" si="7"/>
        <v>0</v>
      </c>
      <c r="N15" s="87">
        <f t="shared" si="2"/>
        <v>0</v>
      </c>
      <c r="Q15" s="89">
        <f t="shared" si="3"/>
        <v>0</v>
      </c>
      <c r="R15" s="87">
        <f>$Q$15</f>
        <v>0</v>
      </c>
      <c r="U15" s="89">
        <f t="shared" si="4"/>
        <v>0</v>
      </c>
      <c r="V15" s="87">
        <f>$U$15</f>
        <v>0</v>
      </c>
      <c r="Y15" s="89">
        <f t="shared" si="5"/>
        <v>0</v>
      </c>
      <c r="Z15" s="87">
        <f>$Y$15</f>
        <v>0</v>
      </c>
      <c r="AC15" s="89">
        <f t="shared" si="6"/>
        <v>0</v>
      </c>
      <c r="AD15" s="87">
        <f>$AC$15</f>
        <v>0</v>
      </c>
    </row>
    <row r="16" spans="1:33" x14ac:dyDescent="0.35">
      <c r="E16" s="87"/>
      <c r="F16" s="87"/>
    </row>
    <row r="17" spans="1:31" x14ac:dyDescent="0.35">
      <c r="E17" s="87"/>
      <c r="F17" s="87"/>
    </row>
    <row r="18" spans="1:31" x14ac:dyDescent="0.35">
      <c r="E18" s="87"/>
      <c r="F18" s="87"/>
    </row>
    <row r="19" spans="1:31" x14ac:dyDescent="0.35">
      <c r="A19" s="84" t="s">
        <v>487</v>
      </c>
      <c r="G19" s="85"/>
      <c r="H19" s="87"/>
      <c r="I19" s="94"/>
      <c r="J19" s="93"/>
      <c r="K19" s="85"/>
      <c r="M19" s="94"/>
      <c r="N19" s="93"/>
      <c r="O19" s="85"/>
      <c r="Q19" s="94"/>
      <c r="R19" s="93"/>
      <c r="S19" s="85"/>
      <c r="U19" s="94"/>
      <c r="V19" s="93"/>
      <c r="W19" s="85"/>
      <c r="Y19" s="94"/>
      <c r="Z19" s="93"/>
      <c r="AA19" s="85"/>
      <c r="AC19" s="94"/>
      <c r="AD19" s="93"/>
      <c r="AE19" s="85"/>
    </row>
    <row r="20" spans="1:31" x14ac:dyDescent="0.35">
      <c r="E20" s="85" t="s">
        <v>484</v>
      </c>
      <c r="F20" s="93" t="s">
        <v>488</v>
      </c>
      <c r="G20" s="85" t="s">
        <v>489</v>
      </c>
      <c r="H20" s="87" t="s">
        <v>475</v>
      </c>
      <c r="I20" s="85" t="s">
        <v>484</v>
      </c>
      <c r="J20" s="93" t="s">
        <v>488</v>
      </c>
      <c r="K20" s="85" t="s">
        <v>489</v>
      </c>
      <c r="L20" s="87" t="s">
        <v>475</v>
      </c>
      <c r="M20" s="85" t="s">
        <v>484</v>
      </c>
      <c r="N20" s="93" t="s">
        <v>488</v>
      </c>
      <c r="O20" s="85" t="s">
        <v>489</v>
      </c>
      <c r="P20" s="87" t="s">
        <v>475</v>
      </c>
      <c r="Q20" s="94"/>
      <c r="R20" s="93"/>
      <c r="S20" s="85"/>
      <c r="U20" s="94"/>
      <c r="V20" s="93"/>
      <c r="W20" s="85"/>
      <c r="Y20" s="94"/>
      <c r="Z20" s="93"/>
      <c r="AA20" s="85"/>
      <c r="AC20" s="94"/>
      <c r="AD20" s="93"/>
      <c r="AE20" s="85"/>
    </row>
    <row r="21" spans="1:31" x14ac:dyDescent="0.35">
      <c r="A21" s="85"/>
      <c r="D21" s="85"/>
      <c r="E21" s="85">
        <v>6</v>
      </c>
      <c r="F21" s="93" t="s">
        <v>790</v>
      </c>
      <c r="G21" s="85" t="s">
        <v>1246</v>
      </c>
      <c r="H21" s="87">
        <v>70105</v>
      </c>
      <c r="I21" s="94">
        <v>9</v>
      </c>
      <c r="J21" s="93">
        <v>45017</v>
      </c>
      <c r="K21" s="85" t="s">
        <v>151</v>
      </c>
      <c r="L21" s="87">
        <v>1035.43</v>
      </c>
      <c r="M21" s="94">
        <v>10</v>
      </c>
      <c r="N21" s="94" t="s">
        <v>2122</v>
      </c>
      <c r="O21" s="94" t="s">
        <v>2122</v>
      </c>
      <c r="P21" s="85">
        <v>25000</v>
      </c>
      <c r="Q21" s="94"/>
      <c r="R21" s="93"/>
      <c r="S21" s="85"/>
      <c r="U21" s="94"/>
      <c r="V21" s="93"/>
      <c r="W21" s="85"/>
      <c r="Y21" s="94"/>
      <c r="Z21" s="93"/>
      <c r="AA21" s="85"/>
      <c r="AC21" s="94"/>
      <c r="AD21" s="93"/>
      <c r="AE21" s="85"/>
    </row>
    <row r="22" spans="1:31" x14ac:dyDescent="0.35">
      <c r="E22" s="85">
        <v>7</v>
      </c>
      <c r="F22" s="93" t="s">
        <v>790</v>
      </c>
      <c r="G22" s="85" t="s">
        <v>1228</v>
      </c>
      <c r="H22" s="87">
        <v>-25200</v>
      </c>
      <c r="I22" s="94">
        <v>8</v>
      </c>
      <c r="J22" s="93">
        <v>45021</v>
      </c>
      <c r="K22" s="85" t="s">
        <v>1285</v>
      </c>
      <c r="L22" s="87">
        <v>1954.84</v>
      </c>
      <c r="M22" s="94">
        <v>10</v>
      </c>
      <c r="N22" s="93" t="s">
        <v>491</v>
      </c>
      <c r="O22" s="85" t="s">
        <v>1290</v>
      </c>
      <c r="P22" s="87">
        <v>5535</v>
      </c>
      <c r="Q22" s="94"/>
      <c r="R22" s="93"/>
      <c r="S22" s="85"/>
      <c r="U22" s="94"/>
      <c r="V22" s="93"/>
      <c r="W22" s="85"/>
      <c r="Y22" s="94"/>
      <c r="Z22" s="93"/>
      <c r="AA22" s="85"/>
      <c r="AC22" s="94"/>
      <c r="AD22" s="93"/>
      <c r="AE22" s="85"/>
    </row>
    <row r="23" spans="1:31" x14ac:dyDescent="0.35">
      <c r="E23" s="85">
        <v>7</v>
      </c>
      <c r="F23" s="93">
        <v>44749</v>
      </c>
      <c r="G23" s="85" t="s">
        <v>1286</v>
      </c>
      <c r="H23" s="87">
        <v>-15</v>
      </c>
      <c r="I23" s="94">
        <v>3</v>
      </c>
      <c r="J23" s="93">
        <v>45097</v>
      </c>
      <c r="K23" s="85" t="s">
        <v>1287</v>
      </c>
      <c r="L23" s="87">
        <v>16225.1</v>
      </c>
      <c r="M23" s="94">
        <v>10</v>
      </c>
      <c r="N23" s="93" t="s">
        <v>491</v>
      </c>
      <c r="O23" s="85" t="s">
        <v>1290</v>
      </c>
      <c r="P23" s="87">
        <v>3315</v>
      </c>
      <c r="Q23" s="94"/>
      <c r="R23" s="93"/>
      <c r="S23" s="85"/>
      <c r="U23" s="94"/>
      <c r="V23" s="93"/>
      <c r="W23" s="85"/>
      <c r="Y23" s="94"/>
      <c r="Z23" s="93"/>
      <c r="AA23" s="85"/>
      <c r="AC23" s="94"/>
      <c r="AD23" s="93"/>
      <c r="AE23" s="85"/>
    </row>
    <row r="24" spans="1:31" x14ac:dyDescent="0.35">
      <c r="E24" s="85">
        <v>9</v>
      </c>
      <c r="F24" s="93" t="s">
        <v>790</v>
      </c>
      <c r="G24" s="85" t="s">
        <v>151</v>
      </c>
      <c r="H24" s="87">
        <v>1097.8</v>
      </c>
      <c r="I24" s="94">
        <v>8</v>
      </c>
      <c r="J24" s="93">
        <v>45101</v>
      </c>
      <c r="K24" s="87" t="s">
        <v>1288</v>
      </c>
      <c r="L24" s="87">
        <v>4582.62</v>
      </c>
      <c r="M24" s="94">
        <v>10</v>
      </c>
      <c r="N24" s="93" t="s">
        <v>491</v>
      </c>
      <c r="O24" s="85" t="s">
        <v>2172</v>
      </c>
      <c r="P24" s="87">
        <v>6700</v>
      </c>
      <c r="Q24" s="94"/>
      <c r="R24" s="93"/>
      <c r="S24" s="85"/>
      <c r="U24" s="94"/>
      <c r="V24" s="93"/>
      <c r="W24" s="85"/>
      <c r="Y24" s="94"/>
      <c r="Z24" s="93"/>
      <c r="AA24" s="85"/>
      <c r="AC24" s="94"/>
      <c r="AD24" s="93"/>
      <c r="AE24" s="85"/>
    </row>
    <row r="25" spans="1:31" x14ac:dyDescent="0.35">
      <c r="E25" s="85">
        <v>8</v>
      </c>
      <c r="F25" s="93" t="s">
        <v>891</v>
      </c>
      <c r="G25" s="85" t="s">
        <v>1289</v>
      </c>
      <c r="H25" s="87">
        <v>11043.48</v>
      </c>
      <c r="I25" s="94" t="s">
        <v>23</v>
      </c>
      <c r="J25" s="93" t="s">
        <v>491</v>
      </c>
      <c r="K25" s="85" t="s">
        <v>1290</v>
      </c>
      <c r="L25" s="87">
        <v>5535</v>
      </c>
      <c r="M25" s="94">
        <v>3</v>
      </c>
      <c r="N25" s="93">
        <v>45408</v>
      </c>
      <c r="O25" s="85" t="s">
        <v>2902</v>
      </c>
      <c r="P25" s="148">
        <v>36666.67</v>
      </c>
      <c r="Q25" s="94"/>
      <c r="R25" s="93"/>
      <c r="S25" s="85"/>
      <c r="U25" s="94"/>
      <c r="V25" s="93"/>
      <c r="W25" s="85"/>
      <c r="Y25" s="94"/>
      <c r="Z25" s="93"/>
      <c r="AA25" s="85"/>
      <c r="AC25" s="94"/>
      <c r="AD25" s="93"/>
      <c r="AE25" s="85"/>
    </row>
    <row r="26" spans="1:31" x14ac:dyDescent="0.35">
      <c r="E26" s="85">
        <v>1</v>
      </c>
      <c r="F26" s="93">
        <v>44712</v>
      </c>
      <c r="G26" s="85" t="s">
        <v>1291</v>
      </c>
      <c r="H26" s="87">
        <v>2786.26</v>
      </c>
      <c r="I26" s="94" t="s">
        <v>23</v>
      </c>
      <c r="J26" s="93" t="s">
        <v>491</v>
      </c>
      <c r="K26" s="85" t="s">
        <v>1290</v>
      </c>
      <c r="L26" s="87">
        <v>3315</v>
      </c>
      <c r="M26" s="94">
        <v>8</v>
      </c>
      <c r="N26" s="93"/>
      <c r="O26" s="85"/>
      <c r="Q26" s="94"/>
      <c r="R26" s="93"/>
      <c r="S26" s="85"/>
      <c r="U26" s="94"/>
      <c r="V26" s="93"/>
      <c r="W26" s="85"/>
      <c r="Y26" s="94"/>
      <c r="Z26" s="93"/>
      <c r="AA26" s="85"/>
      <c r="AC26" s="94"/>
      <c r="AD26" s="93"/>
      <c r="AE26" s="85"/>
    </row>
    <row r="27" spans="1:31" x14ac:dyDescent="0.35">
      <c r="E27" s="85">
        <v>1</v>
      </c>
      <c r="F27" s="93" t="s">
        <v>699</v>
      </c>
      <c r="G27" s="85" t="s">
        <v>1237</v>
      </c>
      <c r="H27" s="87">
        <v>1573.57</v>
      </c>
      <c r="I27" s="94">
        <v>8</v>
      </c>
      <c r="J27" s="93">
        <v>45108</v>
      </c>
      <c r="K27" s="85" t="s">
        <v>1292</v>
      </c>
      <c r="L27" s="87">
        <v>388.8</v>
      </c>
      <c r="M27" s="94">
        <v>8</v>
      </c>
      <c r="N27" s="93">
        <v>45450</v>
      </c>
      <c r="O27" s="85" t="s">
        <v>1231</v>
      </c>
      <c r="P27" s="148">
        <v>1025.1400000000001</v>
      </c>
      <c r="Q27" s="94"/>
      <c r="R27" s="93"/>
      <c r="S27" s="85"/>
      <c r="U27" s="94"/>
      <c r="V27" s="93"/>
      <c r="W27" s="85"/>
      <c r="Y27" s="94"/>
      <c r="Z27" s="93"/>
      <c r="AA27" s="85"/>
      <c r="AC27" s="94"/>
      <c r="AD27" s="93"/>
      <c r="AE27" s="85"/>
    </row>
    <row r="28" spans="1:31" x14ac:dyDescent="0.35">
      <c r="E28" s="92"/>
      <c r="F28" s="93" t="s">
        <v>676</v>
      </c>
      <c r="G28" s="85" t="s">
        <v>1293</v>
      </c>
      <c r="H28" s="87">
        <v>20000</v>
      </c>
      <c r="I28" s="94">
        <v>8</v>
      </c>
      <c r="J28" s="93">
        <v>45128</v>
      </c>
      <c r="K28" s="85" t="s">
        <v>1294</v>
      </c>
      <c r="L28" s="87">
        <v>-288.95999999999998</v>
      </c>
      <c r="M28" s="119">
        <v>1</v>
      </c>
      <c r="N28" s="93">
        <v>45432</v>
      </c>
      <c r="O28" s="85" t="s">
        <v>3001</v>
      </c>
      <c r="P28" s="148">
        <v>-117</v>
      </c>
      <c r="Q28" s="94"/>
      <c r="R28" s="93"/>
      <c r="S28" s="85"/>
      <c r="U28" s="94"/>
      <c r="V28" s="93"/>
      <c r="W28" s="85"/>
      <c r="Y28" s="94"/>
      <c r="Z28" s="93"/>
      <c r="AA28" s="85"/>
      <c r="AC28" s="94"/>
      <c r="AD28" s="93"/>
      <c r="AE28" s="85"/>
    </row>
    <row r="29" spans="1:31" x14ac:dyDescent="0.35">
      <c r="F29" s="93" t="s">
        <v>676</v>
      </c>
      <c r="G29" s="85" t="s">
        <v>1295</v>
      </c>
      <c r="H29" s="90">
        <v>77033.240000000005</v>
      </c>
      <c r="I29" s="94">
        <v>8</v>
      </c>
      <c r="J29" s="93">
        <v>45139</v>
      </c>
      <c r="K29" s="85" t="s">
        <v>1296</v>
      </c>
      <c r="L29" s="87">
        <v>7408.1</v>
      </c>
      <c r="M29" s="94">
        <v>9</v>
      </c>
      <c r="N29" s="93" t="s">
        <v>3124</v>
      </c>
      <c r="O29" s="85" t="s">
        <v>3125</v>
      </c>
      <c r="P29" s="148">
        <v>1035.43</v>
      </c>
      <c r="Q29" s="94"/>
      <c r="R29" s="93"/>
      <c r="S29" s="85"/>
      <c r="U29" s="94"/>
      <c r="V29" s="93"/>
      <c r="W29" s="85"/>
      <c r="Y29" s="94"/>
      <c r="Z29" s="93"/>
      <c r="AA29" s="85"/>
      <c r="AC29" s="94"/>
      <c r="AD29" s="93"/>
      <c r="AE29" s="85"/>
    </row>
    <row r="30" spans="1:31" ht="43.5" x14ac:dyDescent="0.35">
      <c r="E30" s="92">
        <v>2</v>
      </c>
      <c r="F30" s="93" t="s">
        <v>676</v>
      </c>
      <c r="G30" s="98" t="s">
        <v>1297</v>
      </c>
      <c r="H30" s="90">
        <v>148</v>
      </c>
      <c r="I30" s="94">
        <v>7</v>
      </c>
      <c r="J30" s="93" t="s">
        <v>790</v>
      </c>
      <c r="K30" s="85" t="s">
        <v>1280</v>
      </c>
      <c r="L30" s="87">
        <v>-25200</v>
      </c>
      <c r="M30" s="94">
        <v>8</v>
      </c>
      <c r="N30" s="93">
        <v>45478</v>
      </c>
      <c r="O30" s="85" t="s">
        <v>1232</v>
      </c>
      <c r="P30" s="87">
        <v>975.63</v>
      </c>
      <c r="Q30" s="94"/>
      <c r="R30" s="93"/>
      <c r="S30" s="85"/>
      <c r="U30" s="94"/>
      <c r="V30" s="93"/>
      <c r="W30" s="85"/>
      <c r="Y30" s="94"/>
      <c r="Z30" s="93"/>
      <c r="AA30" s="85"/>
      <c r="AC30" s="94"/>
      <c r="AD30" s="93"/>
      <c r="AE30" s="85"/>
    </row>
    <row r="31" spans="1:31" ht="43.5" x14ac:dyDescent="0.35">
      <c r="E31" s="92">
        <v>3</v>
      </c>
      <c r="F31" s="93" t="s">
        <v>676</v>
      </c>
      <c r="G31" s="98" t="s">
        <v>1297</v>
      </c>
      <c r="H31" s="90">
        <v>-148</v>
      </c>
      <c r="I31" s="94">
        <v>8</v>
      </c>
      <c r="J31" s="93">
        <v>45181</v>
      </c>
      <c r="K31" s="85" t="s">
        <v>1195</v>
      </c>
      <c r="L31" s="87">
        <v>387.99</v>
      </c>
      <c r="M31" s="94">
        <v>8</v>
      </c>
      <c r="N31" s="93">
        <v>45422</v>
      </c>
      <c r="O31" s="85" t="s">
        <v>2903</v>
      </c>
      <c r="P31" s="87">
        <v>619.24</v>
      </c>
      <c r="Q31" s="94"/>
      <c r="R31" s="93"/>
      <c r="S31" s="85"/>
      <c r="U31" s="94"/>
      <c r="V31" s="93"/>
      <c r="W31" s="85"/>
      <c r="Y31" s="94"/>
      <c r="Z31" s="93"/>
      <c r="AA31" s="85"/>
      <c r="AC31" s="94"/>
      <c r="AD31" s="93"/>
      <c r="AE31" s="85"/>
    </row>
    <row r="32" spans="1:31" ht="58" x14ac:dyDescent="0.35">
      <c r="E32" s="92"/>
      <c r="F32" s="93" t="s">
        <v>676</v>
      </c>
      <c r="G32" s="92" t="s">
        <v>1295</v>
      </c>
      <c r="H32" s="90">
        <v>5582</v>
      </c>
      <c r="I32" s="94">
        <v>1</v>
      </c>
      <c r="J32" s="93">
        <v>45172</v>
      </c>
      <c r="K32" s="98" t="s">
        <v>1241</v>
      </c>
      <c r="L32" s="90">
        <f>1833.24-250</f>
        <v>1583.24</v>
      </c>
      <c r="M32" s="94"/>
      <c r="N32" s="93"/>
      <c r="O32" s="85"/>
      <c r="Q32" s="94"/>
      <c r="R32" s="93"/>
      <c r="S32" s="85"/>
      <c r="U32" s="94"/>
      <c r="V32" s="93"/>
      <c r="W32" s="85"/>
      <c r="Y32" s="94"/>
      <c r="Z32" s="93"/>
      <c r="AA32" s="85"/>
      <c r="AC32" s="94"/>
      <c r="AD32" s="93"/>
      <c r="AE32" s="85"/>
    </row>
    <row r="33" spans="5:31" ht="58" x14ac:dyDescent="0.35">
      <c r="E33" s="92"/>
      <c r="F33" s="93" t="s">
        <v>676</v>
      </c>
      <c r="G33" s="98" t="s">
        <v>1241</v>
      </c>
      <c r="H33" s="90">
        <v>1833.24</v>
      </c>
      <c r="I33" s="94">
        <v>3</v>
      </c>
      <c r="J33" s="93">
        <v>45172</v>
      </c>
      <c r="K33" s="98" t="s">
        <v>1241</v>
      </c>
      <c r="L33" s="90">
        <v>1166.76</v>
      </c>
      <c r="M33" s="94"/>
      <c r="N33" s="93"/>
      <c r="O33" s="85"/>
      <c r="Q33" s="94"/>
      <c r="R33" s="93"/>
      <c r="S33" s="85"/>
      <c r="U33" s="94"/>
      <c r="V33" s="93"/>
      <c r="W33" s="85"/>
      <c r="Y33" s="94"/>
      <c r="Z33" s="93"/>
      <c r="AA33" s="85"/>
      <c r="AC33" s="94"/>
      <c r="AD33" s="93"/>
      <c r="AE33" s="85"/>
    </row>
    <row r="34" spans="5:31" ht="43.5" x14ac:dyDescent="0.35">
      <c r="E34" s="92"/>
      <c r="F34" s="93" t="s">
        <v>676</v>
      </c>
      <c r="G34" s="98" t="s">
        <v>1241</v>
      </c>
      <c r="H34" s="90">
        <v>1166.76</v>
      </c>
      <c r="I34" s="94">
        <v>10</v>
      </c>
      <c r="J34" s="93">
        <v>45184</v>
      </c>
      <c r="K34" s="85" t="s">
        <v>1298</v>
      </c>
      <c r="L34" s="87">
        <v>234</v>
      </c>
      <c r="M34" s="94"/>
      <c r="N34" s="93"/>
      <c r="O34" s="85"/>
      <c r="Q34" s="94"/>
      <c r="R34" s="93"/>
      <c r="S34" s="85"/>
      <c r="U34" s="94"/>
      <c r="V34" s="93"/>
      <c r="W34" s="85"/>
      <c r="Y34" s="94"/>
      <c r="Z34" s="93"/>
      <c r="AA34" s="85"/>
      <c r="AC34" s="94"/>
      <c r="AD34" s="93"/>
      <c r="AE34" s="85"/>
    </row>
    <row r="35" spans="5:31" x14ac:dyDescent="0.35">
      <c r="E35" s="92">
        <v>8</v>
      </c>
      <c r="F35" s="97">
        <v>44964</v>
      </c>
      <c r="G35" s="92" t="s">
        <v>1299</v>
      </c>
      <c r="H35" s="87">
        <v>1031.3900000000001</v>
      </c>
      <c r="I35" s="94">
        <v>8</v>
      </c>
      <c r="J35" s="93" t="s">
        <v>1201</v>
      </c>
      <c r="K35" s="85" t="s">
        <v>1300</v>
      </c>
      <c r="L35" s="87">
        <f>15586.88-14433.39</f>
        <v>1153.4899999999998</v>
      </c>
      <c r="M35" s="94"/>
      <c r="N35" s="93"/>
      <c r="O35" s="85"/>
      <c r="Q35" s="94"/>
      <c r="R35" s="93"/>
      <c r="S35" s="85"/>
      <c r="U35" s="94"/>
      <c r="V35" s="93"/>
      <c r="W35" s="85"/>
      <c r="Y35" s="94"/>
      <c r="Z35" s="93"/>
      <c r="AA35" s="85"/>
      <c r="AC35" s="94"/>
      <c r="AD35" s="93"/>
      <c r="AE35" s="85"/>
    </row>
    <row r="36" spans="5:31" x14ac:dyDescent="0.35">
      <c r="E36" s="92">
        <v>1</v>
      </c>
      <c r="F36" s="93">
        <v>44993</v>
      </c>
      <c r="G36" s="85" t="s">
        <v>1301</v>
      </c>
      <c r="H36" s="87">
        <v>117</v>
      </c>
      <c r="I36" s="94">
        <v>8</v>
      </c>
      <c r="J36" s="93">
        <v>45205</v>
      </c>
      <c r="K36" s="85" t="s">
        <v>1302</v>
      </c>
      <c r="L36" s="87">
        <v>377.41</v>
      </c>
      <c r="M36" s="94"/>
      <c r="N36" s="93"/>
      <c r="O36" s="85"/>
      <c r="Q36" s="94"/>
      <c r="R36" s="93"/>
      <c r="S36" s="85"/>
      <c r="U36" s="94"/>
      <c r="V36" s="93"/>
      <c r="W36" s="85"/>
      <c r="Y36" s="94"/>
      <c r="Z36" s="93"/>
      <c r="AA36" s="85"/>
      <c r="AC36" s="94"/>
      <c r="AD36" s="93"/>
      <c r="AE36" s="85"/>
    </row>
    <row r="37" spans="5:31" x14ac:dyDescent="0.35">
      <c r="E37" s="92">
        <v>8</v>
      </c>
      <c r="F37" s="93">
        <v>44992</v>
      </c>
      <c r="G37" s="85" t="s">
        <v>1208</v>
      </c>
      <c r="H37" s="87">
        <v>1701.08</v>
      </c>
      <c r="I37" s="94">
        <v>3</v>
      </c>
      <c r="J37" s="93">
        <v>45210</v>
      </c>
      <c r="K37" s="85" t="s">
        <v>1303</v>
      </c>
      <c r="L37" s="87">
        <v>12027.33</v>
      </c>
      <c r="M37" s="94"/>
      <c r="N37" s="93"/>
      <c r="O37" s="85"/>
      <c r="Q37" s="94"/>
      <c r="R37" s="93"/>
      <c r="S37" s="85"/>
      <c r="U37" s="94"/>
      <c r="V37" s="93"/>
      <c r="W37" s="85"/>
      <c r="Y37" s="94"/>
      <c r="Z37" s="93"/>
      <c r="AA37" s="85"/>
      <c r="AC37" s="94"/>
      <c r="AD37" s="93"/>
      <c r="AE37" s="85"/>
    </row>
    <row r="38" spans="5:31" x14ac:dyDescent="0.35">
      <c r="E38" s="92">
        <v>8</v>
      </c>
      <c r="F38" s="93" t="s">
        <v>775</v>
      </c>
      <c r="G38" s="85" t="s">
        <v>1209</v>
      </c>
      <c r="H38" s="87">
        <v>1826.29</v>
      </c>
      <c r="I38" s="94">
        <v>3</v>
      </c>
      <c r="J38" s="93">
        <v>45645</v>
      </c>
      <c r="K38" s="85" t="s">
        <v>2171</v>
      </c>
      <c r="L38" s="87">
        <v>1465</v>
      </c>
      <c r="M38" s="94"/>
      <c r="N38" s="93"/>
      <c r="O38" s="85"/>
      <c r="Q38" s="94"/>
      <c r="R38" s="93"/>
      <c r="S38" s="85"/>
      <c r="U38" s="94"/>
      <c r="V38" s="93"/>
      <c r="W38" s="85"/>
      <c r="Y38" s="94"/>
      <c r="Z38" s="93"/>
      <c r="AA38" s="85"/>
      <c r="AC38" s="94"/>
      <c r="AD38" s="93"/>
      <c r="AE38" s="85"/>
    </row>
    <row r="39" spans="5:31" x14ac:dyDescent="0.35">
      <c r="E39" s="92">
        <v>8</v>
      </c>
      <c r="F39" s="93" t="s">
        <v>775</v>
      </c>
      <c r="G39" s="85" t="s">
        <v>1304</v>
      </c>
      <c r="H39" s="87">
        <v>1789.47</v>
      </c>
      <c r="I39" s="94" t="s">
        <v>23</v>
      </c>
      <c r="J39" s="93" t="s">
        <v>491</v>
      </c>
      <c r="K39" s="85" t="s">
        <v>2172</v>
      </c>
      <c r="L39" s="87">
        <v>6700</v>
      </c>
      <c r="M39" s="94"/>
      <c r="N39" s="93"/>
      <c r="O39" s="85"/>
      <c r="Q39" s="94"/>
      <c r="R39" s="93"/>
      <c r="S39" s="85"/>
      <c r="U39" s="94"/>
      <c r="V39" s="93"/>
      <c r="W39" s="85"/>
      <c r="Y39" s="94"/>
      <c r="Z39" s="93"/>
      <c r="AA39" s="85"/>
      <c r="AC39" s="94"/>
      <c r="AD39" s="93"/>
      <c r="AE39" s="85"/>
    </row>
    <row r="40" spans="5:31" x14ac:dyDescent="0.35">
      <c r="G40" s="85"/>
      <c r="H40" s="87"/>
      <c r="I40" s="94">
        <v>8</v>
      </c>
      <c r="J40" s="93">
        <v>45231</v>
      </c>
      <c r="K40" s="87" t="s">
        <v>2168</v>
      </c>
      <c r="L40" s="87">
        <v>451.61</v>
      </c>
      <c r="M40" s="94"/>
      <c r="N40" s="93"/>
      <c r="O40" s="85"/>
      <c r="Q40" s="94"/>
      <c r="R40" s="93"/>
      <c r="S40" s="85"/>
      <c r="U40" s="94"/>
      <c r="V40" s="93"/>
      <c r="W40" s="85"/>
      <c r="Y40" s="94"/>
      <c r="Z40" s="93"/>
      <c r="AA40" s="85"/>
      <c r="AC40" s="94"/>
      <c r="AD40" s="93"/>
      <c r="AE40" s="85"/>
    </row>
    <row r="41" spans="5:31" x14ac:dyDescent="0.35">
      <c r="G41" s="85"/>
      <c r="H41" s="87"/>
      <c r="I41" s="94">
        <v>8</v>
      </c>
      <c r="J41" s="93">
        <v>45267</v>
      </c>
      <c r="K41" s="87" t="s">
        <v>2267</v>
      </c>
      <c r="L41" s="122">
        <v>514.42999999999995</v>
      </c>
      <c r="M41" s="94"/>
      <c r="N41" s="93"/>
      <c r="O41" s="85"/>
      <c r="Q41" s="94"/>
      <c r="R41" s="93"/>
      <c r="S41" s="85"/>
      <c r="U41" s="94"/>
      <c r="V41" s="93"/>
      <c r="W41" s="85"/>
      <c r="Y41" s="94"/>
      <c r="Z41" s="93"/>
      <c r="AA41" s="85"/>
      <c r="AC41" s="94"/>
      <c r="AD41" s="93"/>
      <c r="AE41" s="85"/>
    </row>
    <row r="42" spans="5:31" x14ac:dyDescent="0.35">
      <c r="G42" s="85"/>
      <c r="H42" s="87"/>
      <c r="I42" s="94">
        <v>8</v>
      </c>
      <c r="J42" s="93">
        <v>45297</v>
      </c>
      <c r="K42" s="85" t="s">
        <v>2355</v>
      </c>
      <c r="L42" s="87">
        <v>539.20000000000005</v>
      </c>
      <c r="M42" s="94"/>
      <c r="N42" s="93"/>
      <c r="O42" s="85"/>
      <c r="Q42" s="94"/>
      <c r="R42" s="93"/>
      <c r="S42" s="85"/>
      <c r="U42" s="94"/>
      <c r="V42" s="93"/>
      <c r="W42" s="85"/>
      <c r="Y42" s="94"/>
      <c r="Z42" s="93"/>
      <c r="AA42" s="85"/>
      <c r="AC42" s="94"/>
      <c r="AD42" s="93"/>
      <c r="AE42" s="85"/>
    </row>
    <row r="43" spans="5:31" x14ac:dyDescent="0.35">
      <c r="G43" s="85"/>
      <c r="H43" s="87"/>
      <c r="I43" s="94">
        <v>8</v>
      </c>
      <c r="J43" s="93" t="s">
        <v>814</v>
      </c>
      <c r="K43" s="85" t="s">
        <v>2409</v>
      </c>
      <c r="L43" s="87">
        <v>-1504.54</v>
      </c>
      <c r="M43" s="94"/>
      <c r="N43" s="93"/>
      <c r="O43" s="85"/>
      <c r="Q43" s="94"/>
      <c r="R43" s="93"/>
      <c r="S43" s="85"/>
      <c r="U43" s="94"/>
      <c r="V43" s="93"/>
      <c r="W43" s="85"/>
      <c r="Y43" s="94"/>
      <c r="Z43" s="93"/>
      <c r="AA43" s="85"/>
      <c r="AC43" s="94"/>
      <c r="AD43" s="93"/>
      <c r="AE43" s="85"/>
    </row>
    <row r="44" spans="5:31" x14ac:dyDescent="0.35">
      <c r="G44" s="85"/>
      <c r="H44" s="87"/>
      <c r="I44" s="94">
        <v>3</v>
      </c>
      <c r="J44" s="93" t="s">
        <v>699</v>
      </c>
      <c r="K44" s="93" t="s">
        <v>2395</v>
      </c>
      <c r="L44" s="87">
        <f>-3950-4000</f>
        <v>-7950</v>
      </c>
      <c r="M44" s="94"/>
      <c r="N44" s="93"/>
      <c r="O44" s="85"/>
      <c r="Q44" s="94"/>
      <c r="R44" s="93"/>
      <c r="S44" s="85"/>
      <c r="U44" s="94"/>
      <c r="V44" s="93"/>
      <c r="W44" s="85"/>
      <c r="Y44" s="94"/>
      <c r="Z44" s="93"/>
      <c r="AA44" s="85"/>
      <c r="AC44" s="94"/>
      <c r="AD44" s="93"/>
      <c r="AE44" s="85"/>
    </row>
    <row r="45" spans="5:31" x14ac:dyDescent="0.35">
      <c r="G45" s="85"/>
      <c r="H45" s="87"/>
      <c r="I45" s="94">
        <v>8</v>
      </c>
      <c r="J45" s="93">
        <v>45329</v>
      </c>
      <c r="K45" s="85" t="s">
        <v>1275</v>
      </c>
      <c r="L45" s="87">
        <v>639.37</v>
      </c>
      <c r="M45" s="94"/>
      <c r="N45" s="93"/>
      <c r="O45" s="85"/>
      <c r="Q45" s="94"/>
      <c r="R45" s="93"/>
      <c r="S45" s="85"/>
      <c r="U45" s="94"/>
      <c r="V45" s="93"/>
      <c r="W45" s="85"/>
      <c r="Y45" s="94"/>
      <c r="Z45" s="93"/>
      <c r="AA45" s="85"/>
      <c r="AC45" s="94"/>
      <c r="AD45" s="93"/>
      <c r="AE45" s="85"/>
    </row>
    <row r="46" spans="5:31" x14ac:dyDescent="0.35">
      <c r="G46" s="85"/>
      <c r="H46" s="87"/>
      <c r="I46" s="94">
        <v>8</v>
      </c>
      <c r="J46" s="93">
        <v>45350</v>
      </c>
      <c r="K46" s="85" t="s">
        <v>2642</v>
      </c>
      <c r="L46" s="87">
        <v>-2853.96</v>
      </c>
      <c r="M46" s="94"/>
      <c r="N46" s="93"/>
      <c r="O46" s="85"/>
      <c r="Q46" s="94"/>
      <c r="R46" s="93"/>
      <c r="S46" s="85"/>
      <c r="U46" s="94"/>
      <c r="V46" s="93"/>
      <c r="W46" s="85"/>
      <c r="Y46" s="94"/>
      <c r="Z46" s="93"/>
      <c r="AA46" s="85"/>
      <c r="AC46" s="94"/>
      <c r="AD46" s="93"/>
      <c r="AE46" s="85"/>
    </row>
    <row r="47" spans="5:31" x14ac:dyDescent="0.35">
      <c r="G47" s="85"/>
      <c r="H47" s="87"/>
      <c r="I47" s="94">
        <v>8</v>
      </c>
      <c r="J47" s="93" t="s">
        <v>775</v>
      </c>
      <c r="K47" s="85" t="s">
        <v>2763</v>
      </c>
      <c r="L47" s="148">
        <v>577.15</v>
      </c>
      <c r="M47" s="94"/>
      <c r="N47" s="93"/>
      <c r="O47" s="85"/>
      <c r="Q47" s="94"/>
      <c r="R47" s="93"/>
      <c r="S47" s="85"/>
      <c r="U47" s="94"/>
      <c r="V47" s="93"/>
      <c r="W47" s="85"/>
      <c r="Y47" s="94"/>
      <c r="Z47" s="93"/>
      <c r="AA47" s="85"/>
      <c r="AC47" s="94"/>
      <c r="AD47" s="93"/>
      <c r="AE47" s="85"/>
    </row>
    <row r="48" spans="5:31" x14ac:dyDescent="0.35">
      <c r="G48" s="85"/>
      <c r="H48" s="87"/>
      <c r="I48" s="94"/>
      <c r="J48" s="93"/>
      <c r="K48" s="85"/>
      <c r="M48" s="94"/>
      <c r="N48" s="93"/>
      <c r="O48" s="85"/>
      <c r="Q48" s="94"/>
      <c r="R48" s="93"/>
      <c r="S48" s="85"/>
      <c r="U48" s="94"/>
      <c r="V48" s="93"/>
      <c r="W48" s="85"/>
      <c r="Y48" s="94"/>
      <c r="Z48" s="93"/>
      <c r="AA48" s="85"/>
      <c r="AC48" s="94"/>
      <c r="AD48" s="93"/>
      <c r="AE48" s="85"/>
    </row>
    <row r="49" spans="7:31" x14ac:dyDescent="0.35">
      <c r="G49" s="85"/>
      <c r="H49" s="87"/>
      <c r="I49" s="94"/>
      <c r="J49" s="93"/>
      <c r="K49" s="85"/>
      <c r="M49" s="94"/>
      <c r="N49" s="93"/>
      <c r="O49" s="85"/>
      <c r="Q49" s="94"/>
      <c r="R49" s="93"/>
      <c r="S49" s="85"/>
      <c r="U49" s="94"/>
      <c r="V49" s="93"/>
      <c r="W49" s="85"/>
      <c r="Y49" s="94"/>
      <c r="Z49" s="93"/>
      <c r="AA49" s="85"/>
      <c r="AC49" s="94"/>
      <c r="AD49" s="93"/>
      <c r="AE49" s="85"/>
    </row>
    <row r="50" spans="7:31" x14ac:dyDescent="0.35">
      <c r="G50" s="85"/>
      <c r="H50" s="87"/>
      <c r="I50" s="94"/>
      <c r="J50" s="93"/>
      <c r="K50" s="85"/>
      <c r="M50" s="94"/>
      <c r="N50" s="93"/>
      <c r="O50" s="85"/>
      <c r="Q50" s="94"/>
      <c r="R50" s="93"/>
      <c r="S50" s="85"/>
      <c r="U50" s="94"/>
      <c r="V50" s="93"/>
      <c r="W50" s="85"/>
      <c r="Y50" s="94"/>
      <c r="Z50" s="93"/>
      <c r="AA50" s="85"/>
      <c r="AC50" s="94"/>
      <c r="AD50" s="93"/>
      <c r="AE50" s="85"/>
    </row>
    <row r="51" spans="7:31" x14ac:dyDescent="0.35">
      <c r="G51" s="85"/>
      <c r="H51" s="87"/>
      <c r="I51" s="94"/>
      <c r="J51" s="93"/>
      <c r="K51" s="85"/>
      <c r="M51" s="94"/>
      <c r="N51" s="93"/>
      <c r="O51" s="85"/>
      <c r="Q51" s="94"/>
      <c r="R51" s="93"/>
      <c r="S51" s="85"/>
      <c r="U51" s="94"/>
      <c r="V51" s="93"/>
      <c r="W51" s="85"/>
      <c r="Y51" s="94"/>
      <c r="Z51" s="93"/>
      <c r="AA51" s="85"/>
      <c r="AC51" s="94"/>
      <c r="AD51" s="93"/>
      <c r="AE51" s="85"/>
    </row>
    <row r="52" spans="7:31" x14ac:dyDescent="0.35">
      <c r="G52" s="85"/>
      <c r="H52" s="87"/>
      <c r="I52" s="94"/>
      <c r="J52" s="93"/>
      <c r="K52" s="85"/>
      <c r="M52" s="94"/>
      <c r="N52" s="93"/>
      <c r="O52" s="85"/>
      <c r="Q52" s="94"/>
      <c r="R52" s="93"/>
      <c r="S52" s="85"/>
      <c r="U52" s="94"/>
      <c r="V52" s="93"/>
      <c r="W52" s="85"/>
      <c r="Y52" s="94"/>
      <c r="Z52" s="93"/>
      <c r="AA52" s="85"/>
      <c r="AC52" s="94"/>
      <c r="AD52" s="93"/>
      <c r="AE52" s="85"/>
    </row>
    <row r="53" spans="7:31" x14ac:dyDescent="0.35">
      <c r="G53" s="85"/>
      <c r="H53" s="87"/>
      <c r="I53" s="94"/>
      <c r="J53" s="93"/>
      <c r="K53" s="85"/>
      <c r="M53" s="94"/>
      <c r="N53" s="93"/>
      <c r="O53" s="85"/>
      <c r="Q53" s="94"/>
      <c r="R53" s="93"/>
      <c r="S53" s="85"/>
      <c r="U53" s="94"/>
      <c r="V53" s="93"/>
      <c r="W53" s="85"/>
      <c r="Y53" s="94"/>
      <c r="Z53" s="93"/>
      <c r="AA53" s="85"/>
      <c r="AC53" s="94"/>
      <c r="AD53" s="93"/>
      <c r="AE53" s="85"/>
    </row>
    <row r="54" spans="7:31" x14ac:dyDescent="0.35">
      <c r="G54" s="85"/>
      <c r="H54" s="87"/>
      <c r="I54" s="94"/>
      <c r="J54" s="93"/>
      <c r="K54" s="85"/>
      <c r="M54" s="94"/>
      <c r="N54" s="93"/>
      <c r="O54" s="85"/>
      <c r="Q54" s="94"/>
      <c r="R54" s="93"/>
      <c r="S54" s="85"/>
      <c r="U54" s="94"/>
      <c r="V54" s="93"/>
      <c r="W54" s="85"/>
      <c r="Y54" s="94"/>
      <c r="Z54" s="93"/>
      <c r="AA54" s="85"/>
      <c r="AC54" s="94"/>
      <c r="AD54" s="93"/>
      <c r="AE54" s="85"/>
    </row>
    <row r="55" spans="7:31" x14ac:dyDescent="0.35">
      <c r="G55" s="85"/>
      <c r="H55" s="87"/>
      <c r="I55" s="94"/>
      <c r="J55" s="93"/>
      <c r="K55" s="85"/>
      <c r="M55" s="94"/>
      <c r="N55" s="93"/>
      <c r="O55" s="85"/>
      <c r="Q55" s="94"/>
      <c r="R55" s="93"/>
      <c r="S55" s="85"/>
      <c r="U55" s="94"/>
      <c r="V55" s="93"/>
      <c r="W55" s="85"/>
      <c r="Y55" s="94"/>
      <c r="Z55" s="93"/>
      <c r="AA55" s="85"/>
      <c r="AC55" s="94"/>
      <c r="AD55" s="93"/>
      <c r="AE55" s="85"/>
    </row>
    <row r="56" spans="7:31" x14ac:dyDescent="0.35">
      <c r="G56" s="85"/>
      <c r="H56" s="87"/>
      <c r="I56" s="94"/>
      <c r="J56" s="93"/>
      <c r="K56" s="85"/>
      <c r="M56" s="94"/>
      <c r="N56" s="93"/>
      <c r="O56" s="85"/>
      <c r="Q56" s="94"/>
      <c r="R56" s="93"/>
      <c r="S56" s="85"/>
      <c r="U56" s="94"/>
      <c r="V56" s="93"/>
      <c r="W56" s="85"/>
      <c r="Y56" s="94"/>
      <c r="Z56" s="93"/>
      <c r="AA56" s="85"/>
      <c r="AC56" s="94"/>
      <c r="AD56" s="93"/>
      <c r="AE56" s="85"/>
    </row>
    <row r="57" spans="7:31" x14ac:dyDescent="0.35">
      <c r="G57" s="85"/>
      <c r="H57" s="87"/>
      <c r="I57" s="94"/>
      <c r="J57" s="93"/>
      <c r="K57" s="85"/>
      <c r="M57" s="94"/>
      <c r="N57" s="93"/>
      <c r="O57" s="85"/>
      <c r="Q57" s="94"/>
      <c r="R57" s="93"/>
      <c r="S57" s="85"/>
      <c r="U57" s="94"/>
      <c r="V57" s="93"/>
      <c r="W57" s="85"/>
      <c r="Y57" s="94"/>
      <c r="Z57" s="93"/>
      <c r="AA57" s="85"/>
      <c r="AC57" s="94"/>
      <c r="AD57" s="93"/>
      <c r="AE57" s="85"/>
    </row>
    <row r="58" spans="7:31" x14ac:dyDescent="0.35">
      <c r="G58" s="85"/>
      <c r="H58" s="87"/>
      <c r="I58" s="94"/>
      <c r="J58" s="93"/>
      <c r="K58" s="85"/>
      <c r="M58" s="94"/>
      <c r="N58" s="93"/>
      <c r="O58" s="85"/>
      <c r="Q58" s="94"/>
      <c r="R58" s="93"/>
      <c r="S58" s="85"/>
      <c r="U58" s="94"/>
      <c r="V58" s="93"/>
      <c r="W58" s="85"/>
      <c r="Y58" s="94"/>
      <c r="Z58" s="93"/>
      <c r="AA58" s="85"/>
      <c r="AC58" s="94"/>
      <c r="AD58" s="93"/>
      <c r="AE58" s="85"/>
    </row>
    <row r="59" spans="7:31" x14ac:dyDescent="0.35">
      <c r="G59" s="85"/>
      <c r="H59" s="87"/>
      <c r="I59" s="94"/>
      <c r="J59" s="93"/>
      <c r="K59" s="85"/>
      <c r="M59" s="94"/>
      <c r="N59" s="93"/>
      <c r="O59" s="85"/>
      <c r="Q59" s="94"/>
      <c r="R59" s="93"/>
      <c r="S59" s="85"/>
      <c r="U59" s="94"/>
      <c r="V59" s="93"/>
      <c r="W59" s="85"/>
      <c r="Y59" s="94"/>
      <c r="Z59" s="93"/>
      <c r="AA59" s="85"/>
      <c r="AC59" s="94"/>
      <c r="AD59" s="93"/>
      <c r="AE59" s="85"/>
    </row>
    <row r="60" spans="7:31" x14ac:dyDescent="0.35">
      <c r="G60" s="85"/>
      <c r="H60" s="87"/>
      <c r="I60" s="94"/>
      <c r="J60" s="93"/>
      <c r="K60" s="85"/>
      <c r="M60" s="94"/>
      <c r="N60" s="93"/>
      <c r="O60" s="85"/>
      <c r="Q60" s="94"/>
      <c r="R60" s="93"/>
      <c r="S60" s="85"/>
      <c r="U60" s="94"/>
      <c r="V60" s="93"/>
      <c r="W60" s="85"/>
      <c r="Y60" s="94"/>
      <c r="Z60" s="93"/>
      <c r="AA60" s="85"/>
      <c r="AC60" s="94"/>
      <c r="AD60" s="93"/>
      <c r="AE60" s="85"/>
    </row>
    <row r="61" spans="7:31" x14ac:dyDescent="0.35">
      <c r="G61" s="85"/>
      <c r="H61" s="87"/>
      <c r="I61" s="94"/>
      <c r="J61" s="93"/>
      <c r="K61" s="85"/>
      <c r="M61" s="94"/>
      <c r="N61" s="93"/>
      <c r="O61" s="85"/>
      <c r="Q61" s="94"/>
      <c r="R61" s="93"/>
      <c r="S61" s="85"/>
      <c r="U61" s="94"/>
      <c r="V61" s="93"/>
      <c r="W61" s="85"/>
      <c r="Y61" s="94"/>
      <c r="Z61" s="93"/>
      <c r="AA61" s="85"/>
      <c r="AC61" s="94"/>
      <c r="AD61" s="93"/>
      <c r="AE61" s="85"/>
    </row>
    <row r="62" spans="7:31" x14ac:dyDescent="0.35">
      <c r="G62" s="85"/>
      <c r="H62" s="87"/>
      <c r="I62" s="94"/>
      <c r="J62" s="93"/>
      <c r="K62" s="85"/>
      <c r="M62" s="94"/>
      <c r="N62" s="93"/>
      <c r="O62" s="85"/>
      <c r="Q62" s="94"/>
      <c r="R62" s="93"/>
      <c r="S62" s="85"/>
      <c r="U62" s="94"/>
      <c r="V62" s="93"/>
      <c r="W62" s="85"/>
      <c r="Y62" s="94"/>
      <c r="Z62" s="93"/>
      <c r="AA62" s="85"/>
      <c r="AC62" s="94"/>
      <c r="AD62" s="93"/>
      <c r="AE62" s="85"/>
    </row>
    <row r="63" spans="7:31" x14ac:dyDescent="0.35">
      <c r="G63" s="85"/>
      <c r="H63" s="87"/>
      <c r="I63" s="94"/>
      <c r="J63" s="93"/>
      <c r="K63" s="85"/>
      <c r="M63" s="94"/>
      <c r="N63" s="93"/>
      <c r="O63" s="85"/>
      <c r="Q63" s="94"/>
      <c r="R63" s="93"/>
      <c r="S63" s="85"/>
      <c r="U63" s="94"/>
      <c r="V63" s="93"/>
      <c r="W63" s="85"/>
      <c r="Y63" s="94"/>
      <c r="Z63" s="93"/>
      <c r="AA63" s="85"/>
      <c r="AC63" s="94"/>
      <c r="AD63" s="93"/>
      <c r="AE63" s="85"/>
    </row>
    <row r="64" spans="7:31" x14ac:dyDescent="0.35">
      <c r="G64" s="85"/>
      <c r="H64" s="87"/>
      <c r="I64" s="94"/>
      <c r="J64" s="93"/>
      <c r="K64" s="85"/>
      <c r="M64" s="94"/>
      <c r="N64" s="93"/>
      <c r="O64" s="85"/>
      <c r="Q64" s="94"/>
      <c r="R64" s="93"/>
      <c r="S64" s="85"/>
      <c r="U64" s="94"/>
      <c r="V64" s="93"/>
      <c r="W64" s="85"/>
      <c r="Y64" s="94"/>
      <c r="Z64" s="93"/>
      <c r="AA64" s="85"/>
      <c r="AC64" s="94"/>
      <c r="AD64" s="93"/>
      <c r="AE64" s="85"/>
    </row>
    <row r="65" spans="7:31" x14ac:dyDescent="0.35">
      <c r="G65" s="85"/>
      <c r="H65" s="87"/>
      <c r="I65" s="94"/>
      <c r="J65" s="93"/>
      <c r="K65" s="85"/>
      <c r="M65" s="94"/>
      <c r="N65" s="93"/>
      <c r="O65" s="85"/>
      <c r="Q65" s="94"/>
      <c r="R65" s="93"/>
      <c r="S65" s="85"/>
      <c r="U65" s="94"/>
      <c r="V65" s="93"/>
      <c r="W65" s="85"/>
      <c r="Y65" s="94"/>
      <c r="Z65" s="93"/>
      <c r="AA65" s="85"/>
      <c r="AC65" s="94"/>
      <c r="AD65" s="93"/>
      <c r="AE65" s="85"/>
    </row>
    <row r="66" spans="7:31" x14ac:dyDescent="0.35">
      <c r="G66" s="85"/>
      <c r="H66" s="87"/>
      <c r="I66" s="94"/>
      <c r="J66" s="93"/>
      <c r="K66" s="85"/>
      <c r="M66" s="94"/>
      <c r="N66" s="93"/>
      <c r="O66" s="85"/>
      <c r="Q66" s="94"/>
      <c r="R66" s="93"/>
      <c r="S66" s="85"/>
      <c r="U66" s="94"/>
      <c r="V66" s="93"/>
      <c r="W66" s="85"/>
      <c r="Y66" s="94"/>
      <c r="Z66" s="93"/>
      <c r="AA66" s="85"/>
      <c r="AC66" s="94"/>
      <c r="AD66" s="93"/>
      <c r="AE66" s="85"/>
    </row>
    <row r="67" spans="7:31" x14ac:dyDescent="0.35">
      <c r="G67" s="85"/>
      <c r="H67" s="87"/>
      <c r="I67" s="94"/>
      <c r="J67" s="93"/>
      <c r="K67" s="85"/>
      <c r="M67" s="94"/>
      <c r="N67" s="93"/>
      <c r="O67" s="85"/>
      <c r="Q67" s="94"/>
      <c r="R67" s="93"/>
      <c r="S67" s="85"/>
      <c r="U67" s="94"/>
      <c r="V67" s="93"/>
      <c r="W67" s="85"/>
      <c r="Y67" s="94"/>
      <c r="Z67" s="93"/>
      <c r="AA67" s="85"/>
      <c r="AC67" s="94"/>
      <c r="AD67" s="93"/>
      <c r="AE67" s="85"/>
    </row>
    <row r="68" spans="7:31" x14ac:dyDescent="0.35">
      <c r="G68" s="85"/>
      <c r="H68" s="87"/>
      <c r="I68" s="94"/>
      <c r="J68" s="93"/>
      <c r="K68" s="85"/>
      <c r="M68" s="94"/>
      <c r="N68" s="93"/>
      <c r="O68" s="85"/>
      <c r="Q68" s="94"/>
      <c r="R68" s="93"/>
      <c r="S68" s="85"/>
      <c r="U68" s="94"/>
      <c r="V68" s="93"/>
      <c r="W68" s="85"/>
      <c r="Y68" s="94"/>
      <c r="Z68" s="93"/>
      <c r="AA68" s="85"/>
      <c r="AC68" s="94"/>
      <c r="AD68" s="93"/>
      <c r="AE68" s="85"/>
    </row>
    <row r="69" spans="7:31" x14ac:dyDescent="0.35">
      <c r="G69" s="85"/>
      <c r="H69" s="87"/>
      <c r="I69" s="94"/>
      <c r="J69" s="93"/>
      <c r="K69" s="85"/>
      <c r="M69" s="94"/>
      <c r="N69" s="93"/>
      <c r="O69" s="85"/>
      <c r="Q69" s="94"/>
      <c r="R69" s="93"/>
      <c r="S69" s="85"/>
      <c r="U69" s="94"/>
      <c r="V69" s="93"/>
      <c r="W69" s="85"/>
      <c r="Y69" s="94"/>
      <c r="Z69" s="93"/>
      <c r="AA69" s="85"/>
      <c r="AC69" s="94"/>
      <c r="AD69" s="93"/>
      <c r="AE69" s="85"/>
    </row>
    <row r="70" spans="7:31" x14ac:dyDescent="0.35">
      <c r="G70" s="85"/>
      <c r="H70" s="87"/>
      <c r="I70" s="94"/>
      <c r="J70" s="93"/>
      <c r="K70" s="85"/>
      <c r="M70" s="94"/>
      <c r="N70" s="93"/>
      <c r="O70" s="85"/>
      <c r="Q70" s="94"/>
      <c r="R70" s="93"/>
      <c r="S70" s="85"/>
      <c r="U70" s="94"/>
      <c r="V70" s="93"/>
      <c r="W70" s="85"/>
      <c r="Y70" s="94"/>
      <c r="Z70" s="93"/>
      <c r="AA70" s="85"/>
      <c r="AC70" s="94"/>
      <c r="AD70" s="93"/>
      <c r="AE70" s="85"/>
    </row>
    <row r="71" spans="7:31" x14ac:dyDescent="0.35">
      <c r="G71" s="85"/>
      <c r="H71" s="87"/>
      <c r="I71" s="94"/>
      <c r="J71" s="93"/>
      <c r="K71" s="85"/>
      <c r="M71" s="94"/>
      <c r="N71" s="93"/>
      <c r="O71" s="85"/>
      <c r="Q71" s="94"/>
      <c r="R71" s="93"/>
      <c r="S71" s="85"/>
      <c r="U71" s="94"/>
      <c r="V71" s="93"/>
      <c r="W71" s="85"/>
      <c r="Y71" s="94"/>
      <c r="Z71" s="93"/>
      <c r="AA71" s="85"/>
      <c r="AC71" s="94"/>
      <c r="AD71" s="93"/>
      <c r="AE71" s="85"/>
    </row>
    <row r="72" spans="7:31" x14ac:dyDescent="0.35">
      <c r="G72" s="85"/>
      <c r="H72" s="87"/>
      <c r="I72" s="94"/>
      <c r="J72" s="93"/>
      <c r="K72" s="85"/>
      <c r="M72" s="94"/>
      <c r="N72" s="93"/>
      <c r="O72" s="85"/>
      <c r="Q72" s="94"/>
      <c r="R72" s="93"/>
      <c r="S72" s="85"/>
      <c r="U72" s="94"/>
      <c r="V72" s="93"/>
      <c r="W72" s="85"/>
      <c r="Y72" s="94"/>
      <c r="Z72" s="93"/>
      <c r="AA72" s="85"/>
      <c r="AC72" s="94"/>
      <c r="AD72" s="93"/>
      <c r="AE72" s="85"/>
    </row>
    <row r="73" spans="7:31" x14ac:dyDescent="0.35">
      <c r="G73" s="85"/>
      <c r="H73" s="87"/>
      <c r="I73" s="94"/>
      <c r="J73" s="93"/>
      <c r="K73" s="85"/>
      <c r="M73" s="94"/>
      <c r="N73" s="93"/>
      <c r="O73" s="85"/>
      <c r="Q73" s="94"/>
      <c r="R73" s="93"/>
      <c r="S73" s="85"/>
      <c r="U73" s="94"/>
      <c r="V73" s="93"/>
      <c r="W73" s="85"/>
      <c r="Y73" s="94"/>
      <c r="Z73" s="93"/>
      <c r="AA73" s="85"/>
      <c r="AC73" s="94"/>
      <c r="AD73" s="93"/>
      <c r="AE73" s="85"/>
    </row>
    <row r="74" spans="7:31" x14ac:dyDescent="0.35">
      <c r="G74" s="85"/>
      <c r="H74" s="87"/>
      <c r="I74" s="94"/>
      <c r="J74" s="93"/>
      <c r="K74" s="85"/>
      <c r="M74" s="94"/>
      <c r="N74" s="93"/>
      <c r="O74" s="85"/>
      <c r="Q74" s="94"/>
      <c r="R74" s="93"/>
      <c r="S74" s="85"/>
      <c r="U74" s="94"/>
      <c r="V74" s="93"/>
      <c r="W74" s="85"/>
      <c r="Y74" s="94"/>
      <c r="Z74" s="93"/>
      <c r="AA74" s="85"/>
      <c r="AC74" s="94"/>
      <c r="AD74" s="93"/>
      <c r="AE74" s="85"/>
    </row>
    <row r="75" spans="7:31" x14ac:dyDescent="0.35">
      <c r="G75" s="85"/>
      <c r="H75" s="87"/>
      <c r="I75" s="94"/>
      <c r="J75" s="93"/>
      <c r="K75" s="85"/>
      <c r="M75" s="94"/>
      <c r="N75" s="93"/>
      <c r="O75" s="85"/>
      <c r="Q75" s="94"/>
      <c r="R75" s="93"/>
      <c r="S75" s="85"/>
      <c r="U75" s="94"/>
      <c r="V75" s="93"/>
      <c r="W75" s="85"/>
      <c r="Y75" s="94"/>
      <c r="Z75" s="93"/>
      <c r="AA75" s="85"/>
      <c r="AC75" s="94"/>
      <c r="AD75" s="93"/>
      <c r="AE75" s="85"/>
    </row>
    <row r="76" spans="7:31" x14ac:dyDescent="0.35">
      <c r="G76" s="85"/>
      <c r="H76" s="87"/>
      <c r="I76" s="94"/>
      <c r="J76" s="93"/>
      <c r="K76" s="85"/>
      <c r="M76" s="94"/>
      <c r="N76" s="93"/>
      <c r="O76" s="85"/>
      <c r="Q76" s="94"/>
      <c r="R76" s="93"/>
      <c r="S76" s="85"/>
      <c r="U76" s="94"/>
      <c r="V76" s="93"/>
      <c r="W76" s="85"/>
      <c r="Y76" s="94"/>
      <c r="Z76" s="93"/>
      <c r="AA76" s="85"/>
      <c r="AC76" s="94"/>
      <c r="AD76" s="93"/>
      <c r="AE76" s="85"/>
    </row>
    <row r="77" spans="7:31" x14ac:dyDescent="0.35">
      <c r="G77" s="85"/>
      <c r="H77" s="87"/>
      <c r="I77" s="94"/>
      <c r="J77" s="93"/>
      <c r="K77" s="85"/>
      <c r="M77" s="94"/>
      <c r="N77" s="93"/>
      <c r="O77" s="85"/>
      <c r="Q77" s="94"/>
      <c r="R77" s="93"/>
      <c r="S77" s="85"/>
      <c r="U77" s="94"/>
      <c r="V77" s="93"/>
      <c r="W77" s="85"/>
      <c r="Y77" s="94"/>
      <c r="Z77" s="93"/>
      <c r="AA77" s="85"/>
      <c r="AC77" s="94"/>
      <c r="AD77" s="93"/>
      <c r="AE77" s="85"/>
    </row>
    <row r="78" spans="7:31" x14ac:dyDescent="0.35">
      <c r="G78" s="85"/>
      <c r="H78" s="87"/>
      <c r="I78" s="94"/>
      <c r="J78" s="93"/>
      <c r="K78" s="85"/>
      <c r="M78" s="94"/>
      <c r="N78" s="93"/>
      <c r="O78" s="85"/>
      <c r="Q78" s="94"/>
      <c r="R78" s="93"/>
      <c r="S78" s="85"/>
      <c r="U78" s="94"/>
      <c r="V78" s="93"/>
      <c r="W78" s="85"/>
      <c r="Y78" s="94"/>
      <c r="Z78" s="93"/>
      <c r="AA78" s="85"/>
      <c r="AC78" s="94"/>
      <c r="AD78" s="93"/>
      <c r="AE78" s="85"/>
    </row>
    <row r="79" spans="7:31" x14ac:dyDescent="0.35">
      <c r="G79" s="85"/>
      <c r="H79" s="87"/>
      <c r="I79" s="94"/>
      <c r="J79" s="93"/>
      <c r="K79" s="85"/>
      <c r="M79" s="94"/>
      <c r="N79" s="93"/>
      <c r="O79" s="85"/>
      <c r="Q79" s="94"/>
      <c r="R79" s="93"/>
      <c r="S79" s="85"/>
      <c r="U79" s="94"/>
      <c r="V79" s="93"/>
      <c r="W79" s="85"/>
      <c r="Y79" s="94"/>
      <c r="Z79" s="93"/>
      <c r="AA79" s="85"/>
      <c r="AC79" s="94"/>
      <c r="AD79" s="93"/>
      <c r="AE79" s="85"/>
    </row>
    <row r="80" spans="7: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Q1000" s="94"/>
      <c r="R1000" s="93"/>
      <c r="S1000" s="85"/>
      <c r="U1000" s="94"/>
      <c r="V1000" s="93"/>
      <c r="W1000" s="85"/>
      <c r="Y1000" s="94"/>
      <c r="Z1000" s="93"/>
      <c r="AA1000" s="85"/>
      <c r="AC1000" s="94"/>
      <c r="AD1000" s="93"/>
      <c r="AE1000" s="85"/>
    </row>
  </sheetData>
  <autoFilter ref="E20:L40" xr:uid="{00000000-0001-0000-1B00-000000000000}"/>
  <conditionalFormatting sqref="A1:AG1048576">
    <cfRule type="expression" dxfId="38" priority="1">
      <formula>$A4="Spend to Date"</formula>
    </cfRule>
    <cfRule type="expression" dxfId="37" priority="2">
      <formula>$A4="Spend to Date"</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1000"/>
  <sheetViews>
    <sheetView workbookViewId="0">
      <pane xSplit="2" ySplit="1" topLeftCell="I2" activePane="bottomRight" state="frozen"/>
      <selection pane="topRight" activeCell="C1" sqref="C1"/>
      <selection pane="bottomLeft" activeCell="A2" sqref="A2"/>
      <selection pane="bottomRight" activeCell="I17" sqref="I17"/>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40.179687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21.4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166</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SUM(E3:E5)</f>
        <v>-11080</v>
      </c>
      <c r="F2" s="87">
        <f>SUM(F3:F3)</f>
        <v>57435.090000000004</v>
      </c>
      <c r="I2" s="89">
        <f>SUM(I3:I5)</f>
        <v>0</v>
      </c>
      <c r="J2" s="87">
        <f>SUM(J3:J5)</f>
        <v>3000</v>
      </c>
      <c r="M2" s="89">
        <f>SUM(M3:M5)</f>
        <v>0</v>
      </c>
      <c r="N2" s="87">
        <f>SUM(N3:N5)</f>
        <v>4410.91</v>
      </c>
      <c r="Q2" s="89">
        <f>SUM(Q3:Q5)</f>
        <v>0</v>
      </c>
      <c r="R2" s="87">
        <f>SUM(R3:R5)</f>
        <v>0</v>
      </c>
      <c r="U2" s="89">
        <f>SUM(U3:U5)</f>
        <v>0</v>
      </c>
      <c r="V2" s="87">
        <f>SUM(V3:V5)</f>
        <v>0</v>
      </c>
      <c r="Y2" s="89">
        <f>SUM(Y3:Y5)</f>
        <v>0</v>
      </c>
      <c r="Z2" s="87">
        <f>SUM(Z3:Z5)</f>
        <v>0</v>
      </c>
      <c r="AC2" s="89">
        <f>SUM(AC3:AC5)</f>
        <v>0</v>
      </c>
      <c r="AD2" s="87">
        <f>SUM(AD3:AD5)</f>
        <v>0</v>
      </c>
    </row>
    <row r="3" spans="1:33" x14ac:dyDescent="0.35">
      <c r="A3" s="86" t="s">
        <v>166</v>
      </c>
      <c r="B3" s="85">
        <v>1</v>
      </c>
      <c r="D3" s="86">
        <v>75926</v>
      </c>
      <c r="E3" s="87">
        <f>-11080+25000-25000</f>
        <v>-11080</v>
      </c>
      <c r="F3" s="87">
        <f>SUMIFS(H$16:H$1002,E$16:E$1002,$B3)</f>
        <v>57435.090000000004</v>
      </c>
      <c r="G3" s="87">
        <f>D3+E3-F3+SUMIFS(E$8:E$10,$C$8:$C$10,$A3)-SUMIFS(F$8:F$10,$C$8:$C$10,$A3)</f>
        <v>7410.9099999999962</v>
      </c>
      <c r="I3" s="89">
        <v>0</v>
      </c>
      <c r="J3" s="87">
        <f>SUMIFS(L$16:L$1002,I$16:I$1002,1)</f>
        <v>3000</v>
      </c>
      <c r="K3" s="87">
        <f>G3+I3-J3+SUMIFS(I$8:I$10,$C$8:$C$10,$A3)-SUMIFS(J$8:J$10,$C$8:$C$10,$A3)</f>
        <v>4410.9099999999962</v>
      </c>
      <c r="L3" s="86"/>
      <c r="N3" s="87">
        <f>SUMIFS(P$16:P$1002,M$16:M$1002,1)</f>
        <v>4410.91</v>
      </c>
      <c r="O3" s="87">
        <f>K3+M3-N3+SUMIFS(M$8:M$10,$C$8:$C$10,$A3)-SUMIFS(N$8:N$10,$C$8:$C$10,$A3)</f>
        <v>-3.637978807091713E-12</v>
      </c>
      <c r="R3" s="87">
        <f>SUMIFS(T$16:T$1002,Q$16:Q$1002,1)</f>
        <v>0</v>
      </c>
      <c r="S3" s="87">
        <f>O3+Q3-R3+SUMIFS(Q$8:Q$10,$C$8:$C$10,$A3)-SUMIFS(R$8:R$10,$C$8:$C$10,$A3)</f>
        <v>-3.637978807091713E-12</v>
      </c>
      <c r="V3" s="87">
        <f>SUMIFS(X$16:X$1002,U$16:U$1002,1)</f>
        <v>0</v>
      </c>
      <c r="W3" s="87">
        <f>S3+U3-V3+SUMIFS(U$8:U$10,$C$8:$C$10,$A3)-SUMIFS(V$8:V$10,$C$8:$C$10,$A3)</f>
        <v>-3.637978807091713E-12</v>
      </c>
      <c r="Z3" s="87">
        <f>SUMIFS(AB$16:AB$1002,Y$16:Y$1002,1)</f>
        <v>0</v>
      </c>
      <c r="AA3" s="87">
        <f>W3+Y3-Z3+SUMIFS(Y$8:Y$10,$C$8:$C$10,$A3)-SUMIFS(Z$8:Z$10,$C$8:$C$10,$A3)</f>
        <v>-3.637978807091713E-12</v>
      </c>
      <c r="AD3" s="87">
        <f>SUMIFS(AF$16:AF$1002,AC$16:AC$1002,1)</f>
        <v>0</v>
      </c>
      <c r="AE3" s="87">
        <f>AA3+AC3-AD3+SUMIFS(AC$8:AC$10,$C$8:$C$10,$A3)-SUMIFS(AD$8:AD$10,$C$8:$C$10,$A3)</f>
        <v>-3.637978807091713E-12</v>
      </c>
      <c r="AG3" s="87">
        <v>100000</v>
      </c>
    </row>
    <row r="4" spans="1:33" x14ac:dyDescent="0.35">
      <c r="A4" s="86" t="s">
        <v>167</v>
      </c>
      <c r="B4" s="85">
        <v>2</v>
      </c>
      <c r="D4" s="86">
        <v>50000</v>
      </c>
      <c r="E4" s="87">
        <f>25000-25000</f>
        <v>0</v>
      </c>
      <c r="F4" s="87">
        <f>SUMIFS(H$16:H$1002,E$16:E$1002,$B4)</f>
        <v>50000</v>
      </c>
      <c r="G4" s="87">
        <f>D4+E4-F4+SUMIFS(E$8:E$10,$C$8:$C$10,$A4)-SUMIFS(F$8:F$10,$C$8:$C$10,$A4)</f>
        <v>0</v>
      </c>
      <c r="I4" s="89">
        <v>0</v>
      </c>
      <c r="J4" s="87">
        <f>SUMIFS(L$16:L$1002,I$16:I$1002,2)</f>
        <v>0</v>
      </c>
      <c r="K4" s="87">
        <f>G4+I4-J4+SUMIFS(I$8:I$10,$C$8:$C$10,$A4)-SUMIFS(J$8:J$10,$C$8:$C$10,$A4)</f>
        <v>0</v>
      </c>
      <c r="L4" s="86"/>
      <c r="N4" s="87">
        <f>SUMIFS(P$16:P$1002,M$16:M$1002,2)</f>
        <v>0</v>
      </c>
      <c r="O4" s="87">
        <f>K4+M4-N4+SUMIFS(M$8:M$10,$C$8:$C$10,$A4)-SUMIFS(N$8:N$10,$C$8:$C$10,$A4)</f>
        <v>0</v>
      </c>
      <c r="R4" s="87">
        <f>SUMIFS(T$16:T$1002,Q$16:Q$1002,2)</f>
        <v>0</v>
      </c>
      <c r="S4" s="87">
        <f>O4+Q4-R4+SUMIFS(Q$8:Q$10,$C$8:$C$10,$A4)-SUMIFS(R$8:R$10,$C$8:$C$10,$A4)</f>
        <v>0</v>
      </c>
      <c r="V4" s="87">
        <f>SUMIFS(X$16:X$1002,U$16:U$1002,2)</f>
        <v>0</v>
      </c>
      <c r="W4" s="87">
        <f>S4+U4-V4+SUMIFS(U$8:U$10,$C$8:$C$10,$A4)-SUMIFS(V$8:V$10,$C$8:$C$10,$A4)</f>
        <v>0</v>
      </c>
      <c r="Z4" s="87">
        <f>SUMIFS(AB$16:AB$1002,Y$16:Y$1002,2)</f>
        <v>0</v>
      </c>
      <c r="AA4" s="87">
        <f>W4+Y4-Z4+SUMIFS(Y$8:Y$10,$C$8:$C$10,$A4)-SUMIFS(Z$8:Z$10,$C$8:$C$10,$A4)</f>
        <v>0</v>
      </c>
      <c r="AD4" s="87">
        <f>SUMIFS(AF$16:AF$1002,AC$16:AC$1002,2)</f>
        <v>0</v>
      </c>
      <c r="AE4" s="87">
        <f>AA4+AC4-AD4+SUMIFS(AC$8:AC$10,$C$8:$C$10,$A4)-SUMIFS(AD$8:AD$10,$C$8:$C$10,$A4)</f>
        <v>0</v>
      </c>
      <c r="AG4" s="87">
        <v>50000</v>
      </c>
    </row>
    <row r="5" spans="1:33" x14ac:dyDescent="0.35">
      <c r="A5" s="86" t="s">
        <v>168</v>
      </c>
      <c r="B5" s="85">
        <v>3</v>
      </c>
      <c r="D5" s="86">
        <v>50000</v>
      </c>
      <c r="E5" s="87">
        <v>0</v>
      </c>
      <c r="F5" s="87">
        <f>SUMIFS(H$16:H$1002,E$16:E$1002,$B5)</f>
        <v>50000</v>
      </c>
      <c r="G5" s="87">
        <f>D5+E5-F5+SUMIFS(E$8:E$10,$C$8:$C$10,$A5)-SUMIFS(F$8:F$10,$C$8:$C$10,$A5)</f>
        <v>0</v>
      </c>
      <c r="I5" s="89">
        <v>0</v>
      </c>
      <c r="J5" s="87">
        <f>SUMIFS(L$16:L$1002,I$16:I$1002,3)</f>
        <v>0</v>
      </c>
      <c r="K5" s="87">
        <f>G5+I5-J5+SUMIFS(I$8:I$10,$C$8:$C$10,$A5)-SUMIFS(J$8:J$10,$C$8:$C$10,$A5)</f>
        <v>0</v>
      </c>
      <c r="L5" s="86"/>
      <c r="M5" s="87">
        <v>0</v>
      </c>
      <c r="N5" s="87">
        <f>SUMIFS(P$16:P$1002,M$16:M$1002,3)</f>
        <v>0</v>
      </c>
      <c r="O5" s="87">
        <f>K5+M5-N5+SUMIFS(M$8:M$10,$C$8:$C$10,$A5)-SUMIFS(N$8:N$10,$C$8:$C$10,$A5)</f>
        <v>0</v>
      </c>
      <c r="P5" s="86"/>
      <c r="R5" s="87">
        <f>SUMIFS(T$16:T$1002,Q$16:Q$1002,3)</f>
        <v>0</v>
      </c>
      <c r="S5" s="87">
        <f>O5+Q5-R5+SUMIFS(Q$8:Q$10,$C$8:$C$10,$A5)-SUMIFS(R$8:R$10,$C$8:$C$10,$A5)</f>
        <v>0</v>
      </c>
      <c r="V5" s="87">
        <f>SUMIFS(X$16:X$1002,U$16:U$1002,3)</f>
        <v>0</v>
      </c>
      <c r="W5" s="87">
        <f>S5+U5-V5+SUMIFS(U$8:U$10,$C$8:$C$10,$A5)-SUMIFS(V$8:V$10,$C$8:$C$10,$A5)</f>
        <v>0</v>
      </c>
      <c r="Z5" s="87">
        <f>SUMIFS(AB$16:AB$1002,Y$16:Y$1002,3)</f>
        <v>0</v>
      </c>
      <c r="AA5" s="87">
        <f>W5+Y5-Z5+SUMIFS(Y$8:Y$10,$C$8:$C$10,$A5)-SUMIFS(Z$8:Z$10,$C$8:$C$10,$A5)</f>
        <v>0</v>
      </c>
      <c r="AD5" s="87">
        <f>SUMIFS(AF$16:AF$1002,AC$16:AC$1002,3)</f>
        <v>0</v>
      </c>
      <c r="AE5" s="87">
        <f>AA5+AC5-AD5+SUMIFS(AC$8:AC$10,$C$8:$C$10,$A5)-SUMIFS(AD$8:AD$10,$C$8:$C$10,$A5)</f>
        <v>0</v>
      </c>
      <c r="AG5" s="87">
        <v>250000</v>
      </c>
    </row>
    <row r="6" spans="1:33" x14ac:dyDescent="0.35">
      <c r="E6" s="87"/>
    </row>
    <row r="7" spans="1:33" x14ac:dyDescent="0.35">
      <c r="A7" s="84" t="s">
        <v>169</v>
      </c>
      <c r="D7" s="84"/>
      <c r="E7" s="87">
        <f>SUM(E8:E10)</f>
        <v>11080</v>
      </c>
      <c r="F7" s="87">
        <f>SUM(F8:F10)</f>
        <v>11080</v>
      </c>
      <c r="I7" s="89">
        <f>SUM(I8:I10)</f>
        <v>0</v>
      </c>
      <c r="J7" s="87">
        <f>SUM(J8:J10)</f>
        <v>0</v>
      </c>
      <c r="M7" s="89">
        <f>SUM(M8:M10)</f>
        <v>0</v>
      </c>
      <c r="N7" s="87">
        <f>SUM(N8:N10)</f>
        <v>0</v>
      </c>
      <c r="Q7" s="89">
        <f>SUM(Q8:Q10)</f>
        <v>0</v>
      </c>
      <c r="R7" s="87">
        <f>$Q$7</f>
        <v>0</v>
      </c>
      <c r="U7" s="89">
        <f>SUM(U8:U10)</f>
        <v>0</v>
      </c>
      <c r="V7" s="87">
        <f>$U$7</f>
        <v>0</v>
      </c>
      <c r="Y7" s="89">
        <f>SUM(Y8:Y10)</f>
        <v>0</v>
      </c>
      <c r="Z7" s="87">
        <f>$Y$7</f>
        <v>0</v>
      </c>
      <c r="AC7" s="89">
        <f>SUM(AC8:AC10)</f>
        <v>0</v>
      </c>
      <c r="AD7" s="87">
        <f>$AC$7</f>
        <v>0</v>
      </c>
    </row>
    <row r="8" spans="1:33" ht="14.5" customHeight="1" x14ac:dyDescent="0.35">
      <c r="A8" s="86" t="s">
        <v>169</v>
      </c>
      <c r="B8" s="85">
        <v>4</v>
      </c>
      <c r="C8" s="86" t="s">
        <v>166</v>
      </c>
      <c r="D8" s="84"/>
      <c r="E8" s="87">
        <v>0</v>
      </c>
      <c r="F8" s="87">
        <f>SUMIFS(H$16:H$1002,E$16:E$1002,$B8)</f>
        <v>0</v>
      </c>
      <c r="I8" s="89">
        <f>ROUNDUP((E8)*RPICurrent,0)</f>
        <v>0</v>
      </c>
      <c r="J8" s="87">
        <f>SUMIFS(L$16:L$1002,I$16:I$1002,$B8)</f>
        <v>0</v>
      </c>
      <c r="M8" s="89">
        <f>ROUNDUP((I8)*RPI,0)</f>
        <v>0</v>
      </c>
      <c r="N8" s="87">
        <f>SUMIFS(P$16:P$1002,M$16:M$1002,$B8)</f>
        <v>0</v>
      </c>
      <c r="Q8" s="89">
        <f>ROUNDUP((M8)*RPI,0)</f>
        <v>0</v>
      </c>
      <c r="R8" s="87">
        <f>$Q$8</f>
        <v>0</v>
      </c>
      <c r="U8" s="89">
        <f>ROUNDUP((Q8)*RPI,0)</f>
        <v>0</v>
      </c>
      <c r="V8" s="87">
        <f>$U$8</f>
        <v>0</v>
      </c>
      <c r="Y8" s="89">
        <f>ROUNDUP((U8)*RPI,0)</f>
        <v>0</v>
      </c>
      <c r="Z8" s="87">
        <f>$Y$8</f>
        <v>0</v>
      </c>
      <c r="AC8" s="89">
        <f>ROUNDUP((Y8)*RPI,0)</f>
        <v>0</v>
      </c>
      <c r="AD8" s="87">
        <f>$AC$8</f>
        <v>0</v>
      </c>
    </row>
    <row r="9" spans="1:33" ht="14.5" customHeight="1" x14ac:dyDescent="0.35">
      <c r="A9" s="86" t="s">
        <v>80</v>
      </c>
      <c r="B9" s="85">
        <v>5</v>
      </c>
      <c r="C9" s="86" t="s">
        <v>166</v>
      </c>
      <c r="D9" s="84"/>
      <c r="E9" s="87">
        <v>11080</v>
      </c>
      <c r="F9" s="87">
        <f>SUMIFS(H$16:H$1002,E$16:E$1002,$B9)</f>
        <v>11080</v>
      </c>
      <c r="I9" s="89">
        <v>0</v>
      </c>
      <c r="J9" s="87">
        <f>SUMIFS(L$16:L$1002,I$16:I$1002,$B9)</f>
        <v>0</v>
      </c>
      <c r="M9" s="89">
        <f>ROUNDUP((I9)*RPI,0)</f>
        <v>0</v>
      </c>
      <c r="N9" s="87">
        <f>SUMIFS(P$16:P$1002,M$16:M$1002,$B9)</f>
        <v>0</v>
      </c>
      <c r="Q9" s="89">
        <f>ROUNDUP((M9)*RPI,0)</f>
        <v>0</v>
      </c>
      <c r="R9" s="87">
        <f>$Q$9</f>
        <v>0</v>
      </c>
      <c r="U9" s="89">
        <f>ROUNDUP((Q9)*RPI,0)</f>
        <v>0</v>
      </c>
      <c r="V9" s="87">
        <f>$U$9</f>
        <v>0</v>
      </c>
      <c r="Y9" s="89">
        <f>ROUNDUP((U9)*RPI,0)</f>
        <v>0</v>
      </c>
      <c r="Z9" s="87">
        <f>$Y$9</f>
        <v>0</v>
      </c>
      <c r="AC9" s="89">
        <f>ROUNDUP((Y9)*RPI,0)</f>
        <v>0</v>
      </c>
      <c r="AD9" s="87">
        <f>$AC$9</f>
        <v>0</v>
      </c>
    </row>
    <row r="10" spans="1:33" ht="14.5" customHeight="1" x14ac:dyDescent="0.35">
      <c r="A10" s="86" t="s">
        <v>75</v>
      </c>
      <c r="B10" s="85">
        <v>6</v>
      </c>
      <c r="C10" s="86" t="s">
        <v>168</v>
      </c>
      <c r="D10" s="84"/>
      <c r="E10" s="87">
        <v>0</v>
      </c>
      <c r="F10" s="87">
        <f>SUMIFS(H$16:H$1002,E$16:E$1002,$B10)</f>
        <v>0</v>
      </c>
      <c r="I10" s="89">
        <f>ROUNDUP((E10)*RPICurrent,0)</f>
        <v>0</v>
      </c>
      <c r="J10" s="87">
        <f>SUMIFS(L$16:L$1002,I$16:I$1002,$B10)</f>
        <v>0</v>
      </c>
      <c r="M10" s="89">
        <f>ROUNDUP((I10)*RPI,0)</f>
        <v>0</v>
      </c>
      <c r="N10" s="87">
        <f>SUMIFS(P$16:P$1002,M$16:M$1002,$B10)</f>
        <v>0</v>
      </c>
      <c r="Q10" s="89">
        <f>ROUNDUP((M10)*RPI,0)</f>
        <v>0</v>
      </c>
      <c r="R10" s="87">
        <f>$Q$10</f>
        <v>0</v>
      </c>
      <c r="U10" s="89">
        <f>ROUNDUP((Q10)*RPI,0)</f>
        <v>0</v>
      </c>
      <c r="V10" s="87">
        <f>$U$10</f>
        <v>0</v>
      </c>
      <c r="Y10" s="89">
        <f>ROUNDUP((U10)*RPI,0)</f>
        <v>0</v>
      </c>
      <c r="Z10" s="87">
        <f>$Y$10</f>
        <v>0</v>
      </c>
      <c r="AC10" s="89">
        <f>ROUNDUP((Y10)*RPI,0)</f>
        <v>0</v>
      </c>
      <c r="AD10" s="87">
        <f>$AC$10</f>
        <v>0</v>
      </c>
    </row>
    <row r="11" spans="1:33" x14ac:dyDescent="0.35">
      <c r="E11" s="87"/>
    </row>
    <row r="12" spans="1:33" x14ac:dyDescent="0.35">
      <c r="E12" s="87"/>
    </row>
    <row r="13" spans="1:33" x14ac:dyDescent="0.35">
      <c r="E13" s="87"/>
    </row>
    <row r="14" spans="1:33" x14ac:dyDescent="0.35">
      <c r="A14" s="84" t="s">
        <v>487</v>
      </c>
      <c r="F14" s="93"/>
      <c r="G14" s="85"/>
      <c r="H14" s="87"/>
      <c r="I14" s="94"/>
      <c r="J14" s="93"/>
      <c r="K14" s="85"/>
      <c r="M14" s="94"/>
      <c r="N14" s="93"/>
      <c r="O14" s="85"/>
      <c r="Q14" s="94"/>
      <c r="R14" s="93"/>
      <c r="S14" s="85"/>
      <c r="U14" s="94"/>
      <c r="V14" s="93"/>
      <c r="W14" s="85"/>
      <c r="Y14" s="94"/>
      <c r="Z14" s="93"/>
      <c r="AA14" s="85"/>
      <c r="AC14" s="94"/>
      <c r="AD14" s="93"/>
      <c r="AE14" s="85"/>
    </row>
    <row r="15" spans="1:33"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x14ac:dyDescent="0.35">
      <c r="A16" s="85"/>
      <c r="D16" s="85"/>
      <c r="E16" s="85">
        <v>5</v>
      </c>
      <c r="F16" s="93" t="s">
        <v>1305</v>
      </c>
      <c r="G16" s="85" t="s">
        <v>1246</v>
      </c>
      <c r="H16" s="87">
        <v>11080</v>
      </c>
      <c r="I16" s="94">
        <v>1</v>
      </c>
      <c r="J16" s="94" t="s">
        <v>699</v>
      </c>
      <c r="K16" s="94" t="s">
        <v>3095</v>
      </c>
      <c r="L16" s="87">
        <v>3000</v>
      </c>
      <c r="M16" s="94">
        <v>1</v>
      </c>
      <c r="N16" s="93" t="s">
        <v>699</v>
      </c>
      <c r="O16" s="93" t="s">
        <v>3096</v>
      </c>
      <c r="P16" s="87">
        <v>4410.91</v>
      </c>
      <c r="Q16" s="94"/>
      <c r="R16" s="93"/>
      <c r="S16" s="85"/>
      <c r="U16" s="94"/>
      <c r="V16" s="93"/>
      <c r="W16" s="85"/>
      <c r="Y16" s="94"/>
      <c r="Z16" s="93"/>
      <c r="AA16" s="85"/>
      <c r="AC16" s="94"/>
      <c r="AD16" s="93"/>
      <c r="AE16" s="85"/>
    </row>
    <row r="17" spans="5:31" x14ac:dyDescent="0.35">
      <c r="E17" s="85">
        <v>1</v>
      </c>
      <c r="F17" s="93" t="s">
        <v>699</v>
      </c>
      <c r="G17" s="85" t="s">
        <v>1237</v>
      </c>
      <c r="H17" s="87">
        <v>32.159999999999997</v>
      </c>
      <c r="I17" s="94"/>
      <c r="J17" s="93"/>
      <c r="K17" s="85"/>
      <c r="M17" s="94"/>
      <c r="N17" s="93"/>
      <c r="O17" s="85"/>
      <c r="Q17" s="94"/>
      <c r="R17" s="93"/>
      <c r="S17" s="85"/>
      <c r="U17" s="94"/>
      <c r="V17" s="93"/>
      <c r="W17" s="85"/>
      <c r="Y17" s="94"/>
      <c r="Z17" s="93"/>
      <c r="AA17" s="85"/>
      <c r="AC17" s="94"/>
      <c r="AD17" s="93"/>
      <c r="AE17" s="85"/>
    </row>
    <row r="18" spans="5:31" x14ac:dyDescent="0.35">
      <c r="E18" s="85">
        <v>3</v>
      </c>
      <c r="F18" s="93" t="s">
        <v>699</v>
      </c>
      <c r="G18" s="85" t="s">
        <v>1306</v>
      </c>
      <c r="H18" s="87">
        <v>50000</v>
      </c>
      <c r="I18" s="94"/>
      <c r="J18" s="93"/>
      <c r="K18" s="85"/>
      <c r="M18" s="94"/>
      <c r="N18" s="93"/>
      <c r="O18" s="85"/>
      <c r="Q18" s="94"/>
      <c r="R18" s="93"/>
      <c r="S18" s="85"/>
      <c r="U18" s="94"/>
      <c r="V18" s="93"/>
      <c r="W18" s="85"/>
      <c r="Y18" s="94"/>
      <c r="Z18" s="93"/>
      <c r="AA18" s="85"/>
      <c r="AC18" s="94"/>
      <c r="AD18" s="93"/>
      <c r="AE18" s="85"/>
    </row>
    <row r="19" spans="5:31" x14ac:dyDescent="0.35">
      <c r="E19" s="85">
        <v>1</v>
      </c>
      <c r="F19" s="93" t="s">
        <v>699</v>
      </c>
      <c r="G19" s="85" t="s">
        <v>1306</v>
      </c>
      <c r="H19" s="87">
        <v>25000</v>
      </c>
      <c r="I19" s="94"/>
      <c r="J19" s="93"/>
      <c r="K19" s="85"/>
      <c r="M19" s="94"/>
      <c r="N19" s="93"/>
      <c r="O19" s="85"/>
      <c r="Q19" s="94"/>
      <c r="R19" s="93"/>
      <c r="S19" s="85"/>
      <c r="U19" s="94"/>
      <c r="V19" s="93"/>
      <c r="W19" s="85"/>
      <c r="Y19" s="94"/>
      <c r="Z19" s="93"/>
      <c r="AA19" s="85"/>
      <c r="AC19" s="94"/>
      <c r="AD19" s="93"/>
      <c r="AE19" s="85"/>
    </row>
    <row r="20" spans="5:31" x14ac:dyDescent="0.35">
      <c r="E20" s="92">
        <v>2</v>
      </c>
      <c r="F20" s="97" t="s">
        <v>699</v>
      </c>
      <c r="G20" s="92" t="s">
        <v>1307</v>
      </c>
      <c r="H20" s="90">
        <v>50000</v>
      </c>
      <c r="I20" s="94"/>
      <c r="J20" s="93"/>
      <c r="K20" s="85"/>
      <c r="M20" s="94"/>
      <c r="N20" s="93"/>
      <c r="O20" s="85"/>
      <c r="Q20" s="94"/>
      <c r="R20" s="93"/>
      <c r="S20" s="85"/>
      <c r="U20" s="94"/>
      <c r="V20" s="93"/>
      <c r="W20" s="85"/>
      <c r="Y20" s="94"/>
      <c r="Z20" s="93"/>
      <c r="AA20" s="85"/>
      <c r="AC20" s="94"/>
      <c r="AD20" s="93"/>
      <c r="AE20" s="85"/>
    </row>
    <row r="21" spans="5:31" x14ac:dyDescent="0.35">
      <c r="E21" s="92">
        <v>1</v>
      </c>
      <c r="F21" s="97" t="s">
        <v>699</v>
      </c>
      <c r="G21" s="92" t="s">
        <v>1308</v>
      </c>
      <c r="H21" s="90">
        <v>32000</v>
      </c>
      <c r="I21" s="94"/>
      <c r="J21" s="93"/>
      <c r="K21" s="85"/>
      <c r="M21" s="94"/>
      <c r="N21" s="93"/>
      <c r="O21" s="85"/>
      <c r="Q21" s="94"/>
      <c r="R21" s="93"/>
      <c r="S21" s="85"/>
      <c r="U21" s="94"/>
      <c r="V21" s="93"/>
      <c r="W21" s="85"/>
      <c r="Y21" s="94"/>
      <c r="Z21" s="93"/>
      <c r="AA21" s="85"/>
      <c r="AC21" s="94"/>
      <c r="AD21" s="93"/>
      <c r="AE21" s="85"/>
    </row>
    <row r="22" spans="5:31" x14ac:dyDescent="0.35">
      <c r="E22" s="85">
        <v>1</v>
      </c>
      <c r="F22" s="93">
        <v>44886</v>
      </c>
      <c r="G22" s="85" t="s">
        <v>1309</v>
      </c>
      <c r="H22" s="87">
        <v>402.93</v>
      </c>
      <c r="I22" s="94"/>
      <c r="J22" s="93"/>
      <c r="K22" s="85"/>
      <c r="M22" s="94"/>
      <c r="N22" s="93"/>
      <c r="O22" s="85"/>
      <c r="Q22" s="94"/>
      <c r="R22" s="93"/>
      <c r="S22" s="85"/>
      <c r="U22" s="94"/>
      <c r="V22" s="93"/>
      <c r="W22" s="85"/>
      <c r="Y22" s="94"/>
      <c r="Z22" s="93"/>
      <c r="AA22" s="85"/>
      <c r="AC22" s="94"/>
      <c r="AD22" s="93"/>
      <c r="AE22" s="85"/>
    </row>
    <row r="23" spans="5:31" x14ac:dyDescent="0.35">
      <c r="F23" s="93"/>
      <c r="G23" s="85"/>
      <c r="H23" s="87"/>
      <c r="I23" s="94"/>
      <c r="J23" s="93"/>
      <c r="K23" s="85"/>
      <c r="M23" s="94"/>
      <c r="N23" s="93"/>
      <c r="O23" s="85"/>
      <c r="Q23" s="94"/>
      <c r="R23" s="93"/>
      <c r="S23" s="85"/>
      <c r="U23" s="94"/>
      <c r="V23" s="93"/>
      <c r="W23" s="85"/>
      <c r="Y23" s="94"/>
      <c r="Z23" s="93"/>
      <c r="AA23" s="85"/>
      <c r="AC23" s="94"/>
      <c r="AD23" s="93"/>
      <c r="AE23" s="85"/>
    </row>
    <row r="24" spans="5:31" x14ac:dyDescent="0.35">
      <c r="F24" s="93"/>
      <c r="G24" s="85"/>
      <c r="H24" s="87"/>
      <c r="I24" s="94"/>
      <c r="J24" s="93"/>
      <c r="K24" s="85"/>
      <c r="M24" s="94"/>
      <c r="N24" s="93"/>
      <c r="O24" s="85"/>
      <c r="Q24" s="94"/>
      <c r="R24" s="93"/>
      <c r="S24" s="85"/>
      <c r="U24" s="94"/>
      <c r="V24" s="93"/>
      <c r="W24" s="85"/>
      <c r="Y24" s="94"/>
      <c r="Z24" s="93"/>
      <c r="AA24" s="85"/>
      <c r="AC24" s="94"/>
      <c r="AD24" s="93"/>
      <c r="AE24" s="85"/>
    </row>
    <row r="25" spans="5:31" x14ac:dyDescent="0.35">
      <c r="F25" s="93"/>
      <c r="G25" s="85"/>
      <c r="H25" s="87"/>
      <c r="I25" s="94"/>
      <c r="J25" s="93"/>
      <c r="K25" s="85"/>
      <c r="M25" s="94"/>
      <c r="N25" s="93"/>
      <c r="O25" s="85"/>
      <c r="Q25" s="94"/>
      <c r="R25" s="93"/>
      <c r="S25" s="85"/>
      <c r="U25" s="94"/>
      <c r="V25" s="93"/>
      <c r="W25" s="85"/>
      <c r="Y25" s="94"/>
      <c r="Z25" s="93"/>
      <c r="AA25" s="85"/>
      <c r="AC25" s="94"/>
      <c r="AD25" s="93"/>
      <c r="AE25" s="85"/>
    </row>
    <row r="26" spans="5:31" x14ac:dyDescent="0.35">
      <c r="F26" s="93"/>
      <c r="G26" s="85"/>
      <c r="H26" s="87"/>
      <c r="I26" s="94"/>
      <c r="J26" s="93"/>
      <c r="K26" s="85"/>
      <c r="M26" s="94"/>
      <c r="N26" s="93"/>
      <c r="O26" s="85"/>
      <c r="Q26" s="94"/>
      <c r="R26" s="93"/>
      <c r="S26" s="85"/>
      <c r="U26" s="94"/>
      <c r="V26" s="93"/>
      <c r="W26" s="85"/>
      <c r="Y26" s="94"/>
      <c r="Z26" s="93"/>
      <c r="AA26" s="85"/>
      <c r="AC26" s="94"/>
      <c r="AD26" s="93"/>
      <c r="AE26" s="85"/>
    </row>
    <row r="27" spans="5:31" x14ac:dyDescent="0.35">
      <c r="F27" s="93"/>
      <c r="G27" s="85"/>
      <c r="H27" s="87"/>
      <c r="I27" s="94"/>
      <c r="J27" s="93"/>
      <c r="K27" s="85"/>
      <c r="M27" s="94"/>
      <c r="N27" s="93"/>
      <c r="O27" s="85"/>
      <c r="Q27" s="94"/>
      <c r="R27" s="93"/>
      <c r="S27" s="85"/>
      <c r="U27" s="94"/>
      <c r="V27" s="93"/>
      <c r="W27" s="85"/>
      <c r="Y27" s="94"/>
      <c r="Z27" s="93"/>
      <c r="AA27" s="85"/>
      <c r="AC27" s="94"/>
      <c r="AD27" s="93"/>
      <c r="AE27" s="85"/>
    </row>
    <row r="28" spans="5:31" x14ac:dyDescent="0.35">
      <c r="F28" s="93"/>
      <c r="G28" s="85"/>
      <c r="H28" s="87"/>
      <c r="I28" s="94"/>
      <c r="J28" s="93"/>
      <c r="K28" s="85"/>
      <c r="M28" s="94"/>
      <c r="N28" s="93"/>
      <c r="O28" s="85"/>
      <c r="Q28" s="94"/>
      <c r="R28" s="93"/>
      <c r="S28" s="85"/>
      <c r="U28" s="94"/>
      <c r="V28" s="93"/>
      <c r="W28" s="85"/>
      <c r="Y28" s="94"/>
      <c r="Z28" s="93"/>
      <c r="AA28" s="85"/>
      <c r="AC28" s="94"/>
      <c r="AD28" s="93"/>
      <c r="AE28" s="85"/>
    </row>
    <row r="29" spans="5:31" x14ac:dyDescent="0.35">
      <c r="F29" s="93"/>
      <c r="G29" s="85"/>
      <c r="H29" s="87"/>
      <c r="I29" s="94"/>
      <c r="J29" s="93"/>
      <c r="K29" s="85"/>
      <c r="M29" s="94"/>
      <c r="N29" s="93"/>
      <c r="O29" s="85"/>
      <c r="Q29" s="94"/>
      <c r="R29" s="93"/>
      <c r="S29" s="85"/>
      <c r="U29" s="94"/>
      <c r="V29" s="93"/>
      <c r="W29" s="85"/>
      <c r="Y29" s="94"/>
      <c r="Z29" s="93"/>
      <c r="AA29" s="85"/>
      <c r="AC29" s="94"/>
      <c r="AD29" s="93"/>
      <c r="AE29" s="85"/>
    </row>
    <row r="30" spans="5:31" x14ac:dyDescent="0.35">
      <c r="F30" s="93"/>
      <c r="G30" s="85"/>
      <c r="H30" s="87"/>
      <c r="I30" s="94"/>
      <c r="J30" s="93"/>
      <c r="K30" s="85"/>
      <c r="M30" s="94"/>
      <c r="N30" s="93"/>
      <c r="O30" s="85"/>
      <c r="Q30" s="94"/>
      <c r="R30" s="93"/>
      <c r="S30" s="85"/>
      <c r="U30" s="94"/>
      <c r="V30" s="93"/>
      <c r="W30" s="85"/>
      <c r="Y30" s="94"/>
      <c r="Z30" s="93"/>
      <c r="AA30" s="85"/>
      <c r="AC30" s="94"/>
      <c r="AD30" s="93"/>
      <c r="AE30" s="85"/>
    </row>
    <row r="31" spans="5:31" x14ac:dyDescent="0.35">
      <c r="F31" s="93"/>
      <c r="G31" s="85"/>
      <c r="H31" s="87"/>
      <c r="I31" s="94"/>
      <c r="J31" s="93"/>
      <c r="K31" s="85"/>
      <c r="M31" s="94"/>
      <c r="N31" s="93"/>
      <c r="O31" s="85"/>
      <c r="Q31" s="94"/>
      <c r="R31" s="93"/>
      <c r="S31" s="85"/>
      <c r="U31" s="94"/>
      <c r="V31" s="93"/>
      <c r="W31" s="85"/>
      <c r="Y31" s="94"/>
      <c r="Z31" s="93"/>
      <c r="AA31" s="85"/>
      <c r="AC31" s="94"/>
      <c r="AD31" s="93"/>
      <c r="AE31" s="85"/>
    </row>
    <row r="32" spans="5: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36" priority="1">
      <formula>$A4="Spend to Date"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pageSetUpPr fitToPage="1"/>
  </sheetPr>
  <dimension ref="A1:AL60"/>
  <sheetViews>
    <sheetView topLeftCell="A23" zoomScale="50" zoomScaleNormal="50" workbookViewId="0">
      <selection activeCell="M30" sqref="M30"/>
    </sheetView>
  </sheetViews>
  <sheetFormatPr defaultRowHeight="14.5" x14ac:dyDescent="0.35"/>
  <cols>
    <col min="1" max="1" width="26.453125" bestFit="1" customWidth="1"/>
    <col min="2" max="2" width="28.1796875" bestFit="1" customWidth="1"/>
    <col min="3" max="3" width="26.453125" bestFit="1" customWidth="1"/>
    <col min="4" max="4" width="27.54296875" bestFit="1" customWidth="1"/>
    <col min="5" max="6" width="28.1796875" bestFit="1" customWidth="1"/>
    <col min="7" max="8" width="37.54296875" bestFit="1" customWidth="1"/>
    <col min="9" max="9" width="27.54296875" bestFit="1" customWidth="1"/>
    <col min="10" max="10" width="32.453125" bestFit="1" customWidth="1"/>
    <col min="11" max="11" width="27.54296875" bestFit="1" customWidth="1"/>
    <col min="12" max="12" width="25.54296875" bestFit="1" customWidth="1"/>
    <col min="13" max="13" width="23.453125" bestFit="1" customWidth="1"/>
    <col min="14" max="14" width="25.453125" bestFit="1" customWidth="1"/>
    <col min="15" max="15" width="26" bestFit="1" customWidth="1"/>
    <col min="16" max="16" width="19.1796875" bestFit="1" customWidth="1"/>
    <col min="17" max="17" width="23.453125" bestFit="1" customWidth="1"/>
    <col min="18" max="18" width="25.54296875" bestFit="1" customWidth="1"/>
    <col min="19" max="19" width="24.1796875" bestFit="1" customWidth="1"/>
    <col min="20" max="20" width="23.453125" bestFit="1" customWidth="1"/>
    <col min="21" max="21" width="21.1796875" bestFit="1" customWidth="1"/>
    <col min="22" max="22" width="14.453125" bestFit="1" customWidth="1"/>
    <col min="23" max="23" width="27.54296875" bestFit="1" customWidth="1"/>
    <col min="24" max="24" width="18.453125" bestFit="1" customWidth="1"/>
    <col min="25" max="25" width="25.54296875" bestFit="1" customWidth="1"/>
    <col min="26" max="26" width="26" bestFit="1" customWidth="1"/>
    <col min="27" max="27" width="25.453125" bestFit="1" customWidth="1"/>
    <col min="28" max="28" width="24.1796875" bestFit="1" customWidth="1"/>
    <col min="29" max="29" width="21.54296875" bestFit="1" customWidth="1"/>
    <col min="30" max="30" width="25.54296875" bestFit="1" customWidth="1"/>
    <col min="31" max="31" width="24.453125" bestFit="1" customWidth="1"/>
    <col min="32" max="32" width="27.54296875" bestFit="1" customWidth="1"/>
    <col min="33" max="33" width="19.1796875" bestFit="1" customWidth="1"/>
    <col min="34" max="34" width="32.453125" bestFit="1" customWidth="1"/>
    <col min="35" max="35" width="19.54296875" bestFit="1" customWidth="1"/>
    <col min="36" max="36" width="24.453125" bestFit="1" customWidth="1"/>
    <col min="37" max="37" width="21.453125" bestFit="1" customWidth="1"/>
    <col min="38" max="38" width="26.453125" bestFit="1" customWidth="1"/>
  </cols>
  <sheetData>
    <row r="1" spans="1:38" hidden="1" x14ac:dyDescent="0.35">
      <c r="A1" t="s">
        <v>0</v>
      </c>
      <c r="B1" t="s">
        <v>15</v>
      </c>
      <c r="C1" t="s">
        <v>22</v>
      </c>
      <c r="D1" t="s">
        <v>26</v>
      </c>
      <c r="E1" t="s">
        <v>44</v>
      </c>
      <c r="F1" t="s">
        <v>52</v>
      </c>
      <c r="G1" t="s">
        <v>65</v>
      </c>
      <c r="H1" t="s">
        <v>70</v>
      </c>
      <c r="I1" t="s">
        <v>84</v>
      </c>
      <c r="J1" t="s">
        <v>97</v>
      </c>
      <c r="K1" t="s">
        <v>110</v>
      </c>
      <c r="L1" t="s">
        <v>119</v>
      </c>
      <c r="M1" t="s">
        <v>125</v>
      </c>
      <c r="N1" t="s">
        <v>132</v>
      </c>
      <c r="O1" t="s">
        <v>139</v>
      </c>
      <c r="P1" t="s">
        <v>145</v>
      </c>
      <c r="Q1" t="s">
        <v>148</v>
      </c>
      <c r="R1" t="s">
        <v>152</v>
      </c>
      <c r="S1" t="s">
        <v>157</v>
      </c>
      <c r="T1" t="s">
        <v>162</v>
      </c>
      <c r="U1" t="s">
        <v>166</v>
      </c>
      <c r="V1" t="s">
        <v>170</v>
      </c>
      <c r="W1" t="s">
        <v>174</v>
      </c>
      <c r="X1" t="s">
        <v>177</v>
      </c>
      <c r="Y1" t="s">
        <v>181</v>
      </c>
      <c r="Z1" t="s">
        <v>191</v>
      </c>
      <c r="AA1" t="s">
        <v>198</v>
      </c>
      <c r="AB1" t="s">
        <v>207</v>
      </c>
      <c r="AC1" t="s">
        <v>215</v>
      </c>
      <c r="AD1" t="s">
        <v>221</v>
      </c>
      <c r="AE1" t="s">
        <v>242</v>
      </c>
      <c r="AF1" t="s">
        <v>257</v>
      </c>
      <c r="AG1" t="s">
        <v>270</v>
      </c>
      <c r="AH1" t="s">
        <v>273</v>
      </c>
      <c r="AI1" t="s">
        <v>285</v>
      </c>
      <c r="AJ1" t="s">
        <v>290</v>
      </c>
      <c r="AK1" t="s">
        <v>294</v>
      </c>
      <c r="AL1" t="s">
        <v>302</v>
      </c>
    </row>
    <row r="2" spans="1:38" hidden="1" x14ac:dyDescent="0.35">
      <c r="A2" t="s">
        <v>10</v>
      </c>
      <c r="B2" t="s">
        <v>10</v>
      </c>
      <c r="C2" t="s">
        <v>10</v>
      </c>
      <c r="D2" t="s">
        <v>10</v>
      </c>
      <c r="E2" t="s">
        <v>10</v>
      </c>
      <c r="F2" t="s">
        <v>10</v>
      </c>
      <c r="G2" t="s">
        <v>10</v>
      </c>
      <c r="H2" t="s">
        <v>10</v>
      </c>
      <c r="I2" t="s">
        <v>10</v>
      </c>
      <c r="J2" t="s">
        <v>10</v>
      </c>
      <c r="K2" t="s">
        <v>10</v>
      </c>
      <c r="L2" t="s">
        <v>10</v>
      </c>
      <c r="M2" t="s">
        <v>10</v>
      </c>
      <c r="N2" t="s">
        <v>10</v>
      </c>
      <c r="O2" t="s">
        <v>10</v>
      </c>
      <c r="P2" t="s">
        <v>10</v>
      </c>
      <c r="Q2" t="s">
        <v>10</v>
      </c>
      <c r="R2" t="s">
        <v>10</v>
      </c>
      <c r="S2" t="s">
        <v>10</v>
      </c>
      <c r="T2" t="s">
        <v>10</v>
      </c>
      <c r="U2" t="s">
        <v>10</v>
      </c>
      <c r="V2" t="s">
        <v>10</v>
      </c>
      <c r="W2" t="s">
        <v>10</v>
      </c>
      <c r="X2" t="s">
        <v>10</v>
      </c>
      <c r="Y2" t="s">
        <v>10</v>
      </c>
      <c r="Z2" t="s">
        <v>10</v>
      </c>
      <c r="AA2" t="s">
        <v>10</v>
      </c>
      <c r="AB2" t="s">
        <v>10</v>
      </c>
      <c r="AC2" t="s">
        <v>10</v>
      </c>
      <c r="AD2" t="s">
        <v>10</v>
      </c>
      <c r="AE2" t="s">
        <v>10</v>
      </c>
      <c r="AF2" t="s">
        <v>10</v>
      </c>
      <c r="AG2" t="s">
        <v>10</v>
      </c>
      <c r="AH2" t="s">
        <v>10</v>
      </c>
      <c r="AI2" t="s">
        <v>10</v>
      </c>
      <c r="AJ2" t="s">
        <v>10</v>
      </c>
      <c r="AK2" t="s">
        <v>10</v>
      </c>
      <c r="AL2" t="s">
        <v>10</v>
      </c>
    </row>
    <row r="3" spans="1:38" hidden="1" x14ac:dyDescent="0.35">
      <c r="A3" t="s">
        <v>11</v>
      </c>
      <c r="B3" t="s">
        <v>15</v>
      </c>
      <c r="C3" t="s">
        <v>22</v>
      </c>
      <c r="D3" t="s">
        <v>27</v>
      </c>
      <c r="E3" t="s">
        <v>44</v>
      </c>
      <c r="F3" t="s">
        <v>52</v>
      </c>
      <c r="G3" t="s">
        <v>65</v>
      </c>
      <c r="H3" t="s">
        <v>70</v>
      </c>
      <c r="I3" t="s">
        <v>84</v>
      </c>
      <c r="J3" t="s">
        <v>97</v>
      </c>
      <c r="K3" t="s">
        <v>110</v>
      </c>
      <c r="L3" t="s">
        <v>119</v>
      </c>
      <c r="M3" t="s">
        <v>125</v>
      </c>
      <c r="N3" t="s">
        <v>132</v>
      </c>
      <c r="O3" t="s">
        <v>139</v>
      </c>
      <c r="P3" t="s">
        <v>145</v>
      </c>
      <c r="Q3" t="s">
        <v>148</v>
      </c>
      <c r="R3" t="s">
        <v>152</v>
      </c>
      <c r="S3" t="s">
        <v>157</v>
      </c>
      <c r="T3" t="s">
        <v>162</v>
      </c>
      <c r="U3" t="s">
        <v>166</v>
      </c>
      <c r="V3" t="s">
        <v>171</v>
      </c>
      <c r="W3" t="s">
        <v>174</v>
      </c>
      <c r="X3" t="s">
        <v>177</v>
      </c>
      <c r="Y3" t="s">
        <v>181</v>
      </c>
      <c r="Z3" t="s">
        <v>191</v>
      </c>
      <c r="AA3" t="s">
        <v>198</v>
      </c>
      <c r="AB3" t="s">
        <v>207</v>
      </c>
      <c r="AC3" t="s">
        <v>216</v>
      </c>
      <c r="AD3" t="s">
        <v>221</v>
      </c>
      <c r="AE3" t="s">
        <v>242</v>
      </c>
      <c r="AF3" t="s">
        <v>257</v>
      </c>
      <c r="AG3" t="s">
        <v>270</v>
      </c>
      <c r="AH3" t="s">
        <v>273</v>
      </c>
      <c r="AI3" t="s">
        <v>285</v>
      </c>
      <c r="AJ3" t="s">
        <v>290</v>
      </c>
      <c r="AK3" t="s">
        <v>294</v>
      </c>
      <c r="AL3" t="s">
        <v>303</v>
      </c>
    </row>
    <row r="4" spans="1:38" hidden="1" x14ac:dyDescent="0.35">
      <c r="D4" t="s">
        <v>28</v>
      </c>
      <c r="F4" t="s">
        <v>53</v>
      </c>
      <c r="G4" t="s">
        <v>330</v>
      </c>
      <c r="H4" t="s">
        <v>72</v>
      </c>
      <c r="J4" t="s">
        <v>99</v>
      </c>
      <c r="K4" t="s">
        <v>112</v>
      </c>
      <c r="L4" t="s">
        <v>72</v>
      </c>
      <c r="M4" t="s">
        <v>72</v>
      </c>
      <c r="O4" t="s">
        <v>72</v>
      </c>
      <c r="P4" t="s">
        <v>72</v>
      </c>
      <c r="Q4" t="s">
        <v>149</v>
      </c>
      <c r="R4" t="s">
        <v>72</v>
      </c>
      <c r="S4" t="s">
        <v>161</v>
      </c>
      <c r="T4" t="s">
        <v>163</v>
      </c>
      <c r="U4" t="s">
        <v>167</v>
      </c>
      <c r="W4" t="s">
        <v>175</v>
      </c>
      <c r="X4" t="s">
        <v>178</v>
      </c>
      <c r="Y4" t="s">
        <v>183</v>
      </c>
      <c r="Z4" t="s">
        <v>192</v>
      </c>
      <c r="AA4" t="s">
        <v>200</v>
      </c>
      <c r="AC4" t="s">
        <v>331</v>
      </c>
      <c r="AD4" t="s">
        <v>223</v>
      </c>
      <c r="AE4" t="s">
        <v>244</v>
      </c>
      <c r="AJ4" t="s">
        <v>291</v>
      </c>
      <c r="AK4" t="s">
        <v>296</v>
      </c>
      <c r="AL4" t="s">
        <v>304</v>
      </c>
    </row>
    <row r="5" spans="1:38" hidden="1" x14ac:dyDescent="0.35">
      <c r="A5" t="s">
        <v>13</v>
      </c>
      <c r="B5" t="s">
        <v>17</v>
      </c>
      <c r="C5" t="s">
        <v>25</v>
      </c>
      <c r="D5" t="s">
        <v>29</v>
      </c>
      <c r="E5" t="s">
        <v>46</v>
      </c>
      <c r="I5" t="s">
        <v>86</v>
      </c>
      <c r="K5" t="s">
        <v>82</v>
      </c>
      <c r="N5" t="s">
        <v>134</v>
      </c>
      <c r="O5" t="s">
        <v>140</v>
      </c>
      <c r="R5" t="s">
        <v>153</v>
      </c>
      <c r="S5" t="s">
        <v>159</v>
      </c>
      <c r="T5" t="s">
        <v>164</v>
      </c>
      <c r="U5" t="s">
        <v>168</v>
      </c>
      <c r="V5" t="s">
        <v>173</v>
      </c>
      <c r="W5" t="s">
        <v>72</v>
      </c>
      <c r="X5" t="s">
        <v>72</v>
      </c>
      <c r="Z5" t="s">
        <v>72</v>
      </c>
      <c r="AB5" t="s">
        <v>209</v>
      </c>
      <c r="AD5" t="s">
        <v>225</v>
      </c>
      <c r="AE5" t="s">
        <v>245</v>
      </c>
      <c r="AF5" t="s">
        <v>258</v>
      </c>
      <c r="AG5" t="s">
        <v>271</v>
      </c>
      <c r="AH5" t="s">
        <v>274</v>
      </c>
      <c r="AI5" t="s">
        <v>286</v>
      </c>
      <c r="AK5" t="s">
        <v>297</v>
      </c>
    </row>
    <row r="6" spans="1:38" hidden="1" x14ac:dyDescent="0.35">
      <c r="A6" t="s">
        <v>13</v>
      </c>
      <c r="B6" t="s">
        <v>17</v>
      </c>
      <c r="C6" t="s">
        <v>25</v>
      </c>
      <c r="D6" t="s">
        <v>30</v>
      </c>
      <c r="E6" t="s">
        <v>46</v>
      </c>
      <c r="F6" t="s">
        <v>31</v>
      </c>
      <c r="G6" t="s">
        <v>59</v>
      </c>
      <c r="H6" t="s">
        <v>73</v>
      </c>
      <c r="I6" t="s">
        <v>86</v>
      </c>
      <c r="J6" t="s">
        <v>101</v>
      </c>
      <c r="K6" t="s">
        <v>72</v>
      </c>
      <c r="L6" t="s">
        <v>120</v>
      </c>
      <c r="M6" t="s">
        <v>128</v>
      </c>
      <c r="N6" t="s">
        <v>134</v>
      </c>
      <c r="P6" t="s">
        <v>146</v>
      </c>
      <c r="Q6" t="s">
        <v>150</v>
      </c>
      <c r="S6" t="s">
        <v>72</v>
      </c>
      <c r="T6" t="s">
        <v>72</v>
      </c>
      <c r="V6" t="s">
        <v>173</v>
      </c>
      <c r="W6" t="s">
        <v>153</v>
      </c>
      <c r="Y6" t="s">
        <v>185</v>
      </c>
      <c r="AA6" t="s">
        <v>201</v>
      </c>
      <c r="AB6" t="s">
        <v>210</v>
      </c>
      <c r="AC6" t="s">
        <v>217</v>
      </c>
      <c r="AD6" t="s">
        <v>72</v>
      </c>
      <c r="AF6" t="s">
        <v>258</v>
      </c>
      <c r="AG6" t="s">
        <v>271</v>
      </c>
      <c r="AH6" t="s">
        <v>274</v>
      </c>
      <c r="AI6" t="s">
        <v>286</v>
      </c>
      <c r="AJ6" t="s">
        <v>292</v>
      </c>
      <c r="AL6" t="s">
        <v>302</v>
      </c>
    </row>
    <row r="7" spans="1:38" hidden="1" x14ac:dyDescent="0.35">
      <c r="A7" t="s">
        <v>14</v>
      </c>
      <c r="B7" t="s">
        <v>19</v>
      </c>
      <c r="E7" t="s">
        <v>47</v>
      </c>
      <c r="F7" t="s">
        <v>54</v>
      </c>
      <c r="G7" t="s">
        <v>59</v>
      </c>
      <c r="H7" t="s">
        <v>74</v>
      </c>
      <c r="I7" t="s">
        <v>87</v>
      </c>
      <c r="J7" t="s">
        <v>101</v>
      </c>
      <c r="L7" t="s">
        <v>120</v>
      </c>
      <c r="M7" t="s">
        <v>129</v>
      </c>
      <c r="N7" t="s">
        <v>130</v>
      </c>
      <c r="O7" t="s">
        <v>141</v>
      </c>
      <c r="P7" t="s">
        <v>146</v>
      </c>
      <c r="Q7" t="s">
        <v>150</v>
      </c>
      <c r="R7" t="s">
        <v>154</v>
      </c>
      <c r="U7" t="s">
        <v>169</v>
      </c>
      <c r="X7" t="s">
        <v>179</v>
      </c>
      <c r="Y7" t="s">
        <v>186</v>
      </c>
      <c r="Z7" t="s">
        <v>193</v>
      </c>
      <c r="AA7" t="s">
        <v>201</v>
      </c>
      <c r="AB7" t="s">
        <v>211</v>
      </c>
      <c r="AC7" t="s">
        <v>332</v>
      </c>
      <c r="AE7" t="s">
        <v>246</v>
      </c>
      <c r="AF7" t="s">
        <v>259</v>
      </c>
      <c r="AG7" t="s">
        <v>272</v>
      </c>
      <c r="AH7" t="s">
        <v>275</v>
      </c>
      <c r="AI7" t="s">
        <v>287</v>
      </c>
      <c r="AJ7" t="s">
        <v>292</v>
      </c>
      <c r="AK7" t="s">
        <v>298</v>
      </c>
      <c r="AL7" t="s">
        <v>305</v>
      </c>
    </row>
    <row r="8" spans="1:38" hidden="1" x14ac:dyDescent="0.35">
      <c r="B8" t="s">
        <v>20</v>
      </c>
      <c r="D8" t="s">
        <v>31</v>
      </c>
      <c r="E8" t="s">
        <v>48</v>
      </c>
      <c r="F8" t="s">
        <v>55</v>
      </c>
      <c r="G8" t="s">
        <v>61</v>
      </c>
      <c r="H8" t="s">
        <v>75</v>
      </c>
      <c r="I8" t="s">
        <v>93</v>
      </c>
      <c r="J8" t="s">
        <v>333</v>
      </c>
      <c r="K8" t="s">
        <v>113</v>
      </c>
      <c r="L8" t="s">
        <v>121</v>
      </c>
      <c r="M8" t="s">
        <v>130</v>
      </c>
      <c r="N8" t="s">
        <v>136</v>
      </c>
      <c r="O8" t="s">
        <v>141</v>
      </c>
      <c r="P8" t="s">
        <v>147</v>
      </c>
      <c r="Q8" t="s">
        <v>130</v>
      </c>
      <c r="R8" t="s">
        <v>154</v>
      </c>
      <c r="S8" t="s">
        <v>160</v>
      </c>
      <c r="T8" t="s">
        <v>165</v>
      </c>
      <c r="U8" t="s">
        <v>169</v>
      </c>
      <c r="W8" t="s">
        <v>176</v>
      </c>
      <c r="X8" t="s">
        <v>179</v>
      </c>
      <c r="Y8" t="s">
        <v>124</v>
      </c>
      <c r="Z8" t="s">
        <v>193</v>
      </c>
      <c r="AA8" t="s">
        <v>202</v>
      </c>
      <c r="AB8" t="s">
        <v>212</v>
      </c>
      <c r="AC8" t="s">
        <v>220</v>
      </c>
      <c r="AD8" t="s">
        <v>227</v>
      </c>
      <c r="AE8" t="s">
        <v>246</v>
      </c>
      <c r="AF8" t="s">
        <v>260</v>
      </c>
      <c r="AG8" t="s">
        <v>279</v>
      </c>
      <c r="AH8" t="s">
        <v>276</v>
      </c>
      <c r="AI8" t="s">
        <v>288</v>
      </c>
      <c r="AJ8" t="s">
        <v>293</v>
      </c>
      <c r="AK8" t="s">
        <v>298</v>
      </c>
      <c r="AL8" t="s">
        <v>306</v>
      </c>
    </row>
    <row r="9" spans="1:38" hidden="1" x14ac:dyDescent="0.35">
      <c r="B9" t="s">
        <v>21</v>
      </c>
      <c r="D9" t="s">
        <v>27</v>
      </c>
      <c r="E9" t="s">
        <v>49</v>
      </c>
      <c r="F9" t="s">
        <v>56</v>
      </c>
      <c r="G9" t="s">
        <v>62</v>
      </c>
      <c r="H9" t="s">
        <v>76</v>
      </c>
      <c r="I9" t="s">
        <v>94</v>
      </c>
      <c r="J9" t="s">
        <v>104</v>
      </c>
      <c r="K9" t="s">
        <v>113</v>
      </c>
      <c r="L9" t="s">
        <v>122</v>
      </c>
      <c r="M9" t="s">
        <v>124</v>
      </c>
      <c r="N9" t="s">
        <v>137</v>
      </c>
      <c r="O9" t="s">
        <v>130</v>
      </c>
      <c r="P9" t="s">
        <v>80</v>
      </c>
      <c r="Q9" t="s">
        <v>151</v>
      </c>
      <c r="R9" t="s">
        <v>124</v>
      </c>
      <c r="S9" t="s">
        <v>160</v>
      </c>
      <c r="T9" t="s">
        <v>165</v>
      </c>
      <c r="U9" t="s">
        <v>80</v>
      </c>
      <c r="W9" t="s">
        <v>176</v>
      </c>
      <c r="X9" t="s">
        <v>80</v>
      </c>
      <c r="Y9" t="s">
        <v>130</v>
      </c>
      <c r="Z9" t="s">
        <v>130</v>
      </c>
      <c r="AA9" t="s">
        <v>124</v>
      </c>
      <c r="AB9" t="s">
        <v>213</v>
      </c>
      <c r="AD9" t="s">
        <v>227</v>
      </c>
      <c r="AE9" t="s">
        <v>247</v>
      </c>
      <c r="AF9" t="s">
        <v>261</v>
      </c>
      <c r="AG9" t="s">
        <v>281</v>
      </c>
      <c r="AH9" t="s">
        <v>334</v>
      </c>
      <c r="AI9" t="s">
        <v>289</v>
      </c>
      <c r="AK9" t="s">
        <v>299</v>
      </c>
    </row>
    <row r="10" spans="1:38" hidden="1" x14ac:dyDescent="0.35">
      <c r="D10" t="s">
        <v>32</v>
      </c>
      <c r="E10" t="s">
        <v>50</v>
      </c>
      <c r="G10" t="s">
        <v>63</v>
      </c>
      <c r="H10" t="s">
        <v>78</v>
      </c>
      <c r="I10" t="s">
        <v>95</v>
      </c>
      <c r="J10" t="s">
        <v>105</v>
      </c>
      <c r="K10" t="s">
        <v>76</v>
      </c>
      <c r="L10" t="s">
        <v>123</v>
      </c>
      <c r="M10" t="s">
        <v>80</v>
      </c>
      <c r="N10" t="s">
        <v>138</v>
      </c>
      <c r="O10" t="s">
        <v>124</v>
      </c>
      <c r="P10" t="s">
        <v>75</v>
      </c>
      <c r="Q10" t="s">
        <v>80</v>
      </c>
      <c r="R10" t="s">
        <v>75</v>
      </c>
      <c r="S10" t="s">
        <v>130</v>
      </c>
      <c r="T10" t="s">
        <v>80</v>
      </c>
      <c r="U10" t="s">
        <v>75</v>
      </c>
      <c r="W10" t="s">
        <v>80</v>
      </c>
      <c r="X10" t="s">
        <v>75</v>
      </c>
      <c r="Y10" t="s">
        <v>187</v>
      </c>
      <c r="Z10" t="s">
        <v>195</v>
      </c>
      <c r="AA10" t="s">
        <v>203</v>
      </c>
      <c r="AB10" t="s">
        <v>214</v>
      </c>
      <c r="AD10" t="s">
        <v>228</v>
      </c>
      <c r="AE10" t="s">
        <v>248</v>
      </c>
      <c r="AF10" t="s">
        <v>262</v>
      </c>
      <c r="AH10" t="s">
        <v>283</v>
      </c>
      <c r="AK10" t="s">
        <v>296</v>
      </c>
    </row>
    <row r="11" spans="1:38" hidden="1" x14ac:dyDescent="0.35">
      <c r="D11" t="s">
        <v>33</v>
      </c>
      <c r="E11" t="s">
        <v>335</v>
      </c>
      <c r="G11" t="s">
        <v>336</v>
      </c>
      <c r="H11" t="s">
        <v>79</v>
      </c>
      <c r="J11" t="s">
        <v>106</v>
      </c>
      <c r="K11" t="s">
        <v>115</v>
      </c>
      <c r="L11" t="s">
        <v>124</v>
      </c>
      <c r="M11" t="s">
        <v>75</v>
      </c>
      <c r="N11" t="s">
        <v>75</v>
      </c>
      <c r="O11" t="s">
        <v>75</v>
      </c>
      <c r="R11" t="s">
        <v>80</v>
      </c>
      <c r="S11" t="s">
        <v>75</v>
      </c>
      <c r="T11" t="s">
        <v>130</v>
      </c>
      <c r="W11" t="s">
        <v>124</v>
      </c>
      <c r="X11" t="s">
        <v>124</v>
      </c>
      <c r="Y11" t="s">
        <v>188</v>
      </c>
      <c r="Z11" t="s">
        <v>196</v>
      </c>
      <c r="AA11" t="s">
        <v>204</v>
      </c>
      <c r="AD11" t="s">
        <v>229</v>
      </c>
      <c r="AE11" t="s">
        <v>249</v>
      </c>
      <c r="AF11" t="s">
        <v>337</v>
      </c>
      <c r="AH11" t="s">
        <v>284</v>
      </c>
      <c r="AK11" t="s">
        <v>338</v>
      </c>
    </row>
    <row r="12" spans="1:38" hidden="1" x14ac:dyDescent="0.35">
      <c r="D12" t="s">
        <v>34</v>
      </c>
      <c r="G12" t="s">
        <v>69</v>
      </c>
      <c r="H12" t="s">
        <v>80</v>
      </c>
      <c r="J12" t="s">
        <v>107</v>
      </c>
      <c r="K12" t="s">
        <v>80</v>
      </c>
      <c r="M12" t="s">
        <v>131</v>
      </c>
      <c r="O12" t="s">
        <v>80</v>
      </c>
      <c r="R12" t="s">
        <v>142</v>
      </c>
      <c r="S12" t="s">
        <v>161</v>
      </c>
      <c r="T12" t="s">
        <v>124</v>
      </c>
      <c r="W12" t="s">
        <v>130</v>
      </c>
      <c r="X12" t="s">
        <v>142</v>
      </c>
      <c r="Y12" t="s">
        <v>339</v>
      </c>
      <c r="Z12" t="s">
        <v>197</v>
      </c>
      <c r="AA12" t="s">
        <v>205</v>
      </c>
      <c r="AD12" t="s">
        <v>230</v>
      </c>
      <c r="AE12" t="s">
        <v>250</v>
      </c>
      <c r="AF12" t="s">
        <v>264</v>
      </c>
      <c r="AK12" t="s">
        <v>301</v>
      </c>
    </row>
    <row r="13" spans="1:38" hidden="1" x14ac:dyDescent="0.35">
      <c r="D13" t="s">
        <v>35</v>
      </c>
      <c r="H13" t="s">
        <v>81</v>
      </c>
      <c r="J13" t="s">
        <v>108</v>
      </c>
      <c r="K13" t="s">
        <v>116</v>
      </c>
      <c r="O13" t="s">
        <v>142</v>
      </c>
      <c r="R13" t="s">
        <v>143</v>
      </c>
      <c r="S13" t="s">
        <v>80</v>
      </c>
      <c r="T13" t="s">
        <v>151</v>
      </c>
      <c r="W13" t="s">
        <v>75</v>
      </c>
      <c r="Y13" t="s">
        <v>80</v>
      </c>
      <c r="Z13" t="s">
        <v>123</v>
      </c>
      <c r="AA13" t="s">
        <v>206</v>
      </c>
      <c r="AD13" t="s">
        <v>231</v>
      </c>
      <c r="AE13" t="s">
        <v>251</v>
      </c>
      <c r="AF13" t="s">
        <v>340</v>
      </c>
    </row>
    <row r="14" spans="1:38" hidden="1" x14ac:dyDescent="0.35">
      <c r="D14" t="s">
        <v>36</v>
      </c>
      <c r="H14" t="s">
        <v>83</v>
      </c>
      <c r="J14" t="s">
        <v>109</v>
      </c>
      <c r="K14" t="s">
        <v>117</v>
      </c>
      <c r="O14" t="s">
        <v>143</v>
      </c>
      <c r="R14" t="s">
        <v>156</v>
      </c>
      <c r="S14" t="s">
        <v>142</v>
      </c>
      <c r="T14" t="s">
        <v>142</v>
      </c>
      <c r="W14" t="s">
        <v>142</v>
      </c>
      <c r="Y14" t="s">
        <v>142</v>
      </c>
      <c r="Z14" t="s">
        <v>142</v>
      </c>
      <c r="AD14" t="s">
        <v>102</v>
      </c>
      <c r="AE14" t="s">
        <v>252</v>
      </c>
      <c r="AF14" t="s">
        <v>266</v>
      </c>
    </row>
    <row r="15" spans="1:38" hidden="1" x14ac:dyDescent="0.35">
      <c r="D15" t="s">
        <v>37</v>
      </c>
      <c r="K15" t="s">
        <v>118</v>
      </c>
      <c r="O15" t="s">
        <v>144</v>
      </c>
      <c r="T15" t="s">
        <v>75</v>
      </c>
      <c r="AD15" t="s">
        <v>232</v>
      </c>
      <c r="AE15" t="s">
        <v>253</v>
      </c>
    </row>
    <row r="16" spans="1:38" hidden="1" x14ac:dyDescent="0.35">
      <c r="D16" t="s">
        <v>38</v>
      </c>
      <c r="AD16" t="s">
        <v>233</v>
      </c>
      <c r="AE16" t="s">
        <v>254</v>
      </c>
    </row>
    <row r="17" spans="1:31" hidden="1" x14ac:dyDescent="0.35">
      <c r="D17" t="s">
        <v>39</v>
      </c>
      <c r="AD17" t="s">
        <v>341</v>
      </c>
      <c r="AE17" t="s">
        <v>255</v>
      </c>
    </row>
    <row r="18" spans="1:31" hidden="1" x14ac:dyDescent="0.35">
      <c r="D18" t="s">
        <v>40</v>
      </c>
      <c r="AD18" t="s">
        <v>239</v>
      </c>
      <c r="AE18" t="s">
        <v>256</v>
      </c>
    </row>
    <row r="19" spans="1:31" hidden="1" x14ac:dyDescent="0.35">
      <c r="D19" t="s">
        <v>41</v>
      </c>
      <c r="AD19" t="s">
        <v>203</v>
      </c>
    </row>
    <row r="20" spans="1:31" hidden="1" x14ac:dyDescent="0.35">
      <c r="D20" t="s">
        <v>42</v>
      </c>
      <c r="AD20" t="s">
        <v>75</v>
      </c>
    </row>
    <row r="21" spans="1:31" hidden="1" x14ac:dyDescent="0.35">
      <c r="AD21" t="s">
        <v>240</v>
      </c>
    </row>
    <row r="22" spans="1:31" hidden="1" x14ac:dyDescent="0.35">
      <c r="AD22" t="s">
        <v>241</v>
      </c>
    </row>
    <row r="23" spans="1:31" x14ac:dyDescent="0.35">
      <c r="A23" t="s">
        <v>0</v>
      </c>
      <c r="B23" t="s">
        <v>11</v>
      </c>
      <c r="D23" t="s">
        <v>13</v>
      </c>
      <c r="E23" t="s">
        <v>13</v>
      </c>
      <c r="F23" t="s">
        <v>14</v>
      </c>
    </row>
    <row r="24" spans="1:31" x14ac:dyDescent="0.35">
      <c r="A24" t="s">
        <v>15</v>
      </c>
      <c r="B24" t="s">
        <v>15</v>
      </c>
      <c r="D24" t="s">
        <v>17</v>
      </c>
      <c r="E24" t="s">
        <v>17</v>
      </c>
      <c r="F24" t="s">
        <v>19</v>
      </c>
      <c r="G24" t="s">
        <v>20</v>
      </c>
      <c r="H24" t="s">
        <v>21</v>
      </c>
    </row>
    <row r="25" spans="1:31" x14ac:dyDescent="0.35">
      <c r="A25" t="s">
        <v>22</v>
      </c>
      <c r="B25" t="s">
        <v>22</v>
      </c>
      <c r="D25" t="s">
        <v>25</v>
      </c>
      <c r="E25" t="s">
        <v>25</v>
      </c>
    </row>
    <row r="26" spans="1:31" x14ac:dyDescent="0.35">
      <c r="A26" t="s">
        <v>26</v>
      </c>
      <c r="B26" t="s">
        <v>27</v>
      </c>
      <c r="C26" t="s">
        <v>28</v>
      </c>
      <c r="D26" t="s">
        <v>29</v>
      </c>
      <c r="E26" t="s">
        <v>30</v>
      </c>
      <c r="G26" t="s">
        <v>31</v>
      </c>
      <c r="H26" t="s">
        <v>27</v>
      </c>
      <c r="I26" t="s">
        <v>32</v>
      </c>
      <c r="J26" t="s">
        <v>33</v>
      </c>
      <c r="K26" t="s">
        <v>34</v>
      </c>
      <c r="L26" t="s">
        <v>35</v>
      </c>
      <c r="M26" t="s">
        <v>36</v>
      </c>
      <c r="N26" t="s">
        <v>342</v>
      </c>
      <c r="O26" t="s">
        <v>38</v>
      </c>
      <c r="P26" t="s">
        <v>39</v>
      </c>
      <c r="Q26" t="s">
        <v>40</v>
      </c>
      <c r="R26" t="s">
        <v>41</v>
      </c>
      <c r="S26" t="s">
        <v>42</v>
      </c>
    </row>
    <row r="27" spans="1:31" x14ac:dyDescent="0.35">
      <c r="A27" t="s">
        <v>44</v>
      </c>
      <c r="B27" t="s">
        <v>44</v>
      </c>
      <c r="D27" t="s">
        <v>46</v>
      </c>
      <c r="E27" t="s">
        <v>46</v>
      </c>
      <c r="F27" t="s">
        <v>47</v>
      </c>
      <c r="G27" t="s">
        <v>48</v>
      </c>
      <c r="H27" t="s">
        <v>49</v>
      </c>
      <c r="I27" t="s">
        <v>50</v>
      </c>
      <c r="J27" t="s">
        <v>335</v>
      </c>
    </row>
    <row r="28" spans="1:31" x14ac:dyDescent="0.35">
      <c r="A28" t="s">
        <v>52</v>
      </c>
      <c r="B28" t="s">
        <v>52</v>
      </c>
      <c r="C28" t="s">
        <v>53</v>
      </c>
      <c r="E28" t="s">
        <v>31</v>
      </c>
      <c r="F28" t="s">
        <v>54</v>
      </c>
      <c r="G28" t="s">
        <v>55</v>
      </c>
      <c r="H28" t="s">
        <v>56</v>
      </c>
    </row>
    <row r="29" spans="1:31" x14ac:dyDescent="0.35">
      <c r="A29" t="s">
        <v>65</v>
      </c>
      <c r="B29" t="s">
        <v>65</v>
      </c>
      <c r="C29" t="s">
        <v>330</v>
      </c>
      <c r="E29" t="s">
        <v>59</v>
      </c>
      <c r="F29" t="s">
        <v>59</v>
      </c>
      <c r="G29" t="s">
        <v>61</v>
      </c>
      <c r="H29" t="s">
        <v>62</v>
      </c>
      <c r="I29" t="s">
        <v>63</v>
      </c>
      <c r="J29" t="s">
        <v>336</v>
      </c>
      <c r="K29" t="s">
        <v>69</v>
      </c>
    </row>
    <row r="30" spans="1:31" x14ac:dyDescent="0.35">
      <c r="A30" t="s">
        <v>70</v>
      </c>
      <c r="B30" t="s">
        <v>70</v>
      </c>
      <c r="C30" t="s">
        <v>72</v>
      </c>
      <c r="E30" t="s">
        <v>73</v>
      </c>
      <c r="F30" t="s">
        <v>74</v>
      </c>
      <c r="G30" t="s">
        <v>75</v>
      </c>
      <c r="H30" t="s">
        <v>76</v>
      </c>
      <c r="I30" t="s">
        <v>78</v>
      </c>
      <c r="J30" t="s">
        <v>79</v>
      </c>
      <c r="K30" t="s">
        <v>80</v>
      </c>
      <c r="L30" t="s">
        <v>81</v>
      </c>
      <c r="M30" t="s">
        <v>83</v>
      </c>
    </row>
    <row r="31" spans="1:31" x14ac:dyDescent="0.35">
      <c r="A31" t="s">
        <v>84</v>
      </c>
      <c r="B31" t="s">
        <v>84</v>
      </c>
      <c r="D31" t="s">
        <v>86</v>
      </c>
      <c r="E31" t="s">
        <v>86</v>
      </c>
      <c r="F31" t="s">
        <v>87</v>
      </c>
      <c r="G31" t="s">
        <v>93</v>
      </c>
      <c r="H31" t="s">
        <v>94</v>
      </c>
      <c r="I31" t="s">
        <v>95</v>
      </c>
    </row>
    <row r="32" spans="1:31" x14ac:dyDescent="0.35">
      <c r="A32" t="s">
        <v>97</v>
      </c>
      <c r="B32" t="s">
        <v>97</v>
      </c>
      <c r="C32" t="s">
        <v>99</v>
      </c>
      <c r="E32" t="s">
        <v>101</v>
      </c>
      <c r="F32" t="s">
        <v>101</v>
      </c>
      <c r="G32" t="s">
        <v>333</v>
      </c>
      <c r="H32" t="s">
        <v>104</v>
      </c>
      <c r="I32" t="s">
        <v>105</v>
      </c>
      <c r="J32" t="s">
        <v>106</v>
      </c>
      <c r="K32" t="s">
        <v>107</v>
      </c>
      <c r="L32" t="s">
        <v>108</v>
      </c>
      <c r="M32" t="s">
        <v>109</v>
      </c>
    </row>
    <row r="33" spans="1:14" x14ac:dyDescent="0.35">
      <c r="A33" t="s">
        <v>110</v>
      </c>
      <c r="B33" t="s">
        <v>110</v>
      </c>
      <c r="C33" t="s">
        <v>112</v>
      </c>
      <c r="D33" t="s">
        <v>82</v>
      </c>
      <c r="E33" t="s">
        <v>72</v>
      </c>
      <c r="G33" t="s">
        <v>113</v>
      </c>
      <c r="H33" t="s">
        <v>113</v>
      </c>
      <c r="I33" t="s">
        <v>76</v>
      </c>
      <c r="J33" t="s">
        <v>115</v>
      </c>
      <c r="K33" t="s">
        <v>80</v>
      </c>
      <c r="L33" t="s">
        <v>116</v>
      </c>
      <c r="M33" t="s">
        <v>117</v>
      </c>
      <c r="N33" t="s">
        <v>118</v>
      </c>
    </row>
    <row r="34" spans="1:14" x14ac:dyDescent="0.35">
      <c r="A34" t="s">
        <v>119</v>
      </c>
      <c r="B34" t="s">
        <v>119</v>
      </c>
      <c r="C34" t="s">
        <v>72</v>
      </c>
      <c r="E34" t="s">
        <v>120</v>
      </c>
      <c r="F34" t="s">
        <v>120</v>
      </c>
      <c r="G34" t="s">
        <v>121</v>
      </c>
      <c r="H34" t="s">
        <v>122</v>
      </c>
      <c r="I34" t="s">
        <v>123</v>
      </c>
      <c r="J34" t="s">
        <v>124</v>
      </c>
    </row>
    <row r="35" spans="1:14" x14ac:dyDescent="0.35">
      <c r="A35" t="s">
        <v>125</v>
      </c>
      <c r="B35" t="s">
        <v>125</v>
      </c>
      <c r="C35" t="s">
        <v>72</v>
      </c>
      <c r="E35" t="s">
        <v>128</v>
      </c>
      <c r="F35" t="s">
        <v>129</v>
      </c>
      <c r="G35" t="s">
        <v>130</v>
      </c>
      <c r="H35" t="s">
        <v>124</v>
      </c>
      <c r="I35" t="s">
        <v>80</v>
      </c>
      <c r="J35" t="s">
        <v>75</v>
      </c>
      <c r="K35" t="s">
        <v>131</v>
      </c>
    </row>
    <row r="36" spans="1:14" x14ac:dyDescent="0.35">
      <c r="A36" t="s">
        <v>132</v>
      </c>
      <c r="B36" t="s">
        <v>132</v>
      </c>
      <c r="D36" t="s">
        <v>134</v>
      </c>
      <c r="E36" t="s">
        <v>134</v>
      </c>
      <c r="F36" t="s">
        <v>130</v>
      </c>
      <c r="G36" t="s">
        <v>136</v>
      </c>
      <c r="H36" t="s">
        <v>137</v>
      </c>
      <c r="I36" t="s">
        <v>138</v>
      </c>
      <c r="J36" t="s">
        <v>75</v>
      </c>
    </row>
    <row r="37" spans="1:14" x14ac:dyDescent="0.35">
      <c r="A37" t="s">
        <v>139</v>
      </c>
      <c r="B37" t="s">
        <v>139</v>
      </c>
      <c r="C37" t="s">
        <v>72</v>
      </c>
      <c r="D37" t="s">
        <v>140</v>
      </c>
      <c r="F37" t="s">
        <v>141</v>
      </c>
      <c r="G37" t="s">
        <v>141</v>
      </c>
      <c r="H37" t="s">
        <v>130</v>
      </c>
      <c r="I37" t="s">
        <v>124</v>
      </c>
      <c r="J37" t="s">
        <v>75</v>
      </c>
      <c r="K37" t="s">
        <v>80</v>
      </c>
      <c r="L37" t="s">
        <v>142</v>
      </c>
      <c r="M37" t="s">
        <v>143</v>
      </c>
      <c r="N37" t="s">
        <v>144</v>
      </c>
    </row>
    <row r="38" spans="1:14" x14ac:dyDescent="0.35">
      <c r="A38" t="s">
        <v>145</v>
      </c>
      <c r="B38" t="s">
        <v>145</v>
      </c>
      <c r="C38" t="s">
        <v>72</v>
      </c>
      <c r="E38" t="s">
        <v>146</v>
      </c>
      <c r="F38" t="s">
        <v>146</v>
      </c>
      <c r="G38" t="s">
        <v>147</v>
      </c>
      <c r="H38" t="s">
        <v>80</v>
      </c>
      <c r="I38" t="s">
        <v>75</v>
      </c>
    </row>
    <row r="39" spans="1:14" x14ac:dyDescent="0.35">
      <c r="A39" t="s">
        <v>148</v>
      </c>
      <c r="B39" t="s">
        <v>148</v>
      </c>
      <c r="C39" t="s">
        <v>149</v>
      </c>
      <c r="E39" t="s">
        <v>150</v>
      </c>
      <c r="F39" t="s">
        <v>150</v>
      </c>
      <c r="G39" t="s">
        <v>130</v>
      </c>
      <c r="H39" t="s">
        <v>151</v>
      </c>
      <c r="I39" t="s">
        <v>80</v>
      </c>
    </row>
    <row r="40" spans="1:14" x14ac:dyDescent="0.35">
      <c r="A40" t="s">
        <v>152</v>
      </c>
      <c r="B40" t="s">
        <v>152</v>
      </c>
      <c r="C40" t="s">
        <v>72</v>
      </c>
      <c r="D40" t="s">
        <v>153</v>
      </c>
      <c r="F40" t="s">
        <v>154</v>
      </c>
      <c r="G40" t="s">
        <v>154</v>
      </c>
      <c r="H40" t="s">
        <v>124</v>
      </c>
      <c r="I40" t="s">
        <v>75</v>
      </c>
      <c r="J40" t="s">
        <v>80</v>
      </c>
      <c r="K40" t="s">
        <v>142</v>
      </c>
      <c r="L40" t="s">
        <v>143</v>
      </c>
      <c r="M40" t="s">
        <v>156</v>
      </c>
    </row>
    <row r="41" spans="1:14" x14ac:dyDescent="0.35">
      <c r="A41" t="s">
        <v>157</v>
      </c>
      <c r="B41" t="s">
        <v>157</v>
      </c>
      <c r="C41" t="s">
        <v>161</v>
      </c>
      <c r="D41" t="s">
        <v>159</v>
      </c>
      <c r="E41" t="s">
        <v>72</v>
      </c>
      <c r="G41" t="s">
        <v>160</v>
      </c>
      <c r="H41" t="s">
        <v>160</v>
      </c>
      <c r="I41" t="s">
        <v>130</v>
      </c>
      <c r="J41" t="s">
        <v>75</v>
      </c>
      <c r="K41" t="s">
        <v>161</v>
      </c>
      <c r="L41" t="s">
        <v>80</v>
      </c>
      <c r="M41" t="s">
        <v>142</v>
      </c>
    </row>
    <row r="42" spans="1:14" x14ac:dyDescent="0.35">
      <c r="A42" t="s">
        <v>162</v>
      </c>
      <c r="B42" t="s">
        <v>162</v>
      </c>
      <c r="C42" t="s">
        <v>163</v>
      </c>
      <c r="D42" t="s">
        <v>164</v>
      </c>
      <c r="E42" t="s">
        <v>72</v>
      </c>
      <c r="G42" t="s">
        <v>165</v>
      </c>
      <c r="H42" t="s">
        <v>165</v>
      </c>
      <c r="I42" t="s">
        <v>80</v>
      </c>
      <c r="J42" t="s">
        <v>130</v>
      </c>
      <c r="K42" t="s">
        <v>124</v>
      </c>
      <c r="L42" t="s">
        <v>151</v>
      </c>
      <c r="M42" t="s">
        <v>142</v>
      </c>
      <c r="N42" t="s">
        <v>75</v>
      </c>
    </row>
    <row r="43" spans="1:14" x14ac:dyDescent="0.35">
      <c r="A43" t="s">
        <v>166</v>
      </c>
      <c r="B43" t="s">
        <v>166</v>
      </c>
      <c r="C43" t="s">
        <v>167</v>
      </c>
      <c r="D43" t="s">
        <v>168</v>
      </c>
      <c r="F43" t="s">
        <v>169</v>
      </c>
      <c r="G43" t="s">
        <v>169</v>
      </c>
      <c r="H43" t="s">
        <v>80</v>
      </c>
      <c r="I43" t="s">
        <v>75</v>
      </c>
    </row>
    <row r="44" spans="1:14" x14ac:dyDescent="0.35">
      <c r="A44" t="s">
        <v>170</v>
      </c>
      <c r="B44" t="s">
        <v>171</v>
      </c>
      <c r="D44" t="s">
        <v>173</v>
      </c>
      <c r="E44" t="s">
        <v>173</v>
      </c>
    </row>
    <row r="45" spans="1:14" x14ac:dyDescent="0.35">
      <c r="A45" t="s">
        <v>174</v>
      </c>
      <c r="B45" t="s">
        <v>174</v>
      </c>
      <c r="C45" t="s">
        <v>175</v>
      </c>
      <c r="D45" t="s">
        <v>72</v>
      </c>
      <c r="E45" t="s">
        <v>153</v>
      </c>
      <c r="G45" t="s">
        <v>176</v>
      </c>
      <c r="H45" t="s">
        <v>176</v>
      </c>
      <c r="I45" t="s">
        <v>80</v>
      </c>
      <c r="J45" t="s">
        <v>124</v>
      </c>
      <c r="K45" t="s">
        <v>130</v>
      </c>
      <c r="L45" t="s">
        <v>75</v>
      </c>
      <c r="M45" t="s">
        <v>142</v>
      </c>
    </row>
    <row r="46" spans="1:14" x14ac:dyDescent="0.35">
      <c r="A46" t="s">
        <v>177</v>
      </c>
      <c r="B46" t="s">
        <v>177</v>
      </c>
      <c r="C46" t="s">
        <v>178</v>
      </c>
      <c r="D46" t="s">
        <v>72</v>
      </c>
      <c r="F46" t="s">
        <v>179</v>
      </c>
      <c r="G46" t="s">
        <v>179</v>
      </c>
      <c r="H46" t="s">
        <v>80</v>
      </c>
      <c r="I46" t="s">
        <v>75</v>
      </c>
      <c r="J46" t="s">
        <v>124</v>
      </c>
      <c r="K46" t="s">
        <v>142</v>
      </c>
    </row>
    <row r="47" spans="1:14" x14ac:dyDescent="0.35">
      <c r="A47" t="s">
        <v>181</v>
      </c>
      <c r="B47" t="s">
        <v>181</v>
      </c>
      <c r="C47" t="s">
        <v>183</v>
      </c>
      <c r="E47" t="s">
        <v>185</v>
      </c>
      <c r="F47" t="s">
        <v>186</v>
      </c>
      <c r="G47" t="s">
        <v>124</v>
      </c>
      <c r="H47" t="s">
        <v>130</v>
      </c>
      <c r="I47" t="s">
        <v>187</v>
      </c>
      <c r="J47" t="s">
        <v>188</v>
      </c>
      <c r="K47" t="s">
        <v>339</v>
      </c>
      <c r="L47" t="s">
        <v>80</v>
      </c>
      <c r="M47" t="s">
        <v>142</v>
      </c>
    </row>
    <row r="48" spans="1:14" x14ac:dyDescent="0.35">
      <c r="A48" t="s">
        <v>191</v>
      </c>
      <c r="B48" t="s">
        <v>191</v>
      </c>
      <c r="C48" t="s">
        <v>192</v>
      </c>
      <c r="D48" t="s">
        <v>72</v>
      </c>
      <c r="F48" t="s">
        <v>193</v>
      </c>
      <c r="G48" t="s">
        <v>193</v>
      </c>
      <c r="H48" t="s">
        <v>130</v>
      </c>
      <c r="I48" t="s">
        <v>195</v>
      </c>
      <c r="J48" t="s">
        <v>196</v>
      </c>
      <c r="K48" t="s">
        <v>197</v>
      </c>
      <c r="L48" t="s">
        <v>123</v>
      </c>
      <c r="M48" t="s">
        <v>142</v>
      </c>
    </row>
    <row r="49" spans="1:21" x14ac:dyDescent="0.35">
      <c r="A49" t="s">
        <v>198</v>
      </c>
      <c r="B49" t="s">
        <v>198</v>
      </c>
      <c r="C49" t="s">
        <v>200</v>
      </c>
      <c r="E49" t="s">
        <v>201</v>
      </c>
      <c r="F49" t="s">
        <v>201</v>
      </c>
      <c r="G49" t="s">
        <v>202</v>
      </c>
      <c r="H49" t="s">
        <v>124</v>
      </c>
      <c r="I49" t="s">
        <v>203</v>
      </c>
      <c r="J49" t="s">
        <v>204</v>
      </c>
      <c r="K49" t="s">
        <v>205</v>
      </c>
      <c r="L49" t="s">
        <v>206</v>
      </c>
    </row>
    <row r="50" spans="1:21" x14ac:dyDescent="0.35">
      <c r="A50" t="s">
        <v>207</v>
      </c>
      <c r="B50" t="s">
        <v>207</v>
      </c>
      <c r="D50" t="s">
        <v>209</v>
      </c>
      <c r="E50" t="s">
        <v>210</v>
      </c>
      <c r="F50" t="s">
        <v>211</v>
      </c>
      <c r="G50" t="s">
        <v>212</v>
      </c>
      <c r="H50" t="s">
        <v>213</v>
      </c>
      <c r="I50" t="s">
        <v>214</v>
      </c>
    </row>
    <row r="51" spans="1:21" x14ac:dyDescent="0.35">
      <c r="A51" t="s">
        <v>215</v>
      </c>
      <c r="B51" t="s">
        <v>216</v>
      </c>
      <c r="C51" t="s">
        <v>331</v>
      </c>
      <c r="E51" t="s">
        <v>217</v>
      </c>
      <c r="F51" t="s">
        <v>332</v>
      </c>
      <c r="G51" t="s">
        <v>220</v>
      </c>
    </row>
    <row r="52" spans="1:21" x14ac:dyDescent="0.35">
      <c r="A52" t="s">
        <v>221</v>
      </c>
      <c r="B52" t="s">
        <v>221</v>
      </c>
      <c r="C52" t="s">
        <v>223</v>
      </c>
      <c r="D52" t="s">
        <v>225</v>
      </c>
      <c r="E52" t="s">
        <v>72</v>
      </c>
      <c r="G52" t="s">
        <v>227</v>
      </c>
      <c r="H52" t="s">
        <v>227</v>
      </c>
      <c r="I52" t="s">
        <v>228</v>
      </c>
      <c r="J52" t="s">
        <v>229</v>
      </c>
      <c r="K52" t="s">
        <v>230</v>
      </c>
      <c r="L52" t="s">
        <v>231</v>
      </c>
      <c r="M52" t="s">
        <v>102</v>
      </c>
      <c r="N52" t="s">
        <v>343</v>
      </c>
      <c r="O52" t="s">
        <v>233</v>
      </c>
      <c r="P52" t="s">
        <v>341</v>
      </c>
      <c r="Q52" t="s">
        <v>239</v>
      </c>
      <c r="R52" t="s">
        <v>203</v>
      </c>
      <c r="S52" t="s">
        <v>75</v>
      </c>
      <c r="T52" t="s">
        <v>240</v>
      </c>
      <c r="U52" t="s">
        <v>241</v>
      </c>
    </row>
    <row r="53" spans="1:21" x14ac:dyDescent="0.35">
      <c r="A53" t="s">
        <v>242</v>
      </c>
      <c r="B53" t="s">
        <v>242</v>
      </c>
      <c r="C53" t="s">
        <v>244</v>
      </c>
      <c r="D53" t="s">
        <v>245</v>
      </c>
      <c r="F53" t="s">
        <v>246</v>
      </c>
      <c r="G53" t="s">
        <v>246</v>
      </c>
      <c r="H53" t="s">
        <v>247</v>
      </c>
      <c r="I53" t="s">
        <v>248</v>
      </c>
      <c r="J53" t="s">
        <v>249</v>
      </c>
      <c r="K53" t="s">
        <v>250</v>
      </c>
      <c r="L53" t="s">
        <v>251</v>
      </c>
      <c r="M53" t="s">
        <v>252</v>
      </c>
      <c r="N53" t="s">
        <v>344</v>
      </c>
      <c r="O53" t="s">
        <v>254</v>
      </c>
      <c r="P53" t="s">
        <v>255</v>
      </c>
      <c r="Q53" t="s">
        <v>256</v>
      </c>
    </row>
    <row r="54" spans="1:21" x14ac:dyDescent="0.35">
      <c r="A54" t="s">
        <v>257</v>
      </c>
      <c r="B54" t="s">
        <v>257</v>
      </c>
      <c r="D54" t="s">
        <v>258</v>
      </c>
      <c r="E54" t="s">
        <v>258</v>
      </c>
      <c r="F54" t="s">
        <v>259</v>
      </c>
      <c r="G54" t="s">
        <v>260</v>
      </c>
      <c r="H54" t="s">
        <v>261</v>
      </c>
      <c r="I54" t="s">
        <v>262</v>
      </c>
      <c r="J54" t="s">
        <v>337</v>
      </c>
      <c r="K54" t="s">
        <v>264</v>
      </c>
      <c r="L54" t="s">
        <v>340</v>
      </c>
      <c r="M54" t="s">
        <v>266</v>
      </c>
    </row>
    <row r="55" spans="1:21" x14ac:dyDescent="0.35">
      <c r="A55" t="s">
        <v>270</v>
      </c>
      <c r="B55" t="s">
        <v>270</v>
      </c>
      <c r="D55" t="s">
        <v>271</v>
      </c>
      <c r="E55" t="s">
        <v>271</v>
      </c>
      <c r="F55" t="s">
        <v>272</v>
      </c>
      <c r="G55" t="s">
        <v>279</v>
      </c>
      <c r="H55" t="s">
        <v>281</v>
      </c>
    </row>
    <row r="56" spans="1:21" x14ac:dyDescent="0.35">
      <c r="A56" t="s">
        <v>273</v>
      </c>
      <c r="B56" t="s">
        <v>273</v>
      </c>
      <c r="D56" t="s">
        <v>274</v>
      </c>
      <c r="E56" t="s">
        <v>274</v>
      </c>
      <c r="F56" t="s">
        <v>275</v>
      </c>
      <c r="G56" t="s">
        <v>276</v>
      </c>
      <c r="H56" t="s">
        <v>334</v>
      </c>
      <c r="I56" t="s">
        <v>283</v>
      </c>
      <c r="J56" t="s">
        <v>284</v>
      </c>
    </row>
    <row r="57" spans="1:21" x14ac:dyDescent="0.35">
      <c r="A57" t="s">
        <v>285</v>
      </c>
      <c r="B57" t="s">
        <v>285</v>
      </c>
      <c r="D57" t="s">
        <v>286</v>
      </c>
      <c r="E57" t="s">
        <v>286</v>
      </c>
      <c r="F57" t="s">
        <v>287</v>
      </c>
      <c r="G57" t="s">
        <v>288</v>
      </c>
      <c r="H57" t="s">
        <v>289</v>
      </c>
    </row>
    <row r="58" spans="1:21" x14ac:dyDescent="0.35">
      <c r="A58" t="s">
        <v>290</v>
      </c>
      <c r="B58" t="s">
        <v>290</v>
      </c>
      <c r="C58" t="s">
        <v>291</v>
      </c>
      <c r="E58" t="s">
        <v>292</v>
      </c>
      <c r="F58" t="s">
        <v>292</v>
      </c>
      <c r="G58" t="s">
        <v>293</v>
      </c>
    </row>
    <row r="59" spans="1:21" x14ac:dyDescent="0.35">
      <c r="A59" t="s">
        <v>294</v>
      </c>
      <c r="B59" t="s">
        <v>294</v>
      </c>
      <c r="C59" t="s">
        <v>296</v>
      </c>
      <c r="D59" t="s">
        <v>297</v>
      </c>
      <c r="F59" t="s">
        <v>298</v>
      </c>
      <c r="G59" t="s">
        <v>298</v>
      </c>
      <c r="H59" t="s">
        <v>299</v>
      </c>
      <c r="I59" t="s">
        <v>296</v>
      </c>
      <c r="J59" t="s">
        <v>338</v>
      </c>
      <c r="K59" t="s">
        <v>301</v>
      </c>
    </row>
    <row r="60" spans="1:21" x14ac:dyDescent="0.35">
      <c r="A60" t="s">
        <v>302</v>
      </c>
      <c r="B60" t="s">
        <v>303</v>
      </c>
      <c r="C60" t="s">
        <v>304</v>
      </c>
      <c r="E60" t="s">
        <v>302</v>
      </c>
      <c r="F60" t="s">
        <v>305</v>
      </c>
      <c r="G60" t="s">
        <v>306</v>
      </c>
    </row>
  </sheetData>
  <pageMargins left="0.7" right="0.7" top="0.75" bottom="0.75" header="0.3" footer="0.3"/>
  <pageSetup paperSize="9" scale="2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dimension ref="A1:AG1000"/>
  <sheetViews>
    <sheetView workbookViewId="0">
      <pane xSplit="2" ySplit="1" topLeftCell="H2" activePane="bottomRight" state="frozen"/>
      <selection pane="topRight" activeCell="C1" sqref="C1"/>
      <selection pane="bottomLeft" activeCell="A2" sqref="A2"/>
      <selection pane="bottomRight" activeCell="M13" sqref="M13"/>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10.269531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170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0</v>
      </c>
      <c r="F2" s="87">
        <f>SUM(F3:F3)</f>
        <v>0</v>
      </c>
      <c r="I2" s="89">
        <f>SUM(I3:I3)</f>
        <v>2000</v>
      </c>
      <c r="J2" s="87">
        <f>SUM(J3:J3)</f>
        <v>2000</v>
      </c>
      <c r="M2" s="89">
        <f>SUM(M3:M3)</f>
        <v>0</v>
      </c>
      <c r="N2" s="87">
        <f>SUM(N3:N3)</f>
        <v>0</v>
      </c>
      <c r="Q2" s="89">
        <f>SUM(Q3:Q3)</f>
        <v>0</v>
      </c>
      <c r="R2" s="87">
        <f>SUM(R3:R3)</f>
        <v>0</v>
      </c>
      <c r="U2" s="89">
        <f>SUM(U3:U3)</f>
        <v>0</v>
      </c>
      <c r="V2" s="87">
        <f>SUM(V3:V3)</f>
        <v>0</v>
      </c>
      <c r="Y2" s="89">
        <f>SUM(Y3:Y3)</f>
        <v>0</v>
      </c>
      <c r="Z2" s="87">
        <f>SUM(Z3:Z3)</f>
        <v>0</v>
      </c>
      <c r="AC2" s="89">
        <f>SUM(AC3:AC3)</f>
        <v>0</v>
      </c>
      <c r="AD2" s="87">
        <f>SUM(AD3:AD3)</f>
        <v>0</v>
      </c>
    </row>
    <row r="3" spans="1:33" x14ac:dyDescent="0.35">
      <c r="A3" s="86" t="s">
        <v>171</v>
      </c>
      <c r="B3" s="85">
        <v>1</v>
      </c>
      <c r="D3" s="86">
        <v>0</v>
      </c>
      <c r="E3" s="87">
        <v>0</v>
      </c>
      <c r="F3" s="87">
        <f>SUMIFS(H$12:H$998,E$12:E$998,$B3)</f>
        <v>0</v>
      </c>
      <c r="G3" s="87">
        <f>D3+E3-F3+SUMIFS(E$6:E$6,$C$6:$C$6,$A3)-SUMIFS(F$6:F$6,$C$6:$C$6,$A3)</f>
        <v>0</v>
      </c>
      <c r="I3" s="89">
        <v>2000</v>
      </c>
      <c r="J3" s="87">
        <f>SUMIFS(L$12:L$998,I$12:I$998,1)</f>
        <v>2000</v>
      </c>
      <c r="K3" s="87">
        <f>G3+I3-J3+SUMIFS(I$6:I$6,$C$6:$C$6,$A3)-SUMIFS(J$6:J$6,$C$6:$C$6,$A3)</f>
        <v>0</v>
      </c>
      <c r="L3" s="86" t="s">
        <v>172</v>
      </c>
      <c r="M3" s="89">
        <v>0</v>
      </c>
      <c r="N3" s="87">
        <f>SUMIFS(P$12:P$998,M$12:M$998,1)</f>
        <v>0</v>
      </c>
      <c r="O3" s="87">
        <f>K3+M3-N3+SUMIFS(M$6:M$6,$C$6:$C$6,$A3)-SUMIFS(N$6:N$6,$C$6:$C$6,$A3)</f>
        <v>0</v>
      </c>
      <c r="R3" s="87">
        <f>SUMIFS(T$12:T$998,Q$12:Q$998,1)</f>
        <v>0</v>
      </c>
      <c r="S3" s="87">
        <f>O3+Q3-R3+SUMIFS(Q$6:Q$6,$C$6:$C$6,$A3)-SUMIFS(R$6:R$6,$C$6:$C$6,$A3)</f>
        <v>0</v>
      </c>
      <c r="V3" s="87">
        <f>SUMIFS(X$12:X$998,U$12:U$998,1)</f>
        <v>0</v>
      </c>
      <c r="W3" s="87">
        <f>S3+U3-V3+SUMIFS(U$6:U$6,$C$6:$C$6,$A3)-SUMIFS(V$6:V$6,$C$6:$C$6,$A3)</f>
        <v>0</v>
      </c>
      <c r="Z3" s="87">
        <f>SUMIFS(AB$12:AB$998,Y$12:Y$998,1)</f>
        <v>0</v>
      </c>
      <c r="AA3" s="87">
        <f>W3+Y3-Z3+SUMIFS(Y$6:Y$6,$C$6:$C$6,$A3)-SUMIFS(Z$6:Z$6,$C$6:$C$6,$A3)</f>
        <v>0</v>
      </c>
      <c r="AD3" s="87">
        <f>SUMIFS(AF$12:AF$998,AC$12:AC$998,1)</f>
        <v>0</v>
      </c>
      <c r="AE3" s="87">
        <f>AA3+AC3-AD3+SUMIFS(AC$6:AC$6,$C$6:$C$6,$A3)-SUMIFS(AD$6:AD$6,$C$6:$C$6,$A3)</f>
        <v>0</v>
      </c>
      <c r="AG3" s="87">
        <v>100000</v>
      </c>
    </row>
    <row r="4" spans="1:33" x14ac:dyDescent="0.35">
      <c r="E4" s="87"/>
    </row>
    <row r="5" spans="1:33" x14ac:dyDescent="0.35">
      <c r="A5" s="84" t="s">
        <v>173</v>
      </c>
      <c r="D5" s="84"/>
      <c r="E5" s="87">
        <f>SUM(E6:E6)</f>
        <v>0</v>
      </c>
      <c r="F5" s="87">
        <f>SUM(F6:F6)</f>
        <v>0</v>
      </c>
      <c r="I5" s="89">
        <f>SUM(I6:I6)</f>
        <v>0</v>
      </c>
      <c r="J5" s="87">
        <f>SUM(J6:J6)</f>
        <v>0</v>
      </c>
      <c r="M5" s="89">
        <f>SUM(M6:M6)</f>
        <v>0</v>
      </c>
      <c r="N5" s="87">
        <f>$M$5</f>
        <v>0</v>
      </c>
      <c r="Q5" s="89">
        <f>SUM(Q6:Q6)</f>
        <v>0</v>
      </c>
      <c r="R5" s="87">
        <f>$Q$5</f>
        <v>0</v>
      </c>
      <c r="U5" s="89">
        <f>SUM(U6:U6)</f>
        <v>0</v>
      </c>
      <c r="V5" s="87">
        <f>$U$5</f>
        <v>0</v>
      </c>
      <c r="Y5" s="89">
        <f>SUM(Y6:Y6)</f>
        <v>0</v>
      </c>
      <c r="Z5" s="87">
        <f>$Y$5</f>
        <v>0</v>
      </c>
      <c r="AC5" s="89">
        <f>SUM(AC6:AC6)</f>
        <v>0</v>
      </c>
      <c r="AD5" s="87">
        <f>$AC$5</f>
        <v>0</v>
      </c>
    </row>
    <row r="6" spans="1:33" ht="14.5" customHeight="1" x14ac:dyDescent="0.35">
      <c r="A6" s="86" t="s">
        <v>173</v>
      </c>
      <c r="B6" s="85">
        <v>2</v>
      </c>
      <c r="C6" s="86" t="s">
        <v>171</v>
      </c>
      <c r="D6" s="84"/>
      <c r="E6" s="87">
        <v>0</v>
      </c>
      <c r="F6" s="87">
        <f>SUMIFS(H$12:H$998,E$12:E$998,$B6)</f>
        <v>0</v>
      </c>
      <c r="I6" s="89">
        <f>ROUNDUP((E6)*RPICurrent,0)</f>
        <v>0</v>
      </c>
      <c r="J6" s="87">
        <f>SUMIFS(L$12:L$998,I$12:I$998,$B6)</f>
        <v>0</v>
      </c>
      <c r="M6" s="89">
        <f>ROUNDUP((I6)*RPI,0)</f>
        <v>0</v>
      </c>
      <c r="N6" s="87">
        <f>$M$6</f>
        <v>0</v>
      </c>
      <c r="Q6" s="89">
        <f>ROUNDUP((M6)*RPI,0)</f>
        <v>0</v>
      </c>
      <c r="R6" s="87">
        <f>$Q$6</f>
        <v>0</v>
      </c>
      <c r="U6" s="89">
        <f>ROUNDUP((Q6)*RPI,0)</f>
        <v>0</v>
      </c>
      <c r="V6" s="87">
        <f>$U$6</f>
        <v>0</v>
      </c>
      <c r="Y6" s="89">
        <f>ROUNDUP((U6)*RPI,0)</f>
        <v>0</v>
      </c>
      <c r="Z6" s="87">
        <f>$Y$6</f>
        <v>0</v>
      </c>
      <c r="AC6" s="89">
        <f>ROUNDUP((Y6)*RPI,0)</f>
        <v>0</v>
      </c>
      <c r="AD6" s="87">
        <f>$AC$6</f>
        <v>0</v>
      </c>
    </row>
    <row r="7" spans="1:33" x14ac:dyDescent="0.35">
      <c r="E7" s="87"/>
    </row>
    <row r="8" spans="1:33" x14ac:dyDescent="0.35">
      <c r="E8" s="87"/>
    </row>
    <row r="9" spans="1:33" x14ac:dyDescent="0.35">
      <c r="E9" s="87"/>
    </row>
    <row r="10" spans="1:33" x14ac:dyDescent="0.35">
      <c r="A10" s="84" t="s">
        <v>487</v>
      </c>
      <c r="F10" s="93"/>
      <c r="G10" s="85"/>
      <c r="H10" s="87"/>
      <c r="I10" s="94"/>
      <c r="J10" s="93"/>
      <c r="K10" s="85"/>
      <c r="M10" s="94"/>
      <c r="N10" s="93"/>
      <c r="O10" s="85"/>
      <c r="Q10" s="94"/>
      <c r="R10" s="93"/>
      <c r="S10" s="85"/>
      <c r="U10" s="94"/>
      <c r="V10" s="93"/>
      <c r="W10" s="85"/>
      <c r="Y10" s="94"/>
      <c r="Z10" s="93"/>
      <c r="AA10" s="85"/>
      <c r="AC10" s="94"/>
      <c r="AD10" s="93"/>
      <c r="AE10" s="85"/>
    </row>
    <row r="11" spans="1:33" x14ac:dyDescent="0.35">
      <c r="E11" s="85" t="s">
        <v>484</v>
      </c>
      <c r="F11" s="93" t="s">
        <v>488</v>
      </c>
      <c r="G11" s="85" t="s">
        <v>489</v>
      </c>
      <c r="H11" s="87" t="s">
        <v>475</v>
      </c>
      <c r="I11" s="85" t="s">
        <v>484</v>
      </c>
      <c r="J11" s="93" t="s">
        <v>488</v>
      </c>
      <c r="K11" s="85" t="s">
        <v>489</v>
      </c>
      <c r="L11" s="87" t="s">
        <v>475</v>
      </c>
      <c r="M11" s="85" t="s">
        <v>484</v>
      </c>
      <c r="N11" s="93" t="s">
        <v>488</v>
      </c>
      <c r="O11" s="85" t="s">
        <v>489</v>
      </c>
      <c r="P11" s="87" t="s">
        <v>475</v>
      </c>
      <c r="Q11" s="94"/>
      <c r="R11" s="93"/>
      <c r="S11" s="85"/>
      <c r="U11" s="94"/>
      <c r="V11" s="93"/>
      <c r="W11" s="85"/>
      <c r="Y11" s="94"/>
      <c r="Z11" s="93"/>
      <c r="AA11" s="85"/>
      <c r="AC11" s="94"/>
      <c r="AD11" s="93"/>
      <c r="AE11" s="85"/>
    </row>
    <row r="12" spans="1:33" x14ac:dyDescent="0.35">
      <c r="A12" s="85"/>
      <c r="D12" s="85"/>
      <c r="F12" s="93"/>
      <c r="G12" s="85"/>
      <c r="H12" s="87"/>
      <c r="I12" s="94">
        <v>1</v>
      </c>
      <c r="J12" s="93" t="s">
        <v>699</v>
      </c>
      <c r="K12" s="93" t="s">
        <v>3100</v>
      </c>
      <c r="L12" s="87">
        <v>2000</v>
      </c>
      <c r="M12" s="94"/>
      <c r="N12" s="93"/>
      <c r="O12" s="85"/>
      <c r="Q12" s="94"/>
      <c r="R12" s="93"/>
      <c r="S12" s="85"/>
      <c r="U12" s="94"/>
      <c r="V12" s="93"/>
      <c r="W12" s="85"/>
      <c r="Y12" s="94"/>
      <c r="Z12" s="93"/>
      <c r="AA12" s="85"/>
      <c r="AC12" s="94"/>
      <c r="AD12" s="93"/>
      <c r="AE12" s="85"/>
    </row>
    <row r="13" spans="1:33" x14ac:dyDescent="0.35">
      <c r="F13" s="93"/>
      <c r="G13" s="85"/>
      <c r="H13" s="87"/>
      <c r="I13" s="94"/>
      <c r="J13" s="93"/>
      <c r="K13" s="85"/>
      <c r="M13" s="94"/>
      <c r="N13" s="93"/>
      <c r="O13" s="85"/>
      <c r="Q13" s="94"/>
      <c r="R13" s="93"/>
      <c r="S13" s="85"/>
      <c r="U13" s="94"/>
      <c r="V13" s="93"/>
      <c r="W13" s="85"/>
      <c r="Y13" s="94"/>
      <c r="Z13" s="93"/>
      <c r="AA13" s="85"/>
      <c r="AC13" s="94"/>
      <c r="AD13" s="93"/>
      <c r="AE13" s="85"/>
    </row>
    <row r="14" spans="1:33" x14ac:dyDescent="0.35">
      <c r="F14" s="93"/>
      <c r="G14" s="85"/>
      <c r="H14" s="87"/>
      <c r="I14" s="94"/>
      <c r="J14" s="93"/>
      <c r="K14" s="85"/>
      <c r="M14" s="94"/>
      <c r="N14" s="93"/>
      <c r="O14" s="85"/>
      <c r="Q14" s="94"/>
      <c r="R14" s="93"/>
      <c r="S14" s="85"/>
      <c r="U14" s="94"/>
      <c r="V14" s="93"/>
      <c r="W14" s="85"/>
      <c r="Y14" s="94"/>
      <c r="Z14" s="93"/>
      <c r="AA14" s="85"/>
      <c r="AC14" s="94"/>
      <c r="AD14" s="93"/>
      <c r="AE14" s="85"/>
    </row>
    <row r="15" spans="1:33" x14ac:dyDescent="0.35">
      <c r="F15" s="93"/>
      <c r="G15" s="85"/>
      <c r="H15" s="87"/>
      <c r="I15" s="94"/>
      <c r="J15" s="93"/>
      <c r="K15" s="85"/>
      <c r="M15" s="94"/>
      <c r="N15" s="93"/>
      <c r="O15" s="85"/>
      <c r="Q15" s="94"/>
      <c r="R15" s="93"/>
      <c r="S15" s="85"/>
      <c r="U15" s="94"/>
      <c r="V15" s="93"/>
      <c r="W15" s="85"/>
      <c r="Y15" s="94"/>
      <c r="Z15" s="93"/>
      <c r="AA15" s="85"/>
      <c r="AC15" s="94"/>
      <c r="AD15" s="93"/>
      <c r="AE15" s="85"/>
    </row>
    <row r="16" spans="1:33" x14ac:dyDescent="0.35">
      <c r="F16" s="93"/>
      <c r="G16" s="85"/>
      <c r="H16" s="87"/>
      <c r="I16" s="94"/>
      <c r="J16" s="93"/>
      <c r="K16" s="85"/>
      <c r="M16" s="94"/>
      <c r="N16" s="93"/>
      <c r="O16" s="85"/>
      <c r="Q16" s="94"/>
      <c r="R16" s="93"/>
      <c r="S16" s="85"/>
      <c r="U16" s="94"/>
      <c r="V16" s="93"/>
      <c r="W16" s="85"/>
      <c r="Y16" s="94"/>
      <c r="Z16" s="93"/>
      <c r="AA16" s="85"/>
      <c r="AC16" s="94"/>
      <c r="AD16" s="93"/>
      <c r="AE16" s="85"/>
    </row>
    <row r="17" spans="6:31" x14ac:dyDescent="0.35">
      <c r="F17" s="93"/>
      <c r="G17" s="85"/>
      <c r="H17" s="87"/>
      <c r="I17" s="94"/>
      <c r="J17" s="93"/>
      <c r="K17" s="85"/>
      <c r="M17" s="94"/>
      <c r="N17" s="93"/>
      <c r="O17" s="85"/>
      <c r="Q17" s="94"/>
      <c r="R17" s="93"/>
      <c r="S17" s="85"/>
      <c r="U17" s="94"/>
      <c r="V17" s="93"/>
      <c r="W17" s="85"/>
      <c r="Y17" s="94"/>
      <c r="Z17" s="93"/>
      <c r="AA17" s="85"/>
      <c r="AC17" s="94"/>
      <c r="AD17" s="93"/>
      <c r="AE17" s="85"/>
    </row>
    <row r="18" spans="6:31" x14ac:dyDescent="0.35">
      <c r="F18" s="93"/>
      <c r="G18" s="85"/>
      <c r="H18" s="87"/>
      <c r="I18" s="94"/>
      <c r="J18" s="93"/>
      <c r="K18" s="85"/>
      <c r="M18" s="94"/>
      <c r="N18" s="93"/>
      <c r="O18" s="85"/>
      <c r="Q18" s="94"/>
      <c r="R18" s="93"/>
      <c r="S18" s="85"/>
      <c r="U18" s="94"/>
      <c r="V18" s="93"/>
      <c r="W18" s="85"/>
      <c r="Y18" s="94"/>
      <c r="Z18" s="93"/>
      <c r="AA18" s="85"/>
      <c r="AC18" s="94"/>
      <c r="AD18" s="93"/>
      <c r="AE18" s="85"/>
    </row>
    <row r="19" spans="6:31" x14ac:dyDescent="0.35">
      <c r="F19" s="93"/>
      <c r="G19" s="85"/>
      <c r="H19" s="87"/>
      <c r="I19" s="94"/>
      <c r="J19" s="93"/>
      <c r="K19" s="85"/>
      <c r="M19" s="94"/>
      <c r="N19" s="93"/>
      <c r="O19" s="85"/>
      <c r="Q19" s="94"/>
      <c r="R19" s="93"/>
      <c r="S19" s="85"/>
      <c r="U19" s="94"/>
      <c r="V19" s="93"/>
      <c r="W19" s="85"/>
      <c r="Y19" s="94"/>
      <c r="Z19" s="93"/>
      <c r="AA19" s="85"/>
      <c r="AC19" s="94"/>
      <c r="AD19" s="93"/>
      <c r="AE19" s="85"/>
    </row>
    <row r="20" spans="6:31" x14ac:dyDescent="0.35">
      <c r="F20" s="93"/>
      <c r="G20" s="85"/>
      <c r="H20" s="87"/>
      <c r="I20" s="94"/>
      <c r="J20" s="93"/>
      <c r="K20" s="85"/>
      <c r="M20" s="94"/>
      <c r="N20" s="93"/>
      <c r="O20" s="85"/>
      <c r="Q20" s="94"/>
      <c r="R20" s="93"/>
      <c r="S20" s="85"/>
      <c r="U20" s="94"/>
      <c r="V20" s="93"/>
      <c r="W20" s="85"/>
      <c r="Y20" s="94"/>
      <c r="Z20" s="93"/>
      <c r="AA20" s="85"/>
      <c r="AC20" s="94"/>
      <c r="AD20" s="93"/>
      <c r="AE20" s="85"/>
    </row>
    <row r="21" spans="6:31" x14ac:dyDescent="0.35">
      <c r="F21" s="93"/>
      <c r="G21" s="85"/>
      <c r="H21" s="87"/>
      <c r="I21" s="94"/>
      <c r="J21" s="93"/>
      <c r="K21" s="85"/>
      <c r="M21" s="94"/>
      <c r="N21" s="93"/>
      <c r="O21" s="85"/>
      <c r="Q21" s="94"/>
      <c r="R21" s="93"/>
      <c r="S21" s="85"/>
      <c r="U21" s="94"/>
      <c r="V21" s="93"/>
      <c r="W21" s="85"/>
      <c r="Y21" s="94"/>
      <c r="Z21" s="93"/>
      <c r="AA21" s="85"/>
      <c r="AC21" s="94"/>
      <c r="AD21" s="93"/>
      <c r="AE21" s="85"/>
    </row>
    <row r="22" spans="6:31" x14ac:dyDescent="0.35">
      <c r="F22" s="93"/>
      <c r="G22" s="85"/>
      <c r="H22" s="87"/>
      <c r="I22" s="94"/>
      <c r="J22" s="93"/>
      <c r="K22" s="85"/>
      <c r="M22" s="94"/>
      <c r="N22" s="93"/>
      <c r="O22" s="85"/>
      <c r="Q22" s="94"/>
      <c r="R22" s="93"/>
      <c r="S22" s="85"/>
      <c r="U22" s="94"/>
      <c r="V22" s="93"/>
      <c r="W22" s="85"/>
      <c r="Y22" s="94"/>
      <c r="Z22" s="93"/>
      <c r="AA22" s="85"/>
      <c r="AC22" s="94"/>
      <c r="AD22" s="93"/>
      <c r="AE22" s="85"/>
    </row>
    <row r="23" spans="6:31" x14ac:dyDescent="0.35">
      <c r="F23" s="93"/>
      <c r="G23" s="85"/>
      <c r="H23" s="87"/>
      <c r="I23" s="94"/>
      <c r="J23" s="93"/>
      <c r="K23" s="85"/>
      <c r="M23" s="94"/>
      <c r="N23" s="93"/>
      <c r="O23" s="85"/>
      <c r="Q23" s="94"/>
      <c r="R23" s="93"/>
      <c r="S23" s="85"/>
      <c r="U23" s="94"/>
      <c r="V23" s="93"/>
      <c r="W23" s="85"/>
      <c r="Y23" s="94"/>
      <c r="Z23" s="93"/>
      <c r="AA23" s="85"/>
      <c r="AC23" s="94"/>
      <c r="AD23" s="93"/>
      <c r="AE23" s="85"/>
    </row>
    <row r="24" spans="6:31" x14ac:dyDescent="0.35">
      <c r="F24" s="93"/>
      <c r="G24" s="85"/>
      <c r="H24" s="87"/>
      <c r="I24" s="94"/>
      <c r="J24" s="93"/>
      <c r="K24" s="85"/>
      <c r="M24" s="94"/>
      <c r="N24" s="93"/>
      <c r="O24" s="85"/>
      <c r="Q24" s="94"/>
      <c r="R24" s="93"/>
      <c r="S24" s="85"/>
      <c r="U24" s="94"/>
      <c r="V24" s="93"/>
      <c r="W24" s="85"/>
      <c r="Y24" s="94"/>
      <c r="Z24" s="93"/>
      <c r="AA24" s="85"/>
      <c r="AC24" s="94"/>
      <c r="AD24" s="93"/>
      <c r="AE24" s="85"/>
    </row>
    <row r="25" spans="6:31" x14ac:dyDescent="0.35">
      <c r="F25" s="93"/>
      <c r="G25" s="85"/>
      <c r="H25" s="87"/>
      <c r="I25" s="94"/>
      <c r="J25" s="93"/>
      <c r="K25" s="85"/>
      <c r="M25" s="94"/>
      <c r="N25" s="93"/>
      <c r="O25" s="85"/>
      <c r="Q25" s="94"/>
      <c r="R25" s="93"/>
      <c r="S25" s="85"/>
      <c r="U25" s="94"/>
      <c r="V25" s="93"/>
      <c r="W25" s="85"/>
      <c r="Y25" s="94"/>
      <c r="Z25" s="93"/>
      <c r="AA25" s="85"/>
      <c r="AC25" s="94"/>
      <c r="AD25" s="93"/>
      <c r="AE25" s="85"/>
    </row>
    <row r="26" spans="6:31" x14ac:dyDescent="0.35">
      <c r="F26" s="93"/>
      <c r="G26" s="85"/>
      <c r="H26" s="87"/>
      <c r="I26" s="94"/>
      <c r="J26" s="93"/>
      <c r="K26" s="85"/>
      <c r="M26" s="94"/>
      <c r="N26" s="93"/>
      <c r="O26" s="85"/>
      <c r="Q26" s="94"/>
      <c r="R26" s="93"/>
      <c r="S26" s="85"/>
      <c r="U26" s="94"/>
      <c r="V26" s="93"/>
      <c r="W26" s="85"/>
      <c r="Y26" s="94"/>
      <c r="Z26" s="93"/>
      <c r="AA26" s="85"/>
      <c r="AC26" s="94"/>
      <c r="AD26" s="93"/>
      <c r="AE26" s="85"/>
    </row>
    <row r="27" spans="6:31" x14ac:dyDescent="0.35">
      <c r="F27" s="93"/>
      <c r="G27" s="85"/>
      <c r="H27" s="87"/>
      <c r="I27" s="94"/>
      <c r="J27" s="93"/>
      <c r="K27" s="85"/>
      <c r="M27" s="94"/>
      <c r="N27" s="93"/>
      <c r="O27" s="85"/>
      <c r="Q27" s="94"/>
      <c r="R27" s="93"/>
      <c r="S27" s="85"/>
      <c r="U27" s="94"/>
      <c r="V27" s="93"/>
      <c r="W27" s="85"/>
      <c r="Y27" s="94"/>
      <c r="Z27" s="93"/>
      <c r="AA27" s="85"/>
      <c r="AC27" s="94"/>
      <c r="AD27" s="93"/>
      <c r="AE27" s="85"/>
    </row>
    <row r="28" spans="6:31" x14ac:dyDescent="0.35">
      <c r="F28" s="93"/>
      <c r="G28" s="85"/>
      <c r="H28" s="87"/>
      <c r="I28" s="94"/>
      <c r="J28" s="93"/>
      <c r="K28" s="85"/>
      <c r="M28" s="94"/>
      <c r="N28" s="93"/>
      <c r="O28" s="85"/>
      <c r="Q28" s="94"/>
      <c r="R28" s="93"/>
      <c r="S28" s="85"/>
      <c r="U28" s="94"/>
      <c r="V28" s="93"/>
      <c r="W28" s="85"/>
      <c r="Y28" s="94"/>
      <c r="Z28" s="93"/>
      <c r="AA28" s="85"/>
      <c r="AC28" s="94"/>
      <c r="AD28" s="93"/>
      <c r="AE28" s="85"/>
    </row>
    <row r="29" spans="6:31" x14ac:dyDescent="0.35">
      <c r="F29" s="93"/>
      <c r="G29" s="85"/>
      <c r="H29" s="87"/>
      <c r="I29" s="94"/>
      <c r="J29" s="93"/>
      <c r="K29" s="85"/>
      <c r="M29" s="94"/>
      <c r="N29" s="93"/>
      <c r="O29" s="85"/>
      <c r="Q29" s="94"/>
      <c r="R29" s="93"/>
      <c r="S29" s="85"/>
      <c r="U29" s="94"/>
      <c r="V29" s="93"/>
      <c r="W29" s="85"/>
      <c r="Y29" s="94"/>
      <c r="Z29" s="93"/>
      <c r="AA29" s="85"/>
      <c r="AC29" s="94"/>
      <c r="AD29" s="93"/>
      <c r="AE29" s="85"/>
    </row>
    <row r="30" spans="6:31" x14ac:dyDescent="0.35">
      <c r="F30" s="93"/>
      <c r="G30" s="85"/>
      <c r="H30" s="87"/>
      <c r="I30" s="94"/>
      <c r="J30" s="93"/>
      <c r="K30" s="85"/>
      <c r="M30" s="94"/>
      <c r="N30" s="93"/>
      <c r="O30" s="85"/>
      <c r="Q30" s="94"/>
      <c r="R30" s="93"/>
      <c r="S30" s="85"/>
      <c r="U30" s="94"/>
      <c r="V30" s="93"/>
      <c r="W30" s="85"/>
      <c r="Y30" s="94"/>
      <c r="Z30" s="93"/>
      <c r="AA30" s="85"/>
      <c r="AC30" s="94"/>
      <c r="AD30" s="93"/>
      <c r="AE30" s="85"/>
    </row>
    <row r="31" spans="6:31" x14ac:dyDescent="0.35">
      <c r="F31" s="93"/>
      <c r="G31" s="85"/>
      <c r="H31" s="87"/>
      <c r="I31" s="94"/>
      <c r="J31" s="93"/>
      <c r="K31" s="85"/>
      <c r="M31" s="94"/>
      <c r="N31" s="93"/>
      <c r="O31" s="85"/>
      <c r="Q31" s="94"/>
      <c r="R31" s="93"/>
      <c r="S31" s="85"/>
      <c r="U31" s="94"/>
      <c r="V31" s="93"/>
      <c r="W31" s="85"/>
      <c r="Y31" s="94"/>
      <c r="Z31" s="93"/>
      <c r="AA31" s="85"/>
      <c r="AC31" s="94"/>
      <c r="AD31" s="93"/>
      <c r="AE31" s="85"/>
    </row>
    <row r="32" spans="6: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35" priority="1">
      <formula>$A4="Spend to Date"</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AG1001"/>
  <sheetViews>
    <sheetView workbookViewId="0">
      <pane xSplit="2" ySplit="1" topLeftCell="C23" activePane="bottomRight" state="frozen"/>
      <selection activeCell="K27" sqref="K27"/>
      <selection pane="topRight" activeCell="K27" sqref="K27"/>
      <selection pane="bottomLeft" activeCell="K27" sqref="K27"/>
      <selection pane="bottomRight" activeCell="O31" sqref="O31"/>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1.7265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174</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SUM(E3:E6)</f>
        <v>1556.83</v>
      </c>
      <c r="F2" s="87">
        <f>SUM(F3:F3)</f>
        <v>-869.0300000000002</v>
      </c>
      <c r="I2" s="89">
        <f>SUM(I3:I6)</f>
        <v>3145</v>
      </c>
      <c r="J2" s="87">
        <f>SUM(J3:J6)</f>
        <v>6640.5999999999967</v>
      </c>
      <c r="M2" s="89">
        <f>SUM(M3:M6)</f>
        <v>-1855</v>
      </c>
      <c r="N2" s="87">
        <f>SUM(N3:N6)</f>
        <v>-9830.5</v>
      </c>
      <c r="Q2" s="89">
        <f>SUM(Q3:Q6)</f>
        <v>0</v>
      </c>
      <c r="R2" s="87">
        <f>SUM(R3:R6)</f>
        <v>0</v>
      </c>
      <c r="U2" s="89">
        <f>SUM(U3:U6)</f>
        <v>0</v>
      </c>
      <c r="V2" s="87">
        <f>SUM(V3:V6)</f>
        <v>0</v>
      </c>
      <c r="Y2" s="89">
        <f>SUM(Y3:Y6)</f>
        <v>0</v>
      </c>
      <c r="Z2" s="87">
        <f>SUM(Z3:Z6)</f>
        <v>0</v>
      </c>
      <c r="AC2" s="89">
        <f>SUM(AC3:AC6)</f>
        <v>0</v>
      </c>
      <c r="AD2" s="87">
        <f>SUM(AD3:AD6)</f>
        <v>0</v>
      </c>
    </row>
    <row r="3" spans="1:33" x14ac:dyDescent="0.35">
      <c r="A3" s="86" t="s">
        <v>174</v>
      </c>
      <c r="B3" s="85">
        <v>1</v>
      </c>
      <c r="D3" s="86">
        <v>8888</v>
      </c>
      <c r="E3" s="87">
        <f>3145-1588.17</f>
        <v>1556.83</v>
      </c>
      <c r="F3" s="87">
        <f>SUMIFS(H$20:H$1004,E$20:E$1004,1)</f>
        <v>-869.0300000000002</v>
      </c>
      <c r="G3" s="87">
        <f>D3+E3-F3+SUMIFS(E$9:E$14,$C$9:$C$14,$A3)-SUMIFS(F$9:F$14,$C$9:$C$14,$A3)</f>
        <v>2921.4700000000012</v>
      </c>
      <c r="I3" s="89">
        <f>-I12</f>
        <v>3145</v>
      </c>
      <c r="J3" s="87">
        <f>SUMIFS(L$20:L$1005,I$20:I$1005,1)</f>
        <v>4632.26</v>
      </c>
      <c r="K3" s="87">
        <f>G3+I3-J3+SUMIFS(I$9:I$14,$C$9:$C$14,$A3)-SUMIFS(J$9:J$14,$C$9:$C$14,$A3)</f>
        <v>2180.9900000000034</v>
      </c>
      <c r="L3" s="86"/>
      <c r="M3" s="89">
        <v>-1855</v>
      </c>
      <c r="N3" s="87">
        <f>SUMIFS(P$20:P$1004,M$20:M$1004,1)</f>
        <v>-9830.5</v>
      </c>
      <c r="O3" s="87">
        <f>K3+M3-N3+SUMIFS(M$9:M$14,$C$9:$C$14,$A3)-SUMIFS(N$9:N$14,$C$9:$C$14,$A3)</f>
        <v>16251.890000000005</v>
      </c>
      <c r="R3" s="87">
        <f>SUMIFS(T$20:T$1004,Q$20:Q$1004,1)</f>
        <v>0</v>
      </c>
      <c r="S3" s="87">
        <f>O3+Q3-R3+SUMIFS(Q$9:Q$14,$C$9:$C$14,$A3)-SUMIFS(R$9:R$14,$C$9:$C$14,$A3)</f>
        <v>16251.890000000007</v>
      </c>
      <c r="V3" s="87">
        <f>SUMIFS(X$20:X$1004,U$20:U$1004,1)</f>
        <v>0</v>
      </c>
      <c r="W3" s="87">
        <f>S3+U3-V3+SUMIFS(U$9:U$14,$C$9:$C$14,$A3)-SUMIFS(V$9:V$14,$C$9:$C$14,$A3)</f>
        <v>16251.890000000007</v>
      </c>
      <c r="Z3" s="87">
        <f>SUMIFS(AB$20:AB$1004,Y$20:Y$1004,1)</f>
        <v>0</v>
      </c>
      <c r="AA3" s="87">
        <f>W3+Y3-Z3+SUMIFS(Y$9:Y$14,$C$9:$C$14,$A3)-SUMIFS(Z$9:Z$14,$C$9:$C$14,$A3)</f>
        <v>16251.890000000007</v>
      </c>
      <c r="AD3" s="87">
        <f>SUMIFS(AF$20:AF$1004,AC$20:AC$1004,1)</f>
        <v>0</v>
      </c>
      <c r="AE3" s="87">
        <f>AA3+AC3-AD3+SUMIFS(AC$9:AC$14,$C$9:$C$14,$A3)-SUMIFS(AD$9:AD$14,$C$9:$C$14,$A3)</f>
        <v>16251.890000000007</v>
      </c>
      <c r="AG3" s="87">
        <v>50000</v>
      </c>
    </row>
    <row r="4" spans="1:33" ht="14.5" customHeight="1" x14ac:dyDescent="0.35">
      <c r="A4" s="86" t="s">
        <v>175</v>
      </c>
      <c r="B4" s="85">
        <v>2</v>
      </c>
      <c r="D4" s="86">
        <v>0</v>
      </c>
      <c r="E4" s="87">
        <v>0</v>
      </c>
      <c r="F4" s="87">
        <v>0</v>
      </c>
      <c r="G4" s="87">
        <f>D4+E4-F4+SUMIFS(E$9:E$14,$C$9:$C$14,$A4)-SUMIFS(F$9:F$14,$C$9:$C$14,$A4)</f>
        <v>0</v>
      </c>
      <c r="J4" s="87">
        <f>SUMIFS(L$20:L$1005,I$20:I$1005,2)</f>
        <v>2008.3399999999965</v>
      </c>
      <c r="K4" s="87">
        <f>G4+I4-J4+SUMIFS(I$9:I$14,$C$9:$C$14,$A4)-SUMIFS(J$9:J$14,$C$9:$C$14,$A4)</f>
        <v>491.66000000000349</v>
      </c>
      <c r="L4" s="86"/>
      <c r="N4" s="87">
        <f>SUMIFS(P$20:P$1004,M$20:M$1004,2)</f>
        <v>0</v>
      </c>
      <c r="O4" s="87">
        <f>K4+M4-N4+SUMIFS(M$9:M$14,$C$9:$C$14,$A4)-SUMIFS(N$9:N$14,$C$9:$C$14,$A4)</f>
        <v>-526.07999999999652</v>
      </c>
      <c r="R4" s="87">
        <f>SUMIFS(T$20:T$1004,Q$20:Q$1004,2)</f>
        <v>0</v>
      </c>
      <c r="S4" s="87">
        <f>O4+Q4-R4+SUMIFS(Q$9:Q$14,$C$9:$C$14,$A4)-SUMIFS(R$9:R$14,$C$9:$C$14,$A4)</f>
        <v>-526.07999999999652</v>
      </c>
      <c r="V4" s="87">
        <f>SUMIFS(X$20:X$1004,U$20:U$1004,2)</f>
        <v>0</v>
      </c>
      <c r="W4" s="87">
        <f>S4+U4-V4+SUMIFS(U$9:U$14,$C$9:$C$14,$A4)-SUMIFS(V$9:V$14,$C$9:$C$14,$A4)</f>
        <v>-526.07999999999652</v>
      </c>
      <c r="Z4" s="87">
        <f>SUMIFS(AB$20:AB$1004,Y$20:Y$1004,2)</f>
        <v>0</v>
      </c>
      <c r="AA4" s="87">
        <f>W4+Y4-Z4+SUMIFS(Y$9:Y$14,$C$9:$C$14,$A4)-SUMIFS(Z$9:Z$14,$C$9:$C$14,$A4)</f>
        <v>-526.07999999999652</v>
      </c>
      <c r="AD4" s="87">
        <f>SUMIFS(AF$20:AF$1004,AC$20:AC$1004,2)</f>
        <v>0</v>
      </c>
      <c r="AE4" s="87">
        <f>AA4+AC4-AD4+SUMIFS(AC$9:AC$14,$C$9:$C$14,$A4)-SUMIFS(AD$9:AD$14,$C$9:$C$14,$A4)</f>
        <v>-526.07999999999652</v>
      </c>
    </row>
    <row r="5" spans="1:33" ht="14.5" customHeight="1" x14ac:dyDescent="0.35">
      <c r="A5" s="86" t="s">
        <v>72</v>
      </c>
      <c r="B5" s="85">
        <v>3</v>
      </c>
      <c r="D5" s="86">
        <v>0</v>
      </c>
      <c r="E5" s="87">
        <v>0</v>
      </c>
      <c r="F5" s="87">
        <v>0</v>
      </c>
      <c r="G5" s="87">
        <f>D5+E5-F5+SUMIFS(E$9:E$14,$C$9:$C$14,$A5)-SUMIFS(F$9:F$14,$C$9:$C$14,$A5)</f>
        <v>0</v>
      </c>
      <c r="J5" s="87">
        <f>SUMIFS(L$20:L$1005,I$20:I$1005,3)</f>
        <v>0</v>
      </c>
      <c r="K5" s="87">
        <f>G5+I5-J5+SUMIFS(I$9:I$14,$C$9:$C$14,$A5)-SUMIFS(J$9:J$14,$C$9:$C$14,$A5)</f>
        <v>0</v>
      </c>
      <c r="L5" s="86"/>
      <c r="N5" s="87">
        <f>SUMIFS(P$20:P$1004,M$20:M$1004,3)</f>
        <v>0</v>
      </c>
      <c r="O5" s="87">
        <f>K5+M5-N5+SUMIFS(M$9:M$14,$C$9:$C$14,$A5)-SUMIFS(N$9:N$14,$C$9:$C$14,$A5)</f>
        <v>0</v>
      </c>
      <c r="R5" s="87">
        <f>SUMIFS(T$20:T$1004,Q$20:Q$1004,3)</f>
        <v>0</v>
      </c>
      <c r="S5" s="87">
        <f>O5+Q5-R5+SUMIFS(Q$9:Q$14,$C$9:$C$14,$A5)-SUMIFS(R$9:R$14,$C$9:$C$14,$A5)</f>
        <v>0</v>
      </c>
      <c r="V5" s="87">
        <f>SUMIFS(X$20:X$1004,U$20:U$1004,3)</f>
        <v>0</v>
      </c>
      <c r="W5" s="87">
        <f>S5+U5-V5+SUMIFS(U$9:U$14,$C$9:$C$14,$A5)-SUMIFS(V$9:V$14,$C$9:$C$14,$A5)</f>
        <v>0</v>
      </c>
      <c r="Z5" s="87">
        <f>SUMIFS(AB$20:AB$1004,Y$20:Y$1004,3)</f>
        <v>0</v>
      </c>
      <c r="AA5" s="87">
        <f>W5+Y5-Z5+SUMIFS(Y$9:Y$14,$C$9:$C$14,$A5)-SUMIFS(Z$9:Z$14,$C$9:$C$14,$A5)</f>
        <v>0</v>
      </c>
      <c r="AD5" s="87">
        <f>SUMIFS(AF$20:AF$1004,AC$20:AC$1004,3)</f>
        <v>0</v>
      </c>
      <c r="AE5" s="87">
        <f>AA5+AC5-AD5+SUMIFS(AC$9:AC$14,$C$9:$C$14,$A5)-SUMIFS(AD$9:AD$14,$C$9:$C$14,$A5)</f>
        <v>0</v>
      </c>
    </row>
    <row r="6" spans="1:33" ht="14.15" customHeight="1" x14ac:dyDescent="0.35">
      <c r="A6" s="86" t="s">
        <v>153</v>
      </c>
      <c r="B6" s="85">
        <v>4</v>
      </c>
      <c r="D6" s="86">
        <v>0</v>
      </c>
      <c r="E6" s="87">
        <v>0</v>
      </c>
      <c r="F6" s="87">
        <v>0</v>
      </c>
      <c r="G6" s="87">
        <f>D6+E6-F6+SUMIFS(E$9:E$14,$C$9:$C$14,$A6)-SUMIFS(F$9:F$14,$C$9:$C$14,$A6)</f>
        <v>0</v>
      </c>
      <c r="J6" s="87">
        <f>SUMIFS(L$20:L$1005,I$20:I$1005,4)</f>
        <v>0</v>
      </c>
      <c r="K6" s="87">
        <f>G6+I6-J6+SUMIFS(I$9:I$14,$C$9:$C$14,$A6)-SUMIFS(J$9:J$14,$C$9:$C$14,$A6)</f>
        <v>0</v>
      </c>
      <c r="L6" s="86"/>
      <c r="N6" s="87">
        <f>SUMIFS(P$20:P$1004,M$20:M$1004,4)</f>
        <v>0</v>
      </c>
      <c r="O6" s="87">
        <f>K6+M6-N6+SUMIFS(M$9:M$14,$C$9:$C$14,$A6)-SUMIFS(N$9:N$14,$C$9:$C$14,$A6)</f>
        <v>0</v>
      </c>
      <c r="R6" s="87">
        <f>SUMIFS(T$20:T$1004,Q$20:Q$1004,4)</f>
        <v>0</v>
      </c>
      <c r="S6" s="87">
        <f>O6+Q6-R6+SUMIFS(Q$9:Q$14,$C$9:$C$14,$A6)-SUMIFS(R$9:R$14,$C$9:$C$14,$A6)</f>
        <v>0</v>
      </c>
      <c r="V6" s="87">
        <f>SUMIFS(X$20:X$1004,U$20:U$1004,4)</f>
        <v>0</v>
      </c>
      <c r="W6" s="87">
        <f>S6+U6-V6+SUMIFS(U$9:U$14,$C$9:$C$14,$A6)-SUMIFS(V$9:V$14,$C$9:$C$14,$A6)</f>
        <v>0</v>
      </c>
      <c r="Z6" s="87">
        <f>SUMIFS(AB$20:AB$1004,Y$20:Y$1004,4)</f>
        <v>0</v>
      </c>
      <c r="AA6" s="87">
        <f>W6+Y6-Z6+SUMIFS(Y$9:Y$14,$C$9:$C$14,$A6)-SUMIFS(Z$9:Z$14,$C$9:$C$14,$A6)</f>
        <v>0</v>
      </c>
      <c r="AD6" s="87">
        <f>SUMIFS(AF$20:AF$1004,AC$20:AC$1004,4)</f>
        <v>0</v>
      </c>
      <c r="AE6" s="87">
        <f>AA6+AC6-AD6+SUMIFS(AC$9:AC$14,$C$9:$C$14,$A6)-SUMIFS(AD$9:AD$14,$C$9:$C$14,$A6)</f>
        <v>0</v>
      </c>
    </row>
    <row r="7" spans="1:33" ht="14.5" customHeight="1" x14ac:dyDescent="0.35">
      <c r="E7" s="87"/>
      <c r="F7" s="87"/>
    </row>
    <row r="8" spans="1:33" ht="14.5" customHeight="1" x14ac:dyDescent="0.35">
      <c r="A8" s="84" t="s">
        <v>176</v>
      </c>
      <c r="D8" s="84"/>
      <c r="E8" s="87">
        <f>SUM(E9:E14)</f>
        <v>91396.17</v>
      </c>
      <c r="F8" s="87">
        <f>SUM(F9:F14)</f>
        <v>99788.56</v>
      </c>
      <c r="I8" s="89">
        <f>SUM(I9:I14)</f>
        <v>6355</v>
      </c>
      <c r="J8" s="87">
        <f>SUM(J9:J14)</f>
        <v>3108.2199999999975</v>
      </c>
      <c r="M8" s="89">
        <f>SUM(M9:M14)</f>
        <v>6855</v>
      </c>
      <c r="N8" s="87">
        <f>SUM(N9:N14)</f>
        <v>1777.3400000000001</v>
      </c>
      <c r="Q8" s="89">
        <f>SUM(Q9:Q14)</f>
        <v>7060</v>
      </c>
      <c r="R8" s="87">
        <f>$Q$8</f>
        <v>7060</v>
      </c>
      <c r="U8" s="89">
        <f>SUM(U9:U14)</f>
        <v>7271</v>
      </c>
      <c r="V8" s="87">
        <f>$U$8</f>
        <v>7271</v>
      </c>
      <c r="Y8" s="89">
        <f>SUM(Y9:Y14)</f>
        <v>7489</v>
      </c>
      <c r="Z8" s="87">
        <f>$Y$8</f>
        <v>7489</v>
      </c>
      <c r="AC8" s="89">
        <f>SUM(AC9:AC14)</f>
        <v>7713</v>
      </c>
      <c r="AD8" s="87">
        <f>$AC$8</f>
        <v>7713</v>
      </c>
    </row>
    <row r="9" spans="1:33" ht="14.5" customHeight="1" x14ac:dyDescent="0.35">
      <c r="A9" s="86" t="s">
        <v>176</v>
      </c>
      <c r="B9" s="85">
        <v>5</v>
      </c>
      <c r="C9" s="86" t="s">
        <v>174</v>
      </c>
      <c r="D9" s="84"/>
      <c r="E9" s="87">
        <v>0</v>
      </c>
      <c r="F9" s="87">
        <f t="shared" ref="F9:F14" si="0">SUMIFS(H$20:H$1004,E$20:E$1004,$B9)</f>
        <v>0</v>
      </c>
      <c r="I9" s="89">
        <f t="shared" ref="I9:I14" si="1">ROUNDUP((E9)*RPICurrent,0)</f>
        <v>0</v>
      </c>
      <c r="J9" s="87">
        <f t="shared" ref="J9:J14" si="2">SUMIFS(L$20:L$1005,I$20:I$1005,$B9)</f>
        <v>-1690.15</v>
      </c>
      <c r="M9" s="89">
        <f t="shared" ref="M9:M14" si="3">ROUNDUP((I9)*RPI,0)</f>
        <v>0</v>
      </c>
      <c r="N9" s="87">
        <f t="shared" ref="N9:N14" si="4">SUMIFS(P$20:P$1004,M$20:M$1004,$B9)</f>
        <v>0</v>
      </c>
      <c r="Q9" s="89">
        <f t="shared" ref="Q9:Q14" si="5">ROUNDUP((M9)*RPI,0)</f>
        <v>0</v>
      </c>
      <c r="R9" s="87">
        <f>$Q$9</f>
        <v>0</v>
      </c>
      <c r="U9" s="89">
        <f t="shared" ref="U9:U14" si="6">ROUNDUP((Q9)*RPI,0)</f>
        <v>0</v>
      </c>
      <c r="V9" s="87">
        <f>$U$9</f>
        <v>0</v>
      </c>
      <c r="Y9" s="89">
        <f t="shared" ref="Y9:Y14" si="7">ROUNDUP((U9)*RPI,0)</f>
        <v>0</v>
      </c>
      <c r="Z9" s="87">
        <f>$Y$9</f>
        <v>0</v>
      </c>
      <c r="AC9" s="89">
        <f t="shared" ref="AC9:AC14" si="8">ROUNDUP((Y9)*RPI,0)</f>
        <v>0</v>
      </c>
      <c r="AD9" s="87">
        <f>$AC$9</f>
        <v>0</v>
      </c>
    </row>
    <row r="10" spans="1:33" ht="14.5" customHeight="1" x14ac:dyDescent="0.35">
      <c r="A10" s="86" t="s">
        <v>80</v>
      </c>
      <c r="B10" s="85">
        <v>6</v>
      </c>
      <c r="C10" s="86" t="s">
        <v>174</v>
      </c>
      <c r="D10" s="84"/>
      <c r="E10" s="87">
        <f>72579+10187+10187</f>
        <v>92953</v>
      </c>
      <c r="F10" s="87">
        <f t="shared" si="0"/>
        <v>92953</v>
      </c>
      <c r="I10" s="89">
        <v>0</v>
      </c>
      <c r="J10" s="87">
        <f t="shared" si="2"/>
        <v>0</v>
      </c>
      <c r="M10" s="89">
        <f t="shared" si="3"/>
        <v>0</v>
      </c>
      <c r="N10" s="87">
        <f t="shared" si="4"/>
        <v>0</v>
      </c>
      <c r="Q10" s="89">
        <f t="shared" si="5"/>
        <v>0</v>
      </c>
      <c r="R10" s="87">
        <f>$Q$10</f>
        <v>0</v>
      </c>
      <c r="U10" s="89">
        <f t="shared" si="6"/>
        <v>0</v>
      </c>
      <c r="V10" s="87">
        <f>$U$10</f>
        <v>0</v>
      </c>
      <c r="Y10" s="89">
        <f t="shared" si="7"/>
        <v>0</v>
      </c>
      <c r="Z10" s="87">
        <f>$Y$10</f>
        <v>0</v>
      </c>
      <c r="AC10" s="89">
        <f t="shared" si="8"/>
        <v>0</v>
      </c>
      <c r="AD10" s="87">
        <f>$AC$10</f>
        <v>0</v>
      </c>
    </row>
    <row r="11" spans="1:33" ht="14.5" customHeight="1" x14ac:dyDescent="0.35">
      <c r="A11" s="86" t="s">
        <v>124</v>
      </c>
      <c r="B11" s="85">
        <v>7</v>
      </c>
      <c r="C11" s="86" t="s">
        <v>174</v>
      </c>
      <c r="D11" s="84"/>
      <c r="E11" s="87">
        <v>1588.17</v>
      </c>
      <c r="F11" s="87">
        <f t="shared" si="0"/>
        <v>9980.56</v>
      </c>
      <c r="I11" s="89">
        <f>7000+2500</f>
        <v>9500</v>
      </c>
      <c r="J11" s="87">
        <f t="shared" si="2"/>
        <v>10443.369999999997</v>
      </c>
      <c r="M11" s="89">
        <v>10000</v>
      </c>
      <c r="N11" s="87">
        <f t="shared" si="4"/>
        <v>759.6</v>
      </c>
      <c r="Q11" s="89">
        <f t="shared" si="5"/>
        <v>10300</v>
      </c>
      <c r="R11" s="87">
        <f>$Q$11</f>
        <v>10300</v>
      </c>
      <c r="U11" s="89">
        <f t="shared" si="6"/>
        <v>10609</v>
      </c>
      <c r="V11" s="87">
        <f>$U$11</f>
        <v>10609</v>
      </c>
      <c r="Y11" s="89">
        <f t="shared" si="7"/>
        <v>10928</v>
      </c>
      <c r="Z11" s="87">
        <f>$Y$11</f>
        <v>10928</v>
      </c>
      <c r="AC11" s="89">
        <f t="shared" si="8"/>
        <v>11256</v>
      </c>
      <c r="AD11" s="87">
        <f>$AC$11</f>
        <v>11256</v>
      </c>
    </row>
    <row r="12" spans="1:33" ht="14.5" customHeight="1" x14ac:dyDescent="0.35">
      <c r="A12" s="86" t="s">
        <v>130</v>
      </c>
      <c r="B12" s="85">
        <v>8</v>
      </c>
      <c r="C12" s="86" t="s">
        <v>174</v>
      </c>
      <c r="D12" s="84"/>
      <c r="E12" s="87">
        <v>-3145</v>
      </c>
      <c r="F12" s="87">
        <f t="shared" si="0"/>
        <v>-3145</v>
      </c>
      <c r="I12" s="89">
        <v>-3145</v>
      </c>
      <c r="J12" s="87">
        <f t="shared" si="2"/>
        <v>-3145</v>
      </c>
      <c r="M12" s="89">
        <v>-3145</v>
      </c>
      <c r="N12" s="87">
        <f t="shared" si="4"/>
        <v>0</v>
      </c>
      <c r="Q12" s="89">
        <f t="shared" si="5"/>
        <v>-3240</v>
      </c>
      <c r="R12" s="87">
        <f>$Q$12</f>
        <v>-3240</v>
      </c>
      <c r="U12" s="89">
        <f t="shared" si="6"/>
        <v>-3338</v>
      </c>
      <c r="V12" s="87">
        <f>$U$12</f>
        <v>-3338</v>
      </c>
      <c r="Y12" s="89">
        <f t="shared" si="7"/>
        <v>-3439</v>
      </c>
      <c r="Z12" s="87">
        <f>$Y$12</f>
        <v>-3439</v>
      </c>
      <c r="AC12" s="89">
        <f t="shared" si="8"/>
        <v>-3543</v>
      </c>
      <c r="AD12" s="87">
        <f>$AC$12</f>
        <v>-3543</v>
      </c>
    </row>
    <row r="13" spans="1:33" ht="14.5" customHeight="1" x14ac:dyDescent="0.35">
      <c r="A13" s="86" t="s">
        <v>75</v>
      </c>
      <c r="B13" s="85">
        <v>9</v>
      </c>
      <c r="C13" s="86" t="s">
        <v>72</v>
      </c>
      <c r="D13" s="84"/>
      <c r="E13" s="87">
        <v>0</v>
      </c>
      <c r="F13" s="87">
        <f t="shared" si="0"/>
        <v>0</v>
      </c>
      <c r="I13" s="89">
        <f t="shared" si="1"/>
        <v>0</v>
      </c>
      <c r="J13" s="87">
        <f t="shared" si="2"/>
        <v>0</v>
      </c>
      <c r="M13" s="89">
        <f t="shared" si="3"/>
        <v>0</v>
      </c>
      <c r="N13" s="87">
        <f t="shared" si="4"/>
        <v>0</v>
      </c>
      <c r="Q13" s="89">
        <f t="shared" si="5"/>
        <v>0</v>
      </c>
      <c r="R13" s="87">
        <f>$Q$13</f>
        <v>0</v>
      </c>
      <c r="U13" s="89">
        <f t="shared" si="6"/>
        <v>0</v>
      </c>
      <c r="V13" s="87">
        <f>$U$13</f>
        <v>0</v>
      </c>
      <c r="Y13" s="89">
        <f t="shared" si="7"/>
        <v>0</v>
      </c>
      <c r="Z13" s="87">
        <f>$Y$13</f>
        <v>0</v>
      </c>
      <c r="AC13" s="89">
        <f t="shared" si="8"/>
        <v>0</v>
      </c>
      <c r="AD13" s="87">
        <f>$AC$13</f>
        <v>0</v>
      </c>
    </row>
    <row r="14" spans="1:33" ht="14.5" customHeight="1" x14ac:dyDescent="0.35">
      <c r="A14" s="86" t="s">
        <v>142</v>
      </c>
      <c r="B14" s="85">
        <v>10</v>
      </c>
      <c r="C14" s="86" t="s">
        <v>175</v>
      </c>
      <c r="D14" s="84"/>
      <c r="E14" s="87">
        <v>0</v>
      </c>
      <c r="F14" s="87">
        <f t="shared" si="0"/>
        <v>0</v>
      </c>
      <c r="I14" s="89">
        <f t="shared" si="1"/>
        <v>0</v>
      </c>
      <c r="J14" s="87">
        <f t="shared" si="2"/>
        <v>-2500</v>
      </c>
      <c r="M14" s="89">
        <f t="shared" si="3"/>
        <v>0</v>
      </c>
      <c r="N14" s="87">
        <f t="shared" si="4"/>
        <v>1017.74</v>
      </c>
      <c r="Q14" s="89">
        <f t="shared" si="5"/>
        <v>0</v>
      </c>
      <c r="R14" s="87">
        <f>$Q$14</f>
        <v>0</v>
      </c>
      <c r="U14" s="89">
        <f t="shared" si="6"/>
        <v>0</v>
      </c>
      <c r="V14" s="87">
        <f>$U$14</f>
        <v>0</v>
      </c>
      <c r="Y14" s="89">
        <f t="shared" si="7"/>
        <v>0</v>
      </c>
      <c r="Z14" s="87">
        <f>$Y$14</f>
        <v>0</v>
      </c>
      <c r="AC14" s="89">
        <f t="shared" si="8"/>
        <v>0</v>
      </c>
      <c r="AD14" s="87">
        <f>$AC$14</f>
        <v>0</v>
      </c>
    </row>
    <row r="15" spans="1:33" ht="14.5" customHeight="1" x14ac:dyDescent="0.35">
      <c r="E15" s="87"/>
      <c r="F15" s="87"/>
    </row>
    <row r="16" spans="1:33" ht="14.5" customHeight="1" x14ac:dyDescent="0.35">
      <c r="E16" s="87"/>
      <c r="F16" s="87"/>
    </row>
    <row r="17" spans="1:31" ht="14.5" customHeight="1" x14ac:dyDescent="0.35">
      <c r="E17" s="87"/>
      <c r="F17" s="87"/>
    </row>
    <row r="18" spans="1:31" ht="14.5" customHeight="1" x14ac:dyDescent="0.35">
      <c r="A18" s="84" t="s">
        <v>487</v>
      </c>
      <c r="G18" s="85"/>
      <c r="H18" s="87"/>
      <c r="I18" s="94"/>
      <c r="J18" s="93"/>
      <c r="K18" s="85"/>
      <c r="M18" s="94"/>
      <c r="N18" s="93"/>
      <c r="O18" s="85"/>
      <c r="Q18" s="94"/>
      <c r="R18" s="93"/>
      <c r="S18" s="85"/>
      <c r="U18" s="94"/>
      <c r="V18" s="93"/>
      <c r="W18" s="85"/>
      <c r="Y18" s="94"/>
      <c r="Z18" s="93"/>
      <c r="AA18" s="85"/>
      <c r="AC18" s="94"/>
      <c r="AD18" s="93"/>
      <c r="AE18" s="85"/>
    </row>
    <row r="19" spans="1:31" ht="14.5" customHeight="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94"/>
      <c r="R19" s="93"/>
      <c r="S19" s="85"/>
      <c r="U19" s="94"/>
      <c r="V19" s="93"/>
      <c r="W19" s="85"/>
      <c r="Y19" s="94"/>
      <c r="Z19" s="93"/>
      <c r="AA19" s="85"/>
      <c r="AC19" s="94"/>
      <c r="AD19" s="93"/>
      <c r="AE19" s="85"/>
    </row>
    <row r="20" spans="1:31" ht="14.5" customHeight="1" x14ac:dyDescent="0.35">
      <c r="A20" s="85"/>
      <c r="D20" s="85"/>
      <c r="E20" s="85">
        <v>6</v>
      </c>
      <c r="F20" s="93" t="s">
        <v>967</v>
      </c>
      <c r="G20" s="85" t="s">
        <v>968</v>
      </c>
      <c r="H20" s="87">
        <f>82766+10187</f>
        <v>92953</v>
      </c>
      <c r="I20" s="94">
        <v>7</v>
      </c>
      <c r="J20" s="93">
        <v>45057</v>
      </c>
      <c r="K20" s="85" t="s">
        <v>1188</v>
      </c>
      <c r="L20" s="87">
        <v>90.02</v>
      </c>
      <c r="M20" s="94">
        <v>7</v>
      </c>
      <c r="N20" s="93">
        <v>45399</v>
      </c>
      <c r="O20" s="85" t="s">
        <v>2888</v>
      </c>
      <c r="P20" s="148">
        <v>92.39</v>
      </c>
      <c r="Q20" s="94"/>
      <c r="R20" s="93"/>
      <c r="S20" s="85"/>
      <c r="U20" s="94"/>
      <c r="V20" s="93"/>
      <c r="W20" s="85"/>
      <c r="Y20" s="94"/>
      <c r="Z20" s="93"/>
      <c r="AA20" s="85"/>
      <c r="AC20" s="94"/>
      <c r="AD20" s="93"/>
      <c r="AE20" s="85"/>
    </row>
    <row r="21" spans="1:31" ht="14.5" customHeight="1" x14ac:dyDescent="0.35">
      <c r="E21" s="85">
        <v>7</v>
      </c>
      <c r="F21" s="93" t="s">
        <v>891</v>
      </c>
      <c r="G21" s="85" t="s">
        <v>124</v>
      </c>
      <c r="H21" s="87">
        <v>7075.16</v>
      </c>
      <c r="I21" s="94">
        <v>7</v>
      </c>
      <c r="J21" s="93">
        <v>45057</v>
      </c>
      <c r="K21" s="85" t="s">
        <v>1188</v>
      </c>
      <c r="L21" s="87">
        <v>106.75</v>
      </c>
      <c r="M21" s="94">
        <v>7</v>
      </c>
      <c r="N21" s="93">
        <v>45420</v>
      </c>
      <c r="O21" s="85" t="s">
        <v>2903</v>
      </c>
      <c r="P21" s="148">
        <v>94.07</v>
      </c>
      <c r="Q21" s="94"/>
      <c r="R21" s="93"/>
      <c r="S21" s="85"/>
      <c r="U21" s="94"/>
      <c r="V21" s="93"/>
      <c r="W21" s="85"/>
      <c r="Y21" s="94"/>
      <c r="Z21" s="93"/>
      <c r="AA21" s="85"/>
      <c r="AC21" s="94"/>
      <c r="AD21" s="93"/>
      <c r="AE21" s="85"/>
    </row>
    <row r="22" spans="1:31" ht="14.5" customHeight="1" x14ac:dyDescent="0.35">
      <c r="E22" s="85">
        <v>8</v>
      </c>
      <c r="F22" s="93" t="s">
        <v>967</v>
      </c>
      <c r="G22" s="85" t="s">
        <v>1280</v>
      </c>
      <c r="H22" s="87">
        <v>-3145</v>
      </c>
      <c r="I22" s="94">
        <v>7</v>
      </c>
      <c r="J22" s="93">
        <v>45084</v>
      </c>
      <c r="K22" s="85" t="s">
        <v>1261</v>
      </c>
      <c r="L22" s="87">
        <v>122.91</v>
      </c>
      <c r="M22" s="94">
        <v>7</v>
      </c>
      <c r="N22" s="93">
        <v>45420</v>
      </c>
      <c r="O22" s="85" t="s">
        <v>2903</v>
      </c>
      <c r="P22" s="148">
        <v>99.57</v>
      </c>
      <c r="Q22" s="94"/>
      <c r="R22" s="93"/>
      <c r="S22" s="85"/>
      <c r="U22" s="94"/>
      <c r="V22" s="93"/>
      <c r="W22" s="85"/>
      <c r="Y22" s="94"/>
      <c r="Z22" s="93"/>
      <c r="AA22" s="85"/>
      <c r="AC22" s="94"/>
      <c r="AD22" s="93"/>
      <c r="AE22" s="85"/>
    </row>
    <row r="23" spans="1:31" ht="14.5" customHeight="1" x14ac:dyDescent="0.35">
      <c r="E23" s="85">
        <v>1</v>
      </c>
      <c r="F23" s="93" t="s">
        <v>699</v>
      </c>
      <c r="G23" s="85" t="s">
        <v>1237</v>
      </c>
      <c r="H23" s="87">
        <v>2130.9699999999998</v>
      </c>
      <c r="I23" s="94">
        <v>7</v>
      </c>
      <c r="J23" s="93">
        <v>45084</v>
      </c>
      <c r="K23" s="85" t="s">
        <v>1261</v>
      </c>
      <c r="L23" s="87">
        <v>82.79</v>
      </c>
      <c r="M23" s="94">
        <v>7</v>
      </c>
      <c r="N23" s="93">
        <v>45460</v>
      </c>
      <c r="O23" s="85" t="s">
        <v>2964</v>
      </c>
      <c r="P23" s="148">
        <v>62.98</v>
      </c>
      <c r="Q23" s="94"/>
      <c r="R23" s="93"/>
      <c r="S23" s="85"/>
      <c r="U23" s="94"/>
      <c r="V23" s="93"/>
      <c r="W23" s="85"/>
      <c r="Y23" s="94"/>
      <c r="Z23" s="93"/>
      <c r="AA23" s="85"/>
      <c r="AC23" s="94"/>
      <c r="AD23" s="93"/>
      <c r="AE23" s="85"/>
    </row>
    <row r="24" spans="1:31" ht="14.5" customHeight="1" x14ac:dyDescent="0.35">
      <c r="E24" s="92">
        <v>1</v>
      </c>
      <c r="F24" s="97" t="s">
        <v>784</v>
      </c>
      <c r="G24" s="92" t="s">
        <v>1152</v>
      </c>
      <c r="H24" s="90">
        <v>-3000</v>
      </c>
      <c r="I24" s="94">
        <v>7</v>
      </c>
      <c r="J24" s="93">
        <v>45094</v>
      </c>
      <c r="K24" s="85" t="s">
        <v>1310</v>
      </c>
      <c r="L24" s="87">
        <v>231.15</v>
      </c>
      <c r="M24" s="94">
        <v>7</v>
      </c>
      <c r="N24" s="93">
        <v>45450</v>
      </c>
      <c r="O24" s="85" t="s">
        <v>1231</v>
      </c>
      <c r="P24" s="148">
        <v>100.89</v>
      </c>
      <c r="Q24" s="94"/>
      <c r="R24" s="93"/>
      <c r="S24" s="85"/>
      <c r="U24" s="94"/>
      <c r="V24" s="93"/>
      <c r="W24" s="85"/>
      <c r="Y24" s="94"/>
      <c r="Z24" s="93"/>
      <c r="AA24" s="85"/>
      <c r="AC24" s="94"/>
      <c r="AD24" s="93"/>
      <c r="AE24" s="85"/>
    </row>
    <row r="25" spans="1:31" ht="54.65" customHeight="1" x14ac:dyDescent="0.35">
      <c r="E25" s="92"/>
      <c r="F25" s="97" t="s">
        <v>676</v>
      </c>
      <c r="G25" s="98" t="s">
        <v>1241</v>
      </c>
      <c r="H25" s="90">
        <v>3000</v>
      </c>
      <c r="I25" s="94">
        <v>7</v>
      </c>
      <c r="J25" s="93">
        <v>45108</v>
      </c>
      <c r="K25" s="85" t="s">
        <v>1232</v>
      </c>
      <c r="L25" s="87">
        <v>72.66</v>
      </c>
      <c r="M25" s="94">
        <v>7</v>
      </c>
      <c r="N25" s="93">
        <v>45450</v>
      </c>
      <c r="O25" s="85" t="s">
        <v>1231</v>
      </c>
      <c r="P25" s="148">
        <v>90.52</v>
      </c>
      <c r="Q25" s="94"/>
      <c r="R25" s="93"/>
      <c r="S25" s="85"/>
      <c r="U25" s="94"/>
      <c r="V25" s="93"/>
      <c r="W25" s="85"/>
      <c r="Y25" s="94"/>
      <c r="Z25" s="93"/>
      <c r="AA25" s="85"/>
      <c r="AC25" s="94"/>
      <c r="AD25" s="93"/>
      <c r="AE25" s="85"/>
    </row>
    <row r="26" spans="1:31" ht="14.5" customHeight="1" x14ac:dyDescent="0.35">
      <c r="E26" s="85">
        <v>7</v>
      </c>
      <c r="F26" s="93">
        <v>44943</v>
      </c>
      <c r="G26" s="85" t="s">
        <v>1311</v>
      </c>
      <c r="H26" s="87">
        <v>1566.42</v>
      </c>
      <c r="I26" s="94">
        <v>7</v>
      </c>
      <c r="J26" s="93">
        <v>45108</v>
      </c>
      <c r="K26" s="85" t="s">
        <v>1232</v>
      </c>
      <c r="L26" s="87">
        <v>116.49</v>
      </c>
      <c r="M26" s="94">
        <v>10</v>
      </c>
      <c r="N26" s="93">
        <v>45471</v>
      </c>
      <c r="O26" s="85" t="s">
        <v>3026</v>
      </c>
      <c r="P26" s="148">
        <v>1017.74</v>
      </c>
      <c r="Q26" s="94"/>
      <c r="R26" s="93"/>
      <c r="S26" s="85"/>
      <c r="U26" s="94"/>
      <c r="V26" s="93"/>
      <c r="W26" s="85"/>
      <c r="Y26" s="94"/>
      <c r="Z26" s="93"/>
      <c r="AA26" s="85"/>
      <c r="AC26" s="94"/>
      <c r="AD26" s="93"/>
      <c r="AE26" s="85"/>
    </row>
    <row r="27" spans="1:31" ht="14.5" customHeight="1" x14ac:dyDescent="0.35">
      <c r="E27" s="85">
        <v>7</v>
      </c>
      <c r="F27" s="93">
        <v>44964</v>
      </c>
      <c r="G27" s="85" t="s">
        <v>1275</v>
      </c>
      <c r="H27" s="87">
        <v>82.69</v>
      </c>
      <c r="I27" s="94">
        <v>7</v>
      </c>
      <c r="J27" s="93">
        <v>45096</v>
      </c>
      <c r="K27" s="85" t="s">
        <v>1312</v>
      </c>
      <c r="L27" s="87">
        <v>4.84</v>
      </c>
      <c r="M27" s="94">
        <v>7</v>
      </c>
      <c r="N27" s="93">
        <v>45463</v>
      </c>
      <c r="O27" s="85" t="s">
        <v>2964</v>
      </c>
      <c r="P27" s="148">
        <v>17.22</v>
      </c>
      <c r="Q27" s="94"/>
      <c r="R27" s="93"/>
      <c r="S27" s="85"/>
      <c r="U27" s="94"/>
      <c r="V27" s="93"/>
      <c r="W27" s="85"/>
      <c r="Y27" s="94"/>
      <c r="Z27" s="93"/>
      <c r="AA27" s="85"/>
      <c r="AC27" s="94"/>
      <c r="AD27" s="93"/>
      <c r="AE27" s="85"/>
    </row>
    <row r="28" spans="1:31" ht="14.5" customHeight="1" x14ac:dyDescent="0.35">
      <c r="E28" s="85">
        <v>7</v>
      </c>
      <c r="F28" s="93">
        <v>44992</v>
      </c>
      <c r="G28" s="85" t="s">
        <v>1208</v>
      </c>
      <c r="H28" s="87">
        <f>47.72+67.67</f>
        <v>115.39</v>
      </c>
      <c r="I28" s="94">
        <v>7</v>
      </c>
      <c r="J28" s="93">
        <v>45143</v>
      </c>
      <c r="K28" s="85" t="s">
        <v>1234</v>
      </c>
      <c r="L28" s="87">
        <v>102.17</v>
      </c>
      <c r="M28" s="94">
        <v>1</v>
      </c>
      <c r="N28" s="93">
        <v>45457</v>
      </c>
      <c r="O28" s="85" t="s">
        <v>3112</v>
      </c>
      <c r="P28" s="148">
        <v>-9830.5</v>
      </c>
      <c r="Q28" s="94"/>
      <c r="R28" s="93"/>
      <c r="S28" s="85"/>
      <c r="U28" s="94"/>
      <c r="V28" s="93"/>
      <c r="W28" s="85"/>
      <c r="Y28" s="94"/>
      <c r="Z28" s="93"/>
      <c r="AA28" s="85"/>
      <c r="AC28" s="94"/>
      <c r="AD28" s="93"/>
      <c r="AE28" s="85"/>
    </row>
    <row r="29" spans="1:31" ht="14.5" customHeight="1" x14ac:dyDescent="0.35">
      <c r="E29" s="85">
        <v>7</v>
      </c>
      <c r="F29" s="93">
        <v>45004</v>
      </c>
      <c r="G29" s="85" t="s">
        <v>1243</v>
      </c>
      <c r="H29" s="87">
        <v>28.1</v>
      </c>
      <c r="I29" s="94">
        <v>7</v>
      </c>
      <c r="J29" s="93">
        <v>45143</v>
      </c>
      <c r="K29" s="85" t="s">
        <v>1234</v>
      </c>
      <c r="L29" s="87">
        <v>72.03</v>
      </c>
      <c r="M29" s="94">
        <v>7</v>
      </c>
      <c r="N29" s="93">
        <v>45478</v>
      </c>
      <c r="O29" s="85" t="s">
        <v>1232</v>
      </c>
      <c r="P29" s="87">
        <v>108.96</v>
      </c>
      <c r="Q29" s="94"/>
      <c r="R29" s="93"/>
      <c r="S29" s="85"/>
      <c r="U29" s="94"/>
      <c r="V29" s="93"/>
      <c r="W29" s="85"/>
      <c r="Y29" s="94"/>
      <c r="Z29" s="93"/>
      <c r="AA29" s="85"/>
      <c r="AC29" s="94"/>
      <c r="AD29" s="93"/>
      <c r="AE29" s="85"/>
    </row>
    <row r="30" spans="1:31" ht="14.5" customHeight="1" x14ac:dyDescent="0.35">
      <c r="E30" s="85">
        <v>7</v>
      </c>
      <c r="F30" s="93">
        <v>44964</v>
      </c>
      <c r="G30" s="85" t="s">
        <v>1275</v>
      </c>
      <c r="H30" s="87">
        <v>55.58</v>
      </c>
      <c r="I30" s="94">
        <v>7</v>
      </c>
      <c r="J30" s="93">
        <v>45176</v>
      </c>
      <c r="K30" s="85" t="s">
        <v>1313</v>
      </c>
      <c r="L30" s="87">
        <v>75.900000000000006</v>
      </c>
      <c r="M30" s="94">
        <v>7</v>
      </c>
      <c r="N30" s="93">
        <v>45478</v>
      </c>
      <c r="O30" s="85" t="s">
        <v>1232</v>
      </c>
      <c r="P30" s="87">
        <v>93</v>
      </c>
      <c r="Q30" s="94"/>
      <c r="R30" s="93"/>
      <c r="S30" s="85"/>
      <c r="U30" s="94"/>
      <c r="V30" s="93"/>
      <c r="W30" s="85"/>
      <c r="Y30" s="94"/>
      <c r="Z30" s="93"/>
      <c r="AA30" s="85"/>
      <c r="AC30" s="94"/>
      <c r="AD30" s="93"/>
      <c r="AE30" s="85"/>
    </row>
    <row r="31" spans="1:31" ht="14.5" customHeight="1" x14ac:dyDescent="0.35">
      <c r="E31" s="85">
        <v>7</v>
      </c>
      <c r="F31" s="93" t="s">
        <v>775</v>
      </c>
      <c r="G31" s="85" t="s">
        <v>1243</v>
      </c>
      <c r="H31" s="87">
        <v>909.65</v>
      </c>
      <c r="I31" s="94">
        <v>7</v>
      </c>
      <c r="J31" s="93">
        <v>45181</v>
      </c>
      <c r="K31" s="85" t="s">
        <v>1313</v>
      </c>
      <c r="L31" s="87">
        <v>107.45</v>
      </c>
      <c r="M31" s="94"/>
      <c r="N31" s="93"/>
      <c r="O31" s="85"/>
      <c r="Q31" s="94"/>
      <c r="R31" s="93"/>
      <c r="S31" s="85"/>
      <c r="U31" s="94"/>
      <c r="V31" s="93"/>
      <c r="W31" s="85"/>
      <c r="Y31" s="94"/>
      <c r="Z31" s="93"/>
      <c r="AA31" s="85"/>
      <c r="AC31" s="94"/>
      <c r="AD31" s="93"/>
      <c r="AE31" s="85"/>
    </row>
    <row r="32" spans="1:31" ht="14.5" customHeight="1" x14ac:dyDescent="0.35">
      <c r="E32" s="85">
        <v>7</v>
      </c>
      <c r="F32" s="93" t="s">
        <v>775</v>
      </c>
      <c r="G32" s="85" t="s">
        <v>1209</v>
      </c>
      <c r="H32" s="87">
        <f>71.04+76.53</f>
        <v>147.57</v>
      </c>
      <c r="I32" s="94">
        <v>1</v>
      </c>
      <c r="J32" s="93">
        <v>45195</v>
      </c>
      <c r="K32" s="85" t="s">
        <v>1314</v>
      </c>
      <c r="L32" s="87">
        <v>2650</v>
      </c>
      <c r="M32" s="95"/>
      <c r="N32" s="96"/>
      <c r="O32" s="96"/>
      <c r="P32" s="96"/>
      <c r="Q32" s="94"/>
      <c r="R32" s="93"/>
      <c r="S32" s="85"/>
      <c r="U32" s="94"/>
      <c r="V32" s="93"/>
      <c r="W32" s="85"/>
      <c r="Y32" s="94"/>
      <c r="Z32" s="93"/>
      <c r="AA32" s="85"/>
      <c r="AC32" s="94"/>
      <c r="AD32" s="93"/>
      <c r="AE32" s="85"/>
    </row>
    <row r="33" spans="7:31" ht="14.5" customHeight="1" x14ac:dyDescent="0.35">
      <c r="G33" s="85"/>
      <c r="H33" s="87"/>
      <c r="I33" s="94">
        <v>1</v>
      </c>
      <c r="J33" s="93">
        <v>45172</v>
      </c>
      <c r="K33" s="85" t="s">
        <v>1315</v>
      </c>
      <c r="L33" s="87">
        <v>2750</v>
      </c>
      <c r="M33" s="95"/>
      <c r="N33" s="96"/>
      <c r="O33" s="96"/>
      <c r="P33" s="96"/>
      <c r="Q33" s="94"/>
      <c r="R33" s="93"/>
      <c r="S33" s="85"/>
      <c r="U33" s="94"/>
      <c r="V33" s="93"/>
      <c r="W33" s="85"/>
      <c r="Y33" s="94"/>
      <c r="Z33" s="93"/>
      <c r="AA33" s="85"/>
      <c r="AC33" s="94"/>
      <c r="AD33" s="93"/>
      <c r="AE33" s="85"/>
    </row>
    <row r="34" spans="7:31" ht="14.5" customHeight="1" x14ac:dyDescent="0.35">
      <c r="G34" s="85"/>
      <c r="H34" s="87"/>
      <c r="I34" s="94">
        <v>8</v>
      </c>
      <c r="J34" s="93" t="s">
        <v>790</v>
      </c>
      <c r="K34" s="85" t="s">
        <v>1280</v>
      </c>
      <c r="L34" s="87">
        <v>-3145</v>
      </c>
      <c r="M34" s="95"/>
      <c r="N34" s="96"/>
      <c r="O34" s="96"/>
      <c r="P34" s="96"/>
      <c r="Q34" s="94"/>
      <c r="R34" s="93"/>
      <c r="S34" s="85"/>
      <c r="U34" s="94"/>
      <c r="V34" s="93"/>
      <c r="W34" s="85"/>
      <c r="Y34" s="94"/>
      <c r="Z34" s="93"/>
      <c r="AA34" s="85"/>
      <c r="AC34" s="94"/>
      <c r="AD34" s="93"/>
      <c r="AE34" s="85"/>
    </row>
    <row r="35" spans="7:31" ht="14.5" customHeight="1" x14ac:dyDescent="0.35">
      <c r="G35" s="85"/>
      <c r="H35" s="87"/>
      <c r="I35" s="94">
        <v>1</v>
      </c>
      <c r="J35" s="93">
        <v>45216</v>
      </c>
      <c r="K35" s="85" t="s">
        <v>1316</v>
      </c>
      <c r="L35" s="87">
        <v>3380</v>
      </c>
      <c r="M35" s="95"/>
      <c r="N35" s="96"/>
      <c r="O35" s="96"/>
      <c r="P35" s="96"/>
      <c r="Q35" s="94"/>
      <c r="R35" s="93"/>
      <c r="S35" s="85"/>
      <c r="U35" s="94"/>
      <c r="V35" s="93"/>
      <c r="W35" s="85"/>
      <c r="Y35" s="94"/>
      <c r="Z35" s="93"/>
      <c r="AA35" s="85"/>
      <c r="AC35" s="94"/>
      <c r="AD35" s="93"/>
      <c r="AE35" s="85"/>
    </row>
    <row r="36" spans="7:31" ht="14.5" customHeight="1" x14ac:dyDescent="0.35">
      <c r="G36" s="85"/>
      <c r="H36" s="87"/>
      <c r="I36" s="94">
        <v>7</v>
      </c>
      <c r="J36" s="93">
        <v>45188</v>
      </c>
      <c r="K36" s="85" t="s">
        <v>1317</v>
      </c>
      <c r="L36" s="87">
        <v>37.04</v>
      </c>
      <c r="M36" s="95"/>
      <c r="N36" s="96"/>
      <c r="O36" s="96"/>
      <c r="P36" s="96"/>
      <c r="Q36" s="94"/>
      <c r="R36" s="93"/>
      <c r="S36" s="85"/>
      <c r="U36" s="94"/>
      <c r="V36" s="93"/>
      <c r="W36" s="85"/>
      <c r="Y36" s="94"/>
      <c r="Z36" s="93"/>
      <c r="AA36" s="85"/>
      <c r="AC36" s="94"/>
      <c r="AD36" s="93"/>
      <c r="AE36" s="85"/>
    </row>
    <row r="37" spans="7:31" ht="14.5" customHeight="1" x14ac:dyDescent="0.35">
      <c r="G37" s="85"/>
      <c r="H37" s="87"/>
      <c r="I37" s="94">
        <v>7</v>
      </c>
      <c r="J37" s="93">
        <v>45125</v>
      </c>
      <c r="K37" s="85" t="s">
        <v>2372</v>
      </c>
      <c r="L37" s="87">
        <f>1127.89-767.68-1566.42</f>
        <v>-1206.21</v>
      </c>
      <c r="M37" s="95"/>
      <c r="N37" s="96"/>
      <c r="O37" s="96"/>
      <c r="P37" s="96"/>
      <c r="Q37" s="94"/>
      <c r="R37" s="93"/>
      <c r="S37" s="85"/>
      <c r="U37" s="94"/>
      <c r="V37" s="93"/>
      <c r="W37" s="85"/>
      <c r="Y37" s="94"/>
      <c r="Z37" s="93"/>
      <c r="AA37" s="85"/>
      <c r="AC37" s="94"/>
      <c r="AD37" s="93"/>
      <c r="AE37" s="85"/>
    </row>
    <row r="38" spans="7:31" ht="14.5" customHeight="1" x14ac:dyDescent="0.35">
      <c r="G38" s="85"/>
      <c r="H38" s="87"/>
      <c r="I38" s="94">
        <v>1</v>
      </c>
      <c r="J38" s="93">
        <v>45198</v>
      </c>
      <c r="K38" s="85" t="s">
        <v>1318</v>
      </c>
      <c r="L38" s="87">
        <v>-10</v>
      </c>
      <c r="M38" s="94"/>
      <c r="N38" s="93"/>
      <c r="O38" s="85"/>
      <c r="Q38" s="94"/>
      <c r="R38" s="93"/>
      <c r="S38" s="85"/>
      <c r="U38" s="94"/>
      <c r="V38" s="93"/>
      <c r="W38" s="85"/>
      <c r="Y38" s="94"/>
      <c r="Z38" s="93"/>
      <c r="AA38" s="85"/>
      <c r="AC38" s="94"/>
      <c r="AD38" s="93"/>
      <c r="AE38" s="85"/>
    </row>
    <row r="39" spans="7:31" ht="14.5" customHeight="1" x14ac:dyDescent="0.35">
      <c r="G39" s="85"/>
      <c r="H39" s="87"/>
      <c r="I39" s="94">
        <v>7</v>
      </c>
      <c r="J39" s="93">
        <v>45186</v>
      </c>
      <c r="K39" s="85" t="s">
        <v>1319</v>
      </c>
      <c r="L39" s="87">
        <v>393.13</v>
      </c>
      <c r="M39" s="94"/>
      <c r="N39" s="93"/>
      <c r="O39" s="85"/>
      <c r="Q39" s="94"/>
      <c r="R39" s="93"/>
      <c r="S39" s="85"/>
      <c r="U39" s="94"/>
      <c r="V39" s="93"/>
      <c r="W39" s="85"/>
      <c r="Y39" s="94"/>
      <c r="Z39" s="93"/>
      <c r="AA39" s="85"/>
      <c r="AC39" s="94"/>
      <c r="AD39" s="93"/>
      <c r="AE39" s="85"/>
    </row>
    <row r="40" spans="7:31" ht="14.5" customHeight="1" x14ac:dyDescent="0.35">
      <c r="G40" s="85"/>
      <c r="H40" s="87"/>
      <c r="I40" s="94">
        <v>7</v>
      </c>
      <c r="J40" s="93">
        <v>45205</v>
      </c>
      <c r="K40" s="85" t="s">
        <v>1203</v>
      </c>
      <c r="L40" s="87">
        <v>90.77</v>
      </c>
      <c r="M40" s="94"/>
      <c r="N40" s="93"/>
      <c r="O40" s="85"/>
      <c r="Q40" s="94"/>
      <c r="R40" s="93"/>
      <c r="S40" s="85"/>
      <c r="U40" s="94"/>
      <c r="V40" s="93"/>
      <c r="W40" s="85"/>
      <c r="Y40" s="94"/>
      <c r="Z40" s="93"/>
      <c r="AA40" s="85"/>
      <c r="AC40" s="94"/>
      <c r="AD40" s="93"/>
      <c r="AE40" s="85"/>
    </row>
    <row r="41" spans="7:31" ht="14.5" customHeight="1" x14ac:dyDescent="0.35">
      <c r="G41" s="85"/>
      <c r="H41" s="87"/>
      <c r="I41" s="94">
        <v>7</v>
      </c>
      <c r="J41" s="93">
        <v>45205</v>
      </c>
      <c r="K41" s="85" t="s">
        <v>1203</v>
      </c>
      <c r="L41" s="87">
        <v>74.62</v>
      </c>
      <c r="M41" s="94"/>
      <c r="N41" s="93"/>
      <c r="O41" s="85"/>
      <c r="Q41" s="94"/>
      <c r="R41" s="93"/>
      <c r="S41" s="85"/>
      <c r="U41" s="94"/>
      <c r="V41" s="93"/>
      <c r="W41" s="85"/>
      <c r="Y41" s="94"/>
      <c r="Z41" s="93"/>
      <c r="AA41" s="85"/>
      <c r="AC41" s="94"/>
      <c r="AD41" s="93"/>
      <c r="AE41" s="85"/>
    </row>
    <row r="42" spans="7:31" ht="14.5" customHeight="1" x14ac:dyDescent="0.35">
      <c r="G42" s="85"/>
      <c r="H42" s="87"/>
      <c r="I42" s="95">
        <v>1</v>
      </c>
      <c r="J42" s="107">
        <v>45591</v>
      </c>
      <c r="K42" s="96" t="s">
        <v>1320</v>
      </c>
      <c r="L42" s="87">
        <v>37.49</v>
      </c>
      <c r="M42" s="94"/>
      <c r="N42" s="93"/>
      <c r="O42" s="85"/>
      <c r="Q42" s="94"/>
      <c r="R42" s="93"/>
      <c r="S42" s="85"/>
      <c r="U42" s="94"/>
      <c r="V42" s="93"/>
      <c r="W42" s="85"/>
      <c r="Y42" s="94"/>
      <c r="Z42" s="93"/>
      <c r="AA42" s="85"/>
      <c r="AC42" s="94"/>
      <c r="AD42" s="93"/>
      <c r="AE42" s="85"/>
    </row>
    <row r="43" spans="7:31" ht="14.5" customHeight="1" x14ac:dyDescent="0.35">
      <c r="G43" s="85"/>
      <c r="H43" s="87"/>
      <c r="I43" s="94">
        <v>10</v>
      </c>
      <c r="J43" s="93">
        <v>45226</v>
      </c>
      <c r="K43" s="85" t="s">
        <v>2110</v>
      </c>
      <c r="L43" s="87">
        <v>-2500</v>
      </c>
      <c r="M43" s="94"/>
      <c r="N43" s="93"/>
      <c r="O43" s="85"/>
      <c r="Q43" s="94"/>
      <c r="R43" s="93"/>
      <c r="S43" s="85"/>
      <c r="U43" s="94"/>
      <c r="V43" s="93"/>
      <c r="W43" s="85"/>
      <c r="Y43" s="94"/>
      <c r="Z43" s="93"/>
      <c r="AA43" s="85"/>
      <c r="AC43" s="94"/>
      <c r="AD43" s="93"/>
      <c r="AE43" s="85"/>
    </row>
    <row r="44" spans="7:31" ht="14.5" customHeight="1" x14ac:dyDescent="0.35">
      <c r="G44" s="85"/>
      <c r="H44" s="87"/>
      <c r="I44" s="94">
        <v>7</v>
      </c>
      <c r="J44" s="93">
        <v>45205</v>
      </c>
      <c r="K44" s="85" t="s">
        <v>2173</v>
      </c>
      <c r="L44" s="87">
        <v>7114.99</v>
      </c>
      <c r="M44" s="94"/>
      <c r="N44" s="93"/>
      <c r="O44" s="85"/>
      <c r="Q44" s="94"/>
      <c r="R44" s="93"/>
      <c r="S44" s="85"/>
      <c r="U44" s="94"/>
      <c r="V44" s="93"/>
      <c r="W44" s="85"/>
      <c r="Y44" s="94"/>
      <c r="Z44" s="93"/>
      <c r="AA44" s="85"/>
      <c r="AC44" s="94"/>
      <c r="AD44" s="93"/>
      <c r="AE44" s="85"/>
    </row>
    <row r="45" spans="7:31" ht="14.5" customHeight="1" x14ac:dyDescent="0.35">
      <c r="G45" s="85"/>
      <c r="H45" s="87"/>
      <c r="I45" s="94">
        <v>7</v>
      </c>
      <c r="J45" s="93">
        <v>45237</v>
      </c>
      <c r="K45" s="85" t="s">
        <v>2164</v>
      </c>
      <c r="L45" s="87">
        <v>83.98</v>
      </c>
      <c r="M45" s="94"/>
      <c r="N45" s="93"/>
      <c r="O45" s="85"/>
      <c r="Q45" s="94"/>
      <c r="R45" s="93"/>
      <c r="S45" s="85"/>
      <c r="U45" s="94"/>
      <c r="V45" s="93"/>
      <c r="W45" s="85"/>
      <c r="Y45" s="94"/>
      <c r="Z45" s="93"/>
      <c r="AA45" s="85"/>
      <c r="AC45" s="94"/>
      <c r="AD45" s="93"/>
      <c r="AE45" s="85"/>
    </row>
    <row r="46" spans="7:31" ht="14.5" customHeight="1" x14ac:dyDescent="0.35">
      <c r="G46" s="85"/>
      <c r="H46" s="87"/>
      <c r="I46" s="94">
        <v>7</v>
      </c>
      <c r="J46" s="93">
        <v>45279</v>
      </c>
      <c r="K46" s="87" t="s">
        <v>2260</v>
      </c>
      <c r="L46" s="87">
        <v>2.12</v>
      </c>
      <c r="M46" s="94"/>
      <c r="N46" s="93"/>
      <c r="O46" s="85"/>
      <c r="Q46" s="94"/>
      <c r="R46" s="93"/>
      <c r="S46" s="85"/>
      <c r="U46" s="94"/>
      <c r="V46" s="93"/>
      <c r="W46" s="85"/>
      <c r="Y46" s="94"/>
      <c r="Z46" s="93"/>
      <c r="AA46" s="85"/>
      <c r="AC46" s="94"/>
      <c r="AD46" s="93"/>
      <c r="AE46" s="85"/>
    </row>
    <row r="47" spans="7:31" ht="14.5" customHeight="1" x14ac:dyDescent="0.35">
      <c r="G47" s="85"/>
      <c r="H47" s="87"/>
      <c r="I47" s="94">
        <v>7</v>
      </c>
      <c r="J47" s="87">
        <v>45269</v>
      </c>
      <c r="K47" s="87" t="s">
        <v>2262</v>
      </c>
      <c r="L47" s="87">
        <v>85.74</v>
      </c>
      <c r="M47" s="94"/>
      <c r="N47" s="93"/>
      <c r="O47" s="85"/>
      <c r="Q47" s="94"/>
      <c r="R47" s="93"/>
      <c r="S47" s="85"/>
      <c r="U47" s="94"/>
      <c r="V47" s="93"/>
      <c r="W47" s="85"/>
      <c r="Y47" s="94"/>
      <c r="Z47" s="93"/>
      <c r="AA47" s="85"/>
      <c r="AC47" s="94"/>
      <c r="AD47" s="93"/>
      <c r="AE47" s="85"/>
    </row>
    <row r="48" spans="7:31" ht="14.5" customHeight="1" x14ac:dyDescent="0.35">
      <c r="G48" s="85"/>
      <c r="H48" s="87"/>
      <c r="I48" s="94">
        <v>7</v>
      </c>
      <c r="J48" s="93">
        <v>45278</v>
      </c>
      <c r="K48" s="87" t="s">
        <v>2260</v>
      </c>
      <c r="L48" s="87">
        <v>12.44</v>
      </c>
      <c r="M48" s="94"/>
      <c r="N48" s="93"/>
      <c r="O48" s="85"/>
      <c r="Q48" s="94"/>
      <c r="R48" s="93"/>
      <c r="S48" s="85"/>
      <c r="U48" s="94"/>
      <c r="V48" s="93"/>
      <c r="W48" s="85"/>
      <c r="Y48" s="94"/>
      <c r="Z48" s="93"/>
      <c r="AA48" s="85"/>
      <c r="AC48" s="94"/>
      <c r="AD48" s="93"/>
      <c r="AE48" s="85"/>
    </row>
    <row r="49" spans="7:31" ht="14.5" customHeight="1" x14ac:dyDescent="0.35">
      <c r="G49" s="85"/>
      <c r="H49" s="87"/>
      <c r="I49" s="94">
        <v>7</v>
      </c>
      <c r="J49" s="93">
        <v>45267</v>
      </c>
      <c r="K49" s="87" t="s">
        <v>2262</v>
      </c>
      <c r="L49" s="87">
        <v>87.74</v>
      </c>
      <c r="M49" s="94"/>
      <c r="N49" s="93"/>
      <c r="O49" s="85"/>
      <c r="Q49" s="94"/>
      <c r="R49" s="93"/>
      <c r="S49" s="85"/>
      <c r="U49" s="94"/>
      <c r="V49" s="93"/>
      <c r="W49" s="85"/>
      <c r="Y49" s="94"/>
      <c r="Z49" s="93"/>
      <c r="AA49" s="85"/>
      <c r="AC49" s="94"/>
      <c r="AD49" s="93"/>
      <c r="AE49" s="85"/>
    </row>
    <row r="50" spans="7:31" ht="14.5" customHeight="1" x14ac:dyDescent="0.35">
      <c r="G50" s="85"/>
      <c r="H50" s="87"/>
      <c r="I50" s="94">
        <v>7</v>
      </c>
      <c r="J50" s="93">
        <v>45223</v>
      </c>
      <c r="K50" s="87" t="s">
        <v>2282</v>
      </c>
      <c r="L50" s="87">
        <v>12.53</v>
      </c>
      <c r="M50" s="94"/>
      <c r="N50" s="93"/>
      <c r="O50" s="85"/>
      <c r="Q50" s="94"/>
      <c r="R50" s="93"/>
      <c r="S50" s="85"/>
      <c r="U50" s="94"/>
      <c r="V50" s="93"/>
      <c r="W50" s="85"/>
      <c r="Y50" s="94"/>
      <c r="Z50" s="93"/>
      <c r="AA50" s="85"/>
      <c r="AC50" s="94"/>
      <c r="AD50" s="93"/>
      <c r="AE50" s="85"/>
    </row>
    <row r="51" spans="7:31" ht="14.5" customHeight="1" x14ac:dyDescent="0.35">
      <c r="G51" s="85"/>
      <c r="H51" s="87"/>
      <c r="I51" s="94">
        <v>7</v>
      </c>
      <c r="J51" s="93">
        <v>45216</v>
      </c>
      <c r="K51" s="87" t="s">
        <v>2283</v>
      </c>
      <c r="L51" s="87">
        <v>91.16</v>
      </c>
      <c r="M51" s="94"/>
      <c r="N51" s="93"/>
      <c r="O51" s="85"/>
      <c r="Q51" s="94"/>
      <c r="R51" s="93"/>
      <c r="S51" s="85"/>
      <c r="U51" s="94"/>
      <c r="V51" s="93"/>
      <c r="W51" s="85"/>
      <c r="Y51" s="94"/>
      <c r="Z51" s="93"/>
      <c r="AA51" s="85"/>
      <c r="AC51" s="94"/>
      <c r="AD51" s="93"/>
      <c r="AE51" s="85"/>
    </row>
    <row r="52" spans="7:31" ht="14.5" customHeight="1" x14ac:dyDescent="0.35">
      <c r="G52" s="85"/>
      <c r="H52" s="87"/>
      <c r="I52" s="94">
        <v>7</v>
      </c>
      <c r="J52" s="93">
        <v>45277</v>
      </c>
      <c r="K52" s="87" t="s">
        <v>2281</v>
      </c>
      <c r="L52" s="87">
        <v>1370.54</v>
      </c>
      <c r="M52" s="94"/>
      <c r="N52" s="93"/>
      <c r="O52" s="85"/>
      <c r="Q52" s="94"/>
      <c r="R52" s="93"/>
      <c r="S52" s="85"/>
      <c r="U52" s="94"/>
      <c r="V52" s="93"/>
      <c r="W52" s="85"/>
      <c r="Y52" s="94"/>
      <c r="Z52" s="93"/>
      <c r="AA52" s="85"/>
      <c r="AC52" s="94"/>
      <c r="AD52" s="93"/>
      <c r="AE52" s="85"/>
    </row>
    <row r="53" spans="7:31" ht="14.5" customHeight="1" x14ac:dyDescent="0.35">
      <c r="G53" s="85"/>
      <c r="H53" s="87"/>
      <c r="I53" s="94">
        <v>7</v>
      </c>
      <c r="J53" s="93">
        <v>45297</v>
      </c>
      <c r="K53" s="87" t="s">
        <v>2353</v>
      </c>
      <c r="L53" s="87">
        <v>94.86</v>
      </c>
      <c r="M53" s="94"/>
      <c r="N53" s="93"/>
      <c r="O53" s="85"/>
      <c r="Q53" s="94"/>
      <c r="R53" s="93"/>
      <c r="S53" s="85"/>
      <c r="U53" s="94"/>
      <c r="V53" s="93"/>
      <c r="W53" s="85"/>
      <c r="Y53" s="94"/>
      <c r="Z53" s="93"/>
      <c r="AA53" s="85"/>
      <c r="AC53" s="94"/>
      <c r="AD53" s="93"/>
      <c r="AE53" s="85"/>
    </row>
    <row r="54" spans="7:31" ht="14.5" customHeight="1" x14ac:dyDescent="0.35">
      <c r="G54" s="85"/>
      <c r="H54" s="87"/>
      <c r="I54" s="94">
        <v>7</v>
      </c>
      <c r="J54" s="93">
        <v>45297</v>
      </c>
      <c r="K54" s="87" t="s">
        <v>2353</v>
      </c>
      <c r="L54" s="87">
        <v>92.82</v>
      </c>
      <c r="M54" s="94"/>
      <c r="N54" s="93"/>
      <c r="O54" s="85"/>
      <c r="Q54" s="94"/>
      <c r="R54" s="93"/>
      <c r="S54" s="85"/>
      <c r="U54" s="94"/>
      <c r="V54" s="93"/>
      <c r="W54" s="85"/>
      <c r="Y54" s="94"/>
      <c r="Z54" s="93"/>
      <c r="AA54" s="85"/>
      <c r="AC54" s="94"/>
      <c r="AD54" s="93"/>
      <c r="AE54" s="85"/>
    </row>
    <row r="55" spans="7:31" ht="14.5" customHeight="1" x14ac:dyDescent="0.35">
      <c r="G55" s="85"/>
      <c r="H55" s="87"/>
      <c r="I55" s="94">
        <v>7</v>
      </c>
      <c r="J55" s="93">
        <v>45237</v>
      </c>
      <c r="K55" s="87" t="s">
        <v>2164</v>
      </c>
      <c r="L55" s="87">
        <v>90.05</v>
      </c>
      <c r="M55" s="94"/>
      <c r="N55" s="93"/>
      <c r="O55" s="85"/>
      <c r="Q55" s="94"/>
      <c r="R55" s="93"/>
      <c r="S55" s="85"/>
      <c r="U55" s="94"/>
      <c r="V55" s="93"/>
      <c r="W55" s="85"/>
      <c r="Y55" s="94"/>
      <c r="Z55" s="93"/>
      <c r="AA55" s="85"/>
      <c r="AC55" s="94"/>
      <c r="AD55" s="93"/>
      <c r="AE55" s="85"/>
    </row>
    <row r="56" spans="7:31" ht="14.5" customHeight="1" x14ac:dyDescent="0.35">
      <c r="G56" s="85"/>
      <c r="H56" s="87"/>
      <c r="I56" s="94">
        <v>7</v>
      </c>
      <c r="J56" s="87" t="s">
        <v>814</v>
      </c>
      <c r="K56" s="87" t="s">
        <v>2409</v>
      </c>
      <c r="L56" s="87">
        <v>-3119.35</v>
      </c>
      <c r="M56" s="94"/>
      <c r="N56" s="93"/>
      <c r="O56" s="85"/>
      <c r="Q56" s="94"/>
      <c r="R56" s="93"/>
      <c r="S56" s="85"/>
      <c r="U56" s="94"/>
      <c r="V56" s="93"/>
      <c r="W56" s="85"/>
      <c r="Y56" s="94"/>
      <c r="Z56" s="93"/>
      <c r="AA56" s="85"/>
      <c r="AC56" s="94"/>
      <c r="AD56" s="93"/>
      <c r="AE56" s="85"/>
    </row>
    <row r="57" spans="7:31" ht="14.5" customHeight="1" x14ac:dyDescent="0.35">
      <c r="G57" s="85"/>
      <c r="H57" s="87"/>
      <c r="I57" s="94">
        <v>5</v>
      </c>
      <c r="J57" s="87" t="s">
        <v>699</v>
      </c>
      <c r="K57" s="87" t="s">
        <v>2396</v>
      </c>
      <c r="L57" s="87">
        <v>-1690.15</v>
      </c>
      <c r="M57" s="94"/>
      <c r="N57" s="93"/>
      <c r="O57" s="85"/>
      <c r="Q57" s="94"/>
      <c r="R57" s="93"/>
      <c r="S57" s="85"/>
      <c r="U57" s="94"/>
      <c r="V57" s="93"/>
      <c r="W57" s="85"/>
      <c r="Y57" s="94"/>
      <c r="Z57" s="93"/>
      <c r="AA57" s="85"/>
      <c r="AC57" s="94"/>
      <c r="AD57" s="93"/>
      <c r="AE57" s="85"/>
    </row>
    <row r="58" spans="7:31" ht="14.5" customHeight="1" x14ac:dyDescent="0.35">
      <c r="G58" s="85"/>
      <c r="H58" s="87"/>
      <c r="I58" s="94">
        <v>7</v>
      </c>
      <c r="J58" s="93">
        <v>45329</v>
      </c>
      <c r="K58" s="87" t="s">
        <v>1275</v>
      </c>
      <c r="L58" s="87">
        <v>96.78</v>
      </c>
      <c r="M58" s="94"/>
      <c r="N58" s="93"/>
      <c r="O58" s="85"/>
      <c r="Q58" s="94"/>
      <c r="R58" s="93"/>
      <c r="S58" s="85"/>
      <c r="U58" s="94"/>
      <c r="V58" s="93"/>
      <c r="W58" s="85"/>
      <c r="Y58" s="94"/>
      <c r="Z58" s="93"/>
      <c r="AA58" s="85"/>
      <c r="AC58" s="94"/>
      <c r="AD58" s="93"/>
      <c r="AE58" s="85"/>
    </row>
    <row r="59" spans="7:31" ht="14.5" customHeight="1" x14ac:dyDescent="0.35">
      <c r="G59" s="85"/>
      <c r="H59" s="87"/>
      <c r="I59" s="94">
        <v>7</v>
      </c>
      <c r="J59" s="93">
        <v>45329</v>
      </c>
      <c r="K59" s="87" t="s">
        <v>1275</v>
      </c>
      <c r="L59" s="87">
        <v>148.76</v>
      </c>
      <c r="M59" s="94"/>
      <c r="N59" s="93"/>
      <c r="O59" s="85"/>
      <c r="Q59" s="94"/>
      <c r="R59" s="93"/>
      <c r="S59" s="85"/>
      <c r="U59" s="94"/>
      <c r="V59" s="93"/>
      <c r="W59" s="85"/>
      <c r="Y59" s="94"/>
      <c r="Z59" s="93"/>
      <c r="AA59" s="85"/>
      <c r="AC59" s="94"/>
      <c r="AD59" s="93"/>
      <c r="AE59" s="85"/>
    </row>
    <row r="60" spans="7:31" ht="14.5" customHeight="1" x14ac:dyDescent="0.35">
      <c r="G60" s="85"/>
      <c r="H60" s="87"/>
      <c r="I60" s="94">
        <v>7</v>
      </c>
      <c r="J60" s="93">
        <v>45358</v>
      </c>
      <c r="K60" s="87" t="s">
        <v>1208</v>
      </c>
      <c r="L60" s="87">
        <v>126.63</v>
      </c>
      <c r="M60" s="94"/>
      <c r="N60" s="93"/>
      <c r="O60" s="85"/>
      <c r="Q60" s="94"/>
      <c r="R60" s="93"/>
      <c r="S60" s="85"/>
      <c r="U60" s="94"/>
      <c r="V60" s="93"/>
      <c r="W60" s="85"/>
      <c r="Y60" s="94"/>
      <c r="Z60" s="93"/>
      <c r="AA60" s="85"/>
      <c r="AC60" s="94"/>
      <c r="AD60" s="93"/>
      <c r="AE60" s="85"/>
    </row>
    <row r="61" spans="7:31" ht="14.5" customHeight="1" x14ac:dyDescent="0.35">
      <c r="G61" s="85"/>
      <c r="H61" s="87"/>
      <c r="I61" s="94">
        <v>7</v>
      </c>
      <c r="J61" s="93">
        <v>45358</v>
      </c>
      <c r="K61" s="87" t="s">
        <v>1208</v>
      </c>
      <c r="L61" s="87">
        <v>91.05</v>
      </c>
      <c r="M61" s="94"/>
      <c r="N61" s="93"/>
      <c r="O61" s="85"/>
      <c r="Q61" s="94"/>
      <c r="R61" s="93"/>
      <c r="S61" s="85"/>
      <c r="U61" s="94"/>
      <c r="V61" s="93"/>
      <c r="W61" s="85"/>
      <c r="Y61" s="94"/>
      <c r="Z61" s="93"/>
      <c r="AA61" s="85"/>
      <c r="AC61" s="94"/>
      <c r="AD61" s="93"/>
      <c r="AE61" s="85"/>
    </row>
    <row r="62" spans="7:31" ht="14.5" customHeight="1" x14ac:dyDescent="0.35">
      <c r="G62" s="85"/>
      <c r="H62" s="87"/>
      <c r="I62" s="94">
        <v>7</v>
      </c>
      <c r="J62" s="93">
        <v>45370</v>
      </c>
      <c r="K62" s="87" t="s">
        <v>1243</v>
      </c>
      <c r="L62" s="87">
        <v>23.59</v>
      </c>
      <c r="M62" s="94"/>
      <c r="N62" s="93"/>
      <c r="O62" s="85"/>
      <c r="Q62" s="94"/>
      <c r="R62" s="93"/>
      <c r="S62" s="85"/>
      <c r="U62" s="94"/>
      <c r="V62" s="93"/>
      <c r="W62" s="85"/>
      <c r="Y62" s="94"/>
      <c r="Z62" s="93"/>
      <c r="AA62" s="85"/>
      <c r="AC62" s="94"/>
      <c r="AD62" s="93"/>
      <c r="AE62" s="85"/>
    </row>
    <row r="63" spans="7:31" ht="14.5" customHeight="1" x14ac:dyDescent="0.35">
      <c r="G63" s="85"/>
      <c r="H63" s="87"/>
      <c r="I63" s="94">
        <v>7</v>
      </c>
      <c r="J63" s="93">
        <v>45368</v>
      </c>
      <c r="K63" s="87" t="s">
        <v>1243</v>
      </c>
      <c r="L63" s="87">
        <v>1347.49</v>
      </c>
      <c r="M63" s="94"/>
      <c r="N63" s="93"/>
      <c r="O63" s="85"/>
      <c r="Q63" s="94"/>
      <c r="R63" s="93"/>
      <c r="S63" s="85"/>
      <c r="U63" s="94"/>
      <c r="V63" s="93"/>
      <c r="W63" s="85"/>
      <c r="Y63" s="94"/>
      <c r="Z63" s="93"/>
      <c r="AA63" s="85"/>
      <c r="AC63" s="94"/>
      <c r="AD63" s="93"/>
      <c r="AE63" s="85"/>
    </row>
    <row r="64" spans="7:31" ht="14.5" customHeight="1" x14ac:dyDescent="0.35">
      <c r="G64" s="85"/>
      <c r="H64" s="87"/>
      <c r="I64" s="94">
        <v>7</v>
      </c>
      <c r="J64" s="93">
        <v>45308</v>
      </c>
      <c r="K64" s="87" t="s">
        <v>2260</v>
      </c>
      <c r="L64" s="87">
        <v>2020.02</v>
      </c>
      <c r="M64" s="94"/>
      <c r="N64" s="93"/>
      <c r="O64" s="85"/>
      <c r="Q64" s="94"/>
      <c r="R64" s="93"/>
      <c r="S64" s="85"/>
      <c r="U64" s="94"/>
      <c r="V64" s="93"/>
      <c r="W64" s="85"/>
      <c r="Y64" s="94"/>
      <c r="Z64" s="93"/>
      <c r="AA64" s="85"/>
      <c r="AC64" s="94"/>
      <c r="AD64" s="93"/>
      <c r="AE64" s="85"/>
    </row>
    <row r="65" spans="7:31" ht="14.5" customHeight="1" x14ac:dyDescent="0.35">
      <c r="G65" s="85"/>
      <c r="H65" s="87"/>
      <c r="I65" s="94">
        <v>7</v>
      </c>
      <c r="J65" s="93">
        <v>45368</v>
      </c>
      <c r="K65" s="87" t="s">
        <v>1243</v>
      </c>
      <c r="L65" s="87">
        <v>137.97999999999999</v>
      </c>
      <c r="M65" s="94"/>
      <c r="N65" s="93"/>
      <c r="O65" s="85"/>
      <c r="Q65" s="94"/>
      <c r="R65" s="93"/>
      <c r="S65" s="85"/>
      <c r="U65" s="94"/>
      <c r="V65" s="93"/>
      <c r="W65" s="85"/>
      <c r="Y65" s="94"/>
      <c r="Z65" s="93"/>
      <c r="AA65" s="85"/>
      <c r="AC65" s="94"/>
      <c r="AD65" s="93"/>
      <c r="AE65" s="85"/>
    </row>
    <row r="66" spans="7:31" ht="14.5" customHeight="1" x14ac:dyDescent="0.35">
      <c r="G66" s="85"/>
      <c r="H66" s="87"/>
      <c r="I66" s="94">
        <v>2</v>
      </c>
      <c r="J66" s="93">
        <v>45376</v>
      </c>
      <c r="K66" s="87" t="s">
        <v>2771</v>
      </c>
      <c r="L66" s="87">
        <v>28843.42</v>
      </c>
      <c r="M66" s="94"/>
      <c r="N66" s="93"/>
      <c r="O66" s="85"/>
      <c r="Q66" s="94"/>
      <c r="R66" s="93"/>
      <c r="S66" s="85"/>
      <c r="U66" s="94"/>
      <c r="V66" s="93"/>
      <c r="W66" s="85"/>
      <c r="Y66" s="94"/>
      <c r="Z66" s="93"/>
      <c r="AA66" s="85"/>
      <c r="AC66" s="94"/>
      <c r="AD66" s="93"/>
      <c r="AE66" s="85"/>
    </row>
    <row r="67" spans="7:31" ht="14.5" customHeight="1" x14ac:dyDescent="0.35">
      <c r="G67" s="85"/>
      <c r="H67" s="87"/>
      <c r="I67" s="94">
        <v>7</v>
      </c>
      <c r="J67" s="93" t="s">
        <v>775</v>
      </c>
      <c r="K67" s="87" t="s">
        <v>1209</v>
      </c>
      <c r="L67" s="148">
        <v>95.22</v>
      </c>
      <c r="M67" s="94"/>
      <c r="N67" s="93"/>
      <c r="O67" s="85"/>
      <c r="Q67" s="94"/>
      <c r="R67" s="93"/>
      <c r="S67" s="85"/>
      <c r="U67" s="94"/>
      <c r="V67" s="93"/>
      <c r="W67" s="85"/>
      <c r="Y67" s="94"/>
      <c r="Z67" s="93"/>
      <c r="AA67" s="85"/>
      <c r="AC67" s="94"/>
      <c r="AD67" s="93"/>
      <c r="AE67" s="85"/>
    </row>
    <row r="68" spans="7:31" ht="14.5" customHeight="1" x14ac:dyDescent="0.35">
      <c r="G68" s="85"/>
      <c r="H68" s="87"/>
      <c r="I68" s="94">
        <v>7</v>
      </c>
      <c r="J68" s="93" t="s">
        <v>775</v>
      </c>
      <c r="K68" s="87" t="s">
        <v>1209</v>
      </c>
      <c r="L68" s="148">
        <v>87.71</v>
      </c>
      <c r="M68" s="94"/>
      <c r="N68" s="93"/>
      <c r="O68" s="85"/>
      <c r="Q68" s="94"/>
      <c r="R68" s="93"/>
      <c r="S68" s="85"/>
      <c r="U68" s="94"/>
      <c r="V68" s="93"/>
      <c r="W68" s="85"/>
      <c r="Y68" s="94"/>
      <c r="Z68" s="93"/>
      <c r="AA68" s="85"/>
      <c r="AC68" s="94"/>
      <c r="AD68" s="93"/>
      <c r="AE68" s="85"/>
    </row>
    <row r="69" spans="7:31" ht="14.5" customHeight="1" x14ac:dyDescent="0.35">
      <c r="G69" s="85"/>
      <c r="H69" s="87"/>
      <c r="I69" s="94">
        <v>7</v>
      </c>
      <c r="J69" s="93" t="s">
        <v>775</v>
      </c>
      <c r="K69" s="87" t="s">
        <v>3104</v>
      </c>
      <c r="L69" s="148">
        <v>-325.99</v>
      </c>
      <c r="M69" s="94"/>
      <c r="N69" s="93"/>
      <c r="O69" s="85"/>
      <c r="Q69" s="94"/>
      <c r="R69" s="93"/>
      <c r="S69" s="85"/>
      <c r="U69" s="94"/>
      <c r="V69" s="93"/>
      <c r="W69" s="85"/>
      <c r="Y69" s="94"/>
      <c r="Z69" s="93"/>
      <c r="AA69" s="85"/>
      <c r="AC69" s="94"/>
      <c r="AD69" s="93"/>
      <c r="AE69" s="85"/>
    </row>
    <row r="70" spans="7:31" ht="14.5" customHeight="1" x14ac:dyDescent="0.35">
      <c r="G70" s="85"/>
      <c r="H70" s="87"/>
      <c r="I70" s="94">
        <v>2</v>
      </c>
      <c r="J70" s="93" t="s">
        <v>775</v>
      </c>
      <c r="K70" s="87" t="s">
        <v>2785</v>
      </c>
      <c r="L70" s="87">
        <v>-26835.08</v>
      </c>
      <c r="M70" s="94"/>
      <c r="N70" s="93"/>
      <c r="O70" s="85"/>
      <c r="Q70" s="94"/>
      <c r="R70" s="93"/>
      <c r="S70" s="85"/>
      <c r="U70" s="94"/>
      <c r="V70" s="93"/>
      <c r="W70" s="85"/>
      <c r="Y70" s="94"/>
      <c r="Z70" s="93"/>
      <c r="AA70" s="85"/>
      <c r="AC70" s="94"/>
      <c r="AD70" s="93"/>
      <c r="AE70" s="85"/>
    </row>
    <row r="71" spans="7:31" ht="14.5" customHeight="1" x14ac:dyDescent="0.35">
      <c r="G71" s="85"/>
      <c r="H71" s="87"/>
      <c r="I71" s="94">
        <v>1</v>
      </c>
      <c r="J71" s="93" t="s">
        <v>699</v>
      </c>
      <c r="K71" s="93" t="s">
        <v>3101</v>
      </c>
      <c r="L71" s="87">
        <v>-4175.2299999999996</v>
      </c>
      <c r="M71" s="94"/>
      <c r="N71" s="93"/>
      <c r="O71" s="85"/>
      <c r="Q71" s="94"/>
      <c r="R71" s="93"/>
      <c r="S71" s="85"/>
      <c r="U71" s="94"/>
      <c r="V71" s="93"/>
      <c r="W71" s="85"/>
      <c r="Y71" s="94"/>
      <c r="Z71" s="93"/>
      <c r="AA71" s="85"/>
      <c r="AC71" s="94"/>
      <c r="AD71" s="93"/>
      <c r="AE71" s="85"/>
    </row>
    <row r="72" spans="7:31" ht="14.5" customHeight="1" x14ac:dyDescent="0.35">
      <c r="G72" s="85"/>
      <c r="H72" s="87"/>
      <c r="I72" s="94"/>
      <c r="J72" s="93"/>
      <c r="K72" s="85"/>
      <c r="M72" s="94"/>
      <c r="N72" s="93"/>
      <c r="O72" s="85"/>
      <c r="Q72" s="94"/>
      <c r="R72" s="93"/>
      <c r="S72" s="85"/>
      <c r="U72" s="94"/>
      <c r="V72" s="93"/>
      <c r="W72" s="85"/>
      <c r="Y72" s="94"/>
      <c r="Z72" s="93"/>
      <c r="AA72" s="85"/>
      <c r="AC72" s="94"/>
      <c r="AD72" s="93"/>
      <c r="AE72" s="85"/>
    </row>
    <row r="73" spans="7:31" ht="14.5" customHeight="1" x14ac:dyDescent="0.35">
      <c r="G73" s="85"/>
      <c r="H73" s="87"/>
      <c r="I73" s="94"/>
      <c r="J73" s="93"/>
      <c r="K73" s="85"/>
      <c r="M73" s="94"/>
      <c r="N73" s="93"/>
      <c r="O73" s="85"/>
      <c r="Q73" s="94"/>
      <c r="R73" s="93"/>
      <c r="S73" s="85"/>
      <c r="U73" s="94"/>
      <c r="V73" s="93"/>
      <c r="W73" s="85"/>
      <c r="Y73" s="94"/>
      <c r="Z73" s="93"/>
      <c r="AA73" s="85"/>
      <c r="AC73" s="94"/>
      <c r="AD73" s="93"/>
      <c r="AE73" s="85"/>
    </row>
    <row r="74" spans="7:31" ht="14.5" customHeight="1" x14ac:dyDescent="0.35">
      <c r="G74" s="85"/>
      <c r="H74" s="87"/>
      <c r="I74" s="94"/>
      <c r="J74" s="93"/>
      <c r="K74" s="85"/>
      <c r="M74" s="94"/>
      <c r="N74" s="93"/>
      <c r="O74" s="85"/>
      <c r="Q74" s="94"/>
      <c r="R74" s="93"/>
      <c r="S74" s="85"/>
      <c r="U74" s="94"/>
      <c r="V74" s="93"/>
      <c r="W74" s="85"/>
      <c r="Y74" s="94"/>
      <c r="Z74" s="93"/>
      <c r="AA74" s="85"/>
      <c r="AC74" s="94"/>
      <c r="AD74" s="93"/>
      <c r="AE74" s="85"/>
    </row>
    <row r="75" spans="7:31" ht="14.5" customHeight="1" x14ac:dyDescent="0.35">
      <c r="G75" s="85"/>
      <c r="H75" s="87"/>
      <c r="I75" s="94"/>
      <c r="J75" s="93"/>
      <c r="K75" s="85"/>
      <c r="M75" s="94"/>
      <c r="N75" s="93"/>
      <c r="O75" s="85"/>
      <c r="Q75" s="94"/>
      <c r="R75" s="93"/>
      <c r="S75" s="85"/>
      <c r="U75" s="94"/>
      <c r="V75" s="93"/>
      <c r="W75" s="85"/>
      <c r="Y75" s="94"/>
      <c r="Z75" s="93"/>
      <c r="AA75" s="85"/>
      <c r="AC75" s="94"/>
      <c r="AD75" s="93"/>
      <c r="AE75" s="85"/>
    </row>
    <row r="76" spans="7:31" ht="14.5" customHeight="1" x14ac:dyDescent="0.35">
      <c r="G76" s="85"/>
      <c r="H76" s="87"/>
      <c r="I76" s="94"/>
      <c r="J76" s="93"/>
      <c r="K76" s="85"/>
      <c r="M76" s="94"/>
      <c r="N76" s="93"/>
      <c r="O76" s="85"/>
      <c r="Q76" s="94"/>
      <c r="R76" s="93"/>
      <c r="S76" s="85"/>
      <c r="U76" s="94"/>
      <c r="V76" s="93"/>
      <c r="W76" s="85"/>
      <c r="Y76" s="94"/>
      <c r="Z76" s="93"/>
      <c r="AA76" s="85"/>
      <c r="AC76" s="94"/>
      <c r="AD76" s="93"/>
      <c r="AE76" s="85"/>
    </row>
    <row r="77" spans="7:31" ht="14.5" customHeight="1" x14ac:dyDescent="0.35">
      <c r="G77" s="85"/>
      <c r="H77" s="87"/>
      <c r="I77" s="94"/>
      <c r="J77" s="93"/>
      <c r="K77" s="85"/>
      <c r="M77" s="94"/>
      <c r="N77" s="93"/>
      <c r="O77" s="85"/>
      <c r="Q77" s="94"/>
      <c r="R77" s="93"/>
      <c r="S77" s="85"/>
      <c r="U77" s="94"/>
      <c r="V77" s="93"/>
      <c r="W77" s="85"/>
      <c r="Y77" s="94"/>
      <c r="Z77" s="93"/>
      <c r="AA77" s="85"/>
      <c r="AC77" s="94"/>
      <c r="AD77" s="93"/>
      <c r="AE77" s="85"/>
    </row>
    <row r="78" spans="7:31" ht="14.5" customHeight="1" x14ac:dyDescent="0.35">
      <c r="G78" s="85"/>
      <c r="H78" s="87"/>
      <c r="I78" s="94"/>
      <c r="J78" s="93"/>
      <c r="K78" s="85"/>
      <c r="M78" s="94"/>
      <c r="N78" s="93"/>
      <c r="O78" s="85"/>
      <c r="Q78" s="94"/>
      <c r="R78" s="93"/>
      <c r="S78" s="85"/>
      <c r="U78" s="94"/>
      <c r="V78" s="93"/>
      <c r="W78" s="85"/>
      <c r="Y78" s="94"/>
      <c r="Z78" s="93"/>
      <c r="AA78" s="85"/>
      <c r="AC78" s="94"/>
      <c r="AD78" s="93"/>
      <c r="AE78" s="85"/>
    </row>
    <row r="79" spans="7:31" ht="14.5" customHeight="1" x14ac:dyDescent="0.35">
      <c r="G79" s="85"/>
      <c r="H79" s="87"/>
      <c r="I79" s="94"/>
      <c r="J79" s="93"/>
      <c r="K79" s="85"/>
      <c r="M79" s="94"/>
      <c r="N79" s="93"/>
      <c r="O79" s="85"/>
      <c r="Q79" s="94"/>
      <c r="R79" s="93"/>
      <c r="S79" s="85"/>
      <c r="U79" s="94"/>
      <c r="V79" s="93"/>
      <c r="W79" s="85"/>
      <c r="Y79" s="94"/>
      <c r="Z79" s="93"/>
      <c r="AA79" s="85"/>
      <c r="AC79" s="94"/>
      <c r="AD79" s="93"/>
      <c r="AE79" s="85"/>
    </row>
    <row r="80" spans="7:31" ht="14.5" customHeight="1" x14ac:dyDescent="0.35">
      <c r="G80" s="85"/>
      <c r="H80" s="87"/>
      <c r="I80" s="94"/>
      <c r="J80" s="93"/>
      <c r="K80" s="85"/>
      <c r="M80" s="94"/>
      <c r="N80" s="93"/>
      <c r="O80" s="85"/>
      <c r="Q80" s="94"/>
      <c r="R80" s="93"/>
      <c r="S80" s="85"/>
      <c r="U80" s="94"/>
      <c r="V80" s="93"/>
      <c r="W80" s="85"/>
      <c r="Y80" s="94"/>
      <c r="Z80" s="93"/>
      <c r="AA80" s="85"/>
      <c r="AC80" s="94"/>
      <c r="AD80" s="93"/>
      <c r="AE80" s="85"/>
    </row>
    <row r="81" spans="7:31" ht="14.5" customHeight="1" x14ac:dyDescent="0.35">
      <c r="G81" s="85"/>
      <c r="H81" s="87"/>
      <c r="I81" s="94"/>
      <c r="J81" s="93"/>
      <c r="K81" s="85"/>
      <c r="M81" s="94"/>
      <c r="N81" s="93"/>
      <c r="O81" s="85"/>
      <c r="Q81" s="94"/>
      <c r="R81" s="93"/>
      <c r="S81" s="85"/>
      <c r="U81" s="94"/>
      <c r="V81" s="93"/>
      <c r="W81" s="85"/>
      <c r="Y81" s="94"/>
      <c r="Z81" s="93"/>
      <c r="AA81" s="85"/>
      <c r="AC81" s="94"/>
      <c r="AD81" s="93"/>
      <c r="AE81" s="85"/>
    </row>
    <row r="82" spans="7:31" ht="14.5" customHeight="1" x14ac:dyDescent="0.35">
      <c r="G82" s="85"/>
      <c r="H82" s="87"/>
      <c r="I82" s="94"/>
      <c r="J82" s="93"/>
      <c r="K82" s="85"/>
      <c r="M82" s="94"/>
      <c r="N82" s="93"/>
      <c r="O82" s="85"/>
      <c r="Q82" s="94"/>
      <c r="R82" s="93"/>
      <c r="S82" s="85"/>
      <c r="U82" s="94"/>
      <c r="V82" s="93"/>
      <c r="W82" s="85"/>
      <c r="Y82" s="94"/>
      <c r="Z82" s="93"/>
      <c r="AA82" s="85"/>
      <c r="AC82" s="94"/>
      <c r="AD82" s="93"/>
      <c r="AE82" s="85"/>
    </row>
    <row r="83" spans="7:31" ht="14.5" customHeight="1" x14ac:dyDescent="0.35">
      <c r="G83" s="85"/>
      <c r="H83" s="87"/>
      <c r="I83" s="94"/>
      <c r="J83" s="93"/>
      <c r="K83" s="85"/>
      <c r="M83" s="94"/>
      <c r="N83" s="93"/>
      <c r="O83" s="85"/>
      <c r="Q83" s="94"/>
      <c r="R83" s="93"/>
      <c r="S83" s="85"/>
      <c r="U83" s="94"/>
      <c r="V83" s="93"/>
      <c r="W83" s="85"/>
      <c r="Y83" s="94"/>
      <c r="Z83" s="93"/>
      <c r="AA83" s="85"/>
      <c r="AC83" s="94"/>
      <c r="AD83" s="93"/>
      <c r="AE83" s="85"/>
    </row>
    <row r="84" spans="7:31" ht="14.5" customHeight="1" x14ac:dyDescent="0.35">
      <c r="G84" s="85"/>
      <c r="H84" s="87"/>
      <c r="I84" s="94"/>
      <c r="J84" s="93"/>
      <c r="K84" s="85"/>
      <c r="M84" s="94"/>
      <c r="N84" s="93"/>
      <c r="O84" s="85"/>
      <c r="Q84" s="94"/>
      <c r="R84" s="93"/>
      <c r="S84" s="85"/>
      <c r="U84" s="94"/>
      <c r="V84" s="93"/>
      <c r="W84" s="85"/>
      <c r="Y84" s="94"/>
      <c r="Z84" s="93"/>
      <c r="AA84" s="85"/>
      <c r="AC84" s="94"/>
      <c r="AD84" s="93"/>
      <c r="AE84" s="85"/>
    </row>
    <row r="85" spans="7:31" ht="14.5" customHeight="1" x14ac:dyDescent="0.35">
      <c r="G85" s="85"/>
      <c r="H85" s="87"/>
      <c r="I85" s="94"/>
      <c r="J85" s="93"/>
      <c r="K85" s="85"/>
      <c r="M85" s="94"/>
      <c r="N85" s="93"/>
      <c r="O85" s="85"/>
      <c r="Q85" s="94"/>
      <c r="R85" s="93"/>
      <c r="S85" s="85"/>
      <c r="U85" s="94"/>
      <c r="V85" s="93"/>
      <c r="W85" s="85"/>
      <c r="Y85" s="94"/>
      <c r="Z85" s="93"/>
      <c r="AA85" s="85"/>
      <c r="AC85" s="94"/>
      <c r="AD85" s="93"/>
      <c r="AE85" s="85"/>
    </row>
    <row r="86" spans="7:31" ht="14.5" customHeight="1" x14ac:dyDescent="0.35">
      <c r="G86" s="85"/>
      <c r="H86" s="87"/>
      <c r="I86" s="94"/>
      <c r="J86" s="93"/>
      <c r="K86" s="85"/>
      <c r="M86" s="94"/>
      <c r="N86" s="93"/>
      <c r="O86" s="85"/>
      <c r="Q86" s="94"/>
      <c r="R86" s="93"/>
      <c r="S86" s="85"/>
      <c r="U86" s="94"/>
      <c r="V86" s="93"/>
      <c r="W86" s="85"/>
      <c r="Y86" s="94"/>
      <c r="Z86" s="93"/>
      <c r="AA86" s="85"/>
      <c r="AC86" s="94"/>
      <c r="AD86" s="93"/>
      <c r="AE86" s="85"/>
    </row>
    <row r="87" spans="7:31" ht="14.5" customHeight="1" x14ac:dyDescent="0.35">
      <c r="G87" s="85"/>
      <c r="H87" s="87"/>
      <c r="I87" s="94"/>
      <c r="J87" s="93"/>
      <c r="K87" s="85"/>
      <c r="M87" s="94"/>
      <c r="N87" s="93"/>
      <c r="O87" s="85"/>
      <c r="Q87" s="94"/>
      <c r="R87" s="93"/>
      <c r="S87" s="85"/>
      <c r="U87" s="94"/>
      <c r="V87" s="93"/>
      <c r="W87" s="85"/>
      <c r="Y87" s="94"/>
      <c r="Z87" s="93"/>
      <c r="AA87" s="85"/>
      <c r="AC87" s="94"/>
      <c r="AD87" s="93"/>
      <c r="AE87" s="85"/>
    </row>
    <row r="88" spans="7:31" ht="14.5" customHeight="1" x14ac:dyDescent="0.35">
      <c r="G88" s="85"/>
      <c r="H88" s="87"/>
      <c r="I88" s="94"/>
      <c r="J88" s="93"/>
      <c r="K88" s="85"/>
      <c r="M88" s="94"/>
      <c r="N88" s="93"/>
      <c r="O88" s="85"/>
      <c r="Q88" s="94"/>
      <c r="R88" s="93"/>
      <c r="S88" s="85"/>
      <c r="U88" s="94"/>
      <c r="V88" s="93"/>
      <c r="W88" s="85"/>
      <c r="Y88" s="94"/>
      <c r="Z88" s="93"/>
      <c r="AA88" s="85"/>
      <c r="AC88" s="94"/>
      <c r="AD88" s="93"/>
      <c r="AE88" s="85"/>
    </row>
    <row r="89" spans="7:31" ht="14.5" customHeight="1" x14ac:dyDescent="0.35">
      <c r="G89" s="85"/>
      <c r="H89" s="87"/>
      <c r="I89" s="94"/>
      <c r="J89" s="93"/>
      <c r="K89" s="85"/>
      <c r="M89" s="94"/>
      <c r="N89" s="93"/>
      <c r="O89" s="85"/>
      <c r="Q89" s="94"/>
      <c r="R89" s="93"/>
      <c r="S89" s="85"/>
      <c r="U89" s="94"/>
      <c r="V89" s="93"/>
      <c r="W89" s="85"/>
      <c r="Y89" s="94"/>
      <c r="Z89" s="93"/>
      <c r="AA89" s="85"/>
      <c r="AC89" s="94"/>
      <c r="AD89" s="93"/>
      <c r="AE89" s="85"/>
    </row>
    <row r="90" spans="7:31" ht="14.5" customHeight="1" x14ac:dyDescent="0.35">
      <c r="G90" s="85"/>
      <c r="H90" s="87"/>
      <c r="I90" s="94"/>
      <c r="J90" s="93"/>
      <c r="K90" s="85"/>
      <c r="M90" s="94"/>
      <c r="N90" s="93"/>
      <c r="O90" s="85"/>
      <c r="Q90" s="94"/>
      <c r="R90" s="93"/>
      <c r="S90" s="85"/>
      <c r="U90" s="94"/>
      <c r="V90" s="93"/>
      <c r="W90" s="85"/>
      <c r="Y90" s="94"/>
      <c r="Z90" s="93"/>
      <c r="AA90" s="85"/>
      <c r="AC90" s="94"/>
      <c r="AD90" s="93"/>
      <c r="AE90" s="85"/>
    </row>
    <row r="91" spans="7:31" ht="14.5" customHeight="1" x14ac:dyDescent="0.35">
      <c r="G91" s="85"/>
      <c r="H91" s="87"/>
      <c r="I91" s="94"/>
      <c r="J91" s="93"/>
      <c r="K91" s="85"/>
      <c r="M91" s="94"/>
      <c r="N91" s="93"/>
      <c r="O91" s="85"/>
      <c r="Q91" s="94"/>
      <c r="R91" s="93"/>
      <c r="S91" s="85"/>
      <c r="U91" s="94"/>
      <c r="V91" s="93"/>
      <c r="W91" s="85"/>
      <c r="Y91" s="94"/>
      <c r="Z91" s="93"/>
      <c r="AA91" s="85"/>
      <c r="AC91" s="94"/>
      <c r="AD91" s="93"/>
      <c r="AE91" s="85"/>
    </row>
    <row r="92" spans="7:31" ht="14.5" customHeight="1" x14ac:dyDescent="0.35">
      <c r="G92" s="85"/>
      <c r="H92" s="87"/>
      <c r="I92" s="94"/>
      <c r="J92" s="93"/>
      <c r="K92" s="85"/>
      <c r="M92" s="94"/>
      <c r="N92" s="93"/>
      <c r="O92" s="85"/>
      <c r="Q92" s="94"/>
      <c r="R92" s="93"/>
      <c r="S92" s="85"/>
      <c r="U92" s="94"/>
      <c r="V92" s="93"/>
      <c r="W92" s="85"/>
      <c r="Y92" s="94"/>
      <c r="Z92" s="93"/>
      <c r="AA92" s="85"/>
      <c r="AC92" s="94"/>
      <c r="AD92" s="93"/>
      <c r="AE92" s="85"/>
    </row>
    <row r="93" spans="7:31" ht="14.5" customHeight="1" x14ac:dyDescent="0.35">
      <c r="G93" s="85"/>
      <c r="H93" s="87"/>
      <c r="I93" s="94"/>
      <c r="J93" s="93"/>
      <c r="K93" s="85"/>
      <c r="M93" s="94"/>
      <c r="N93" s="93"/>
      <c r="O93" s="85"/>
      <c r="Q93" s="94"/>
      <c r="R93" s="93"/>
      <c r="S93" s="85"/>
      <c r="U93" s="94"/>
      <c r="V93" s="93"/>
      <c r="W93" s="85"/>
      <c r="Y93" s="94"/>
      <c r="Z93" s="93"/>
      <c r="AA93" s="85"/>
      <c r="AC93" s="94"/>
      <c r="AD93" s="93"/>
      <c r="AE93" s="85"/>
    </row>
    <row r="94" spans="7:31" ht="14.5" customHeight="1" x14ac:dyDescent="0.35">
      <c r="G94" s="85"/>
      <c r="H94" s="87"/>
      <c r="I94" s="94"/>
      <c r="J94" s="93"/>
      <c r="K94" s="85"/>
      <c r="M94" s="94"/>
      <c r="N94" s="93"/>
      <c r="O94" s="85"/>
      <c r="Q94" s="94"/>
      <c r="R94" s="93"/>
      <c r="S94" s="85"/>
      <c r="U94" s="94"/>
      <c r="V94" s="93"/>
      <c r="W94" s="85"/>
      <c r="Y94" s="94"/>
      <c r="Z94" s="93"/>
      <c r="AA94" s="85"/>
      <c r="AC94" s="94"/>
      <c r="AD94" s="93"/>
      <c r="AE94" s="85"/>
    </row>
    <row r="95" spans="7:31" ht="14.5" customHeight="1" x14ac:dyDescent="0.35">
      <c r="G95" s="85"/>
      <c r="H95" s="87"/>
      <c r="I95" s="94"/>
      <c r="J95" s="93"/>
      <c r="K95" s="85"/>
      <c r="M95" s="94"/>
      <c r="N95" s="93"/>
      <c r="O95" s="85"/>
      <c r="Q95" s="94"/>
      <c r="R95" s="93"/>
      <c r="S95" s="85"/>
      <c r="U95" s="94"/>
      <c r="V95" s="93"/>
      <c r="W95" s="85"/>
      <c r="Y95" s="94"/>
      <c r="Z95" s="93"/>
      <c r="AA95" s="85"/>
      <c r="AC95" s="94"/>
      <c r="AD95" s="93"/>
      <c r="AE95" s="85"/>
    </row>
    <row r="96" spans="7:31" ht="14.5" customHeight="1" x14ac:dyDescent="0.35">
      <c r="G96" s="85"/>
      <c r="H96" s="87"/>
      <c r="I96" s="94"/>
      <c r="J96" s="93"/>
      <c r="K96" s="85"/>
      <c r="M96" s="94"/>
      <c r="N96" s="93"/>
      <c r="O96" s="85"/>
      <c r="Q96" s="94"/>
      <c r="R96" s="93"/>
      <c r="S96" s="85"/>
      <c r="U96" s="94"/>
      <c r="V96" s="93"/>
      <c r="W96" s="85"/>
      <c r="Y96" s="94"/>
      <c r="Z96" s="93"/>
      <c r="AA96" s="85"/>
      <c r="AC96" s="94"/>
      <c r="AD96" s="93"/>
      <c r="AE96" s="85"/>
    </row>
    <row r="97" spans="7:31" ht="14.5" customHeight="1" x14ac:dyDescent="0.35">
      <c r="G97" s="85"/>
      <c r="H97" s="87"/>
      <c r="I97" s="94"/>
      <c r="J97" s="93"/>
      <c r="K97" s="85"/>
      <c r="M97" s="94"/>
      <c r="N97" s="93"/>
      <c r="O97" s="85"/>
      <c r="Q97" s="94"/>
      <c r="R97" s="93"/>
      <c r="S97" s="85"/>
      <c r="U97" s="94"/>
      <c r="V97" s="93"/>
      <c r="W97" s="85"/>
      <c r="Y97" s="94"/>
      <c r="Z97" s="93"/>
      <c r="AA97" s="85"/>
      <c r="AC97" s="94"/>
      <c r="AD97" s="93"/>
      <c r="AE97" s="85"/>
    </row>
    <row r="98" spans="7:31" ht="14.5" customHeight="1" x14ac:dyDescent="0.35">
      <c r="G98" s="85"/>
      <c r="H98" s="87"/>
      <c r="I98" s="94"/>
      <c r="J98" s="93"/>
      <c r="K98" s="85"/>
      <c r="M98" s="94"/>
      <c r="N98" s="93"/>
      <c r="O98" s="85"/>
      <c r="Q98" s="94"/>
      <c r="R98" s="93"/>
      <c r="S98" s="85"/>
      <c r="U98" s="94"/>
      <c r="V98" s="93"/>
      <c r="W98" s="85"/>
      <c r="Y98" s="94"/>
      <c r="Z98" s="93"/>
      <c r="AA98" s="85"/>
      <c r="AC98" s="94"/>
      <c r="AD98" s="93"/>
      <c r="AE98" s="85"/>
    </row>
    <row r="99" spans="7:31" ht="14.5" customHeight="1" x14ac:dyDescent="0.35">
      <c r="G99" s="85"/>
      <c r="H99" s="87"/>
      <c r="I99" s="94"/>
      <c r="J99" s="93"/>
      <c r="K99" s="85"/>
      <c r="M99" s="94"/>
      <c r="N99" s="93"/>
      <c r="O99" s="85"/>
      <c r="Q99" s="94"/>
      <c r="R99" s="93"/>
      <c r="S99" s="85"/>
      <c r="U99" s="94"/>
      <c r="V99" s="93"/>
      <c r="W99" s="85"/>
      <c r="Y99" s="94"/>
      <c r="Z99" s="93"/>
      <c r="AA99" s="85"/>
      <c r="AC99" s="94"/>
      <c r="AD99" s="93"/>
      <c r="AE99" s="85"/>
    </row>
    <row r="100" spans="7:31" ht="14.5" customHeight="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ht="14.5" customHeight="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ht="14.5" customHeight="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ht="14.5" customHeight="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ht="14.5" customHeight="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ht="14.5" customHeight="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ht="14.5" customHeight="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ht="14.5" customHeight="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ht="14.5" customHeight="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ht="14.5" customHeight="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ht="14.5" customHeight="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ht="14.5" customHeight="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ht="14.5" customHeight="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ht="14.5" customHeight="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ht="14.5" customHeight="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ht="14.5" customHeight="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ht="14.5" customHeight="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ht="14.5" customHeight="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ht="14.5" customHeight="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ht="14.5" customHeight="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ht="14.5" customHeight="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ht="14.5" customHeight="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ht="14.5" customHeight="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ht="14.5" customHeight="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ht="14.5" customHeight="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ht="14.5" customHeight="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ht="14.5" customHeight="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ht="14.5" customHeight="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ht="14.5" customHeight="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ht="14.5" customHeight="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ht="14.5" customHeight="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ht="14.5" customHeight="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ht="14.5" customHeight="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ht="14.5" customHeight="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ht="14.5" customHeight="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ht="14.5" customHeight="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ht="14.5" customHeight="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ht="14.5" customHeight="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ht="14.5" customHeight="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ht="14.5" customHeight="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ht="14.5" customHeight="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ht="14.5" customHeight="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ht="14.5" customHeight="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ht="14.5" customHeight="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ht="14.5" customHeight="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ht="14.5" customHeight="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ht="14.5" customHeight="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ht="14.5" customHeight="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ht="14.5" customHeight="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ht="14.5" customHeight="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ht="14.5" customHeight="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ht="14.5" customHeight="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ht="14.5" customHeight="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ht="14.5" customHeight="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ht="14.5" customHeight="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ht="14.5" customHeight="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ht="14.5" customHeight="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ht="14.5" customHeight="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ht="14.5" customHeight="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ht="14.5" customHeight="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ht="14.5" customHeight="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ht="14.5" customHeight="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ht="14.5" customHeight="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ht="14.5" customHeight="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ht="14.5" customHeight="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ht="14.5" customHeight="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ht="14.5" customHeight="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ht="14.5" customHeight="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ht="14.5" customHeight="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ht="14.5" customHeight="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ht="14.5" customHeight="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ht="14.5" customHeight="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ht="14.5" customHeight="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ht="14.5" customHeight="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ht="14.5" customHeight="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ht="14.5" customHeight="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ht="14.5" customHeight="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ht="14.5" customHeight="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ht="14.5" customHeight="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ht="14.5" customHeight="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ht="14.5" customHeight="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ht="14.5" customHeight="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ht="14.5" customHeight="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ht="14.5" customHeight="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ht="14.5" customHeight="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ht="14.5" customHeight="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ht="14.5" customHeight="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ht="14.5" customHeight="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ht="14.5" customHeight="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ht="14.5" customHeight="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ht="14.5" customHeight="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ht="14.5" customHeight="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ht="14.5" customHeight="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ht="14.5" customHeight="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ht="14.5" customHeight="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ht="14.5" customHeight="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ht="14.5" customHeight="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ht="14.5" customHeight="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ht="14.5" customHeight="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ht="14.5" customHeight="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ht="14.5" customHeight="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ht="14.5" customHeight="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ht="14.5" customHeight="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ht="14.5" customHeight="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ht="14.5" customHeight="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ht="14.5" customHeight="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ht="14.5" customHeight="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ht="14.5" customHeight="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ht="14.5" customHeight="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ht="14.5" customHeight="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ht="14.5" customHeight="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ht="14.5" customHeight="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ht="14.5" customHeight="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ht="14.5" customHeight="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ht="14.5" customHeight="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ht="14.5" customHeight="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ht="14.5" customHeight="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ht="14.5" customHeight="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ht="14.5" customHeight="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ht="14.5" customHeight="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ht="14.5" customHeight="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ht="14.5" customHeight="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ht="14.5" customHeight="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ht="14.5" customHeight="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ht="14.5" customHeight="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ht="14.5" customHeight="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ht="14.5" customHeight="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ht="14.5" customHeight="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ht="14.5" customHeight="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ht="14.5" customHeight="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ht="14.5" customHeight="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ht="14.5" customHeight="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ht="14.5" customHeight="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ht="14.5" customHeight="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ht="14.5" customHeight="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ht="14.5" customHeight="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ht="14.5" customHeight="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ht="14.5" customHeight="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ht="14.5" customHeight="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ht="14.5" customHeight="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ht="14.5" customHeight="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ht="14.5" customHeight="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ht="14.5" customHeight="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ht="14.5" customHeight="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ht="14.5" customHeight="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ht="14.5" customHeight="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ht="14.5" customHeight="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ht="14.5" customHeight="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ht="14.5" customHeight="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ht="14.5" customHeight="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ht="14.5" customHeight="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ht="14.5" customHeight="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ht="14.5" customHeight="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ht="14.5" customHeight="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ht="14.5" customHeight="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ht="14.5" customHeight="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ht="14.5" customHeight="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ht="14.5" customHeight="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ht="14.5" customHeight="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ht="14.5" customHeight="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ht="14.5" customHeight="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ht="14.5" customHeight="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ht="14.5" customHeight="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ht="14.5" customHeight="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ht="14.5" customHeight="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ht="14.5" customHeight="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ht="14.5" customHeight="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ht="14.5" customHeight="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ht="14.5" customHeight="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ht="14.5" customHeight="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ht="14.5" customHeight="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ht="14.5" customHeight="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ht="14.5" customHeight="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ht="14.5" customHeight="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ht="14.5" customHeight="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ht="14.5" customHeight="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ht="14.5" customHeight="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ht="14.5" customHeight="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ht="14.5" customHeight="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ht="14.5" customHeight="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ht="14.5" customHeight="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ht="14.5" customHeight="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ht="14.5" customHeight="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ht="14.5" customHeight="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ht="14.5" customHeight="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ht="14.5" customHeight="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ht="14.5" customHeight="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ht="14.5" customHeight="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ht="14.5" customHeight="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ht="14.5" customHeight="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ht="14.5" customHeight="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ht="14.5" customHeight="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ht="14.5" customHeight="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ht="14.5" customHeight="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ht="14.5" customHeight="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ht="14.5" customHeight="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ht="14.5" customHeight="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ht="14.5" customHeight="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ht="14.5" customHeight="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ht="14.5" customHeight="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ht="14.5" customHeight="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ht="14.5" customHeight="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ht="14.5" customHeight="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ht="14.5" customHeight="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ht="14.5" customHeight="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ht="14.5" customHeight="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ht="14.5" customHeight="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ht="14.5" customHeight="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ht="14.5" customHeight="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ht="14.5" customHeight="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ht="14.5" customHeight="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ht="14.5" customHeight="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ht="14.5" customHeight="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ht="14.5" customHeight="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ht="14.5" customHeight="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ht="14.5" customHeight="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ht="14.5" customHeight="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ht="14.5" customHeight="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ht="14.5" customHeight="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ht="14.5" customHeight="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ht="14.5" customHeight="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ht="14.5" customHeight="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ht="14.5" customHeight="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ht="14.5" customHeight="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ht="14.5" customHeight="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ht="14.5" customHeight="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ht="14.5" customHeight="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ht="14.5" customHeight="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ht="14.5" customHeight="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ht="14.5" customHeight="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ht="14.5" customHeight="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ht="14.5" customHeight="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ht="14.5" customHeight="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ht="14.5" customHeight="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ht="14.5" customHeight="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ht="14.5" customHeight="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ht="14.5" customHeight="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ht="14.5" customHeight="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ht="14.5" customHeight="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ht="14.5" customHeight="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ht="14.5" customHeight="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ht="14.5" customHeight="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ht="14.5" customHeight="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ht="14.5" customHeight="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ht="14.5" customHeight="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ht="14.5" customHeight="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ht="14.5" customHeight="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ht="14.5" customHeight="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ht="14.5" customHeight="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ht="14.5" customHeight="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ht="14.5" customHeight="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ht="14.5" customHeight="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ht="14.5" customHeight="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ht="14.5" customHeight="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ht="14.5" customHeight="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ht="14.5" customHeight="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ht="14.5" customHeight="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ht="14.5" customHeight="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ht="14.5" customHeight="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ht="14.5" customHeight="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ht="14.5" customHeight="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ht="14.5" customHeight="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ht="14.5" customHeight="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ht="14.5" customHeight="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ht="14.5" customHeight="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ht="14.5" customHeight="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ht="14.5" customHeight="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ht="14.5" customHeight="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ht="14.5" customHeight="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ht="14.5" customHeight="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ht="14.5" customHeight="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ht="14.5" customHeight="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ht="14.5" customHeight="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ht="14.5" customHeight="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ht="14.5" customHeight="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ht="14.5" customHeight="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ht="14.5" customHeight="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ht="14.5" customHeight="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ht="14.5" customHeight="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ht="14.5" customHeight="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ht="14.5" customHeight="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ht="14.5" customHeight="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ht="14.5" customHeight="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ht="14.5" customHeight="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ht="14.5" customHeight="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ht="14.5" customHeight="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ht="14.5" customHeight="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ht="14.5" customHeight="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ht="14.5" customHeight="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ht="14.5" customHeight="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ht="14.5" customHeight="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ht="14.5" customHeight="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ht="14.5" customHeight="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ht="14.5" customHeight="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ht="14.5" customHeight="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ht="14.5" customHeight="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ht="14.5" customHeight="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ht="14.5" customHeight="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ht="14.5" customHeight="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ht="14.5" customHeight="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ht="14.5" customHeight="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ht="14.5" customHeight="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ht="14.5" customHeight="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ht="14.5" customHeight="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ht="14.5" customHeight="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ht="14.5" customHeight="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ht="14.5" customHeight="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ht="14.5" customHeight="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ht="14.5" customHeight="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ht="14.5" customHeight="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ht="14.5" customHeight="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ht="14.5" customHeight="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ht="14.5" customHeight="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ht="14.5" customHeight="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ht="14.5" customHeight="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ht="14.5" customHeight="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ht="14.5" customHeight="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ht="14.5" customHeight="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ht="14.5" customHeight="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ht="14.5" customHeight="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ht="14.5" customHeight="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ht="14.5" customHeight="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ht="14.5" customHeight="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ht="14.5" customHeight="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ht="14.5" customHeight="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ht="14.5" customHeight="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ht="14.5" customHeight="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ht="14.5" customHeight="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ht="14.5" customHeight="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ht="14.5" customHeight="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ht="14.5" customHeight="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ht="14.5" customHeight="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ht="14.5" customHeight="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ht="14.5" customHeight="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ht="14.5" customHeight="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ht="14.5" customHeight="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ht="14.5" customHeight="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ht="14.5" customHeight="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ht="14.5" customHeight="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ht="14.5" customHeight="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ht="14.5" customHeight="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ht="14.5" customHeight="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ht="14.5" customHeight="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ht="14.5" customHeight="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ht="14.5" customHeight="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ht="14.5" customHeight="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ht="14.5" customHeight="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ht="14.5" customHeight="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ht="14.5" customHeight="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ht="14.5" customHeight="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ht="14.5" customHeight="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ht="14.5" customHeight="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ht="14.5" customHeight="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ht="14.5" customHeight="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ht="14.5" customHeight="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ht="14.5" customHeight="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ht="14.5" customHeight="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ht="14.5" customHeight="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ht="14.5" customHeight="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ht="14.5" customHeight="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ht="14.5" customHeight="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ht="14.5" customHeight="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ht="14.5" customHeight="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ht="14.5" customHeight="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ht="14.5" customHeight="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ht="14.5" customHeight="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ht="14.5" customHeight="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ht="14.5" customHeight="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ht="14.5" customHeight="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ht="14.5" customHeight="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ht="14.5" customHeight="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ht="14.5" customHeight="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ht="14.5" customHeight="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ht="14.5" customHeight="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ht="14.5" customHeight="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ht="14.5" customHeight="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ht="14.5" customHeight="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ht="14.5" customHeight="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ht="14.5" customHeight="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ht="14.5" customHeight="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ht="14.5" customHeight="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ht="14.5" customHeight="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ht="14.5" customHeight="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ht="14.5" customHeight="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ht="14.5" customHeight="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ht="14.5" customHeight="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ht="14.5" customHeight="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ht="14.5" customHeight="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ht="14.5" customHeight="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ht="14.5" customHeight="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ht="14.5" customHeight="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ht="14.5" customHeight="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ht="14.5" customHeight="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ht="14.5" customHeight="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ht="14.5" customHeight="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ht="14.5" customHeight="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ht="14.5" customHeight="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ht="14.5" customHeight="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ht="14.5" customHeight="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ht="14.5" customHeight="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ht="14.5" customHeight="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ht="14.5" customHeight="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ht="14.5" customHeight="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ht="14.5" customHeight="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ht="14.5" customHeight="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ht="14.5" customHeight="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ht="14.5" customHeight="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ht="14.5" customHeight="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ht="14.5" customHeight="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ht="14.5" customHeight="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ht="14.5" customHeight="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ht="14.5" customHeight="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ht="14.5" customHeight="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ht="14.5" customHeight="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ht="14.5" customHeight="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ht="14.5" customHeight="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ht="14.5" customHeight="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ht="14.5" customHeight="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ht="14.5" customHeight="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ht="14.5" customHeight="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ht="14.5" customHeight="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ht="14.5" customHeight="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ht="14.5" customHeight="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ht="14.5" customHeight="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ht="14.5" customHeight="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ht="14.5" customHeight="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ht="14.5" customHeight="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ht="14.5" customHeight="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ht="14.5" customHeight="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ht="14.5" customHeight="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ht="14.5" customHeight="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ht="14.5" customHeight="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ht="14.5" customHeight="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ht="14.5" customHeight="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ht="14.5" customHeight="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ht="14.5" customHeight="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ht="14.5" customHeight="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ht="14.5" customHeight="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ht="14.5" customHeight="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ht="14.5" customHeight="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ht="14.5" customHeight="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ht="14.5" customHeight="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ht="14.5" customHeight="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ht="14.5" customHeight="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ht="14.5" customHeight="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ht="14.5" customHeight="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ht="14.5" customHeight="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ht="14.5" customHeight="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ht="14.5" customHeight="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ht="14.5" customHeight="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ht="14.5" customHeight="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ht="14.5" customHeight="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ht="14.5" customHeight="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ht="14.5" customHeight="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ht="14.5" customHeight="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ht="14.5" customHeight="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ht="14.5" customHeight="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ht="14.5" customHeight="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ht="14.5" customHeight="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ht="14.5" customHeight="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ht="14.5" customHeight="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ht="14.5" customHeight="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ht="14.5" customHeight="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ht="14.5" customHeight="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ht="14.5" customHeight="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ht="14.5" customHeight="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ht="14.5" customHeight="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ht="14.5" customHeight="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ht="14.5" customHeight="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ht="14.5" customHeight="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ht="14.5" customHeight="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ht="14.5" customHeight="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ht="14.5" customHeight="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ht="14.5" customHeight="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ht="14.5" customHeight="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ht="14.5" customHeight="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ht="14.5" customHeight="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ht="14.5" customHeight="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ht="14.5" customHeight="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ht="14.5" customHeight="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ht="14.5" customHeight="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ht="14.5" customHeight="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ht="14.5" customHeight="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ht="14.5" customHeight="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ht="14.5" customHeight="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ht="14.5" customHeight="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ht="14.5" customHeight="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ht="14.5" customHeight="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ht="14.5" customHeight="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ht="14.5" customHeight="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ht="14.5" customHeight="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ht="14.5" customHeight="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ht="14.5" customHeight="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ht="14.5" customHeight="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ht="14.5" customHeight="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ht="14.5" customHeight="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ht="14.5" customHeight="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ht="14.5" customHeight="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ht="14.5" customHeight="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ht="14.5" customHeight="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ht="14.5" customHeight="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ht="14.5" customHeight="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ht="14.5" customHeight="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ht="14.5" customHeight="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ht="14.5" customHeight="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ht="14.5" customHeight="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ht="14.5" customHeight="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ht="14.5" customHeight="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ht="14.5" customHeight="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ht="14.5" customHeight="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ht="14.5" customHeight="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ht="14.5" customHeight="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ht="14.5" customHeight="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ht="14.5" customHeight="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ht="14.5" customHeight="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ht="14.5" customHeight="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ht="14.5" customHeight="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ht="14.5" customHeight="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ht="14.5" customHeight="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ht="14.5" customHeight="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ht="14.5" customHeight="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ht="14.5" customHeight="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ht="14.5" customHeight="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ht="14.5" customHeight="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ht="14.5" customHeight="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ht="14.5" customHeight="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ht="14.5" customHeight="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ht="14.5" customHeight="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ht="14.5" customHeight="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ht="14.5" customHeight="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ht="14.5" customHeight="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ht="14.5" customHeight="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ht="14.5" customHeight="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ht="14.5" customHeight="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ht="14.5" customHeight="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ht="14.5" customHeight="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ht="14.5" customHeight="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ht="14.5" customHeight="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ht="14.5" customHeight="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ht="14.5" customHeight="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ht="14.5" customHeight="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ht="14.5" customHeight="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ht="14.5" customHeight="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ht="14.5" customHeight="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ht="14.5" customHeight="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ht="14.5" customHeight="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ht="14.5" customHeight="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ht="14.5" customHeight="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ht="14.5" customHeight="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ht="14.5" customHeight="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ht="14.5" customHeight="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ht="14.5" customHeight="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ht="14.5" customHeight="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ht="14.5" customHeight="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ht="14.5" customHeight="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ht="14.5" customHeight="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ht="14.5" customHeight="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ht="14.5" customHeight="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ht="14.5" customHeight="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ht="14.5" customHeight="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ht="14.5" customHeight="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ht="14.5" customHeight="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ht="14.5" customHeight="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ht="14.5" customHeight="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ht="14.5" customHeight="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ht="14.5" customHeight="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ht="14.5" customHeight="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ht="14.5" customHeight="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ht="14.5" customHeight="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ht="14.5" customHeight="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ht="14.5" customHeight="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ht="14.5" customHeight="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ht="14.5" customHeight="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ht="14.5" customHeight="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ht="14.5" customHeight="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ht="14.5" customHeight="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ht="14.5" customHeight="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ht="14.5" customHeight="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ht="14.5" customHeight="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ht="14.5" customHeight="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ht="14.5" customHeight="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ht="14.5" customHeight="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ht="14.5" customHeight="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ht="14.5" customHeight="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ht="14.5" customHeight="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ht="14.5" customHeight="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ht="14.5" customHeight="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ht="14.5" customHeight="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ht="14.5" customHeight="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ht="14.5" customHeight="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ht="14.5" customHeight="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ht="14.5" customHeight="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ht="14.5" customHeight="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ht="14.5" customHeight="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ht="14.5" customHeight="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ht="14.5" customHeight="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ht="14.5" customHeight="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ht="14.5" customHeight="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ht="14.5" customHeight="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ht="14.5" customHeight="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ht="14.5" customHeight="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ht="14.5" customHeight="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ht="14.5" customHeight="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ht="14.5" customHeight="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ht="14.5" customHeight="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ht="14.5" customHeight="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ht="14.5" customHeight="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ht="14.5" customHeight="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ht="14.5" customHeight="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ht="14.5" customHeight="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ht="14.5" customHeight="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ht="14.5" customHeight="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ht="14.5" customHeight="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ht="14.5" customHeight="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ht="14.5" customHeight="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ht="14.5" customHeight="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ht="14.5" customHeight="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ht="14.5" customHeight="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ht="14.5" customHeight="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ht="14.5" customHeight="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ht="14.5" customHeight="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ht="14.5" customHeight="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ht="14.5" customHeight="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ht="14.5" customHeight="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ht="14.5" customHeight="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ht="14.5" customHeight="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ht="14.5" customHeight="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ht="14.5" customHeight="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ht="14.5" customHeight="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ht="14.5" customHeight="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ht="14.5" customHeight="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ht="14.5" customHeight="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ht="14.5" customHeight="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ht="14.5" customHeight="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ht="14.5" customHeight="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ht="14.5" customHeight="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ht="14.5" customHeight="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ht="14.5" customHeight="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ht="14.5" customHeight="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ht="14.5" customHeight="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ht="14.5" customHeight="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ht="14.5" customHeight="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ht="14.5" customHeight="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ht="14.5" customHeight="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ht="14.5" customHeight="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ht="14.5" customHeight="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ht="14.5" customHeight="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ht="14.5" customHeight="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ht="14.5" customHeight="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ht="14.5" customHeight="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ht="14.5" customHeight="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ht="14.5" customHeight="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ht="14.5" customHeight="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ht="14.5" customHeight="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ht="14.5" customHeight="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ht="14.5" customHeight="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ht="14.5" customHeight="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ht="14.5" customHeight="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ht="14.5" customHeight="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ht="14.5" customHeight="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ht="14.5" customHeight="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ht="14.5" customHeight="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ht="14.5" customHeight="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ht="14.5" customHeight="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ht="14.5" customHeight="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ht="14.5" customHeight="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ht="14.5" customHeight="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ht="14.5" customHeight="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ht="14.5" customHeight="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ht="14.5" customHeight="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ht="14.5" customHeight="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ht="14.5" customHeight="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ht="14.5" customHeight="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ht="14.5" customHeight="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ht="14.5" customHeight="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ht="14.5" customHeight="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ht="14.5" customHeight="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ht="14.5" customHeight="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ht="14.5" customHeight="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ht="14.5" customHeight="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ht="14.5" customHeight="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ht="14.5" customHeight="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ht="14.5" customHeight="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ht="14.5" customHeight="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ht="14.5" customHeight="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ht="14.5" customHeight="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ht="14.5" customHeight="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ht="14.5" customHeight="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ht="14.5" customHeight="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ht="14.5" customHeight="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ht="14.5" customHeight="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ht="14.5" customHeight="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ht="14.5" customHeight="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ht="14.5" customHeight="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ht="14.5" customHeight="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ht="14.5" customHeight="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ht="14.5" customHeight="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ht="14.5" customHeight="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ht="14.5" customHeight="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ht="14.5" customHeight="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ht="14.5" customHeight="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ht="14.5" customHeight="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ht="14.5" customHeight="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ht="14.5" customHeight="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ht="14.5" customHeight="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ht="14.5" customHeight="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ht="14.5" customHeight="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ht="14.5" customHeight="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ht="14.5" customHeight="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ht="14.5" customHeight="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ht="14.5" customHeight="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ht="14.5" customHeight="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ht="14.5" customHeight="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ht="14.5" customHeight="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ht="14.5" customHeight="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ht="14.5" customHeight="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ht="14.5" customHeight="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ht="14.5" customHeight="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ht="14.5" customHeight="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ht="14.5" customHeight="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ht="14.5" customHeight="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ht="14.5" customHeight="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ht="14.5" customHeight="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ht="14.5" customHeight="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ht="14.5" customHeight="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ht="14.5" customHeight="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ht="14.5" customHeight="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ht="14.5" customHeight="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ht="14.5" customHeight="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ht="14.5" customHeight="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ht="14.5" customHeight="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ht="14.5" customHeight="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ht="14.5" customHeight="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ht="14.5" customHeight="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ht="14.5" customHeight="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ht="14.5" customHeight="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ht="14.5" customHeight="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ht="14.5" customHeight="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ht="14.5" customHeight="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ht="14.5" customHeight="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ht="14.5" customHeight="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ht="14.5" customHeight="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ht="14.5" customHeight="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ht="14.5" customHeight="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ht="14.5" customHeight="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ht="14.5" customHeight="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ht="14.5" customHeight="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ht="14.5" customHeight="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ht="14.5" customHeight="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ht="14.5" customHeight="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ht="14.5" customHeight="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ht="14.5" customHeight="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ht="14.5" customHeight="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ht="14.5" customHeight="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ht="14.5" customHeight="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ht="14.5" customHeight="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ht="14.5" customHeight="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ht="14.5" customHeight="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ht="14.5" customHeight="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ht="14.5" customHeight="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ht="14.5" customHeight="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ht="14.5" customHeight="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ht="14.5" customHeight="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ht="14.5" customHeight="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ht="14.5" customHeight="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ht="14.5" customHeight="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ht="14.5" customHeight="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ht="14.5" customHeight="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ht="14.5" customHeight="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ht="14.5" customHeight="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ht="14.5" customHeight="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ht="14.5" customHeight="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ht="14.5" customHeight="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ht="14.5" customHeight="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ht="14.5" customHeight="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ht="14.5" customHeight="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ht="14.5" customHeight="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ht="14.5" customHeight="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ht="14.5" customHeight="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ht="14.5" customHeight="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ht="14.5" customHeight="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ht="14.5" customHeight="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ht="14.5" customHeight="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ht="14.5" customHeight="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ht="14.5" customHeight="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ht="14.5" customHeight="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ht="14.5" customHeight="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ht="14.5" customHeight="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ht="14.5" customHeight="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ht="14.5" customHeight="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ht="14.5" customHeight="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ht="14.5" customHeight="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ht="14.5" customHeight="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ht="14.5" customHeight="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ht="14.5" customHeight="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ht="14.5" customHeight="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ht="14.5" customHeight="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ht="14.5" customHeight="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ht="14.5" customHeight="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ht="14.5" customHeight="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ht="14.5" customHeight="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ht="14.5" customHeight="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ht="14.5" customHeight="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ht="14.5" customHeight="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ht="14.5" customHeight="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ht="14.5" customHeight="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ht="14.5" customHeight="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ht="14.5" customHeight="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ht="14.5" customHeight="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ht="14.5" customHeight="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ht="14.5" customHeight="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ht="14.5" customHeight="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ht="14.5" customHeight="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ht="14.5" customHeight="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ht="14.5" customHeight="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ht="14.5" customHeight="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ht="14.5" customHeight="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ht="14.5" customHeight="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ht="14.5" customHeight="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ht="14.5" customHeight="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ht="14.5" customHeight="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ht="14.5" customHeight="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ht="14.5" customHeight="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ht="14.5" customHeight="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ht="14.5" customHeight="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ht="14.5" customHeight="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ht="14.5" customHeight="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ht="14.5" customHeight="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ht="14.5" customHeight="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ht="14.5" customHeight="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ht="14.5" customHeight="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ht="14.5" customHeight="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ht="14.5" customHeight="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ht="14.5" customHeight="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ht="14.5" customHeight="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ht="14.5" customHeight="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ht="14.5" customHeight="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ht="14.5" customHeight="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ht="14.5" customHeight="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ht="14.5" customHeight="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ht="14.5" customHeight="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ht="14.5" customHeight="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ht="14.5" customHeight="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ht="14.5" customHeight="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ht="14.5" customHeight="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ht="14.5" customHeight="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ht="14.5" customHeight="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ht="14.5" customHeight="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ht="14.5" customHeight="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ht="14.5" customHeight="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ht="14.5" customHeight="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ht="14.5" customHeight="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ht="14.5" customHeight="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ht="14.5" customHeight="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ht="14.5" customHeight="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ht="14.5" customHeight="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ht="14.5" customHeight="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ht="14.5" customHeight="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ht="14.5" customHeight="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ht="14.5" customHeight="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ht="14.5" customHeight="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ht="14.5" customHeight="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ht="14.5" customHeight="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ht="14.5" customHeight="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ht="14.5" customHeight="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ht="14.5" customHeight="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ht="14.5" customHeight="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ht="14.5" customHeight="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ht="14.5" customHeight="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ht="14.5" customHeight="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ht="14.5" customHeight="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ht="14.5" customHeight="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ht="14.5" customHeight="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ht="14.5" customHeight="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ht="14.5" customHeight="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ht="14.5" customHeight="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ht="14.5" customHeight="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ht="14.5" customHeight="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ht="14.5" customHeight="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ht="14.5" customHeight="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ht="14.5" customHeight="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ht="14.5" customHeight="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ht="14.5" customHeight="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ht="14.5" customHeight="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ht="14.5" customHeight="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ht="14.5" customHeight="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ht="14.5" customHeight="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ht="14.5" customHeight="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ht="14.5" customHeight="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ht="14.5" customHeight="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ht="14.5" customHeight="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ht="14.5" customHeight="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ht="14.5" customHeight="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ht="14.5" customHeight="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ht="14.5" customHeight="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ht="14.5" customHeight="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ht="14.5" customHeight="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ht="14.5" customHeight="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ht="14.5" customHeight="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ht="14.5" customHeight="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ht="14.5" customHeight="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ht="14.5" customHeight="1" x14ac:dyDescent="0.35">
      <c r="I1001" s="94"/>
      <c r="J1001" s="93"/>
      <c r="K1001" s="85"/>
    </row>
  </sheetData>
  <conditionalFormatting sqref="A69:H1048576 M69:AG1048576 I69:L69 A1:AG68">
    <cfRule type="expression" dxfId="34" priority="1">
      <formula>$A4="Spend to Date"</formula>
    </cfRule>
  </conditionalFormatting>
  <conditionalFormatting sqref="I70:L1048576">
    <cfRule type="expression" dxfId="33" priority="62">
      <formula>$A72="Spend to Date"</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000"/>
  <sheetViews>
    <sheetView workbookViewId="0">
      <pane xSplit="2" ySplit="1" topLeftCell="I7" activePane="bottomRight" state="frozen"/>
      <selection activeCell="L32" sqref="L32"/>
      <selection pane="topRight" activeCell="L32" sqref="L32"/>
      <selection pane="bottomLeft" activeCell="L32" sqref="L32"/>
      <selection pane="bottomRight" activeCell="P19" sqref="P19"/>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15.81640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23.269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177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SUM(E3:E5)</f>
        <v>406</v>
      </c>
      <c r="F2" s="87">
        <f>SUM(F3:F3)</f>
        <v>-26053</v>
      </c>
      <c r="I2" s="89">
        <f>SUM(I3:I5)</f>
        <v>-37000</v>
      </c>
      <c r="J2" s="87">
        <f>SUM(J3:J5)</f>
        <v>0</v>
      </c>
      <c r="M2" s="89">
        <f>SUM(M3:M5)</f>
        <v>0</v>
      </c>
      <c r="N2" s="87">
        <f>SUM(N3:N5)</f>
        <v>0</v>
      </c>
      <c r="Q2" s="89">
        <f>SUM(Q3:Q5)</f>
        <v>0</v>
      </c>
      <c r="R2" s="87">
        <f>SUM(R3:R5)</f>
        <v>0</v>
      </c>
      <c r="U2" s="89">
        <f>SUM(U3:U5)</f>
        <v>0</v>
      </c>
      <c r="V2" s="87">
        <f>SUM(V3:V5)</f>
        <v>0</v>
      </c>
      <c r="Y2" s="89">
        <f>SUM(Y3:Y5)</f>
        <v>0</v>
      </c>
      <c r="Z2" s="87">
        <f>SUM(Z3:Z5)</f>
        <v>0</v>
      </c>
      <c r="AC2" s="89">
        <f>SUM(AC3:AC5)</f>
        <v>0</v>
      </c>
      <c r="AD2" s="87">
        <f>SUM(AD3:AD5)</f>
        <v>0</v>
      </c>
    </row>
    <row r="3" spans="1:33" ht="14.5" customHeight="1" x14ac:dyDescent="0.35">
      <c r="A3" s="86" t="s">
        <v>177</v>
      </c>
      <c r="B3" s="85">
        <v>1</v>
      </c>
      <c r="D3" s="86">
        <f>355</f>
        <v>355</v>
      </c>
      <c r="E3" s="87">
        <v>-9594</v>
      </c>
      <c r="F3" s="87">
        <f>SUMIFS(H$18:H$1004,E$18:E$1004,1)</f>
        <v>-26053</v>
      </c>
      <c r="G3" s="87">
        <f>D3+E3-F3+SUMIFS(E$8:E$12,$C$8:$C$12,$A3)-SUMIFS(F$8:F$12,$C$8:$C$12,$A3)</f>
        <v>27709.989999999998</v>
      </c>
      <c r="I3" s="91">
        <v>-27000</v>
      </c>
      <c r="J3" s="87">
        <f>SUMIFS(L$17:L$1003,I$17:I$1003,1)</f>
        <v>0</v>
      </c>
      <c r="K3" s="87">
        <f>G3+I3-J3+SUMIFS(I$8:I$12,$C$8:$C$12,$A3)-SUMIFS(J$8:J$12,$C$8:$C$12,$A3)</f>
        <v>709.98999999999796</v>
      </c>
      <c r="L3" s="86"/>
      <c r="N3" s="87">
        <f>SUMIFS(P$18:P$1004,M$18:M$1004,1)</f>
        <v>0</v>
      </c>
      <c r="O3" s="87">
        <f>K3+M3-N3+SUMIFS(M$8:M$12,$C$8:$C$12,$A3)-SUMIFS(N$8:N$12,$C$8:$C$12,$A3)</f>
        <v>5673.2299999999977</v>
      </c>
      <c r="R3" s="87">
        <f>SUMIFS(T$18:T$1004,Q$18:Q$1004,1)</f>
        <v>0</v>
      </c>
      <c r="S3" s="87">
        <f>O3+Q3-R3+SUMIFS(Q$8:Q$12,$C$8:$C$12,$A3)-SUMIFS(R$8:R$12,$C$8:$C$12,$A3)</f>
        <v>5673.2299999999977</v>
      </c>
      <c r="V3" s="87">
        <f>SUMIFS(X$18:X$1004,U$18:U$1004,1)</f>
        <v>0</v>
      </c>
      <c r="W3" s="87">
        <f>S3+U3-V3+SUMIFS(U$8:U$12,$C$8:$C$12,$A3)-SUMIFS(V$8:V$12,$C$8:$C$12,$A3)</f>
        <v>5673.2299999999977</v>
      </c>
      <c r="Z3" s="87">
        <f>SUMIFS(AB$18:AB$1004,Y$18:Y$1004,1)</f>
        <v>0</v>
      </c>
      <c r="AA3" s="87">
        <f>W3+Y3-Z3+SUMIFS(Y$8:Y$12,$C$8:$C$12,$A3)-SUMIFS(Z$8:Z$12,$C$8:$C$12,$A3)</f>
        <v>5673.2299999999977</v>
      </c>
      <c r="AD3" s="87">
        <f>SUMIFS(AF$18:AF$1004,AC$18:AC$1004,1)</f>
        <v>0</v>
      </c>
      <c r="AE3" s="87">
        <f>AA3+AC3-AD3+SUMIFS(AC$8:AC$12,$C$8:$C$12,$A3)-SUMIFS(AD$8:AD$12,$C$8:$C$12,$A3)</f>
        <v>5673.2299999999977</v>
      </c>
      <c r="AG3" s="87">
        <v>50000</v>
      </c>
    </row>
    <row r="4" spans="1:33" ht="14.5" customHeight="1" x14ac:dyDescent="0.35">
      <c r="A4" s="86" t="s">
        <v>178</v>
      </c>
      <c r="B4" s="85">
        <v>2</v>
      </c>
      <c r="D4" s="86">
        <v>0</v>
      </c>
      <c r="E4" s="87">
        <v>10000</v>
      </c>
      <c r="F4" s="87">
        <v>0</v>
      </c>
      <c r="G4" s="87">
        <f>D4+E4-F4+SUMIFS(E$8:E$12,$C$8:$C$12,$A4)-SUMIFS(F$8:F$12,$C$8:$C$12,$A4)</f>
        <v>10000</v>
      </c>
      <c r="I4" s="91">
        <v>-10000</v>
      </c>
      <c r="J4" s="87">
        <f>SUMIFS(L$17:L$1003,I$17:I$1003,2)</f>
        <v>0</v>
      </c>
      <c r="K4" s="87">
        <f>G4+I4-J4+SUMIFS(I$8:I$12,$C$8:$C$12,$A4)-SUMIFS(J$8:J$12,$C$8:$C$12,$A4)</f>
        <v>0</v>
      </c>
      <c r="L4" s="86"/>
      <c r="N4" s="87">
        <f>SUMIFS(P$18:P$1004,M$18:M$1004,2)</f>
        <v>0</v>
      </c>
      <c r="O4" s="87">
        <f>K4+M4-N4+SUMIFS(M$8:M$12,$C$8:$C$12,$A4)-SUMIFS(N$8:N$12,$C$8:$C$12,$A4)</f>
        <v>0</v>
      </c>
      <c r="R4" s="87">
        <f>SUMIFS(T$18:T$1004,Q$18:Q$1004,2)</f>
        <v>0</v>
      </c>
      <c r="S4" s="87">
        <f>O4+Q4-R4+SUMIFS(Q$8:Q$12,$C$8:$C$12,$A4)-SUMIFS(R$8:R$12,$C$8:$C$12,$A4)</f>
        <v>0</v>
      </c>
      <c r="V4" s="87">
        <f>SUMIFS(X$18:X$1004,U$18:U$1004,2)</f>
        <v>0</v>
      </c>
      <c r="W4" s="87">
        <f>S4+U4-V4+SUMIFS(U$8:U$12,$C$8:$C$12,$A4)-SUMIFS(V$8:V$12,$C$8:$C$12,$A4)</f>
        <v>0</v>
      </c>
      <c r="Z4" s="87">
        <f>SUMIFS(AB$18:AB$1004,Y$18:Y$1004,2)</f>
        <v>0</v>
      </c>
      <c r="AA4" s="87">
        <f>W4+Y4-Z4+SUMIFS(Y$8:Y$12,$C$8:$C$12,$A4)-SUMIFS(Z$8:Z$12,$C$8:$C$12,$A4)</f>
        <v>0</v>
      </c>
      <c r="AD4" s="87">
        <f>SUMIFS(AF$18:AF$1004,AC$18:AC$1004,2)</f>
        <v>0</v>
      </c>
      <c r="AE4" s="87">
        <f>AA4+AC4-AD4+SUMIFS(AC$8:AC$12,$C$8:$C$12,$A4)-SUMIFS(AD$8:AD$12,$C$8:$C$12,$A4)</f>
        <v>0</v>
      </c>
    </row>
    <row r="5" spans="1:33" ht="36.75" customHeight="1" x14ac:dyDescent="0.35">
      <c r="A5" s="86" t="s">
        <v>72</v>
      </c>
      <c r="B5" s="85">
        <v>3</v>
      </c>
      <c r="D5" s="86">
        <v>0</v>
      </c>
      <c r="E5" s="87">
        <v>0</v>
      </c>
      <c r="F5" s="87">
        <v>0</v>
      </c>
      <c r="G5" s="87">
        <f>D5+E5-F5+SUMIFS(E$8:E$12,$C$8:$C$12,$A5)-SUMIFS(F$8:F$12,$C$8:$C$12,$A5)</f>
        <v>0</v>
      </c>
      <c r="J5" s="87">
        <f>SUMIFS(L$17:L$1003,I$17:I$1003,3)</f>
        <v>0</v>
      </c>
      <c r="K5" s="87">
        <f>G5+I5-J5+SUMIFS(I$8:I$12,$C$8:$C$12,$A5)-SUMIFS(J$8:J$12,$C$8:$C$12,$A5)</f>
        <v>23190</v>
      </c>
      <c r="L5" s="86"/>
      <c r="N5" s="87">
        <f>SUMIFS(P$18:P$1004,M$18:M$1004,3)</f>
        <v>0</v>
      </c>
      <c r="O5" s="87">
        <f>K5+M5-N5+SUMIFS(M$8:M$12,$C$8:$C$12,$A5)-SUMIFS(N$8:N$12,$C$8:$C$12,$A5)</f>
        <v>23190</v>
      </c>
      <c r="R5" s="87">
        <f>SUMIFS(T$18:T$1004,Q$18:Q$1004,3)</f>
        <v>0</v>
      </c>
      <c r="S5" s="87">
        <f>O5+Q5-R5+SUMIFS(Q$8:Q$12,$C$8:$C$12,$A5)-SUMIFS(R$8:R$12,$C$8:$C$12,$A5)</f>
        <v>23190</v>
      </c>
      <c r="V5" s="87">
        <f>SUMIFS(X$18:X$1004,U$18:U$1004,3)</f>
        <v>0</v>
      </c>
      <c r="W5" s="87">
        <f>S5+U5-V5+SUMIFS(U$8:U$12,$C$8:$C$12,$A5)-SUMIFS(V$8:V$12,$C$8:$C$12,$A5)</f>
        <v>23190</v>
      </c>
      <c r="Z5" s="87">
        <f>SUMIFS(AB$18:AB$1004,Y$18:Y$1004,3)</f>
        <v>0</v>
      </c>
      <c r="AA5" s="87">
        <f>W5+Y5-Z5+SUMIFS(Y$8:Y$12,$C$8:$C$12,$A5)-SUMIFS(Z$8:Z$12,$C$8:$C$12,$A5)</f>
        <v>23190</v>
      </c>
      <c r="AD5" s="87">
        <f>SUMIFS(AF$18:AF$1004,AC$18:AC$1004,3)</f>
        <v>0</v>
      </c>
      <c r="AE5" s="87">
        <f>AA5+AC5-AD5+SUMIFS(AC$8:AC$12,$C$8:$C$12,$A5)-SUMIFS(AD$8:AD$12,$C$8:$C$12,$A5)</f>
        <v>23190</v>
      </c>
    </row>
    <row r="6" spans="1:33" ht="14.5" customHeight="1" x14ac:dyDescent="0.35">
      <c r="E6" s="87"/>
    </row>
    <row r="7" spans="1:33" ht="14.5" customHeight="1" x14ac:dyDescent="0.35">
      <c r="A7" s="84" t="s">
        <v>179</v>
      </c>
      <c r="D7" s="84"/>
      <c r="E7" s="87">
        <f>SUM(E8:E12)</f>
        <v>19781</v>
      </c>
      <c r="F7" s="87">
        <f>SUM(F8:F12)</f>
        <v>8885.01</v>
      </c>
      <c r="I7" s="89">
        <f>SUM(I8:I12)</f>
        <v>37000</v>
      </c>
      <c r="J7" s="87">
        <f>SUM(J8:J12)</f>
        <v>13810</v>
      </c>
      <c r="M7" s="89">
        <f>SUM(M8:M12)</f>
        <v>5000</v>
      </c>
      <c r="N7" s="87">
        <f>SUM(N8:N12)</f>
        <v>36.76</v>
      </c>
      <c r="Q7" s="89">
        <f>SUM(Q8:Q12)</f>
        <v>5150</v>
      </c>
      <c r="R7" s="87">
        <f>$Q$7</f>
        <v>5150</v>
      </c>
      <c r="U7" s="89">
        <f>SUM(U8:U12)</f>
        <v>5305</v>
      </c>
      <c r="V7" s="87">
        <f>$U$7</f>
        <v>5305</v>
      </c>
      <c r="Y7" s="89">
        <f>SUM(Y8:Y12)</f>
        <v>5465</v>
      </c>
      <c r="Z7" s="87">
        <f>$Y$7</f>
        <v>5465</v>
      </c>
      <c r="AC7" s="89">
        <f>SUM(AC8:AC12)</f>
        <v>5629</v>
      </c>
      <c r="AD7" s="87">
        <f>$AC$7</f>
        <v>5629</v>
      </c>
    </row>
    <row r="8" spans="1:33" ht="14.5" customHeight="1" x14ac:dyDescent="0.35">
      <c r="A8" s="86" t="s">
        <v>179</v>
      </c>
      <c r="B8" s="85">
        <v>4</v>
      </c>
      <c r="C8" s="86" t="s">
        <v>177</v>
      </c>
      <c r="D8" s="84"/>
      <c r="E8" s="87">
        <v>0</v>
      </c>
      <c r="F8" s="87">
        <f>SUMIFS(H$18:H$1004,E$18:E$1004,$B8)</f>
        <v>0</v>
      </c>
      <c r="I8" s="89">
        <f>ROUNDUP((E8)*RPICurrent,0)</f>
        <v>0</v>
      </c>
      <c r="J8" s="87">
        <f>SUMIFS(L$17:L$1003,I$17:I$1003,$B8)</f>
        <v>0</v>
      </c>
      <c r="M8" s="89">
        <f>ROUNDUP((I8)*RPI,0)</f>
        <v>0</v>
      </c>
      <c r="N8" s="87">
        <f>SUMIFS(P$17:P$1003,M$17:M$1003,$B8)</f>
        <v>0</v>
      </c>
      <c r="Q8" s="89">
        <f>ROUNDUP((M8)*RPI,0)</f>
        <v>0</v>
      </c>
      <c r="R8" s="87">
        <f>$Q$8</f>
        <v>0</v>
      </c>
      <c r="U8" s="89">
        <f>ROUNDUP((Q8)*RPI,0)</f>
        <v>0</v>
      </c>
      <c r="V8" s="87">
        <f>$U$8</f>
        <v>0</v>
      </c>
      <c r="Y8" s="89">
        <f>ROUNDUP((U8)*RPI,0)</f>
        <v>0</v>
      </c>
      <c r="Z8" s="87">
        <f>$Y$8</f>
        <v>0</v>
      </c>
      <c r="AC8" s="89">
        <f>ROUNDUP((Y8)*RPI,0)</f>
        <v>0</v>
      </c>
      <c r="AD8" s="87">
        <f>$AC$8</f>
        <v>0</v>
      </c>
    </row>
    <row r="9" spans="1:33" ht="14.5" customHeight="1" x14ac:dyDescent="0.35">
      <c r="A9" s="86" t="s">
        <v>80</v>
      </c>
      <c r="B9" s="85">
        <v>5</v>
      </c>
      <c r="C9" s="86" t="s">
        <v>177</v>
      </c>
      <c r="D9" s="84"/>
      <c r="E9" s="87">
        <f>9594+10187</f>
        <v>19781</v>
      </c>
      <c r="F9" s="87">
        <f>SUMIFS(H$18:H$1004,E$18:E$1004,$B9)</f>
        <v>8885.01</v>
      </c>
      <c r="I9" s="89">
        <v>0</v>
      </c>
      <c r="J9" s="87">
        <f>SUMIFS(L$17:L$1003,I$17:I$1003,$B9)</f>
        <v>0</v>
      </c>
      <c r="M9" s="89">
        <f>ROUNDUP((I9)*RPI,0)</f>
        <v>0</v>
      </c>
      <c r="N9" s="87">
        <f>SUMIFS(P$17:P$1003,M$17:M$1003,$B9)</f>
        <v>0</v>
      </c>
      <c r="Q9" s="89">
        <f>ROUNDUP((M9)*RPI,0)</f>
        <v>0</v>
      </c>
      <c r="R9" s="87">
        <f>$Q$9</f>
        <v>0</v>
      </c>
      <c r="U9" s="89">
        <f>ROUNDUP((Q9)*RPI,0)</f>
        <v>0</v>
      </c>
      <c r="V9" s="87">
        <f>$U$9</f>
        <v>0</v>
      </c>
      <c r="Y9" s="89">
        <f>ROUNDUP((U9)*RPI,0)</f>
        <v>0</v>
      </c>
      <c r="Z9" s="87">
        <f>$Y$9</f>
        <v>0</v>
      </c>
      <c r="AC9" s="89">
        <f>ROUNDUP((Y9)*RPI,0)</f>
        <v>0</v>
      </c>
      <c r="AD9" s="87">
        <f>$AC$9</f>
        <v>0</v>
      </c>
    </row>
    <row r="10" spans="1:33" ht="14.5" customHeight="1" x14ac:dyDescent="0.35">
      <c r="A10" s="86" t="s">
        <v>75</v>
      </c>
      <c r="B10" s="85">
        <v>6</v>
      </c>
      <c r="C10" s="86" t="s">
        <v>72</v>
      </c>
      <c r="D10" s="84"/>
      <c r="E10" s="87">
        <v>0</v>
      </c>
      <c r="F10" s="87">
        <f>SUMIFS(H$18:H$1004,E$18:E$1004,$B10)</f>
        <v>0</v>
      </c>
      <c r="I10" s="89">
        <f>10000+10000+17000</f>
        <v>37000</v>
      </c>
      <c r="J10" s="87">
        <f>SUMIFS(L$17:L$1003,I$17:I$1003,$B10)</f>
        <v>13810</v>
      </c>
      <c r="L10" s="87" t="s">
        <v>180</v>
      </c>
      <c r="M10" s="89">
        <v>0</v>
      </c>
      <c r="N10" s="87">
        <f>SUMIFS(P$17:P$1003,M$17:M$1003,$B10)</f>
        <v>0</v>
      </c>
      <c r="Q10" s="89">
        <f>ROUNDUP((M10)*RPI,0)</f>
        <v>0</v>
      </c>
      <c r="R10" s="87">
        <f>$Q$10</f>
        <v>0</v>
      </c>
      <c r="U10" s="89">
        <f>ROUNDUP((Q10)*RPI,0)</f>
        <v>0</v>
      </c>
      <c r="V10" s="87">
        <f>$U$10</f>
        <v>0</v>
      </c>
      <c r="Y10" s="89">
        <f>ROUNDUP((U10)*RPI,0)</f>
        <v>0</v>
      </c>
      <c r="Z10" s="87">
        <f>$Y$10</f>
        <v>0</v>
      </c>
      <c r="AC10" s="89">
        <f>ROUNDUP((Y10)*RPI,0)</f>
        <v>0</v>
      </c>
      <c r="AD10" s="87">
        <f>$AC$10</f>
        <v>0</v>
      </c>
    </row>
    <row r="11" spans="1:33" ht="14.5" customHeight="1" x14ac:dyDescent="0.35">
      <c r="A11" s="86" t="s">
        <v>124</v>
      </c>
      <c r="B11" s="85">
        <v>7</v>
      </c>
      <c r="C11" s="86" t="s">
        <v>177</v>
      </c>
      <c r="D11" s="84"/>
      <c r="E11" s="87">
        <v>0</v>
      </c>
      <c r="F11" s="87">
        <f>SUMIFS(H$18:H$1004,E$18:E$1004,$B11)</f>
        <v>0</v>
      </c>
      <c r="I11" s="89">
        <f>ROUNDUP((E11)*RPICurrent,0)</f>
        <v>0</v>
      </c>
      <c r="J11" s="87">
        <f>SUMIFS(L$17:L$1003,I$17:I$1003,$B11)</f>
        <v>0</v>
      </c>
      <c r="M11" s="89">
        <v>5000</v>
      </c>
      <c r="N11" s="87">
        <f>SUMIFS(P$17:P$1003,M$17:M$1003,$B11)</f>
        <v>36.76</v>
      </c>
      <c r="Q11" s="89">
        <f>ROUNDUP((M11)*RPI,0)</f>
        <v>5150</v>
      </c>
      <c r="R11" s="87">
        <f>$Q$11</f>
        <v>5150</v>
      </c>
      <c r="U11" s="89">
        <f>ROUNDUP((Q11)*RPI,0)</f>
        <v>5305</v>
      </c>
      <c r="V11" s="87">
        <f>$U$11</f>
        <v>5305</v>
      </c>
      <c r="Y11" s="89">
        <f>ROUNDUP((U11)*RPI,0)</f>
        <v>5465</v>
      </c>
      <c r="Z11" s="87">
        <f>$Y$11</f>
        <v>5465</v>
      </c>
      <c r="AC11" s="89">
        <f>ROUNDUP((Y11)*RPI,0)</f>
        <v>5629</v>
      </c>
      <c r="AD11" s="87">
        <f>$AC$11</f>
        <v>5629</v>
      </c>
    </row>
    <row r="12" spans="1:33" ht="14.5" customHeight="1" x14ac:dyDescent="0.35">
      <c r="A12" s="86" t="s">
        <v>142</v>
      </c>
      <c r="B12" s="85">
        <v>8</v>
      </c>
      <c r="C12" s="86" t="s">
        <v>178</v>
      </c>
      <c r="D12" s="84"/>
      <c r="E12" s="87">
        <v>0</v>
      </c>
      <c r="F12" s="87">
        <f>SUMIFS(H$18:H$1004,E$18:E$1004,$B12)</f>
        <v>0</v>
      </c>
      <c r="I12" s="89">
        <f>ROUNDUP((E12)*RPICurrent,0)</f>
        <v>0</v>
      </c>
      <c r="J12" s="87">
        <f>SUMIFS(L$17:L$1003,I$17:I$1003,$B12)</f>
        <v>0</v>
      </c>
      <c r="M12" s="89">
        <f>ROUNDUP((I12)*RPI,0)</f>
        <v>0</v>
      </c>
      <c r="N12" s="87">
        <f>SUMIFS(P$17:P$1003,M$17:M$1003,$B12)</f>
        <v>0</v>
      </c>
      <c r="Q12" s="89">
        <f>ROUNDUP((M12)*RPI,0)</f>
        <v>0</v>
      </c>
      <c r="R12" s="87">
        <f>$Q$12</f>
        <v>0</v>
      </c>
      <c r="U12" s="89">
        <f>ROUNDUP((Q12)*RPI,0)</f>
        <v>0</v>
      </c>
      <c r="V12" s="87">
        <f>$U$12</f>
        <v>0</v>
      </c>
      <c r="Y12" s="89">
        <f>ROUNDUP((U12)*RPI,0)</f>
        <v>0</v>
      </c>
      <c r="Z12" s="87">
        <f>$Y$12</f>
        <v>0</v>
      </c>
      <c r="AC12" s="89">
        <f>ROUNDUP((Y12)*RPI,0)</f>
        <v>0</v>
      </c>
      <c r="AD12" s="87">
        <f>$AC$12</f>
        <v>0</v>
      </c>
    </row>
    <row r="13" spans="1:33" ht="14.5" customHeight="1" x14ac:dyDescent="0.35">
      <c r="E13" s="87"/>
    </row>
    <row r="14" spans="1:33" ht="14.5" customHeight="1" x14ac:dyDescent="0.35">
      <c r="E14" s="87"/>
    </row>
    <row r="15" spans="1:33" ht="14.5" customHeight="1" x14ac:dyDescent="0.35">
      <c r="E15" s="87"/>
    </row>
    <row r="16" spans="1:33" ht="14.5" customHeight="1" x14ac:dyDescent="0.35">
      <c r="A16" s="84" t="s">
        <v>487</v>
      </c>
      <c r="F16" s="93"/>
      <c r="G16" s="85"/>
      <c r="H16" s="87"/>
      <c r="I16" s="94" t="s">
        <v>484</v>
      </c>
      <c r="J16" s="93" t="s">
        <v>488</v>
      </c>
      <c r="K16" s="85" t="s">
        <v>489</v>
      </c>
      <c r="L16" s="87" t="s">
        <v>475</v>
      </c>
      <c r="M16" s="85" t="s">
        <v>484</v>
      </c>
      <c r="N16" s="93" t="s">
        <v>488</v>
      </c>
      <c r="O16" s="85" t="s">
        <v>489</v>
      </c>
      <c r="P16" s="87" t="s">
        <v>475</v>
      </c>
      <c r="Q16" s="94"/>
      <c r="R16" s="93"/>
      <c r="S16" s="85"/>
      <c r="U16" s="94"/>
      <c r="V16" s="93"/>
      <c r="W16" s="85"/>
      <c r="Y16" s="94"/>
      <c r="Z16" s="93"/>
      <c r="AA16" s="85"/>
      <c r="AC16" s="94"/>
      <c r="AD16" s="93"/>
      <c r="AE16" s="85"/>
    </row>
    <row r="17" spans="1:31" ht="14.5" customHeight="1" x14ac:dyDescent="0.35">
      <c r="E17" s="85" t="s">
        <v>484</v>
      </c>
      <c r="F17" s="93" t="s">
        <v>488</v>
      </c>
      <c r="G17" s="85" t="s">
        <v>489</v>
      </c>
      <c r="H17" s="87" t="s">
        <v>475</v>
      </c>
      <c r="I17" s="94">
        <v>6</v>
      </c>
      <c r="J17" s="93">
        <v>45147</v>
      </c>
      <c r="K17" s="85" t="s">
        <v>1321</v>
      </c>
      <c r="L17" s="87">
        <v>13810</v>
      </c>
      <c r="M17" s="94">
        <v>1</v>
      </c>
      <c r="N17" s="93" t="s">
        <v>775</v>
      </c>
      <c r="O17" s="85" t="s">
        <v>2883</v>
      </c>
      <c r="P17" s="148">
        <v>38.76</v>
      </c>
      <c r="Q17" s="94"/>
      <c r="R17" s="93"/>
      <c r="S17" s="85"/>
      <c r="U17" s="94"/>
      <c r="V17" s="93"/>
      <c r="W17" s="85"/>
      <c r="Y17" s="94"/>
      <c r="Z17" s="93"/>
      <c r="AA17" s="85"/>
      <c r="AC17" s="94"/>
      <c r="AD17" s="93"/>
      <c r="AE17" s="85"/>
    </row>
    <row r="18" spans="1:31" ht="14.5" customHeight="1" x14ac:dyDescent="0.35">
      <c r="A18" s="85"/>
      <c r="D18" s="85"/>
      <c r="E18" s="85">
        <v>5</v>
      </c>
      <c r="F18" s="93" t="s">
        <v>790</v>
      </c>
      <c r="G18" s="85" t="s">
        <v>968</v>
      </c>
      <c r="H18" s="87">
        <v>8885.01</v>
      </c>
      <c r="I18" s="94"/>
      <c r="J18" s="93"/>
      <c r="K18" s="85"/>
      <c r="M18" s="94">
        <v>7</v>
      </c>
      <c r="N18" s="93">
        <v>45426</v>
      </c>
      <c r="O18" s="85" t="s">
        <v>2903</v>
      </c>
      <c r="P18" s="148">
        <v>10.28</v>
      </c>
      <c r="Q18" s="94"/>
      <c r="R18" s="93"/>
      <c r="S18" s="85"/>
      <c r="U18" s="94"/>
      <c r="V18" s="93"/>
      <c r="W18" s="85"/>
      <c r="Y18" s="94"/>
      <c r="Z18" s="93"/>
      <c r="AA18" s="85"/>
      <c r="AC18" s="94"/>
      <c r="AD18" s="93"/>
      <c r="AE18" s="85"/>
    </row>
    <row r="19" spans="1:31" ht="14.5" customHeight="1" x14ac:dyDescent="0.35">
      <c r="E19" s="92">
        <v>1</v>
      </c>
      <c r="F19" s="97" t="s">
        <v>784</v>
      </c>
      <c r="G19" s="92" t="s">
        <v>1154</v>
      </c>
      <c r="H19" s="90">
        <v>-26053</v>
      </c>
      <c r="I19" s="94"/>
      <c r="J19" s="93"/>
      <c r="K19" s="85"/>
      <c r="M19" s="94">
        <v>7</v>
      </c>
      <c r="N19" s="93">
        <v>45450</v>
      </c>
      <c r="O19" s="85" t="s">
        <v>1231</v>
      </c>
      <c r="P19" s="148">
        <v>16.510000000000002</v>
      </c>
      <c r="Q19" s="94"/>
      <c r="R19" s="93"/>
      <c r="S19" s="85"/>
      <c r="U19" s="94"/>
      <c r="V19" s="93"/>
      <c r="W19" s="85"/>
      <c r="Y19" s="94"/>
      <c r="Z19" s="93"/>
      <c r="AA19" s="85"/>
      <c r="AC19" s="94"/>
      <c r="AD19" s="93"/>
      <c r="AE19" s="85"/>
    </row>
    <row r="20" spans="1:31" ht="14.5" customHeight="1" x14ac:dyDescent="0.35">
      <c r="F20" s="93"/>
      <c r="G20" s="85"/>
      <c r="H20" s="87"/>
      <c r="I20" s="94"/>
      <c r="J20" s="93"/>
      <c r="K20" s="85"/>
      <c r="M20" s="94">
        <v>7</v>
      </c>
      <c r="N20" s="93">
        <v>45474</v>
      </c>
      <c r="O20" s="85" t="s">
        <v>1232</v>
      </c>
      <c r="P20" s="87">
        <v>9.9700000000000006</v>
      </c>
      <c r="Q20" s="94"/>
      <c r="R20" s="93"/>
      <c r="S20" s="85"/>
      <c r="U20" s="94"/>
      <c r="V20" s="93"/>
      <c r="W20" s="85"/>
      <c r="Y20" s="94"/>
      <c r="Z20" s="93"/>
      <c r="AA20" s="85"/>
      <c r="AC20" s="94"/>
      <c r="AD20" s="93"/>
      <c r="AE20" s="85"/>
    </row>
    <row r="21" spans="1:31" ht="14.5" customHeight="1" x14ac:dyDescent="0.35">
      <c r="F21" s="93"/>
      <c r="G21" s="85"/>
      <c r="H21" s="87"/>
      <c r="I21" s="94"/>
      <c r="J21" s="93"/>
      <c r="K21" s="85"/>
      <c r="M21" s="94"/>
      <c r="N21" s="93"/>
      <c r="O21" s="85"/>
      <c r="Q21" s="94"/>
      <c r="R21" s="93"/>
      <c r="S21" s="85"/>
      <c r="U21" s="94"/>
      <c r="V21" s="93"/>
      <c r="W21" s="85"/>
      <c r="Y21" s="94"/>
      <c r="Z21" s="93"/>
      <c r="AA21" s="85"/>
      <c r="AC21" s="94"/>
      <c r="AD21" s="93"/>
      <c r="AE21" s="85"/>
    </row>
    <row r="22" spans="1:31" ht="14.5" customHeight="1" x14ac:dyDescent="0.35">
      <c r="F22" s="93"/>
      <c r="G22" s="85"/>
      <c r="H22" s="87"/>
      <c r="I22" s="94"/>
      <c r="J22" s="93"/>
      <c r="K22" s="85"/>
      <c r="M22" s="94"/>
      <c r="N22" s="93"/>
      <c r="O22" s="85"/>
      <c r="Q22" s="94"/>
      <c r="R22" s="93"/>
      <c r="S22" s="85"/>
      <c r="U22" s="94"/>
      <c r="V22" s="93"/>
      <c r="W22" s="85"/>
      <c r="Y22" s="94"/>
      <c r="Z22" s="93"/>
      <c r="AA22" s="85"/>
      <c r="AC22" s="94"/>
      <c r="AD22" s="93"/>
      <c r="AE22" s="85"/>
    </row>
    <row r="23" spans="1:31" ht="14.5" customHeight="1" x14ac:dyDescent="0.35">
      <c r="F23" s="93"/>
      <c r="G23" s="85"/>
      <c r="H23" s="87"/>
      <c r="I23" s="94"/>
      <c r="J23" s="93"/>
      <c r="K23" s="85"/>
      <c r="M23" s="94"/>
      <c r="N23" s="93"/>
      <c r="O23" s="85"/>
      <c r="Q23" s="94"/>
      <c r="R23" s="93"/>
      <c r="S23" s="85"/>
      <c r="U23" s="94"/>
      <c r="V23" s="93"/>
      <c r="W23" s="85"/>
      <c r="Y23" s="94"/>
      <c r="Z23" s="93"/>
      <c r="AA23" s="85"/>
      <c r="AC23" s="94"/>
      <c r="AD23" s="93"/>
      <c r="AE23" s="85"/>
    </row>
    <row r="24" spans="1:31" ht="14.5" customHeight="1" x14ac:dyDescent="0.35">
      <c r="F24" s="93"/>
      <c r="G24" s="85"/>
      <c r="H24" s="87"/>
      <c r="I24" s="94"/>
      <c r="J24" s="93"/>
      <c r="K24" s="85"/>
      <c r="M24" s="94"/>
      <c r="N24" s="93"/>
      <c r="O24" s="85"/>
      <c r="Q24" s="94"/>
      <c r="R24" s="93"/>
      <c r="S24" s="85"/>
      <c r="U24" s="94"/>
      <c r="V24" s="93"/>
      <c r="W24" s="85"/>
      <c r="Y24" s="94"/>
      <c r="Z24" s="93"/>
      <c r="AA24" s="85"/>
      <c r="AC24" s="94"/>
      <c r="AD24" s="93"/>
      <c r="AE24" s="85"/>
    </row>
    <row r="25" spans="1:31" ht="14.5" customHeight="1" x14ac:dyDescent="0.35">
      <c r="F25" s="93"/>
      <c r="G25" s="85"/>
      <c r="H25" s="87"/>
      <c r="I25" s="94"/>
      <c r="J25" s="93"/>
      <c r="K25" s="85"/>
      <c r="M25" s="94"/>
      <c r="N25" s="93"/>
      <c r="O25" s="85"/>
      <c r="Q25" s="94"/>
      <c r="R25" s="93"/>
      <c r="S25" s="85"/>
      <c r="U25" s="94"/>
      <c r="V25" s="93"/>
      <c r="W25" s="85"/>
      <c r="Y25" s="94"/>
      <c r="Z25" s="93"/>
      <c r="AA25" s="85"/>
      <c r="AC25" s="94"/>
      <c r="AD25" s="93"/>
      <c r="AE25" s="85"/>
    </row>
    <row r="26" spans="1:31" ht="14.5" customHeight="1" x14ac:dyDescent="0.35">
      <c r="F26" s="93"/>
      <c r="G26" s="85"/>
      <c r="H26" s="87"/>
      <c r="I26" s="94"/>
      <c r="J26" s="93"/>
      <c r="K26" s="85"/>
      <c r="M26" s="94"/>
      <c r="N26" s="93"/>
      <c r="O26" s="85"/>
      <c r="Q26" s="94"/>
      <c r="R26" s="93"/>
      <c r="S26" s="85"/>
      <c r="U26" s="94"/>
      <c r="V26" s="93"/>
      <c r="W26" s="85"/>
      <c r="Y26" s="94"/>
      <c r="Z26" s="93"/>
      <c r="AA26" s="85"/>
      <c r="AC26" s="94"/>
      <c r="AD26" s="93"/>
      <c r="AE26" s="85"/>
    </row>
    <row r="27" spans="1:31" ht="14.5" customHeight="1" x14ac:dyDescent="0.35">
      <c r="F27" s="93"/>
      <c r="G27" s="85"/>
      <c r="H27" s="87"/>
      <c r="I27" s="94"/>
      <c r="J27" s="93"/>
      <c r="K27" s="85"/>
      <c r="M27" s="94"/>
      <c r="N27" s="93"/>
      <c r="O27" s="85"/>
      <c r="Q27" s="94"/>
      <c r="R27" s="93"/>
      <c r="S27" s="85"/>
      <c r="U27" s="94"/>
      <c r="V27" s="93"/>
      <c r="W27" s="85"/>
      <c r="Y27" s="94"/>
      <c r="Z27" s="93"/>
      <c r="AA27" s="85"/>
      <c r="AC27" s="94"/>
      <c r="AD27" s="93"/>
      <c r="AE27" s="85"/>
    </row>
    <row r="28" spans="1:31" ht="14.5" customHeight="1" x14ac:dyDescent="0.35">
      <c r="F28" s="93"/>
      <c r="G28" s="85"/>
      <c r="H28" s="87"/>
      <c r="I28" s="94"/>
      <c r="J28" s="93"/>
      <c r="K28" s="85"/>
      <c r="M28" s="94"/>
      <c r="N28" s="93"/>
      <c r="O28" s="85"/>
      <c r="Q28" s="94"/>
      <c r="R28" s="93"/>
      <c r="S28" s="85"/>
      <c r="U28" s="94"/>
      <c r="V28" s="93"/>
      <c r="W28" s="85"/>
      <c r="Y28" s="94"/>
      <c r="Z28" s="93"/>
      <c r="AA28" s="85"/>
      <c r="AC28" s="94"/>
      <c r="AD28" s="93"/>
      <c r="AE28" s="85"/>
    </row>
    <row r="29" spans="1:31" ht="14.5" customHeight="1" x14ac:dyDescent="0.35">
      <c r="F29" s="93"/>
      <c r="G29" s="85"/>
      <c r="H29" s="87"/>
      <c r="I29" s="94"/>
      <c r="J29" s="93"/>
      <c r="K29" s="85"/>
      <c r="M29" s="94"/>
      <c r="N29" s="93"/>
      <c r="O29" s="85"/>
      <c r="Q29" s="94"/>
      <c r="R29" s="93"/>
      <c r="S29" s="85"/>
      <c r="U29" s="94"/>
      <c r="V29" s="93"/>
      <c r="W29" s="85"/>
      <c r="Y29" s="94"/>
      <c r="Z29" s="93"/>
      <c r="AA29" s="85"/>
      <c r="AC29" s="94"/>
      <c r="AD29" s="93"/>
      <c r="AE29" s="85"/>
    </row>
    <row r="30" spans="1:31" x14ac:dyDescent="0.35">
      <c r="F30" s="93"/>
      <c r="G30" s="85"/>
      <c r="H30" s="87"/>
      <c r="I30" s="94"/>
      <c r="J30" s="93"/>
      <c r="K30" s="85"/>
      <c r="M30" s="94"/>
      <c r="N30" s="93"/>
      <c r="O30" s="85"/>
      <c r="Q30" s="94"/>
      <c r="R30" s="93"/>
      <c r="S30" s="85"/>
      <c r="U30" s="94"/>
      <c r="V30" s="93"/>
      <c r="W30" s="85"/>
      <c r="Y30" s="94"/>
      <c r="Z30" s="93"/>
      <c r="AA30" s="85"/>
      <c r="AC30" s="94"/>
      <c r="AD30" s="93"/>
      <c r="AE30" s="85"/>
    </row>
    <row r="31" spans="1:31" x14ac:dyDescent="0.35">
      <c r="F31" s="93"/>
      <c r="G31" s="85"/>
      <c r="H31" s="87"/>
      <c r="I31" s="94"/>
      <c r="J31" s="93"/>
      <c r="K31" s="85"/>
      <c r="M31" s="94"/>
      <c r="N31" s="93"/>
      <c r="O31" s="85"/>
      <c r="Q31" s="94"/>
      <c r="R31" s="93"/>
      <c r="S31" s="85"/>
      <c r="U31" s="94"/>
      <c r="V31" s="93"/>
      <c r="W31" s="85"/>
      <c r="Y31" s="94"/>
      <c r="Z31" s="93"/>
      <c r="AA31" s="85"/>
      <c r="AC31" s="94"/>
      <c r="AD31" s="93"/>
      <c r="AE31" s="85"/>
    </row>
    <row r="32" spans="1: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32" priority="1">
      <formula>$A4="Spend to Date"</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G1000"/>
  <sheetViews>
    <sheetView workbookViewId="0">
      <pane xSplit="2" ySplit="1" topLeftCell="I14" activePane="bottomRight" state="frozen"/>
      <selection pane="topRight" activeCell="C1" sqref="C1"/>
      <selection pane="bottomLeft" activeCell="A2" sqref="A2"/>
      <selection pane="bottomRight" activeCell="V34" sqref="V34"/>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1.7265625" style="87" bestFit="1" customWidth="1"/>
    <col min="8" max="8" width="26.54296875" style="88" bestFit="1" customWidth="1"/>
    <col min="9" max="9" width="13.81640625" style="89" bestFit="1" customWidth="1"/>
    <col min="10" max="10" width="19.54296875" style="87" bestFit="1" customWidth="1"/>
    <col min="11" max="11" width="21.81640625" style="87" customWidth="1"/>
    <col min="12" max="12" width="22.1796875" style="87" customWidth="1"/>
    <col min="13" max="13" width="13.81640625" style="89" bestFit="1" customWidth="1"/>
    <col min="14" max="14" width="13.81640625" style="87" customWidth="1"/>
    <col min="15" max="15" width="11.54296875" style="87" bestFit="1" customWidth="1"/>
    <col min="16" max="16" width="31"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14.5" customHeight="1" x14ac:dyDescent="0.35">
      <c r="A1" s="84" t="s">
        <v>181</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24730.95</v>
      </c>
      <c r="F2" s="87">
        <f>SUM(F3:F3)</f>
        <v>-10085.129999999999</v>
      </c>
      <c r="I2" s="89">
        <f>SUM(I3:I5)</f>
        <v>-7708</v>
      </c>
      <c r="J2" s="87">
        <f>SUM(J3:J4)</f>
        <v>0</v>
      </c>
      <c r="M2" s="89">
        <f>SUM(M3:M5)</f>
        <v>14389</v>
      </c>
      <c r="N2" s="87">
        <f>SUM(N3:N4)</f>
        <v>1757.85</v>
      </c>
      <c r="P2" s="90"/>
      <c r="Q2" s="89">
        <f>SUM(Q3:Q4)</f>
        <v>0</v>
      </c>
      <c r="R2" s="87">
        <f>SUM(R3:R4)</f>
        <v>0</v>
      </c>
      <c r="U2" s="89">
        <f>SUM(U3:U4)</f>
        <v>0</v>
      </c>
      <c r="V2" s="87">
        <f>SUM(V3:V4)</f>
        <v>0</v>
      </c>
      <c r="Y2" s="89">
        <f>SUM(Y3:Y4)</f>
        <v>0</v>
      </c>
      <c r="Z2" s="87">
        <f>SUM(Z3:Z4)</f>
        <v>0</v>
      </c>
      <c r="AC2" s="89">
        <f>SUM(AC3:AC4)</f>
        <v>0</v>
      </c>
      <c r="AD2" s="87">
        <f>SUM(AD3:AD4)</f>
        <v>0</v>
      </c>
    </row>
    <row r="3" spans="1:33" ht="14.5" customHeight="1" x14ac:dyDescent="0.35">
      <c r="A3" s="86" t="s">
        <v>181</v>
      </c>
      <c r="B3" s="85">
        <v>1</v>
      </c>
      <c r="D3" s="86">
        <v>3868</v>
      </c>
      <c r="E3" s="87">
        <f>1000-1790+520.95</f>
        <v>-269.04999999999995</v>
      </c>
      <c r="F3" s="87">
        <f>SUMIFS(H$22:H$1010,E$22:E$1010,1)</f>
        <v>-10085.129999999999</v>
      </c>
      <c r="G3" s="87">
        <f>D3+E3-F3+SUMIFS(E$8:E$16,$C$8:$C$16,$A3)-SUMIFS(F$8:F$16,$C$8:$C$16,$A3)</f>
        <v>15668.959999999997</v>
      </c>
      <c r="I3" s="91">
        <f>-(10380+576+252)</f>
        <v>-11208</v>
      </c>
      <c r="J3" s="87">
        <f>SUMIFS(L$22:L$1006,I$22:I$1006,1)</f>
        <v>0</v>
      </c>
      <c r="K3" s="87">
        <f>G3+I3-J3+SUMIFS(I$8:I$16,$C$8:$C$16,$A3)-SUMIFS(J$8:J$16,$C$8:$C$16,$A3)</f>
        <v>16122.349999999999</v>
      </c>
      <c r="L3" s="84" t="s">
        <v>182</v>
      </c>
      <c r="M3" s="89">
        <v>-13111</v>
      </c>
      <c r="N3" s="87">
        <f>SUMIFS(P$22:P$1010,M$22:M$1010,1)</f>
        <v>1757.85</v>
      </c>
      <c r="O3" s="87">
        <f>K3+M3-N3+SUMIFS(M$8:M$16,$C$8:$C$16,$A3)-SUMIFS(N$8:N$16,$C$8:$C$16,$A3)</f>
        <v>12754.809999999998</v>
      </c>
      <c r="R3" s="87">
        <f>SUMIFS(T$22:T$1010,Q$22:Q$1010,1)</f>
        <v>0</v>
      </c>
      <c r="S3" s="87">
        <f>O3+Q3-R3+SUMIFS(Q$8:Q$16,$C$8:$C$16,$A3)-SUMIFS(R$8:R$16,$C$8:$C$16,$A3)</f>
        <v>12754.809999999998</v>
      </c>
      <c r="V3" s="87">
        <f>SUMIFS(X$22:X$1010,U$22:U$1010,1)</f>
        <v>0</v>
      </c>
      <c r="W3" s="87">
        <f>S3+U3-V3+SUMIFS(U$8:U$16,$C$8:$C$16,$A3)-SUMIFS(V$8:V$16,$C$8:$C$16,$A3)</f>
        <v>12754.809999999998</v>
      </c>
      <c r="Z3" s="87">
        <f>SUMIFS(AB$22:AB$1010,Y$22:Y$1010,1)</f>
        <v>0</v>
      </c>
      <c r="AA3" s="87">
        <f>W3+Y3-Z3+SUMIFS(Y$8:Y$16,$C$8:$C$16,$A3)-SUMIFS(Z$8:Z$16,$C$8:$C$16,$A3)</f>
        <v>12754.809999999998</v>
      </c>
      <c r="AD3" s="87">
        <f>SUMIFS(AF$22:AF$1010,AC$22:AC$1010,1)</f>
        <v>0</v>
      </c>
      <c r="AE3" s="87">
        <f>AA3+AC3-AD3+SUMIFS(AC$8:AC$16,$C$8:$C$16,$A3)-SUMIFS(AD$8:AD$16,$C$8:$C$16,$A3)</f>
        <v>12754.809999999998</v>
      </c>
      <c r="AG3" s="87">
        <v>50000</v>
      </c>
    </row>
    <row r="4" spans="1:33" ht="14.5" customHeight="1" x14ac:dyDescent="0.35">
      <c r="A4" s="86" t="s">
        <v>183</v>
      </c>
      <c r="B4" s="85">
        <v>2</v>
      </c>
      <c r="D4" s="86">
        <v>0</v>
      </c>
      <c r="E4" s="87">
        <v>25000</v>
      </c>
      <c r="F4" s="90">
        <f>SUMIFS(H$22:H$1010,E$22:E$1010,2)</f>
        <v>13730</v>
      </c>
      <c r="G4" s="87">
        <f>D4+E4-F4+SUMIFS(E$8:E$16,$C$8:$C$16,$A4)-SUMIFS(F$8:F$16,$C$8:$C$16,$A4)</f>
        <v>12654</v>
      </c>
      <c r="I4" s="91">
        <f>-I10</f>
        <v>1000</v>
      </c>
      <c r="J4" s="87">
        <f>SUMIFS(L$22:L$1006,I$22:I$1006,2)</f>
        <v>0</v>
      </c>
      <c r="K4" s="87">
        <f>G4+I4-J4+SUMIFS(I$8:I$16,$C$8:$C$16,$A4)-SUMIFS(J$8:J$16,$C$8:$C$16,$A4)</f>
        <v>14725</v>
      </c>
      <c r="L4" s="86"/>
      <c r="M4" s="89">
        <v>25000</v>
      </c>
      <c r="N4" s="87">
        <f>SUMIFS(P$22:P$1010,M$22:M$1010,2)</f>
        <v>0</v>
      </c>
      <c r="O4" s="87">
        <f>K4+M4-N4+SUMIFS(M$8:M$16,$C$8:$C$16,$A4)-SUMIFS(N$8:N$16,$C$8:$C$16,$A4)</f>
        <v>39509</v>
      </c>
      <c r="R4" s="87">
        <f>SUMIFS(T$22:T$1010,Q$22:Q$1010,2)</f>
        <v>0</v>
      </c>
      <c r="S4" s="87">
        <f>O4+Q4-R4+SUMIFS(Q$8:Q$16,$C$8:$C$16,$A4)-SUMIFS(R$8:R$16,$C$8:$C$16,$A4)</f>
        <v>39509</v>
      </c>
      <c r="V4" s="87">
        <f>SUMIFS(X$22:X$1010,U$22:U$1010,2)</f>
        <v>0</v>
      </c>
      <c r="W4" s="87">
        <f>S4+U4-V4+SUMIFS(U$8:U$16,$C$8:$C$16,$A4)-SUMIFS(V$8:V$16,$C$8:$C$16,$A4)</f>
        <v>39509</v>
      </c>
      <c r="Z4" s="87">
        <f>SUMIFS(AB$22:AB$1010,Y$22:Y$1010,2)</f>
        <v>0</v>
      </c>
      <c r="AA4" s="87">
        <f>W4+Y4-Z4+SUMIFS(Y$8:Y$16,$C$8:$C$16,$A4)-SUMIFS(Z$8:Z$16,$C$8:$C$16,$A4)</f>
        <v>39509</v>
      </c>
      <c r="AD4" s="87">
        <f>SUMIFS(AF$22:AF$1010,AC$22:AC$1010,2)</f>
        <v>0</v>
      </c>
      <c r="AE4" s="87">
        <f>AA4+AC4-AD4+SUMIFS(AC$8:AC$16,$C$8:$C$16,$A4)-SUMIFS(AD$8:AD$16,$C$8:$C$16,$A4)</f>
        <v>39509</v>
      </c>
    </row>
    <row r="5" spans="1:33" ht="14.5" customHeight="1" x14ac:dyDescent="0.35">
      <c r="A5" s="84" t="s">
        <v>184</v>
      </c>
      <c r="B5" s="92">
        <v>3</v>
      </c>
      <c r="D5" s="84">
        <v>0</v>
      </c>
      <c r="E5" s="90">
        <v>0</v>
      </c>
      <c r="F5" s="90">
        <f>SUMIFS(H$22:H$1010,E$22:E$1010,3)</f>
        <v>0</v>
      </c>
      <c r="G5" s="90">
        <f>D5+E5-F5+SUMIFS(E$8:E$16,$C$8:$C$16,$A5)-SUMIFS(F$8:F$16,$C$8:$C$16,$A5)</f>
        <v>119.38999999999999</v>
      </c>
      <c r="I5" s="89">
        <v>2500</v>
      </c>
      <c r="J5" s="90">
        <v>0</v>
      </c>
      <c r="K5" s="90">
        <f>G5+I5-J5+SUMIFS(I$8:I$16,$C$8:$C$16,$A5)-SUMIFS(J$8:J$16,$C$8:$C$16,$A5)</f>
        <v>2696.39</v>
      </c>
      <c r="L5" s="86"/>
      <c r="M5" s="89">
        <v>2500</v>
      </c>
      <c r="N5" s="87">
        <v>0</v>
      </c>
      <c r="O5" s="87">
        <f>K5+M5-N5+SUMIFS(M$8:M$16,$C$8:$C$16,$A5)-SUMIFS(N$8:N$16,$C$8:$C$16,$A5)</f>
        <v>5203.8899999999994</v>
      </c>
      <c r="Q5" s="91">
        <v>2500</v>
      </c>
      <c r="R5" s="90">
        <v>0</v>
      </c>
      <c r="S5" s="90">
        <f>O5+Q5-R5+SUMIFS(Q$8:Q$16,$C$8:$C$16,$A5)-SUMIFS(R$8:R$16,$C$8:$C$16,$A5)</f>
        <v>7703.8899999999994</v>
      </c>
      <c r="U5" s="91">
        <v>2500</v>
      </c>
      <c r="V5" s="90">
        <v>0</v>
      </c>
      <c r="W5" s="90">
        <f>S5+U5-V5+SUMIFS(U$8:U$16,$C$8:$C$16,$A5)-SUMIFS(V$8:V$16,$C$8:$C$16,$A5)</f>
        <v>10203.89</v>
      </c>
      <c r="Y5" s="91">
        <v>2500</v>
      </c>
      <c r="Z5" s="90">
        <v>0</v>
      </c>
      <c r="AA5" s="90">
        <f>W5+Y5-Z5+SUMIFS(Y$8:Y$16,$C$8:$C$16,$A5)-SUMIFS(Z$8:Z$16,$C$8:$C$16,$A5)</f>
        <v>12703.89</v>
      </c>
      <c r="AC5" s="91">
        <v>2500</v>
      </c>
      <c r="AD5" s="90">
        <v>0</v>
      </c>
      <c r="AE5" s="90">
        <f>AA5+AC5-AD5+SUMIFS(AC$8:AC$16,$C$8:$C$16,$A5)-SUMIFS(AD$8:AD$16,$C$8:$C$16,$A5)</f>
        <v>15203.89</v>
      </c>
    </row>
    <row r="6" spans="1:33" ht="14.5" customHeight="1" x14ac:dyDescent="0.35">
      <c r="E6" s="87"/>
      <c r="F6" s="87"/>
    </row>
    <row r="7" spans="1:33" ht="14.5" customHeight="1" x14ac:dyDescent="0.35">
      <c r="A7" s="84" t="s">
        <v>185</v>
      </c>
      <c r="D7" s="84"/>
      <c r="E7" s="87">
        <f>SUM(E8:E16)</f>
        <v>5019.8899999999994</v>
      </c>
      <c r="F7" s="87">
        <f>SUM(F8:F16)</f>
        <v>1531.6200000000001</v>
      </c>
      <c r="I7" s="89">
        <f>SUM(I8:I16)</f>
        <v>18039</v>
      </c>
      <c r="J7" s="87">
        <f>SUM(J8:J16)</f>
        <v>5229.6099999999997</v>
      </c>
      <c r="M7" s="89">
        <f>SUM(M8:M16)</f>
        <v>13111</v>
      </c>
      <c r="N7" s="87">
        <f>SUM(N8:N16)</f>
        <v>1818.1899999999998</v>
      </c>
      <c r="Q7" s="89">
        <f>SUM(Q8:Q16)</f>
        <v>13506</v>
      </c>
      <c r="R7" s="87">
        <f>$Q$7</f>
        <v>13506</v>
      </c>
      <c r="U7" s="89">
        <f>SUM(U8:U16)</f>
        <v>13915</v>
      </c>
      <c r="V7" s="87">
        <f>$U$7</f>
        <v>13915</v>
      </c>
      <c r="Y7" s="89">
        <f>SUM(Y8:Y16)</f>
        <v>14335</v>
      </c>
      <c r="Z7" s="87">
        <f>$Y$7</f>
        <v>14335</v>
      </c>
      <c r="AC7" s="89">
        <f>SUM(AC8:AC16)</f>
        <v>14767</v>
      </c>
      <c r="AD7" s="87">
        <f>$AC$7</f>
        <v>14767</v>
      </c>
    </row>
    <row r="8" spans="1:33" ht="14.5" customHeight="1" x14ac:dyDescent="0.35">
      <c r="A8" s="86" t="s">
        <v>186</v>
      </c>
      <c r="B8" s="92">
        <v>4</v>
      </c>
      <c r="C8" s="86" t="s">
        <v>181</v>
      </c>
      <c r="D8" s="84"/>
      <c r="E8" s="87">
        <v>3000</v>
      </c>
      <c r="F8" s="87">
        <f t="shared" ref="F8:F16" si="0">SUMIFS(H$22:H$1010,E$22:E$1010,$B8)</f>
        <v>1128.1500000000001</v>
      </c>
      <c r="I8" s="89">
        <v>5000</v>
      </c>
      <c r="J8" s="87">
        <f t="shared" ref="J8:J16" si="1">SUMIFS(L$22:L$1006,I$22:I$1006,$B8)</f>
        <v>375.01</v>
      </c>
      <c r="M8" s="89">
        <f>ROUNDUP((I8)*RPI,0)</f>
        <v>5150</v>
      </c>
      <c r="N8" s="87">
        <f t="shared" ref="N8:N16" si="2">SUMIFS(P$22:P$1006,M$22:M$1006,$B8)</f>
        <v>32.869999999999997</v>
      </c>
      <c r="Q8" s="89">
        <f t="shared" ref="Q8:Q16" si="3">ROUNDUP((M8)*RPI,0)</f>
        <v>5305</v>
      </c>
      <c r="R8" s="87">
        <f>$Q$8</f>
        <v>5305</v>
      </c>
      <c r="U8" s="89">
        <f t="shared" ref="U8:U16" si="4">ROUNDUP((Q8)*RPI,0)</f>
        <v>5465</v>
      </c>
      <c r="V8" s="87">
        <f>$U$8</f>
        <v>5465</v>
      </c>
      <c r="Y8" s="89">
        <f t="shared" ref="Y8:Y16" si="5">ROUNDUP((U8)*RPI,0)</f>
        <v>5629</v>
      </c>
      <c r="Z8" s="87">
        <f>$Y$8</f>
        <v>5629</v>
      </c>
      <c r="AC8" s="89">
        <f t="shared" ref="AC8:AC16" si="6">ROUNDUP((Y8)*RPI,0)</f>
        <v>5798</v>
      </c>
      <c r="AD8" s="87">
        <f>$AC$8</f>
        <v>5798</v>
      </c>
    </row>
    <row r="9" spans="1:33" ht="14.5" customHeight="1" x14ac:dyDescent="0.35">
      <c r="A9" s="86" t="s">
        <v>124</v>
      </c>
      <c r="B9" s="92">
        <v>5</v>
      </c>
      <c r="C9" s="86" t="s">
        <v>181</v>
      </c>
      <c r="D9" s="84"/>
      <c r="E9" s="87">
        <v>800</v>
      </c>
      <c r="F9" s="87">
        <f t="shared" si="0"/>
        <v>1297.99</v>
      </c>
      <c r="I9" s="89">
        <f>1200+1225</f>
        <v>2425</v>
      </c>
      <c r="J9" s="87">
        <f t="shared" si="1"/>
        <v>1767.24</v>
      </c>
      <c r="M9" s="89">
        <f t="shared" ref="M9:M15" si="7">ROUNDUP((I9)*RPI,0)</f>
        <v>2498</v>
      </c>
      <c r="N9" s="87">
        <f t="shared" si="2"/>
        <v>361.41999999999996</v>
      </c>
      <c r="Q9" s="89">
        <f t="shared" si="3"/>
        <v>2573</v>
      </c>
      <c r="R9" s="87">
        <f>$Q$9</f>
        <v>2573</v>
      </c>
      <c r="U9" s="89">
        <f t="shared" si="4"/>
        <v>2651</v>
      </c>
      <c r="V9" s="87">
        <f>$U$9</f>
        <v>2651</v>
      </c>
      <c r="Y9" s="89">
        <f t="shared" si="5"/>
        <v>2731</v>
      </c>
      <c r="Z9" s="87">
        <f>$Y$9</f>
        <v>2731</v>
      </c>
      <c r="AC9" s="89">
        <f t="shared" si="6"/>
        <v>2813</v>
      </c>
      <c r="AD9" s="87">
        <f>$AC$9</f>
        <v>2813</v>
      </c>
    </row>
    <row r="10" spans="1:33" ht="14.5" customHeight="1" x14ac:dyDescent="0.35">
      <c r="A10" s="86" t="s">
        <v>130</v>
      </c>
      <c r="B10" s="92">
        <v>6</v>
      </c>
      <c r="C10" s="84" t="s">
        <v>183</v>
      </c>
      <c r="D10" s="84"/>
      <c r="E10" s="87">
        <v>-1000</v>
      </c>
      <c r="F10" s="87">
        <f t="shared" si="0"/>
        <v>-2384</v>
      </c>
      <c r="H10" s="88" t="s">
        <v>1322</v>
      </c>
      <c r="I10" s="89">
        <f>-1000</f>
        <v>-1000</v>
      </c>
      <c r="J10" s="87">
        <f t="shared" si="1"/>
        <v>-2071</v>
      </c>
      <c r="M10" s="89">
        <v>-1000</v>
      </c>
      <c r="N10" s="87">
        <f t="shared" si="2"/>
        <v>-784</v>
      </c>
      <c r="Q10" s="89">
        <f t="shared" si="3"/>
        <v>-1030</v>
      </c>
      <c r="R10" s="87">
        <f>$Q$10</f>
        <v>-1030</v>
      </c>
      <c r="U10" s="89">
        <f t="shared" si="4"/>
        <v>-1061</v>
      </c>
      <c r="V10" s="87">
        <f>$U$10</f>
        <v>-1061</v>
      </c>
      <c r="Y10" s="89">
        <f t="shared" si="5"/>
        <v>-1093</v>
      </c>
      <c r="Z10" s="87">
        <f>$Y$10</f>
        <v>-1093</v>
      </c>
      <c r="AC10" s="89">
        <f t="shared" si="6"/>
        <v>-1126</v>
      </c>
      <c r="AD10" s="87">
        <f>$AC$10</f>
        <v>-1126</v>
      </c>
    </row>
    <row r="11" spans="1:33" ht="14.5" customHeight="1" x14ac:dyDescent="0.35">
      <c r="A11" s="86" t="s">
        <v>187</v>
      </c>
      <c r="B11" s="92">
        <v>7</v>
      </c>
      <c r="C11" s="84" t="s">
        <v>184</v>
      </c>
      <c r="D11" s="84"/>
      <c r="E11" s="87">
        <v>373.89</v>
      </c>
      <c r="F11" s="87">
        <f t="shared" si="0"/>
        <v>254.5</v>
      </c>
      <c r="I11" s="89">
        <f>ROUNDUP(E11*RPICurrent,0)</f>
        <v>406</v>
      </c>
      <c r="J11" s="87">
        <f t="shared" si="1"/>
        <v>329</v>
      </c>
      <c r="M11" s="89">
        <f t="shared" si="7"/>
        <v>419</v>
      </c>
      <c r="N11" s="87">
        <f t="shared" si="2"/>
        <v>411.5</v>
      </c>
      <c r="Q11" s="89">
        <f t="shared" si="3"/>
        <v>432</v>
      </c>
      <c r="R11" s="87">
        <f>$Q$11</f>
        <v>432</v>
      </c>
      <c r="U11" s="89">
        <f t="shared" si="4"/>
        <v>445</v>
      </c>
      <c r="V11" s="87">
        <f>$U$11</f>
        <v>445</v>
      </c>
      <c r="Y11" s="89">
        <f t="shared" si="5"/>
        <v>459</v>
      </c>
      <c r="Z11" s="87">
        <f>$Y$11</f>
        <v>459</v>
      </c>
      <c r="AC11" s="89">
        <f t="shared" si="6"/>
        <v>473</v>
      </c>
      <c r="AD11" s="87">
        <f>$AC$11</f>
        <v>473</v>
      </c>
    </row>
    <row r="12" spans="1:33" ht="76.5" customHeight="1" x14ac:dyDescent="0.35">
      <c r="A12" s="105" t="s">
        <v>1323</v>
      </c>
      <c r="B12" s="92">
        <v>8</v>
      </c>
      <c r="C12" s="86" t="s">
        <v>181</v>
      </c>
      <c r="D12" s="84"/>
      <c r="E12" s="87">
        <v>0</v>
      </c>
      <c r="F12" s="87">
        <f t="shared" si="0"/>
        <v>0</v>
      </c>
      <c r="I12" s="89">
        <v>10380</v>
      </c>
      <c r="J12" s="87">
        <f t="shared" si="1"/>
        <v>4531.3999999999996</v>
      </c>
      <c r="M12" s="89">
        <f>ROUNDUP(5189.6,0)</f>
        <v>5190</v>
      </c>
      <c r="N12" s="87">
        <f t="shared" si="2"/>
        <v>1796.3999999999999</v>
      </c>
      <c r="P12" s="86"/>
      <c r="Q12" s="89">
        <f t="shared" si="3"/>
        <v>5346</v>
      </c>
      <c r="R12" s="87">
        <f>$Q$12</f>
        <v>5346</v>
      </c>
      <c r="U12" s="89">
        <f t="shared" si="4"/>
        <v>5507</v>
      </c>
      <c r="V12" s="87">
        <f>$U$12</f>
        <v>5507</v>
      </c>
      <c r="Y12" s="89">
        <f t="shared" si="5"/>
        <v>5673</v>
      </c>
      <c r="Z12" s="87">
        <f>$Y$12</f>
        <v>5673</v>
      </c>
      <c r="AC12" s="89">
        <f t="shared" si="6"/>
        <v>5844</v>
      </c>
      <c r="AD12" s="87">
        <f>$AC$12</f>
        <v>5844</v>
      </c>
    </row>
    <row r="13" spans="1:33" s="90" customFormat="1" ht="32.25" customHeight="1" x14ac:dyDescent="0.35">
      <c r="A13" s="84" t="s">
        <v>189</v>
      </c>
      <c r="B13" s="92">
        <v>9</v>
      </c>
      <c r="C13" s="84" t="s">
        <v>181</v>
      </c>
      <c r="D13" s="84"/>
      <c r="E13" s="90">
        <v>0</v>
      </c>
      <c r="F13" s="90">
        <f>SUMIFS(H$22:H$1010,E$22:E$1010,$B13)</f>
        <v>287.33999999999997</v>
      </c>
      <c r="H13" s="99"/>
      <c r="I13" s="91">
        <v>576</v>
      </c>
      <c r="J13" s="90">
        <f t="shared" si="1"/>
        <v>297.95999999999998</v>
      </c>
      <c r="K13" s="105"/>
      <c r="L13" s="86"/>
      <c r="M13" s="91">
        <f>ROUNDUP((I13)*RPI,0)</f>
        <v>594</v>
      </c>
      <c r="N13" s="87">
        <f t="shared" si="2"/>
        <v>0</v>
      </c>
      <c r="Q13" s="91">
        <f>ROUNDUP((M13)*RPI,0)</f>
        <v>612</v>
      </c>
      <c r="R13" s="90">
        <f>$Q$13</f>
        <v>612</v>
      </c>
      <c r="U13" s="91">
        <f>ROUNDUP((Q13)*RPI,0)</f>
        <v>631</v>
      </c>
      <c r="V13" s="90">
        <f>$U$13</f>
        <v>631</v>
      </c>
      <c r="Y13" s="91">
        <f>ROUNDUP((U13)*RPI,0)</f>
        <v>650</v>
      </c>
      <c r="Z13" s="90">
        <f>$Y$13</f>
        <v>650</v>
      </c>
      <c r="AC13" s="91">
        <f>ROUNDUP((Y13)*RPI,0)</f>
        <v>670</v>
      </c>
      <c r="AD13" s="90">
        <f>$AC$13</f>
        <v>670</v>
      </c>
    </row>
    <row r="14" spans="1:33" ht="39" customHeight="1" x14ac:dyDescent="0.35">
      <c r="A14" s="84" t="s">
        <v>190</v>
      </c>
      <c r="B14" s="92">
        <v>10</v>
      </c>
      <c r="C14" s="86" t="s">
        <v>181</v>
      </c>
      <c r="D14" s="84"/>
      <c r="E14" s="87">
        <v>0</v>
      </c>
      <c r="F14" s="87">
        <f t="shared" si="0"/>
        <v>251.8</v>
      </c>
      <c r="I14" s="89">
        <f>ROUNDUP(251.8,0)</f>
        <v>252</v>
      </c>
      <c r="J14" s="87">
        <f t="shared" si="1"/>
        <v>0</v>
      </c>
      <c r="K14" s="105"/>
      <c r="L14" s="86"/>
      <c r="M14" s="89">
        <f t="shared" si="7"/>
        <v>260</v>
      </c>
      <c r="N14" s="87">
        <f t="shared" si="2"/>
        <v>0</v>
      </c>
      <c r="Q14" s="89">
        <f t="shared" si="3"/>
        <v>268</v>
      </c>
      <c r="R14" s="87">
        <f>$Q$14</f>
        <v>268</v>
      </c>
      <c r="U14" s="89">
        <f t="shared" si="4"/>
        <v>277</v>
      </c>
      <c r="V14" s="87">
        <f>$U$14</f>
        <v>277</v>
      </c>
      <c r="Y14" s="89">
        <f t="shared" si="5"/>
        <v>286</v>
      </c>
      <c r="Z14" s="87">
        <f>$Y$14</f>
        <v>286</v>
      </c>
      <c r="AC14" s="89">
        <f t="shared" si="6"/>
        <v>295</v>
      </c>
      <c r="AD14" s="87">
        <f>$AC$14</f>
        <v>295</v>
      </c>
    </row>
    <row r="15" spans="1:33" ht="14.5" customHeight="1" x14ac:dyDescent="0.35">
      <c r="A15" s="86" t="s">
        <v>80</v>
      </c>
      <c r="B15" s="92">
        <v>11</v>
      </c>
      <c r="C15" s="86" t="s">
        <v>181</v>
      </c>
      <c r="D15" s="84"/>
      <c r="E15" s="87">
        <f>376+229+1241</f>
        <v>1846</v>
      </c>
      <c r="F15" s="87">
        <f t="shared" si="0"/>
        <v>695.83999999999992</v>
      </c>
      <c r="I15" s="89">
        <v>0</v>
      </c>
      <c r="J15" s="87">
        <f t="shared" si="1"/>
        <v>0</v>
      </c>
      <c r="M15" s="89">
        <f t="shared" si="7"/>
        <v>0</v>
      </c>
      <c r="N15" s="87">
        <f t="shared" si="2"/>
        <v>0</v>
      </c>
      <c r="Q15" s="89">
        <f t="shared" si="3"/>
        <v>0</v>
      </c>
      <c r="R15" s="87">
        <f>$Q$15</f>
        <v>0</v>
      </c>
      <c r="U15" s="89">
        <f t="shared" si="4"/>
        <v>0</v>
      </c>
      <c r="V15" s="87">
        <f>$U$15</f>
        <v>0</v>
      </c>
      <c r="Y15" s="89">
        <f t="shared" si="5"/>
        <v>0</v>
      </c>
      <c r="Z15" s="87">
        <f>$Y$15</f>
        <v>0</v>
      </c>
      <c r="AC15" s="89">
        <f t="shared" si="6"/>
        <v>0</v>
      </c>
      <c r="AD15" s="87">
        <f>$AC$15</f>
        <v>0</v>
      </c>
    </row>
    <row r="16" spans="1:33" ht="14.5" customHeight="1" x14ac:dyDescent="0.35">
      <c r="A16" s="86" t="s">
        <v>142</v>
      </c>
      <c r="B16" s="92">
        <v>12</v>
      </c>
      <c r="C16" s="86" t="s">
        <v>183</v>
      </c>
      <c r="D16" s="84"/>
      <c r="E16" s="87">
        <v>0</v>
      </c>
      <c r="F16" s="87">
        <f t="shared" si="0"/>
        <v>0</v>
      </c>
      <c r="I16" s="89">
        <f>ROUNDUP((E16)*RPICurrent,0)</f>
        <v>0</v>
      </c>
      <c r="J16" s="87">
        <f t="shared" si="1"/>
        <v>0</v>
      </c>
      <c r="M16" s="89">
        <v>0</v>
      </c>
      <c r="N16" s="87">
        <f t="shared" si="2"/>
        <v>0</v>
      </c>
      <c r="Q16" s="89">
        <f t="shared" si="3"/>
        <v>0</v>
      </c>
      <c r="R16" s="87">
        <f>$Q$16</f>
        <v>0</v>
      </c>
      <c r="U16" s="89">
        <f t="shared" si="4"/>
        <v>0</v>
      </c>
      <c r="V16" s="87">
        <f>$U$16</f>
        <v>0</v>
      </c>
      <c r="Y16" s="89">
        <f t="shared" si="5"/>
        <v>0</v>
      </c>
      <c r="Z16" s="87">
        <f>$Y$16</f>
        <v>0</v>
      </c>
      <c r="AC16" s="89">
        <f t="shared" si="6"/>
        <v>0</v>
      </c>
      <c r="AD16" s="87">
        <f>$AC$16</f>
        <v>0</v>
      </c>
    </row>
    <row r="17" spans="1:31" ht="14.5" customHeight="1" x14ac:dyDescent="0.35">
      <c r="E17" s="87"/>
      <c r="F17" s="87"/>
    </row>
    <row r="18" spans="1:31" ht="14.5" customHeight="1" x14ac:dyDescent="0.35">
      <c r="E18" s="87"/>
      <c r="F18" s="87"/>
    </row>
    <row r="19" spans="1:31" ht="14.5" customHeight="1" x14ac:dyDescent="0.35">
      <c r="E19" s="87"/>
      <c r="F19" s="87"/>
    </row>
    <row r="20" spans="1:31" ht="14.5" customHeight="1" x14ac:dyDescent="0.35">
      <c r="A20" s="84" t="s">
        <v>487</v>
      </c>
      <c r="G20" s="85"/>
      <c r="H20" s="87"/>
      <c r="I20" s="94"/>
      <c r="J20" s="93"/>
      <c r="K20" s="85"/>
      <c r="M20" s="94"/>
      <c r="N20" s="93"/>
      <c r="O20" s="85"/>
      <c r="Q20" s="94"/>
      <c r="R20" s="93"/>
      <c r="S20" s="85"/>
      <c r="U20" s="94"/>
      <c r="V20" s="93"/>
      <c r="W20" s="85"/>
      <c r="Y20" s="94"/>
      <c r="Z20" s="93"/>
      <c r="AA20" s="85"/>
      <c r="AC20" s="94"/>
      <c r="AD20" s="93"/>
      <c r="AE20" s="85"/>
    </row>
    <row r="21" spans="1:31" ht="14.5" customHeight="1" x14ac:dyDescent="0.35">
      <c r="E21" s="85" t="s">
        <v>484</v>
      </c>
      <c r="F21" s="93" t="s">
        <v>488</v>
      </c>
      <c r="G21" s="85" t="s">
        <v>489</v>
      </c>
      <c r="H21" s="87" t="s">
        <v>475</v>
      </c>
      <c r="I21" s="85" t="s">
        <v>484</v>
      </c>
      <c r="J21" s="93" t="s">
        <v>488</v>
      </c>
      <c r="K21" s="85" t="s">
        <v>489</v>
      </c>
      <c r="L21" s="87" t="s">
        <v>475</v>
      </c>
      <c r="M21" s="85" t="s">
        <v>484</v>
      </c>
      <c r="N21" s="93" t="s">
        <v>488</v>
      </c>
      <c r="O21" s="85" t="s">
        <v>489</v>
      </c>
      <c r="P21" s="87" t="s">
        <v>475</v>
      </c>
      <c r="Q21" s="94"/>
      <c r="R21" s="93"/>
      <c r="S21" s="85"/>
      <c r="U21" s="94"/>
      <c r="V21" s="93"/>
      <c r="W21" s="85"/>
      <c r="Y21" s="94"/>
      <c r="Z21" s="93"/>
      <c r="AA21" s="85"/>
      <c r="AC21" s="94"/>
      <c r="AD21" s="93"/>
      <c r="AE21" s="85"/>
    </row>
    <row r="22" spans="1:31" ht="14.5" customHeight="1" x14ac:dyDescent="0.35">
      <c r="A22" s="85"/>
      <c r="D22" s="85"/>
      <c r="E22" s="92">
        <v>11</v>
      </c>
      <c r="F22" s="93" t="s">
        <v>790</v>
      </c>
      <c r="G22" s="85" t="s">
        <v>968</v>
      </c>
      <c r="H22" s="87">
        <f>1788.99-H23</f>
        <v>695.83999999999992</v>
      </c>
      <c r="I22" s="94">
        <v>4</v>
      </c>
      <c r="J22" s="93">
        <v>45044</v>
      </c>
      <c r="K22" s="85" t="s">
        <v>1324</v>
      </c>
      <c r="L22" s="87">
        <v>16.66</v>
      </c>
      <c r="M22" s="94">
        <v>8</v>
      </c>
      <c r="N22" s="93">
        <v>45412</v>
      </c>
      <c r="O22" s="85" t="s">
        <v>2846</v>
      </c>
      <c r="P22" s="148">
        <v>199.6</v>
      </c>
      <c r="Q22" s="94"/>
      <c r="R22" s="93"/>
      <c r="S22" s="85"/>
      <c r="U22" s="94"/>
      <c r="V22" s="93"/>
      <c r="W22" s="85"/>
      <c r="Y22" s="94"/>
      <c r="Z22" s="93"/>
      <c r="AA22" s="85"/>
      <c r="AC22" s="94"/>
      <c r="AD22" s="93"/>
      <c r="AE22" s="85"/>
    </row>
    <row r="23" spans="1:31" ht="14.5" customHeight="1" x14ac:dyDescent="0.35">
      <c r="E23" s="92">
        <v>4</v>
      </c>
      <c r="F23" s="93" t="s">
        <v>790</v>
      </c>
      <c r="G23" s="85" t="s">
        <v>1325</v>
      </c>
      <c r="H23" s="87">
        <v>1093.1500000000001</v>
      </c>
      <c r="I23" s="94">
        <v>4</v>
      </c>
      <c r="J23" s="93">
        <v>45093</v>
      </c>
      <c r="K23" s="85" t="s">
        <v>1327</v>
      </c>
      <c r="L23" s="87">
        <v>223</v>
      </c>
      <c r="M23" s="94">
        <v>8</v>
      </c>
      <c r="N23" s="93">
        <v>45412</v>
      </c>
      <c r="O23" s="85" t="s">
        <v>2847</v>
      </c>
      <c r="P23" s="148">
        <v>249.5</v>
      </c>
      <c r="Q23" s="94"/>
      <c r="R23" s="93"/>
      <c r="S23" s="85"/>
      <c r="U23" s="94"/>
      <c r="V23" s="93"/>
      <c r="W23" s="85"/>
      <c r="Y23" s="94"/>
      <c r="Z23" s="93"/>
      <c r="AA23" s="85"/>
      <c r="AC23" s="94"/>
      <c r="AD23" s="93"/>
      <c r="AE23" s="85"/>
    </row>
    <row r="24" spans="1:31" ht="14.5" customHeight="1" x14ac:dyDescent="0.35">
      <c r="E24" s="92">
        <v>6</v>
      </c>
      <c r="F24" s="93" t="s">
        <v>967</v>
      </c>
      <c r="G24" s="85" t="s">
        <v>1326</v>
      </c>
      <c r="H24" s="87">
        <v>-1384</v>
      </c>
      <c r="I24" s="94">
        <v>7</v>
      </c>
      <c r="J24" s="93">
        <v>45092</v>
      </c>
      <c r="K24" s="85" t="s">
        <v>1331</v>
      </c>
      <c r="L24" s="87">
        <v>164.5</v>
      </c>
      <c r="M24" s="94">
        <v>1</v>
      </c>
      <c r="N24" s="93" t="s">
        <v>1878</v>
      </c>
      <c r="O24" s="85" t="s">
        <v>2869</v>
      </c>
      <c r="P24" s="148">
        <v>1757.85</v>
      </c>
      <c r="Q24" s="94"/>
      <c r="R24" s="93"/>
      <c r="S24" s="85"/>
      <c r="U24" s="94"/>
      <c r="V24" s="93"/>
      <c r="W24" s="85"/>
      <c r="Y24" s="94"/>
      <c r="Z24" s="93"/>
      <c r="AA24" s="85"/>
      <c r="AC24" s="94"/>
      <c r="AD24" s="93"/>
      <c r="AE24" s="85"/>
    </row>
    <row r="25" spans="1:31" ht="14.5" customHeight="1" x14ac:dyDescent="0.35">
      <c r="E25" s="92">
        <v>10</v>
      </c>
      <c r="F25" s="93">
        <v>44712</v>
      </c>
      <c r="G25" s="85" t="s">
        <v>1328</v>
      </c>
      <c r="H25" s="87">
        <v>251.8</v>
      </c>
      <c r="I25" s="94">
        <v>5</v>
      </c>
      <c r="J25" s="93">
        <v>45078</v>
      </c>
      <c r="K25" s="85" t="s">
        <v>1332</v>
      </c>
      <c r="L25" s="87">
        <v>288.26</v>
      </c>
      <c r="M25" s="94">
        <v>8</v>
      </c>
      <c r="N25" s="93">
        <v>45443</v>
      </c>
      <c r="O25" s="85" t="s">
        <v>3126</v>
      </c>
      <c r="P25" s="148">
        <v>199.6</v>
      </c>
      <c r="Q25" s="94"/>
      <c r="R25" s="93"/>
      <c r="S25" s="85"/>
      <c r="U25" s="94"/>
      <c r="V25" s="93"/>
      <c r="W25" s="85"/>
      <c r="Y25" s="94"/>
      <c r="Z25" s="93"/>
      <c r="AA25" s="85"/>
      <c r="AC25" s="94"/>
      <c r="AD25" s="93"/>
      <c r="AE25" s="85"/>
    </row>
    <row r="26" spans="1:31" ht="14.5" customHeight="1" x14ac:dyDescent="0.35">
      <c r="E26" s="92">
        <v>9</v>
      </c>
      <c r="F26" s="93" t="s">
        <v>891</v>
      </c>
      <c r="G26" s="85" t="s">
        <v>1329</v>
      </c>
      <c r="H26" s="87">
        <f>218.57+68.77</f>
        <v>287.33999999999997</v>
      </c>
      <c r="I26" s="94">
        <v>5</v>
      </c>
      <c r="J26" s="93">
        <v>45043</v>
      </c>
      <c r="K26" s="85" t="s">
        <v>1334</v>
      </c>
      <c r="L26" s="87">
        <v>182.74</v>
      </c>
      <c r="M26" s="94">
        <v>8</v>
      </c>
      <c r="N26" s="93">
        <v>45443</v>
      </c>
      <c r="O26" s="85" t="s">
        <v>2917</v>
      </c>
      <c r="P26" s="148">
        <v>249.5</v>
      </c>
      <c r="Q26" s="94"/>
      <c r="R26" s="93"/>
      <c r="S26" s="85"/>
      <c r="U26" s="94"/>
      <c r="V26" s="93"/>
      <c r="W26" s="85"/>
      <c r="Y26" s="94"/>
      <c r="Z26" s="93"/>
      <c r="AA26" s="85"/>
      <c r="AC26" s="94"/>
      <c r="AD26" s="93"/>
      <c r="AE26" s="85"/>
    </row>
    <row r="27" spans="1:31" ht="14.5" customHeight="1" x14ac:dyDescent="0.35">
      <c r="E27" s="92">
        <v>7</v>
      </c>
      <c r="F27" s="93">
        <v>44771</v>
      </c>
      <c r="G27" s="85" t="s">
        <v>1330</v>
      </c>
      <c r="H27" s="87">
        <v>254.5</v>
      </c>
      <c r="I27" s="94">
        <v>5</v>
      </c>
      <c r="J27" s="93">
        <v>45134</v>
      </c>
      <c r="K27" s="85" t="s">
        <v>1335</v>
      </c>
      <c r="L27" s="87">
        <v>146.69999999999999</v>
      </c>
      <c r="M27" s="94">
        <v>7</v>
      </c>
      <c r="N27" s="93">
        <v>45453</v>
      </c>
      <c r="O27" s="85" t="s">
        <v>2976</v>
      </c>
      <c r="P27" s="148">
        <v>411.5</v>
      </c>
      <c r="Q27" s="94"/>
      <c r="R27" s="93"/>
      <c r="S27" s="85"/>
      <c r="U27" s="94"/>
      <c r="V27" s="93"/>
      <c r="W27" s="85"/>
      <c r="Y27" s="94"/>
      <c r="Z27" s="93"/>
      <c r="AA27" s="85"/>
      <c r="AC27" s="94"/>
      <c r="AD27" s="93"/>
      <c r="AE27" s="85"/>
    </row>
    <row r="28" spans="1:31" ht="14.5" customHeight="1" x14ac:dyDescent="0.35">
      <c r="E28" s="92">
        <v>1</v>
      </c>
      <c r="F28" s="93">
        <v>44909</v>
      </c>
      <c r="G28" s="85" t="s">
        <v>1330</v>
      </c>
      <c r="H28" s="87">
        <v>282</v>
      </c>
      <c r="I28" s="94">
        <v>6</v>
      </c>
      <c r="J28" s="93" t="s">
        <v>491</v>
      </c>
      <c r="K28" s="85" t="s">
        <v>1336</v>
      </c>
      <c r="L28" s="87">
        <v>-1000</v>
      </c>
      <c r="M28" s="94">
        <v>8</v>
      </c>
      <c r="N28" s="93">
        <v>45473</v>
      </c>
      <c r="O28" s="85" t="s">
        <v>2978</v>
      </c>
      <c r="P28" s="148">
        <v>199.6</v>
      </c>
      <c r="Q28" s="94"/>
      <c r="R28" s="93"/>
      <c r="S28" s="85"/>
      <c r="U28" s="94"/>
      <c r="V28" s="93"/>
      <c r="W28" s="85"/>
      <c r="Y28" s="94"/>
      <c r="Z28" s="93"/>
      <c r="AA28" s="85"/>
      <c r="AC28" s="94"/>
      <c r="AD28" s="93"/>
      <c r="AE28" s="85"/>
    </row>
    <row r="29" spans="1:31" ht="14.5" customHeight="1" x14ac:dyDescent="0.35">
      <c r="E29" s="92">
        <v>5</v>
      </c>
      <c r="F29" s="93" t="s">
        <v>891</v>
      </c>
      <c r="G29" s="85" t="s">
        <v>1333</v>
      </c>
      <c r="H29" s="87">
        <v>506.11</v>
      </c>
      <c r="I29" s="94">
        <v>6</v>
      </c>
      <c r="J29" s="93" t="s">
        <v>1201</v>
      </c>
      <c r="K29" s="85" t="s">
        <v>1326</v>
      </c>
      <c r="L29" s="87">
        <v>-343</v>
      </c>
      <c r="M29" s="94">
        <v>8</v>
      </c>
      <c r="N29" s="93">
        <v>45473</v>
      </c>
      <c r="O29" s="85" t="s">
        <v>2979</v>
      </c>
      <c r="P29" s="148">
        <v>199.6</v>
      </c>
      <c r="Q29" s="94"/>
      <c r="R29" s="93"/>
      <c r="S29" s="85"/>
      <c r="U29" s="94"/>
      <c r="V29" s="93"/>
      <c r="W29" s="85"/>
      <c r="Y29" s="94"/>
      <c r="Z29" s="93"/>
      <c r="AA29" s="85"/>
      <c r="AC29" s="94"/>
      <c r="AD29" s="93"/>
      <c r="AE29" s="85"/>
    </row>
    <row r="30" spans="1:31" ht="14.5" customHeight="1" x14ac:dyDescent="0.35">
      <c r="E30" s="92"/>
      <c r="G30" s="85"/>
      <c r="H30" s="87"/>
      <c r="I30" s="94">
        <v>8</v>
      </c>
      <c r="J30" s="93" t="s">
        <v>1337</v>
      </c>
      <c r="K30" s="85" t="s">
        <v>1338</v>
      </c>
      <c r="L30" s="87">
        <v>1936.6</v>
      </c>
      <c r="M30" s="94">
        <v>5</v>
      </c>
      <c r="N30" s="93">
        <v>45397</v>
      </c>
      <c r="O30" s="85" t="s">
        <v>3105</v>
      </c>
      <c r="P30" s="87">
        <f>30.43-18.99</f>
        <v>11.440000000000001</v>
      </c>
      <c r="Q30" s="94"/>
      <c r="R30" s="93"/>
      <c r="S30" s="85"/>
      <c r="U30" s="94"/>
      <c r="V30" s="93"/>
      <c r="W30" s="85"/>
      <c r="Y30" s="94"/>
      <c r="Z30" s="93"/>
      <c r="AA30" s="85"/>
      <c r="AC30" s="94"/>
      <c r="AD30" s="93"/>
      <c r="AE30" s="85"/>
    </row>
    <row r="31" spans="1:31" ht="14.5" customHeight="1" x14ac:dyDescent="0.35">
      <c r="E31" s="92">
        <v>6</v>
      </c>
      <c r="F31" s="93">
        <v>44986</v>
      </c>
      <c r="G31" s="85" t="s">
        <v>1336</v>
      </c>
      <c r="H31" s="87">
        <v>-1000</v>
      </c>
      <c r="I31" s="94">
        <v>9</v>
      </c>
      <c r="J31" s="93">
        <v>45211</v>
      </c>
      <c r="K31" s="85" t="s">
        <v>2174</v>
      </c>
      <c r="L31" s="87">
        <v>297.95999999999998</v>
      </c>
      <c r="M31" s="94">
        <v>5</v>
      </c>
      <c r="N31" s="93">
        <v>45426</v>
      </c>
      <c r="O31" s="85" t="s">
        <v>3106</v>
      </c>
      <c r="P31" s="87">
        <v>29.51</v>
      </c>
      <c r="Q31" s="94"/>
      <c r="R31" s="93"/>
      <c r="S31" s="85"/>
      <c r="U31" s="94"/>
      <c r="V31" s="93"/>
      <c r="W31" s="85"/>
      <c r="Y31" s="94"/>
      <c r="Z31" s="93"/>
      <c r="AA31" s="85"/>
      <c r="AC31" s="94"/>
      <c r="AD31" s="93"/>
      <c r="AE31" s="85"/>
    </row>
    <row r="32" spans="1:31" ht="14.5" customHeight="1" x14ac:dyDescent="0.35">
      <c r="E32" s="85">
        <v>1</v>
      </c>
      <c r="F32" s="93" t="s">
        <v>699</v>
      </c>
      <c r="G32" s="85" t="s">
        <v>1237</v>
      </c>
      <c r="H32" s="87">
        <v>12.87</v>
      </c>
      <c r="I32" s="94">
        <v>5</v>
      </c>
      <c r="J32" s="93">
        <v>45170</v>
      </c>
      <c r="K32" s="85" t="s">
        <v>2175</v>
      </c>
      <c r="L32" s="87">
        <v>-174.21</v>
      </c>
      <c r="M32" s="94">
        <v>5</v>
      </c>
      <c r="N32" s="93">
        <v>45458</v>
      </c>
      <c r="O32" s="85" t="s">
        <v>3107</v>
      </c>
      <c r="P32" s="87">
        <v>27.52</v>
      </c>
      <c r="Q32" s="94"/>
      <c r="R32" s="93"/>
      <c r="S32" s="85"/>
      <c r="U32" s="94"/>
      <c r="V32" s="93"/>
      <c r="W32" s="85"/>
      <c r="Y32" s="94"/>
      <c r="Z32" s="93"/>
      <c r="AA32" s="85"/>
      <c r="AC32" s="94"/>
      <c r="AD32" s="93"/>
      <c r="AE32" s="85"/>
    </row>
    <row r="33" spans="5:31" ht="14.5" customHeight="1" x14ac:dyDescent="0.35">
      <c r="E33" s="85">
        <v>2</v>
      </c>
      <c r="F33" s="93">
        <v>45013</v>
      </c>
      <c r="G33" s="85" t="s">
        <v>702</v>
      </c>
      <c r="H33" s="87">
        <v>3350</v>
      </c>
      <c r="I33" s="94">
        <v>5</v>
      </c>
      <c r="J33" s="93">
        <v>45170</v>
      </c>
      <c r="K33" s="85" t="s">
        <v>2176</v>
      </c>
      <c r="L33" s="87">
        <v>85.03</v>
      </c>
      <c r="M33" s="94">
        <v>5</v>
      </c>
      <c r="N33" s="93">
        <v>45488</v>
      </c>
      <c r="O33" s="85" t="s">
        <v>3108</v>
      </c>
      <c r="P33" s="87">
        <v>23.81</v>
      </c>
      <c r="Q33" s="94"/>
      <c r="R33" s="93"/>
      <c r="S33" s="85"/>
      <c r="U33" s="94"/>
      <c r="V33" s="93"/>
      <c r="W33" s="85"/>
      <c r="Y33" s="94"/>
      <c r="Z33" s="93"/>
      <c r="AA33" s="85"/>
      <c r="AC33" s="94"/>
      <c r="AD33" s="93"/>
      <c r="AE33" s="85"/>
    </row>
    <row r="34" spans="5:31" ht="44.5" customHeight="1" x14ac:dyDescent="0.35">
      <c r="E34" s="92">
        <v>2</v>
      </c>
      <c r="F34" s="97"/>
      <c r="G34" s="98" t="s">
        <v>1339</v>
      </c>
      <c r="H34" s="90">
        <v>10380</v>
      </c>
      <c r="I34" s="94">
        <v>6</v>
      </c>
      <c r="J34" s="93" t="s">
        <v>2360</v>
      </c>
      <c r="K34" s="85" t="s">
        <v>1326</v>
      </c>
      <c r="L34" s="87">
        <f>-(42+56+56)</f>
        <v>-154</v>
      </c>
      <c r="M34" s="94">
        <v>6</v>
      </c>
      <c r="N34" s="93" t="s">
        <v>3109</v>
      </c>
      <c r="O34" s="85" t="s">
        <v>3114</v>
      </c>
      <c r="P34" s="148">
        <v>-784</v>
      </c>
      <c r="Q34" s="94"/>
      <c r="R34" s="93"/>
      <c r="S34" s="85"/>
      <c r="U34" s="94"/>
      <c r="V34" s="93"/>
      <c r="W34" s="85"/>
      <c r="Y34" s="94"/>
      <c r="Z34" s="93"/>
      <c r="AA34" s="85"/>
      <c r="AC34" s="94"/>
      <c r="AD34" s="93"/>
      <c r="AE34" s="85"/>
    </row>
    <row r="35" spans="5:31" ht="45" customHeight="1" x14ac:dyDescent="0.35">
      <c r="E35" s="92">
        <v>1</v>
      </c>
      <c r="F35" s="97"/>
      <c r="G35" s="98" t="s">
        <v>1339</v>
      </c>
      <c r="H35" s="90">
        <v>-10380</v>
      </c>
      <c r="I35" s="94">
        <v>8</v>
      </c>
      <c r="J35" s="93" t="s">
        <v>2360</v>
      </c>
      <c r="K35" s="85" t="s">
        <v>2369</v>
      </c>
      <c r="L35" s="87">
        <f>199.6+249.5+249.5+199.6+199.6+249.5</f>
        <v>1347.3</v>
      </c>
      <c r="M35" s="94">
        <v>4</v>
      </c>
      <c r="N35" s="93">
        <v>45394</v>
      </c>
      <c r="O35" s="85" t="s">
        <v>3135</v>
      </c>
      <c r="P35" s="148">
        <v>32.869999999999997</v>
      </c>
      <c r="Q35" s="94"/>
      <c r="R35" s="93"/>
      <c r="S35" s="85"/>
      <c r="U35" s="94"/>
      <c r="V35" s="93"/>
      <c r="W35" s="85"/>
      <c r="Y35" s="94"/>
      <c r="Z35" s="93"/>
      <c r="AA35" s="85"/>
      <c r="AC35" s="94"/>
      <c r="AD35" s="93"/>
      <c r="AE35" s="85"/>
    </row>
    <row r="36" spans="5:31" ht="46.4" customHeight="1" x14ac:dyDescent="0.35">
      <c r="E36" s="92">
        <v>5</v>
      </c>
      <c r="F36" s="93">
        <v>44949</v>
      </c>
      <c r="G36" s="98" t="s">
        <v>1340</v>
      </c>
      <c r="H36" s="90">
        <v>196.01</v>
      </c>
      <c r="I36" s="94">
        <v>7</v>
      </c>
      <c r="J36" s="93">
        <v>45308</v>
      </c>
      <c r="K36" s="85" t="s">
        <v>1331</v>
      </c>
      <c r="L36" s="87">
        <v>164.5</v>
      </c>
      <c r="M36" s="94">
        <v>5</v>
      </c>
      <c r="N36" s="93">
        <v>45444</v>
      </c>
      <c r="O36" s="85" t="s">
        <v>3180</v>
      </c>
      <c r="P36" s="87">
        <v>269.14</v>
      </c>
      <c r="Q36" s="94"/>
      <c r="R36" s="93"/>
      <c r="S36" s="85"/>
      <c r="U36" s="94"/>
      <c r="V36" s="93"/>
      <c r="W36" s="85"/>
      <c r="Y36" s="94"/>
      <c r="Z36" s="93"/>
      <c r="AA36" s="85"/>
      <c r="AC36" s="94"/>
      <c r="AD36" s="93"/>
      <c r="AE36" s="85"/>
    </row>
    <row r="37" spans="5:31" ht="49.75" customHeight="1" x14ac:dyDescent="0.35">
      <c r="E37" s="92">
        <v>5</v>
      </c>
      <c r="F37" s="93">
        <v>44991</v>
      </c>
      <c r="G37" s="98" t="s">
        <v>1341</v>
      </c>
      <c r="H37" s="87">
        <v>595.87</v>
      </c>
      <c r="I37" s="94">
        <v>5</v>
      </c>
      <c r="J37" s="93">
        <v>45252</v>
      </c>
      <c r="K37" s="85" t="s">
        <v>2424</v>
      </c>
      <c r="L37" s="87">
        <v>76.739999999999995</v>
      </c>
      <c r="M37" s="94">
        <v>8</v>
      </c>
      <c r="N37" s="93">
        <v>45504</v>
      </c>
      <c r="O37" s="85" t="s">
        <v>3183</v>
      </c>
      <c r="P37" s="87">
        <v>249.5</v>
      </c>
      <c r="Q37" s="94"/>
      <c r="R37" s="93"/>
      <c r="S37" s="85"/>
      <c r="U37" s="94"/>
      <c r="V37" s="93"/>
      <c r="W37" s="85"/>
      <c r="Y37" s="94"/>
      <c r="Z37" s="93"/>
      <c r="AA37" s="85"/>
      <c r="AC37" s="94"/>
      <c r="AD37" s="93"/>
      <c r="AE37" s="85"/>
    </row>
    <row r="38" spans="5:31" ht="14.5" customHeight="1" x14ac:dyDescent="0.35">
      <c r="E38" s="92">
        <v>4</v>
      </c>
      <c r="F38" s="93">
        <v>44965</v>
      </c>
      <c r="G38" s="85" t="s">
        <v>1342</v>
      </c>
      <c r="H38" s="87">
        <v>35</v>
      </c>
      <c r="I38" s="94">
        <v>5</v>
      </c>
      <c r="J38" s="93">
        <v>45275</v>
      </c>
      <c r="K38" s="85" t="s">
        <v>2425</v>
      </c>
      <c r="L38" s="87">
        <v>33.72</v>
      </c>
      <c r="M38" s="94">
        <v>8</v>
      </c>
      <c r="N38" s="93">
        <v>45504</v>
      </c>
      <c r="O38" s="85" t="s">
        <v>3185</v>
      </c>
      <c r="P38" s="87">
        <v>249.5</v>
      </c>
      <c r="Q38" s="94"/>
      <c r="R38" s="93"/>
      <c r="S38" s="85"/>
      <c r="U38" s="94"/>
      <c r="V38" s="93"/>
      <c r="W38" s="85"/>
      <c r="Y38" s="94"/>
      <c r="Z38" s="93"/>
      <c r="AA38" s="85"/>
      <c r="AC38" s="94"/>
      <c r="AD38" s="93"/>
      <c r="AE38" s="85"/>
    </row>
    <row r="39" spans="5:31" ht="14.5" customHeight="1" x14ac:dyDescent="0.35">
      <c r="G39" s="85"/>
      <c r="H39" s="87"/>
      <c r="I39" s="94">
        <v>5</v>
      </c>
      <c r="J39" s="93">
        <v>45275</v>
      </c>
      <c r="K39" s="85" t="s">
        <v>2426</v>
      </c>
      <c r="L39" s="87">
        <v>-50</v>
      </c>
      <c r="M39" s="94"/>
      <c r="N39" s="93"/>
      <c r="O39" s="85"/>
      <c r="Q39" s="94"/>
      <c r="R39" s="93"/>
      <c r="S39" s="85"/>
      <c r="U39" s="94"/>
      <c r="V39" s="93"/>
      <c r="W39" s="85"/>
      <c r="Y39" s="94"/>
      <c r="Z39" s="93"/>
      <c r="AA39" s="85"/>
      <c r="AC39" s="94"/>
      <c r="AD39" s="93"/>
      <c r="AE39" s="85"/>
    </row>
    <row r="40" spans="5:31" ht="14.5" customHeight="1" x14ac:dyDescent="0.35">
      <c r="G40" s="85"/>
      <c r="H40" s="87"/>
      <c r="I40" s="94">
        <v>5</v>
      </c>
      <c r="J40" s="93">
        <v>45261</v>
      </c>
      <c r="K40" s="85" t="s">
        <v>2427</v>
      </c>
      <c r="L40" s="87">
        <v>552.01</v>
      </c>
      <c r="M40" s="94"/>
      <c r="N40" s="93"/>
      <c r="O40" s="85"/>
      <c r="Q40" s="94"/>
      <c r="R40" s="93"/>
      <c r="S40" s="85"/>
      <c r="U40" s="94"/>
      <c r="V40" s="93"/>
      <c r="W40" s="85"/>
      <c r="Y40" s="94"/>
      <c r="Z40" s="93"/>
      <c r="AA40" s="85"/>
      <c r="AC40" s="94"/>
      <c r="AD40" s="93"/>
      <c r="AE40" s="85"/>
    </row>
    <row r="41" spans="5:31" ht="14.5" customHeight="1" x14ac:dyDescent="0.35">
      <c r="G41" s="85"/>
      <c r="H41" s="87"/>
      <c r="I41" s="94">
        <v>6</v>
      </c>
      <c r="J41" s="93">
        <v>45324</v>
      </c>
      <c r="K41" s="85" t="s">
        <v>1326</v>
      </c>
      <c r="L41" s="87">
        <v>-49</v>
      </c>
      <c r="M41" s="94"/>
      <c r="N41" s="93"/>
      <c r="O41" s="85"/>
      <c r="Q41" s="94"/>
      <c r="R41" s="93"/>
      <c r="S41" s="85"/>
      <c r="U41" s="94"/>
      <c r="V41" s="93"/>
      <c r="W41" s="85"/>
      <c r="Y41" s="94"/>
      <c r="Z41" s="93"/>
      <c r="AA41" s="85"/>
      <c r="AC41" s="94"/>
      <c r="AD41" s="93"/>
      <c r="AE41" s="85"/>
    </row>
    <row r="42" spans="5:31" ht="14.5" customHeight="1" x14ac:dyDescent="0.35">
      <c r="G42" s="85"/>
      <c r="H42" s="87"/>
      <c r="I42" s="94">
        <v>6</v>
      </c>
      <c r="J42" s="93">
        <v>45331</v>
      </c>
      <c r="K42" s="85" t="s">
        <v>1326</v>
      </c>
      <c r="L42" s="87">
        <v>-378</v>
      </c>
      <c r="M42" s="94"/>
      <c r="N42" s="93"/>
      <c r="O42" s="85"/>
      <c r="Q42" s="94"/>
      <c r="R42" s="93"/>
      <c r="S42" s="85"/>
      <c r="U42" s="94"/>
      <c r="V42" s="93"/>
      <c r="W42" s="85"/>
      <c r="Y42" s="94"/>
      <c r="Z42" s="93"/>
      <c r="AA42" s="85"/>
      <c r="AC42" s="94"/>
      <c r="AD42" s="93"/>
      <c r="AE42" s="85"/>
    </row>
    <row r="43" spans="5:31" ht="14.5" customHeight="1" x14ac:dyDescent="0.35">
      <c r="G43" s="85"/>
      <c r="H43" s="87"/>
      <c r="I43" s="94">
        <v>6</v>
      </c>
      <c r="J43" s="93">
        <v>45308</v>
      </c>
      <c r="K43" s="85" t="s">
        <v>1326</v>
      </c>
      <c r="L43" s="87">
        <v>-105</v>
      </c>
      <c r="M43" s="94"/>
      <c r="N43" s="93"/>
      <c r="O43" s="85"/>
      <c r="Q43" s="94"/>
      <c r="R43" s="93"/>
      <c r="S43" s="85"/>
      <c r="U43" s="94"/>
      <c r="V43" s="93"/>
      <c r="W43" s="85"/>
      <c r="Y43" s="94"/>
      <c r="Z43" s="93"/>
      <c r="AA43" s="85"/>
      <c r="AC43" s="94"/>
      <c r="AD43" s="93"/>
      <c r="AE43" s="85"/>
    </row>
    <row r="44" spans="5:31" ht="14.5" customHeight="1" x14ac:dyDescent="0.35">
      <c r="G44" s="85"/>
      <c r="H44" s="87"/>
      <c r="I44" s="94">
        <v>8</v>
      </c>
      <c r="J44" s="93" t="s">
        <v>2692</v>
      </c>
      <c r="K44" s="85" t="s">
        <v>2369</v>
      </c>
      <c r="L44" s="87">
        <f>249.5+199.6*4</f>
        <v>1047.9000000000001</v>
      </c>
      <c r="M44" s="94"/>
      <c r="N44" s="93"/>
      <c r="O44" s="85"/>
      <c r="Q44" s="94"/>
      <c r="R44" s="93"/>
      <c r="S44" s="85"/>
      <c r="U44" s="94"/>
      <c r="V44" s="93"/>
      <c r="W44" s="85"/>
      <c r="Y44" s="94"/>
      <c r="Z44" s="93"/>
      <c r="AA44" s="85"/>
      <c r="AC44" s="94"/>
      <c r="AD44" s="93"/>
      <c r="AE44" s="85"/>
    </row>
    <row r="45" spans="5:31" ht="14.5" customHeight="1" x14ac:dyDescent="0.35">
      <c r="G45" s="85"/>
      <c r="H45" s="87"/>
      <c r="I45" s="94">
        <v>5</v>
      </c>
      <c r="J45" s="93">
        <v>45306</v>
      </c>
      <c r="K45" s="85" t="s">
        <v>1275</v>
      </c>
      <c r="L45" s="87">
        <v>41.22</v>
      </c>
      <c r="M45" s="94"/>
      <c r="N45" s="93"/>
      <c r="O45" s="85"/>
      <c r="Q45" s="94"/>
      <c r="R45" s="93"/>
      <c r="S45" s="85"/>
      <c r="U45" s="94"/>
      <c r="V45" s="93"/>
      <c r="W45" s="85"/>
      <c r="Y45" s="94"/>
      <c r="Z45" s="93"/>
      <c r="AA45" s="85"/>
      <c r="AC45" s="94"/>
      <c r="AD45" s="93"/>
      <c r="AE45" s="85"/>
    </row>
    <row r="46" spans="5:31" ht="14.5" customHeight="1" x14ac:dyDescent="0.35">
      <c r="G46" s="85"/>
      <c r="H46" s="87"/>
      <c r="I46" s="94">
        <v>5</v>
      </c>
      <c r="J46" s="93">
        <v>45366</v>
      </c>
      <c r="K46" s="85" t="s">
        <v>2763</v>
      </c>
      <c r="L46" s="87">
        <v>41.62</v>
      </c>
      <c r="M46" s="94"/>
      <c r="N46" s="93"/>
      <c r="O46" s="85"/>
      <c r="Q46" s="94"/>
      <c r="R46" s="93"/>
      <c r="S46" s="85"/>
      <c r="U46" s="94"/>
      <c r="V46" s="93"/>
      <c r="W46" s="85"/>
      <c r="Y46" s="94"/>
      <c r="Z46" s="93"/>
      <c r="AA46" s="85"/>
      <c r="AC46" s="94"/>
      <c r="AD46" s="93"/>
      <c r="AE46" s="85"/>
    </row>
    <row r="47" spans="5:31" ht="14.5" customHeight="1" x14ac:dyDescent="0.35">
      <c r="G47" s="85"/>
      <c r="H47" s="87"/>
      <c r="I47" s="94">
        <v>4</v>
      </c>
      <c r="J47" s="93">
        <v>45372</v>
      </c>
      <c r="K47" s="85" t="s">
        <v>2753</v>
      </c>
      <c r="L47" s="87">
        <v>135.35</v>
      </c>
      <c r="M47" s="94"/>
      <c r="N47" s="93"/>
      <c r="O47" s="85"/>
      <c r="Q47" s="94"/>
      <c r="R47" s="93"/>
      <c r="S47" s="85"/>
      <c r="U47" s="94"/>
      <c r="V47" s="93"/>
      <c r="W47" s="85"/>
      <c r="Y47" s="94"/>
      <c r="Z47" s="93"/>
      <c r="AA47" s="85"/>
      <c r="AC47" s="94"/>
      <c r="AD47" s="93"/>
      <c r="AE47" s="85"/>
    </row>
    <row r="48" spans="5:31" ht="14.5" customHeight="1" x14ac:dyDescent="0.35">
      <c r="G48" s="85"/>
      <c r="H48" s="87"/>
      <c r="I48" s="94">
        <v>5</v>
      </c>
      <c r="J48" s="93">
        <v>45337</v>
      </c>
      <c r="K48" s="85" t="s">
        <v>2762</v>
      </c>
      <c r="L48" s="87">
        <v>40.06</v>
      </c>
      <c r="M48" s="94"/>
      <c r="N48" s="93"/>
      <c r="O48" s="85"/>
      <c r="Q48" s="94"/>
      <c r="R48" s="93"/>
      <c r="S48" s="85"/>
      <c r="U48" s="94"/>
      <c r="V48" s="93"/>
      <c r="W48" s="85"/>
      <c r="Y48" s="94"/>
      <c r="Z48" s="93"/>
      <c r="AA48" s="85"/>
      <c r="AC48" s="94"/>
      <c r="AD48" s="93"/>
      <c r="AE48" s="85"/>
    </row>
    <row r="49" spans="7:31" ht="14.5" customHeight="1" x14ac:dyDescent="0.35">
      <c r="G49" s="85"/>
      <c r="H49" s="87"/>
      <c r="I49" s="94">
        <v>5</v>
      </c>
      <c r="J49" s="93">
        <v>45352</v>
      </c>
      <c r="K49" s="85" t="s">
        <v>2764</v>
      </c>
      <c r="L49" s="87">
        <v>484.36</v>
      </c>
      <c r="M49" s="94"/>
      <c r="N49" s="93"/>
      <c r="O49" s="85"/>
      <c r="Q49" s="94"/>
      <c r="R49" s="93"/>
      <c r="S49" s="85"/>
      <c r="U49" s="94"/>
      <c r="V49" s="93"/>
      <c r="W49" s="85"/>
      <c r="Y49" s="94"/>
      <c r="Z49" s="93"/>
      <c r="AA49" s="85"/>
      <c r="AC49" s="94"/>
      <c r="AD49" s="93"/>
      <c r="AE49" s="85"/>
    </row>
    <row r="50" spans="7:31" ht="14.5" customHeight="1" x14ac:dyDescent="0.35">
      <c r="G50" s="85"/>
      <c r="H50" s="87"/>
      <c r="I50" s="94">
        <v>8</v>
      </c>
      <c r="J50" s="93">
        <v>45382</v>
      </c>
      <c r="K50" s="85" t="s">
        <v>2769</v>
      </c>
      <c r="L50" s="87">
        <v>199.6</v>
      </c>
      <c r="M50" s="94"/>
      <c r="N50" s="93"/>
      <c r="O50" s="85"/>
      <c r="Q50" s="94"/>
      <c r="R50" s="93"/>
      <c r="S50" s="85"/>
      <c r="U50" s="94"/>
      <c r="V50" s="93"/>
      <c r="W50" s="85"/>
      <c r="Y50" s="94"/>
      <c r="Z50" s="93"/>
      <c r="AA50" s="85"/>
      <c r="AC50" s="94"/>
      <c r="AD50" s="93"/>
      <c r="AE50" s="85"/>
    </row>
    <row r="51" spans="7:31" ht="14.5" customHeight="1" x14ac:dyDescent="0.35">
      <c r="G51" s="85"/>
      <c r="H51" s="87"/>
      <c r="I51" s="94">
        <v>5</v>
      </c>
      <c r="J51" s="93" t="s">
        <v>775</v>
      </c>
      <c r="K51" s="85" t="s">
        <v>2777</v>
      </c>
      <c r="L51" s="148">
        <v>18.989999999999998</v>
      </c>
      <c r="M51" s="94"/>
      <c r="N51" s="93"/>
      <c r="O51" s="85"/>
      <c r="Q51" s="94"/>
      <c r="R51" s="93"/>
      <c r="S51" s="85"/>
      <c r="U51" s="94"/>
      <c r="V51" s="93"/>
      <c r="W51" s="85"/>
      <c r="Y51" s="94"/>
      <c r="Z51" s="93"/>
      <c r="AA51" s="85"/>
      <c r="AC51" s="94"/>
      <c r="AD51" s="93"/>
      <c r="AE51" s="85"/>
    </row>
    <row r="52" spans="7:31" ht="14.5" customHeight="1" x14ac:dyDescent="0.35">
      <c r="G52" s="85"/>
      <c r="H52" s="87"/>
      <c r="I52" s="94">
        <v>6</v>
      </c>
      <c r="J52" s="93" t="s">
        <v>775</v>
      </c>
      <c r="K52" s="85" t="s">
        <v>2796</v>
      </c>
      <c r="L52" s="148">
        <f>-7*6</f>
        <v>-42</v>
      </c>
      <c r="M52" s="94"/>
      <c r="N52" s="93"/>
      <c r="O52" s="85"/>
      <c r="Q52" s="94"/>
      <c r="R52" s="93"/>
      <c r="S52" s="85"/>
      <c r="U52" s="94"/>
      <c r="V52" s="93"/>
      <c r="W52" s="85"/>
      <c r="Y52" s="94"/>
      <c r="Z52" s="93"/>
      <c r="AA52" s="85"/>
      <c r="AC52" s="94"/>
      <c r="AD52" s="93"/>
      <c r="AE52" s="85"/>
    </row>
    <row r="53" spans="7:31" ht="14.5" customHeight="1" x14ac:dyDescent="0.35">
      <c r="G53" s="85"/>
      <c r="H53" s="87"/>
      <c r="I53" s="94"/>
      <c r="J53" s="93"/>
      <c r="K53" s="85"/>
      <c r="M53" s="94"/>
      <c r="N53" s="93"/>
      <c r="O53" s="85"/>
      <c r="Q53" s="94"/>
      <c r="R53" s="93"/>
      <c r="S53" s="85"/>
      <c r="U53" s="94"/>
      <c r="V53" s="93"/>
      <c r="W53" s="85"/>
      <c r="Y53" s="94"/>
      <c r="Z53" s="93"/>
      <c r="AA53" s="85"/>
      <c r="AC53" s="94"/>
      <c r="AD53" s="93"/>
      <c r="AE53" s="85"/>
    </row>
    <row r="54" spans="7:31" ht="14.5" customHeight="1" x14ac:dyDescent="0.35">
      <c r="G54" s="85"/>
      <c r="H54" s="87"/>
      <c r="I54" s="94"/>
      <c r="J54" s="93"/>
      <c r="K54" s="85"/>
      <c r="M54" s="94"/>
      <c r="N54" s="93"/>
      <c r="O54" s="85"/>
      <c r="Q54" s="94"/>
      <c r="R54" s="93"/>
      <c r="S54" s="85"/>
      <c r="U54" s="94"/>
      <c r="V54" s="93"/>
      <c r="W54" s="85"/>
      <c r="Y54" s="94"/>
      <c r="Z54" s="93"/>
      <c r="AA54" s="85"/>
      <c r="AC54" s="94"/>
      <c r="AD54" s="93"/>
      <c r="AE54" s="85"/>
    </row>
    <row r="55" spans="7:31" ht="14.5" customHeight="1" x14ac:dyDescent="0.35">
      <c r="G55" s="85"/>
      <c r="H55" s="87"/>
      <c r="I55" s="94"/>
      <c r="J55" s="93"/>
      <c r="K55" s="85"/>
      <c r="M55" s="94"/>
      <c r="N55" s="93"/>
      <c r="O55" s="85"/>
      <c r="Q55" s="94"/>
      <c r="R55" s="93"/>
      <c r="S55" s="85"/>
      <c r="U55" s="94"/>
      <c r="V55" s="93"/>
      <c r="W55" s="85"/>
      <c r="Y55" s="94"/>
      <c r="Z55" s="93"/>
      <c r="AA55" s="85"/>
      <c r="AC55" s="94"/>
      <c r="AD55" s="93"/>
      <c r="AE55" s="85"/>
    </row>
    <row r="56" spans="7:31" ht="14.5" customHeight="1" x14ac:dyDescent="0.35">
      <c r="G56" s="85"/>
      <c r="H56" s="87"/>
      <c r="I56" s="94"/>
      <c r="J56" s="93"/>
      <c r="K56" s="85"/>
      <c r="M56" s="94"/>
      <c r="N56" s="93"/>
      <c r="O56" s="85"/>
      <c r="Q56" s="94"/>
      <c r="R56" s="93"/>
      <c r="S56" s="85"/>
      <c r="U56" s="94"/>
      <c r="V56" s="93"/>
      <c r="W56" s="85"/>
      <c r="Y56" s="94"/>
      <c r="Z56" s="93"/>
      <c r="AA56" s="85"/>
      <c r="AC56" s="94"/>
      <c r="AD56" s="93"/>
      <c r="AE56" s="85"/>
    </row>
    <row r="57" spans="7:31" ht="14.5" customHeight="1" x14ac:dyDescent="0.35">
      <c r="G57" s="85"/>
      <c r="H57" s="87"/>
      <c r="I57" s="94"/>
      <c r="J57" s="93"/>
      <c r="K57" s="85"/>
      <c r="M57" s="94"/>
      <c r="N57" s="93"/>
      <c r="O57" s="85"/>
      <c r="Q57" s="94"/>
      <c r="R57" s="93"/>
      <c r="S57" s="85"/>
      <c r="U57" s="94"/>
      <c r="V57" s="93"/>
      <c r="W57" s="85"/>
      <c r="Y57" s="94"/>
      <c r="Z57" s="93"/>
      <c r="AA57" s="85"/>
      <c r="AC57" s="94"/>
      <c r="AD57" s="93"/>
      <c r="AE57" s="85"/>
    </row>
    <row r="58" spans="7:31" ht="14.5" customHeight="1" x14ac:dyDescent="0.35">
      <c r="G58" s="85"/>
      <c r="H58" s="87"/>
      <c r="I58" s="94"/>
      <c r="J58" s="93"/>
      <c r="K58" s="85"/>
      <c r="M58" s="94"/>
      <c r="N58" s="93"/>
      <c r="O58" s="85"/>
      <c r="Q58" s="94"/>
      <c r="R58" s="93"/>
      <c r="S58" s="85"/>
      <c r="U58" s="94"/>
      <c r="V58" s="93"/>
      <c r="W58" s="85"/>
      <c r="Y58" s="94"/>
      <c r="Z58" s="93"/>
      <c r="AA58" s="85"/>
      <c r="AC58" s="94"/>
      <c r="AD58" s="93"/>
      <c r="AE58" s="85"/>
    </row>
    <row r="59" spans="7:31" ht="14.5" customHeight="1" x14ac:dyDescent="0.35">
      <c r="G59" s="85"/>
      <c r="H59" s="87"/>
      <c r="I59" s="94"/>
      <c r="J59" s="93"/>
      <c r="K59" s="85"/>
      <c r="M59" s="94"/>
      <c r="N59" s="93"/>
      <c r="O59" s="85"/>
      <c r="Q59" s="94"/>
      <c r="R59" s="93"/>
      <c r="S59" s="85"/>
      <c r="U59" s="94"/>
      <c r="V59" s="93"/>
      <c r="W59" s="85"/>
      <c r="Y59" s="94"/>
      <c r="Z59" s="93"/>
      <c r="AA59" s="85"/>
      <c r="AC59" s="94"/>
      <c r="AD59" s="93"/>
      <c r="AE59" s="85"/>
    </row>
    <row r="60" spans="7:31" ht="14.5" customHeight="1" x14ac:dyDescent="0.35">
      <c r="G60" s="85"/>
      <c r="H60" s="87"/>
      <c r="I60" s="94"/>
      <c r="J60" s="93"/>
      <c r="K60" s="85"/>
      <c r="M60" s="94"/>
      <c r="N60" s="93"/>
      <c r="O60" s="85"/>
      <c r="Q60" s="94"/>
      <c r="R60" s="93"/>
      <c r="S60" s="85"/>
      <c r="U60" s="94"/>
      <c r="V60" s="93"/>
      <c r="W60" s="85"/>
      <c r="Y60" s="94"/>
      <c r="Z60" s="93"/>
      <c r="AA60" s="85"/>
      <c r="AC60" s="94"/>
      <c r="AD60" s="93"/>
      <c r="AE60" s="85"/>
    </row>
    <row r="61" spans="7:31" ht="14.5" customHeight="1" x14ac:dyDescent="0.35">
      <c r="G61" s="85"/>
      <c r="H61" s="87"/>
      <c r="I61" s="94"/>
      <c r="J61" s="93"/>
      <c r="K61" s="85"/>
      <c r="M61" s="94"/>
      <c r="N61" s="93"/>
      <c r="O61" s="85"/>
      <c r="Q61" s="94"/>
      <c r="R61" s="93"/>
      <c r="S61" s="85"/>
      <c r="U61" s="94"/>
      <c r="V61" s="93"/>
      <c r="W61" s="85"/>
      <c r="Y61" s="94"/>
      <c r="Z61" s="93"/>
      <c r="AA61" s="85"/>
      <c r="AC61" s="94"/>
      <c r="AD61" s="93"/>
      <c r="AE61" s="85"/>
    </row>
    <row r="62" spans="7:31" ht="14.5" customHeight="1" x14ac:dyDescent="0.35">
      <c r="G62" s="85"/>
      <c r="H62" s="87"/>
      <c r="I62" s="94"/>
      <c r="J62" s="93"/>
      <c r="K62" s="85"/>
      <c r="M62" s="94"/>
      <c r="N62" s="93"/>
      <c r="O62" s="85"/>
      <c r="Q62" s="94"/>
      <c r="R62" s="93"/>
      <c r="S62" s="85"/>
      <c r="U62" s="94"/>
      <c r="V62" s="93"/>
      <c r="W62" s="85"/>
      <c r="Y62" s="94"/>
      <c r="Z62" s="93"/>
      <c r="AA62" s="85"/>
      <c r="AC62" s="94"/>
      <c r="AD62" s="93"/>
      <c r="AE62" s="85"/>
    </row>
    <row r="63" spans="7:31" ht="14.5" customHeight="1" x14ac:dyDescent="0.35">
      <c r="G63" s="85"/>
      <c r="H63" s="87"/>
      <c r="I63" s="94"/>
      <c r="J63" s="93"/>
      <c r="K63" s="85"/>
      <c r="M63" s="94"/>
      <c r="N63" s="93"/>
      <c r="O63" s="85"/>
      <c r="Q63" s="94"/>
      <c r="R63" s="93"/>
      <c r="S63" s="85"/>
      <c r="U63" s="94"/>
      <c r="V63" s="93"/>
      <c r="W63" s="85"/>
      <c r="Y63" s="94"/>
      <c r="Z63" s="93"/>
      <c r="AA63" s="85"/>
      <c r="AC63" s="94"/>
      <c r="AD63" s="93"/>
      <c r="AE63" s="85"/>
    </row>
    <row r="64" spans="7:31" ht="14.5" customHeight="1" x14ac:dyDescent="0.35">
      <c r="G64" s="85"/>
      <c r="H64" s="87"/>
      <c r="I64" s="94"/>
      <c r="J64" s="93"/>
      <c r="K64" s="85"/>
      <c r="M64" s="94"/>
      <c r="N64" s="93"/>
      <c r="O64" s="85"/>
      <c r="Q64" s="94"/>
      <c r="R64" s="93"/>
      <c r="S64" s="85"/>
      <c r="U64" s="94"/>
      <c r="V64" s="93"/>
      <c r="W64" s="85"/>
      <c r="Y64" s="94"/>
      <c r="Z64" s="93"/>
      <c r="AA64" s="85"/>
      <c r="AC64" s="94"/>
      <c r="AD64" s="93"/>
      <c r="AE64" s="85"/>
    </row>
    <row r="65" spans="7:31" ht="14.5" customHeight="1" x14ac:dyDescent="0.35">
      <c r="G65" s="85"/>
      <c r="H65" s="87"/>
      <c r="I65" s="94"/>
      <c r="J65" s="93"/>
      <c r="K65" s="85"/>
      <c r="M65" s="94"/>
      <c r="N65" s="93"/>
      <c r="O65" s="85"/>
      <c r="Q65" s="94"/>
      <c r="R65" s="93"/>
      <c r="S65" s="85"/>
      <c r="U65" s="94"/>
      <c r="V65" s="93"/>
      <c r="W65" s="85"/>
      <c r="Y65" s="94"/>
      <c r="Z65" s="93"/>
      <c r="AA65" s="85"/>
      <c r="AC65" s="94"/>
      <c r="AD65" s="93"/>
      <c r="AE65" s="85"/>
    </row>
    <row r="66" spans="7:31" ht="14.5" customHeight="1" x14ac:dyDescent="0.35">
      <c r="G66" s="85"/>
      <c r="H66" s="87"/>
      <c r="I66" s="94"/>
      <c r="J66" s="93"/>
      <c r="K66" s="85"/>
      <c r="M66" s="94"/>
      <c r="N66" s="93"/>
      <c r="O66" s="85"/>
      <c r="Q66" s="94"/>
      <c r="R66" s="93"/>
      <c r="S66" s="85"/>
      <c r="U66" s="94"/>
      <c r="V66" s="93"/>
      <c r="W66" s="85"/>
      <c r="Y66" s="94"/>
      <c r="Z66" s="93"/>
      <c r="AA66" s="85"/>
      <c r="AC66" s="94"/>
      <c r="AD66" s="93"/>
      <c r="AE66" s="85"/>
    </row>
    <row r="67" spans="7:31" ht="14.5" customHeight="1" x14ac:dyDescent="0.35">
      <c r="G67" s="85"/>
      <c r="H67" s="87"/>
      <c r="I67" s="94"/>
      <c r="J67" s="93"/>
      <c r="K67" s="85"/>
      <c r="M67" s="94"/>
      <c r="N67" s="93"/>
      <c r="O67" s="85"/>
      <c r="Q67" s="94"/>
      <c r="R67" s="93"/>
      <c r="S67" s="85"/>
      <c r="U67" s="94"/>
      <c r="V67" s="93"/>
      <c r="W67" s="85"/>
      <c r="Y67" s="94"/>
      <c r="Z67" s="93"/>
      <c r="AA67" s="85"/>
      <c r="AC67" s="94"/>
      <c r="AD67" s="93"/>
      <c r="AE67" s="85"/>
    </row>
    <row r="68" spans="7:31" ht="14.5" customHeight="1" x14ac:dyDescent="0.35">
      <c r="G68" s="85"/>
      <c r="H68" s="87"/>
      <c r="I68" s="94"/>
      <c r="J68" s="93"/>
      <c r="K68" s="85"/>
      <c r="M68" s="94"/>
      <c r="N68" s="93"/>
      <c r="O68" s="85"/>
      <c r="Q68" s="94"/>
      <c r="R68" s="93"/>
      <c r="S68" s="85"/>
      <c r="U68" s="94"/>
      <c r="V68" s="93"/>
      <c r="W68" s="85"/>
      <c r="Y68" s="94"/>
      <c r="Z68" s="93"/>
      <c r="AA68" s="85"/>
      <c r="AC68" s="94"/>
      <c r="AD68" s="93"/>
      <c r="AE68" s="85"/>
    </row>
    <row r="69" spans="7:31" ht="14.5" customHeight="1" x14ac:dyDescent="0.35">
      <c r="G69" s="85"/>
      <c r="H69" s="87"/>
      <c r="I69" s="94"/>
      <c r="J69" s="93"/>
      <c r="K69" s="85"/>
      <c r="M69" s="94"/>
      <c r="N69" s="93"/>
      <c r="O69" s="85"/>
      <c r="Q69" s="94"/>
      <c r="R69" s="93"/>
      <c r="S69" s="85"/>
      <c r="U69" s="94"/>
      <c r="V69" s="93"/>
      <c r="W69" s="85"/>
      <c r="Y69" s="94"/>
      <c r="Z69" s="93"/>
      <c r="AA69" s="85"/>
      <c r="AC69" s="94"/>
      <c r="AD69" s="93"/>
      <c r="AE69" s="85"/>
    </row>
    <row r="70" spans="7:31" ht="14.5" customHeight="1" x14ac:dyDescent="0.35">
      <c r="G70" s="85"/>
      <c r="H70" s="87"/>
      <c r="I70" s="94"/>
      <c r="J70" s="93"/>
      <c r="K70" s="85"/>
      <c r="M70" s="94"/>
      <c r="N70" s="93"/>
      <c r="O70" s="85"/>
      <c r="Q70" s="94"/>
      <c r="R70" s="93"/>
      <c r="S70" s="85"/>
      <c r="U70" s="94"/>
      <c r="V70" s="93"/>
      <c r="W70" s="85"/>
      <c r="Y70" s="94"/>
      <c r="Z70" s="93"/>
      <c r="AA70" s="85"/>
      <c r="AC70" s="94"/>
      <c r="AD70" s="93"/>
      <c r="AE70" s="85"/>
    </row>
    <row r="71" spans="7:31" ht="14.5" customHeight="1" x14ac:dyDescent="0.35">
      <c r="G71" s="85"/>
      <c r="H71" s="87"/>
      <c r="I71" s="94"/>
      <c r="J71" s="93"/>
      <c r="K71" s="85"/>
      <c r="M71" s="94"/>
      <c r="N71" s="93"/>
      <c r="O71" s="85"/>
      <c r="Q71" s="94"/>
      <c r="R71" s="93"/>
      <c r="S71" s="85"/>
      <c r="U71" s="94"/>
      <c r="V71" s="93"/>
      <c r="W71" s="85"/>
      <c r="Y71" s="94"/>
      <c r="Z71" s="93"/>
      <c r="AA71" s="85"/>
      <c r="AC71" s="94"/>
      <c r="AD71" s="93"/>
      <c r="AE71" s="85"/>
    </row>
    <row r="72" spans="7:31" ht="14.5" customHeight="1" x14ac:dyDescent="0.35">
      <c r="G72" s="85"/>
      <c r="H72" s="87"/>
      <c r="I72" s="94"/>
      <c r="J72" s="93"/>
      <c r="K72" s="85"/>
      <c r="M72" s="94"/>
      <c r="N72" s="93"/>
      <c r="O72" s="85"/>
      <c r="Q72" s="94"/>
      <c r="R72" s="93"/>
      <c r="S72" s="85"/>
      <c r="U72" s="94"/>
      <c r="V72" s="93"/>
      <c r="W72" s="85"/>
      <c r="Y72" s="94"/>
      <c r="Z72" s="93"/>
      <c r="AA72" s="85"/>
      <c r="AC72" s="94"/>
      <c r="AD72" s="93"/>
      <c r="AE72" s="85"/>
    </row>
    <row r="73" spans="7:31" ht="14.5" customHeight="1" x14ac:dyDescent="0.35">
      <c r="G73" s="85"/>
      <c r="H73" s="87"/>
      <c r="I73" s="94"/>
      <c r="J73" s="93"/>
      <c r="K73" s="85"/>
      <c r="M73" s="94"/>
      <c r="N73" s="93"/>
      <c r="O73" s="85"/>
      <c r="Q73" s="94"/>
      <c r="R73" s="93"/>
      <c r="S73" s="85"/>
      <c r="U73" s="94"/>
      <c r="V73" s="93"/>
      <c r="W73" s="85"/>
      <c r="Y73" s="94"/>
      <c r="Z73" s="93"/>
      <c r="AA73" s="85"/>
      <c r="AC73" s="94"/>
      <c r="AD73" s="93"/>
      <c r="AE73" s="85"/>
    </row>
    <row r="74" spans="7:31" ht="14.5" customHeight="1" x14ac:dyDescent="0.35">
      <c r="G74" s="85"/>
      <c r="H74" s="87"/>
      <c r="I74" s="94"/>
      <c r="J74" s="93"/>
      <c r="K74" s="85"/>
      <c r="M74" s="94"/>
      <c r="N74" s="93"/>
      <c r="O74" s="85"/>
      <c r="Q74" s="94"/>
      <c r="R74" s="93"/>
      <c r="S74" s="85"/>
      <c r="U74" s="94"/>
      <c r="V74" s="93"/>
      <c r="W74" s="85"/>
      <c r="Y74" s="94"/>
      <c r="Z74" s="93"/>
      <c r="AA74" s="85"/>
      <c r="AC74" s="94"/>
      <c r="AD74" s="93"/>
      <c r="AE74" s="85"/>
    </row>
    <row r="75" spans="7:31" ht="14.5" customHeight="1" x14ac:dyDescent="0.35">
      <c r="G75" s="85"/>
      <c r="H75" s="87"/>
      <c r="I75" s="94"/>
      <c r="J75" s="93"/>
      <c r="K75" s="85"/>
      <c r="M75" s="94"/>
      <c r="N75" s="93"/>
      <c r="O75" s="85"/>
      <c r="Q75" s="94"/>
      <c r="R75" s="93"/>
      <c r="S75" s="85"/>
      <c r="U75" s="94"/>
      <c r="V75" s="93"/>
      <c r="W75" s="85"/>
      <c r="Y75" s="94"/>
      <c r="Z75" s="93"/>
      <c r="AA75" s="85"/>
      <c r="AC75" s="94"/>
      <c r="AD75" s="93"/>
      <c r="AE75" s="85"/>
    </row>
    <row r="76" spans="7:31" ht="14.5" customHeight="1" x14ac:dyDescent="0.35">
      <c r="G76" s="85"/>
      <c r="H76" s="87"/>
      <c r="I76" s="94"/>
      <c r="J76" s="93"/>
      <c r="K76" s="85"/>
      <c r="M76" s="94"/>
      <c r="N76" s="93"/>
      <c r="O76" s="85"/>
      <c r="Q76" s="94"/>
      <c r="R76" s="93"/>
      <c r="S76" s="85"/>
      <c r="U76" s="94"/>
      <c r="V76" s="93"/>
      <c r="W76" s="85"/>
      <c r="Y76" s="94"/>
      <c r="Z76" s="93"/>
      <c r="AA76" s="85"/>
      <c r="AC76" s="94"/>
      <c r="AD76" s="93"/>
      <c r="AE76" s="85"/>
    </row>
    <row r="77" spans="7:31" ht="14.5" customHeight="1" x14ac:dyDescent="0.35">
      <c r="G77" s="85"/>
      <c r="H77" s="87"/>
      <c r="I77" s="94"/>
      <c r="J77" s="93"/>
      <c r="K77" s="85"/>
      <c r="M77" s="94"/>
      <c r="N77" s="93"/>
      <c r="O77" s="85"/>
      <c r="Q77" s="94"/>
      <c r="R77" s="93"/>
      <c r="S77" s="85"/>
      <c r="U77" s="94"/>
      <c r="V77" s="93"/>
      <c r="W77" s="85"/>
      <c r="Y77" s="94"/>
      <c r="Z77" s="93"/>
      <c r="AA77" s="85"/>
      <c r="AC77" s="94"/>
      <c r="AD77" s="93"/>
      <c r="AE77" s="85"/>
    </row>
    <row r="78" spans="7:31" ht="14.5" customHeight="1" x14ac:dyDescent="0.35">
      <c r="G78" s="85"/>
      <c r="H78" s="87"/>
      <c r="I78" s="94"/>
      <c r="J78" s="93"/>
      <c r="K78" s="85"/>
      <c r="M78" s="94"/>
      <c r="N78" s="93"/>
      <c r="O78" s="85"/>
      <c r="Q78" s="94"/>
      <c r="R78" s="93"/>
      <c r="S78" s="85"/>
      <c r="U78" s="94"/>
      <c r="V78" s="93"/>
      <c r="W78" s="85"/>
      <c r="Y78" s="94"/>
      <c r="Z78" s="93"/>
      <c r="AA78" s="85"/>
      <c r="AC78" s="94"/>
      <c r="AD78" s="93"/>
      <c r="AE78" s="85"/>
    </row>
    <row r="79" spans="7:31" ht="14.5" customHeight="1" x14ac:dyDescent="0.35">
      <c r="G79" s="85"/>
      <c r="H79" s="87"/>
      <c r="I79" s="94"/>
      <c r="J79" s="93"/>
      <c r="K79" s="85"/>
      <c r="M79" s="94"/>
      <c r="N79" s="93"/>
      <c r="O79" s="85"/>
      <c r="Q79" s="94"/>
      <c r="R79" s="93"/>
      <c r="S79" s="85"/>
      <c r="U79" s="94"/>
      <c r="V79" s="93"/>
      <c r="W79" s="85"/>
      <c r="Y79" s="94"/>
      <c r="Z79" s="93"/>
      <c r="AA79" s="85"/>
      <c r="AC79" s="94"/>
      <c r="AD79" s="93"/>
      <c r="AE79" s="85"/>
    </row>
    <row r="80" spans="7:31" ht="14.5" customHeight="1" x14ac:dyDescent="0.35">
      <c r="G80" s="85"/>
      <c r="H80" s="87"/>
      <c r="I80" s="94"/>
      <c r="J80" s="93"/>
      <c r="K80" s="85"/>
      <c r="M80" s="94"/>
      <c r="N80" s="93"/>
      <c r="O80" s="85"/>
      <c r="Q80" s="94"/>
      <c r="R80" s="93"/>
      <c r="S80" s="85"/>
      <c r="U80" s="94"/>
      <c r="V80" s="93"/>
      <c r="W80" s="85"/>
      <c r="Y80" s="94"/>
      <c r="Z80" s="93"/>
      <c r="AA80" s="85"/>
      <c r="AC80" s="94"/>
      <c r="AD80" s="93"/>
      <c r="AE80" s="85"/>
    </row>
    <row r="81" spans="7:31" ht="14.5" customHeight="1" x14ac:dyDescent="0.35">
      <c r="G81" s="85"/>
      <c r="H81" s="87"/>
      <c r="I81" s="94"/>
      <c r="J81" s="93"/>
      <c r="K81" s="85"/>
      <c r="M81" s="94"/>
      <c r="N81" s="93"/>
      <c r="O81" s="85"/>
      <c r="Q81" s="94"/>
      <c r="R81" s="93"/>
      <c r="S81" s="85"/>
      <c r="U81" s="94"/>
      <c r="V81" s="93"/>
      <c r="W81" s="85"/>
      <c r="Y81" s="94"/>
      <c r="Z81" s="93"/>
      <c r="AA81" s="85"/>
      <c r="AC81" s="94"/>
      <c r="AD81" s="93"/>
      <c r="AE81" s="85"/>
    </row>
    <row r="82" spans="7:31" ht="14.5" customHeight="1" x14ac:dyDescent="0.35">
      <c r="G82" s="85"/>
      <c r="H82" s="87"/>
      <c r="I82" s="94"/>
      <c r="J82" s="93"/>
      <c r="K82" s="85"/>
      <c r="M82" s="94"/>
      <c r="N82" s="93"/>
      <c r="O82" s="85"/>
      <c r="Q82" s="94"/>
      <c r="R82" s="93"/>
      <c r="S82" s="85"/>
      <c r="U82" s="94"/>
      <c r="V82" s="93"/>
      <c r="W82" s="85"/>
      <c r="Y82" s="94"/>
      <c r="Z82" s="93"/>
      <c r="AA82" s="85"/>
      <c r="AC82" s="94"/>
      <c r="AD82" s="93"/>
      <c r="AE82" s="85"/>
    </row>
    <row r="83" spans="7:31" ht="14.5" customHeight="1" x14ac:dyDescent="0.35">
      <c r="G83" s="85"/>
      <c r="H83" s="87"/>
      <c r="I83" s="94"/>
      <c r="J83" s="93"/>
      <c r="K83" s="85"/>
      <c r="M83" s="94"/>
      <c r="N83" s="93"/>
      <c r="O83" s="85"/>
      <c r="Q83" s="94"/>
      <c r="R83" s="93"/>
      <c r="S83" s="85"/>
      <c r="U83" s="94"/>
      <c r="V83" s="93"/>
      <c r="W83" s="85"/>
      <c r="Y83" s="94"/>
      <c r="Z83" s="93"/>
      <c r="AA83" s="85"/>
      <c r="AC83" s="94"/>
      <c r="AD83" s="93"/>
      <c r="AE83" s="85"/>
    </row>
    <row r="84" spans="7:31" ht="14.5" customHeight="1" x14ac:dyDescent="0.35">
      <c r="G84" s="85"/>
      <c r="H84" s="87"/>
      <c r="I84" s="94"/>
      <c r="J84" s="93"/>
      <c r="K84" s="85"/>
      <c r="M84" s="94"/>
      <c r="N84" s="93"/>
      <c r="O84" s="85"/>
      <c r="Q84" s="94"/>
      <c r="R84" s="93"/>
      <c r="S84" s="85"/>
      <c r="U84" s="94"/>
      <c r="V84" s="93"/>
      <c r="W84" s="85"/>
      <c r="Y84" s="94"/>
      <c r="Z84" s="93"/>
      <c r="AA84" s="85"/>
      <c r="AC84" s="94"/>
      <c r="AD84" s="93"/>
      <c r="AE84" s="85"/>
    </row>
    <row r="85" spans="7:31" ht="14.5" customHeight="1" x14ac:dyDescent="0.35">
      <c r="G85" s="85"/>
      <c r="H85" s="87"/>
      <c r="I85" s="94"/>
      <c r="J85" s="93"/>
      <c r="K85" s="85"/>
      <c r="M85" s="94"/>
      <c r="N85" s="93"/>
      <c r="O85" s="85"/>
      <c r="Q85" s="94"/>
      <c r="R85" s="93"/>
      <c r="S85" s="85"/>
      <c r="U85" s="94"/>
      <c r="V85" s="93"/>
      <c r="W85" s="85"/>
      <c r="Y85" s="94"/>
      <c r="Z85" s="93"/>
      <c r="AA85" s="85"/>
      <c r="AC85" s="94"/>
      <c r="AD85" s="93"/>
      <c r="AE85" s="85"/>
    </row>
    <row r="86" spans="7:31" ht="14.5" customHeight="1" x14ac:dyDescent="0.35">
      <c r="G86" s="85"/>
      <c r="H86" s="87"/>
      <c r="I86" s="94"/>
      <c r="J86" s="93"/>
      <c r="K86" s="85"/>
      <c r="M86" s="94"/>
      <c r="N86" s="93"/>
      <c r="O86" s="85"/>
      <c r="Q86" s="94"/>
      <c r="R86" s="93"/>
      <c r="S86" s="85"/>
      <c r="U86" s="94"/>
      <c r="V86" s="93"/>
      <c r="W86" s="85"/>
      <c r="Y86" s="94"/>
      <c r="Z86" s="93"/>
      <c r="AA86" s="85"/>
      <c r="AC86" s="94"/>
      <c r="AD86" s="93"/>
      <c r="AE86" s="85"/>
    </row>
    <row r="87" spans="7:31" ht="14.5" customHeight="1" x14ac:dyDescent="0.35">
      <c r="G87" s="85"/>
      <c r="H87" s="87"/>
      <c r="I87" s="94"/>
      <c r="J87" s="93"/>
      <c r="K87" s="85"/>
      <c r="M87" s="94"/>
      <c r="N87" s="93"/>
      <c r="O87" s="85"/>
      <c r="Q87" s="94"/>
      <c r="R87" s="93"/>
      <c r="S87" s="85"/>
      <c r="U87" s="94"/>
      <c r="V87" s="93"/>
      <c r="W87" s="85"/>
      <c r="Y87" s="94"/>
      <c r="Z87" s="93"/>
      <c r="AA87" s="85"/>
      <c r="AC87" s="94"/>
      <c r="AD87" s="93"/>
      <c r="AE87" s="85"/>
    </row>
    <row r="88" spans="7:31" ht="14.5" customHeight="1" x14ac:dyDescent="0.35">
      <c r="G88" s="85"/>
      <c r="H88" s="87"/>
      <c r="I88" s="94"/>
      <c r="J88" s="93"/>
      <c r="K88" s="85"/>
      <c r="M88" s="94"/>
      <c r="N88" s="93"/>
      <c r="O88" s="85"/>
      <c r="Q88" s="94"/>
      <c r="R88" s="93"/>
      <c r="S88" s="85"/>
      <c r="U88" s="94"/>
      <c r="V88" s="93"/>
      <c r="W88" s="85"/>
      <c r="Y88" s="94"/>
      <c r="Z88" s="93"/>
      <c r="AA88" s="85"/>
      <c r="AC88" s="94"/>
      <c r="AD88" s="93"/>
      <c r="AE88" s="85"/>
    </row>
    <row r="89" spans="7:31" ht="14.5" customHeight="1" x14ac:dyDescent="0.35">
      <c r="G89" s="85"/>
      <c r="H89" s="87"/>
      <c r="I89" s="94"/>
      <c r="J89" s="93"/>
      <c r="K89" s="85"/>
      <c r="M89" s="94"/>
      <c r="N89" s="93"/>
      <c r="O89" s="85"/>
      <c r="Q89" s="94"/>
      <c r="R89" s="93"/>
      <c r="S89" s="85"/>
      <c r="U89" s="94"/>
      <c r="V89" s="93"/>
      <c r="W89" s="85"/>
      <c r="Y89" s="94"/>
      <c r="Z89" s="93"/>
      <c r="AA89" s="85"/>
      <c r="AC89" s="94"/>
      <c r="AD89" s="93"/>
      <c r="AE89" s="85"/>
    </row>
    <row r="90" spans="7:31" ht="14.5" customHeight="1" x14ac:dyDescent="0.35">
      <c r="G90" s="85"/>
      <c r="H90" s="87"/>
      <c r="I90" s="94"/>
      <c r="J90" s="93"/>
      <c r="K90" s="85"/>
      <c r="M90" s="94"/>
      <c r="N90" s="93"/>
      <c r="O90" s="85"/>
      <c r="Q90" s="94"/>
      <c r="R90" s="93"/>
      <c r="S90" s="85"/>
      <c r="U90" s="94"/>
      <c r="V90" s="93"/>
      <c r="W90" s="85"/>
      <c r="Y90" s="94"/>
      <c r="Z90" s="93"/>
      <c r="AA90" s="85"/>
      <c r="AC90" s="94"/>
      <c r="AD90" s="93"/>
      <c r="AE90" s="85"/>
    </row>
    <row r="91" spans="7:31" ht="14.5" customHeight="1" x14ac:dyDescent="0.35">
      <c r="G91" s="85"/>
      <c r="H91" s="87"/>
      <c r="I91" s="94"/>
      <c r="J91" s="93"/>
      <c r="K91" s="85"/>
      <c r="M91" s="94"/>
      <c r="N91" s="93"/>
      <c r="O91" s="85"/>
      <c r="Q91" s="94"/>
      <c r="R91" s="93"/>
      <c r="S91" s="85"/>
      <c r="U91" s="94"/>
      <c r="V91" s="93"/>
      <c r="W91" s="85"/>
      <c r="Y91" s="94"/>
      <c r="Z91" s="93"/>
      <c r="AA91" s="85"/>
      <c r="AC91" s="94"/>
      <c r="AD91" s="93"/>
      <c r="AE91" s="85"/>
    </row>
    <row r="92" spans="7:31" ht="14.5" customHeight="1" x14ac:dyDescent="0.35">
      <c r="G92" s="85"/>
      <c r="H92" s="87"/>
      <c r="I92" s="94"/>
      <c r="J92" s="93"/>
      <c r="K92" s="85"/>
      <c r="M92" s="94"/>
      <c r="N92" s="93"/>
      <c r="O92" s="85"/>
      <c r="Q92" s="94"/>
      <c r="R92" s="93"/>
      <c r="S92" s="85"/>
      <c r="U92" s="94"/>
      <c r="V92" s="93"/>
      <c r="W92" s="85"/>
      <c r="Y92" s="94"/>
      <c r="Z92" s="93"/>
      <c r="AA92" s="85"/>
      <c r="AC92" s="94"/>
      <c r="AD92" s="93"/>
      <c r="AE92" s="85"/>
    </row>
    <row r="93" spans="7:31" ht="14.5" customHeight="1" x14ac:dyDescent="0.35">
      <c r="G93" s="85"/>
      <c r="H93" s="87"/>
      <c r="I93" s="94"/>
      <c r="J93" s="93"/>
      <c r="K93" s="85"/>
      <c r="M93" s="94"/>
      <c r="N93" s="93"/>
      <c r="O93" s="85"/>
      <c r="Q93" s="94"/>
      <c r="R93" s="93"/>
      <c r="S93" s="85"/>
      <c r="U93" s="94"/>
      <c r="V93" s="93"/>
      <c r="W93" s="85"/>
      <c r="Y93" s="94"/>
      <c r="Z93" s="93"/>
      <c r="AA93" s="85"/>
      <c r="AC93" s="94"/>
      <c r="AD93" s="93"/>
      <c r="AE93" s="85"/>
    </row>
    <row r="94" spans="7:31" ht="14.5" customHeight="1" x14ac:dyDescent="0.35">
      <c r="G94" s="85"/>
      <c r="H94" s="87"/>
      <c r="I94" s="94"/>
      <c r="J94" s="93"/>
      <c r="K94" s="85"/>
      <c r="M94" s="94"/>
      <c r="N94" s="93"/>
      <c r="O94" s="85"/>
      <c r="Q94" s="94"/>
      <c r="R94" s="93"/>
      <c r="S94" s="85"/>
      <c r="U94" s="94"/>
      <c r="V94" s="93"/>
      <c r="W94" s="85"/>
      <c r="Y94" s="94"/>
      <c r="Z94" s="93"/>
      <c r="AA94" s="85"/>
      <c r="AC94" s="94"/>
      <c r="AD94" s="93"/>
      <c r="AE94" s="85"/>
    </row>
    <row r="95" spans="7:31" ht="14.5" customHeight="1" x14ac:dyDescent="0.35">
      <c r="G95" s="85"/>
      <c r="H95" s="87"/>
      <c r="I95" s="94"/>
      <c r="J95" s="93"/>
      <c r="K95" s="85"/>
      <c r="M95" s="94"/>
      <c r="N95" s="93"/>
      <c r="O95" s="85"/>
      <c r="Q95" s="94"/>
      <c r="R95" s="93"/>
      <c r="S95" s="85"/>
      <c r="U95" s="94"/>
      <c r="V95" s="93"/>
      <c r="W95" s="85"/>
      <c r="Y95" s="94"/>
      <c r="Z95" s="93"/>
      <c r="AA95" s="85"/>
      <c r="AC95" s="94"/>
      <c r="AD95" s="93"/>
      <c r="AE95" s="85"/>
    </row>
    <row r="96" spans="7:31" ht="14.5" customHeight="1" x14ac:dyDescent="0.35">
      <c r="G96" s="85"/>
      <c r="H96" s="87"/>
      <c r="I96" s="94"/>
      <c r="J96" s="93"/>
      <c r="K96" s="85"/>
      <c r="M96" s="94"/>
      <c r="N96" s="93"/>
      <c r="O96" s="85"/>
      <c r="Q96" s="94"/>
      <c r="R96" s="93"/>
      <c r="S96" s="85"/>
      <c r="U96" s="94"/>
      <c r="V96" s="93"/>
      <c r="W96" s="85"/>
      <c r="Y96" s="94"/>
      <c r="Z96" s="93"/>
      <c r="AA96" s="85"/>
      <c r="AC96" s="94"/>
      <c r="AD96" s="93"/>
      <c r="AE96" s="85"/>
    </row>
    <row r="97" spans="7:31" ht="14.5" customHeight="1" x14ac:dyDescent="0.35">
      <c r="G97" s="85"/>
      <c r="H97" s="87"/>
      <c r="I97" s="94"/>
      <c r="J97" s="93"/>
      <c r="K97" s="85"/>
      <c r="M97" s="94"/>
      <c r="N97" s="93"/>
      <c r="O97" s="85"/>
      <c r="Q97" s="94"/>
      <c r="R97" s="93"/>
      <c r="S97" s="85"/>
      <c r="U97" s="94"/>
      <c r="V97" s="93"/>
      <c r="W97" s="85"/>
      <c r="Y97" s="94"/>
      <c r="Z97" s="93"/>
      <c r="AA97" s="85"/>
      <c r="AC97" s="94"/>
      <c r="AD97" s="93"/>
      <c r="AE97" s="85"/>
    </row>
    <row r="98" spans="7:31" ht="14.5" customHeight="1" x14ac:dyDescent="0.35">
      <c r="G98" s="85"/>
      <c r="H98" s="87"/>
      <c r="I98" s="94"/>
      <c r="J98" s="93"/>
      <c r="K98" s="85"/>
      <c r="M98" s="94"/>
      <c r="N98" s="93"/>
      <c r="O98" s="85"/>
      <c r="Q98" s="94"/>
      <c r="R98" s="93"/>
      <c r="S98" s="85"/>
      <c r="U98" s="94"/>
      <c r="V98" s="93"/>
      <c r="W98" s="85"/>
      <c r="Y98" s="94"/>
      <c r="Z98" s="93"/>
      <c r="AA98" s="85"/>
      <c r="AC98" s="94"/>
      <c r="AD98" s="93"/>
      <c r="AE98" s="85"/>
    </row>
    <row r="99" spans="7:31" ht="14.5" customHeight="1" x14ac:dyDescent="0.35">
      <c r="G99" s="85"/>
      <c r="H99" s="87"/>
      <c r="I99" s="94"/>
      <c r="J99" s="93"/>
      <c r="K99" s="85"/>
      <c r="M99" s="94"/>
      <c r="N99" s="93"/>
      <c r="O99" s="85"/>
      <c r="Q99" s="94"/>
      <c r="R99" s="93"/>
      <c r="S99" s="85"/>
      <c r="U99" s="94"/>
      <c r="V99" s="93"/>
      <c r="W99" s="85"/>
      <c r="Y99" s="94"/>
      <c r="Z99" s="93"/>
      <c r="AA99" s="85"/>
      <c r="AC99" s="94"/>
      <c r="AD99" s="93"/>
      <c r="AE99" s="85"/>
    </row>
    <row r="100" spans="7:31" ht="14.5" customHeight="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ht="14.5" customHeight="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ht="14.5" customHeight="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ht="14.5" customHeight="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ht="14.5" customHeight="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ht="14.5" customHeight="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ht="14.5" customHeight="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ht="14.5" customHeight="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ht="14.5" customHeight="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ht="14.5" customHeight="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ht="14.5" customHeight="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ht="14.5" customHeight="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ht="14.5" customHeight="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ht="14.5" customHeight="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ht="14.5" customHeight="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ht="14.5" customHeight="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ht="14.5" customHeight="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ht="14.5" customHeight="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ht="14.5" customHeight="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ht="14.5" customHeight="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ht="14.5" customHeight="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ht="14.5" customHeight="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ht="14.5" customHeight="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ht="14.5" customHeight="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ht="14.5" customHeight="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ht="14.5" customHeight="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ht="14.5" customHeight="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ht="14.5" customHeight="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ht="14.5" customHeight="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ht="14.5" customHeight="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ht="14.5" customHeight="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ht="14.5" customHeight="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ht="14.5" customHeight="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ht="14.5" customHeight="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ht="14.5" customHeight="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ht="14.5" customHeight="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ht="14.5" customHeight="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ht="14.5" customHeight="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ht="14.5" customHeight="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ht="14.5" customHeight="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ht="14.5" customHeight="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ht="14.5" customHeight="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ht="14.5" customHeight="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ht="14.5" customHeight="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ht="14.5" customHeight="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ht="14.5" customHeight="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ht="14.5" customHeight="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ht="14.5" customHeight="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ht="14.5" customHeight="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ht="14.5" customHeight="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ht="14.5" customHeight="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ht="14.5" customHeight="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ht="14.5" customHeight="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ht="14.5" customHeight="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ht="14.5" customHeight="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ht="14.5" customHeight="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ht="14.5" customHeight="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ht="14.5" customHeight="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ht="14.5" customHeight="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ht="14.5" customHeight="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ht="14.5" customHeight="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ht="14.5" customHeight="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ht="14.5" customHeight="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ht="14.5" customHeight="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ht="14.5" customHeight="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ht="14.5" customHeight="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ht="14.5" customHeight="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ht="14.5" customHeight="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ht="14.5" customHeight="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ht="14.5" customHeight="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ht="14.5" customHeight="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ht="14.5" customHeight="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ht="14.5" customHeight="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ht="14.5" customHeight="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ht="14.5" customHeight="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ht="14.5" customHeight="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ht="14.5" customHeight="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ht="14.5" customHeight="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ht="14.5" customHeight="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ht="14.5" customHeight="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ht="14.5" customHeight="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ht="14.5" customHeight="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ht="14.5" customHeight="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ht="14.5" customHeight="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ht="14.5" customHeight="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ht="14.5" customHeight="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ht="14.5" customHeight="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ht="14.5" customHeight="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ht="14.5" customHeight="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ht="14.5" customHeight="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ht="14.5" customHeight="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ht="14.5" customHeight="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ht="14.5" customHeight="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ht="14.5" customHeight="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ht="14.5" customHeight="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ht="14.5" customHeight="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ht="14.5" customHeight="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ht="14.5" customHeight="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ht="14.5" customHeight="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ht="14.5" customHeight="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ht="14.5" customHeight="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ht="14.5" customHeight="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ht="14.5" customHeight="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ht="14.5" customHeight="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ht="14.5" customHeight="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ht="14.5" customHeight="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ht="14.5" customHeight="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ht="14.5" customHeight="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ht="14.5" customHeight="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ht="14.5" customHeight="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ht="14.5" customHeight="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ht="14.5" customHeight="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ht="14.5" customHeight="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ht="14.5" customHeight="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ht="14.5" customHeight="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ht="14.5" customHeight="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ht="14.5" customHeight="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ht="14.5" customHeight="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ht="14.5" customHeight="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ht="14.5" customHeight="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ht="14.5" customHeight="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ht="14.5" customHeight="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ht="14.5" customHeight="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ht="14.5" customHeight="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ht="14.5" customHeight="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ht="14.5" customHeight="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ht="14.5" customHeight="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ht="14.5" customHeight="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ht="14.5" customHeight="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ht="14.5" customHeight="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ht="14.5" customHeight="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ht="14.5" customHeight="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ht="14.5" customHeight="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ht="14.5" customHeight="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ht="14.5" customHeight="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ht="14.5" customHeight="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ht="14.5" customHeight="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ht="14.5" customHeight="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ht="14.5" customHeight="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ht="14.5" customHeight="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ht="14.5" customHeight="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ht="14.5" customHeight="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ht="14.5" customHeight="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ht="14.5" customHeight="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ht="14.5" customHeight="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ht="14.5" customHeight="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ht="14.5" customHeight="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ht="14.5" customHeight="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ht="14.5" customHeight="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ht="14.5" customHeight="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ht="14.5" customHeight="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ht="14.5" customHeight="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ht="14.5" customHeight="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ht="14.5" customHeight="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ht="14.5" customHeight="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ht="14.5" customHeight="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ht="14.5" customHeight="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ht="14.5" customHeight="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ht="14.5" customHeight="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ht="14.5" customHeight="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ht="14.5" customHeight="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ht="14.5" customHeight="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ht="14.5" customHeight="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ht="14.5" customHeight="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ht="14.5" customHeight="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ht="14.5" customHeight="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ht="14.5" customHeight="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ht="14.5" customHeight="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ht="14.5" customHeight="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ht="14.5" customHeight="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ht="14.5" customHeight="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ht="14.5" customHeight="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ht="14.5" customHeight="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ht="14.5" customHeight="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ht="14.5" customHeight="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ht="14.5" customHeight="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ht="14.5" customHeight="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ht="14.5" customHeight="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ht="14.5" customHeight="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ht="14.5" customHeight="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ht="14.5" customHeight="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ht="14.5" customHeight="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ht="14.5" customHeight="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ht="14.5" customHeight="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ht="14.5" customHeight="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ht="14.5" customHeight="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ht="14.5" customHeight="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ht="14.5" customHeight="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ht="14.5" customHeight="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ht="14.5" customHeight="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ht="14.5" customHeight="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ht="14.5" customHeight="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ht="14.5" customHeight="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ht="14.5" customHeight="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ht="14.5" customHeight="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ht="14.5" customHeight="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ht="14.5" customHeight="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ht="14.5" customHeight="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ht="14.5" customHeight="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ht="14.5" customHeight="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ht="14.5" customHeight="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ht="14.5" customHeight="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ht="14.5" customHeight="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ht="14.5" customHeight="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ht="14.5" customHeight="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ht="14.5" customHeight="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ht="14.5" customHeight="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ht="14.5" customHeight="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ht="14.5" customHeight="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ht="14.5" customHeight="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ht="14.5" customHeight="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ht="14.5" customHeight="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ht="14.5" customHeight="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ht="14.5" customHeight="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ht="14.5" customHeight="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ht="14.5" customHeight="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ht="14.5" customHeight="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ht="14.5" customHeight="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ht="14.5" customHeight="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ht="14.5" customHeight="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ht="14.5" customHeight="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ht="14.5" customHeight="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ht="14.5" customHeight="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ht="14.5" customHeight="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ht="14.5" customHeight="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ht="14.5" customHeight="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ht="14.5" customHeight="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ht="14.5" customHeight="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ht="14.5" customHeight="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ht="14.5" customHeight="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ht="14.5" customHeight="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ht="14.5" customHeight="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ht="14.5" customHeight="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ht="14.5" customHeight="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ht="14.5" customHeight="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ht="14.5" customHeight="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ht="14.5" customHeight="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ht="14.5" customHeight="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ht="14.5" customHeight="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ht="14.5" customHeight="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ht="14.5" customHeight="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ht="14.5" customHeight="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ht="14.5" customHeight="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ht="14.5" customHeight="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ht="14.5" customHeight="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ht="14.5" customHeight="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ht="14.5" customHeight="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ht="14.5" customHeight="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ht="14.5" customHeight="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ht="14.5" customHeight="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ht="14.5" customHeight="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ht="14.5" customHeight="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ht="14.5" customHeight="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ht="14.5" customHeight="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ht="14.5" customHeight="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ht="14.5" customHeight="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ht="14.5" customHeight="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ht="14.5" customHeight="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ht="14.5" customHeight="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ht="14.5" customHeight="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ht="14.5" customHeight="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ht="14.5" customHeight="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ht="14.5" customHeight="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ht="14.5" customHeight="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ht="14.5" customHeight="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ht="14.5" customHeight="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ht="14.5" customHeight="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ht="14.5" customHeight="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ht="14.5" customHeight="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ht="14.5" customHeight="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ht="14.5" customHeight="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ht="14.5" customHeight="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ht="14.5" customHeight="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ht="14.5" customHeight="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ht="14.5" customHeight="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ht="14.5" customHeight="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ht="14.5" customHeight="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ht="14.5" customHeight="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ht="14.5" customHeight="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ht="14.5" customHeight="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ht="14.5" customHeight="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ht="14.5" customHeight="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ht="14.5" customHeight="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ht="14.5" customHeight="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ht="14.5" customHeight="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ht="14.5" customHeight="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ht="14.5" customHeight="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ht="14.5" customHeight="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ht="14.5" customHeight="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ht="14.5" customHeight="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ht="14.5" customHeight="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ht="14.5" customHeight="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ht="14.5" customHeight="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ht="14.5" customHeight="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ht="14.5" customHeight="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ht="14.5" customHeight="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ht="14.5" customHeight="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ht="14.5" customHeight="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ht="14.5" customHeight="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ht="14.5" customHeight="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ht="14.5" customHeight="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ht="14.5" customHeight="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ht="14.5" customHeight="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ht="14.5" customHeight="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ht="14.5" customHeight="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ht="14.5" customHeight="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ht="14.5" customHeight="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ht="14.5" customHeight="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ht="14.5" customHeight="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ht="14.5" customHeight="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ht="14.5" customHeight="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ht="14.5" customHeight="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ht="14.5" customHeight="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ht="14.5" customHeight="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ht="14.5" customHeight="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ht="14.5" customHeight="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ht="14.5" customHeight="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ht="14.5" customHeight="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ht="14.5" customHeight="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ht="14.5" customHeight="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ht="14.5" customHeight="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ht="14.5" customHeight="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ht="14.5" customHeight="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ht="14.5" customHeight="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ht="14.5" customHeight="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ht="14.5" customHeight="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ht="14.5" customHeight="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ht="14.5" customHeight="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ht="14.5" customHeight="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ht="14.5" customHeight="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ht="14.5" customHeight="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ht="14.5" customHeight="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ht="14.5" customHeight="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ht="14.5" customHeight="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ht="14.5" customHeight="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ht="14.5" customHeight="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ht="14.5" customHeight="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ht="14.5" customHeight="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ht="14.5" customHeight="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ht="14.5" customHeight="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ht="14.5" customHeight="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ht="14.5" customHeight="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ht="14.5" customHeight="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ht="14.5" customHeight="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ht="14.5" customHeight="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ht="14.5" customHeight="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ht="14.5" customHeight="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ht="14.5" customHeight="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ht="14.5" customHeight="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ht="14.5" customHeight="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ht="14.5" customHeight="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ht="14.5" customHeight="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ht="14.5" customHeight="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ht="14.5" customHeight="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ht="14.5" customHeight="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ht="14.5" customHeight="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ht="14.5" customHeight="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ht="14.5" customHeight="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ht="14.5" customHeight="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ht="14.5" customHeight="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ht="14.5" customHeight="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ht="14.5" customHeight="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ht="14.5" customHeight="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ht="14.5" customHeight="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ht="14.5" customHeight="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ht="14.5" customHeight="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ht="14.5" customHeight="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ht="14.5" customHeight="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ht="14.5" customHeight="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ht="14.5" customHeight="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ht="14.5" customHeight="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ht="14.5" customHeight="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ht="14.5" customHeight="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ht="14.5" customHeight="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ht="14.5" customHeight="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ht="14.5" customHeight="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ht="14.5" customHeight="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ht="14.5" customHeight="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ht="14.5" customHeight="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ht="14.5" customHeight="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ht="14.5" customHeight="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ht="14.5" customHeight="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ht="14.5" customHeight="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ht="14.5" customHeight="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ht="14.5" customHeight="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ht="14.5" customHeight="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ht="14.5" customHeight="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ht="14.5" customHeight="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ht="14.5" customHeight="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ht="14.5" customHeight="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ht="14.5" customHeight="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ht="14.5" customHeight="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ht="14.5" customHeight="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ht="14.5" customHeight="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ht="14.5" customHeight="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ht="14.5" customHeight="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ht="14.5" customHeight="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ht="14.5" customHeight="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ht="14.5" customHeight="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ht="14.5" customHeight="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ht="14.5" customHeight="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ht="14.5" customHeight="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ht="14.5" customHeight="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ht="14.5" customHeight="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ht="14.5" customHeight="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ht="14.5" customHeight="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ht="14.5" customHeight="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ht="14.5" customHeight="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ht="14.5" customHeight="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ht="14.5" customHeight="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ht="14.5" customHeight="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ht="14.5" customHeight="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ht="14.5" customHeight="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ht="14.5" customHeight="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ht="14.5" customHeight="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ht="14.5" customHeight="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ht="14.5" customHeight="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ht="14.5" customHeight="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ht="14.5" customHeight="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ht="14.5" customHeight="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ht="14.5" customHeight="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ht="14.5" customHeight="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ht="14.5" customHeight="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ht="14.5" customHeight="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ht="14.5" customHeight="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ht="14.5" customHeight="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ht="14.5" customHeight="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ht="14.5" customHeight="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ht="14.5" customHeight="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ht="14.5" customHeight="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ht="14.5" customHeight="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ht="14.5" customHeight="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ht="14.5" customHeight="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ht="14.5" customHeight="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ht="14.5" customHeight="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ht="14.5" customHeight="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ht="14.5" customHeight="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ht="14.5" customHeight="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ht="14.5" customHeight="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ht="14.5" customHeight="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ht="14.5" customHeight="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ht="14.5" customHeight="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ht="14.5" customHeight="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ht="14.5" customHeight="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ht="14.5" customHeight="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ht="14.5" customHeight="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ht="14.5" customHeight="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ht="14.5" customHeight="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ht="14.5" customHeight="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ht="14.5" customHeight="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ht="14.5" customHeight="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ht="14.5" customHeight="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ht="14.5" customHeight="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ht="14.5" customHeight="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ht="14.5" customHeight="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ht="14.5" customHeight="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ht="14.5" customHeight="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ht="14.5" customHeight="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ht="14.5" customHeight="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ht="14.5" customHeight="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ht="14.5" customHeight="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ht="14.5" customHeight="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ht="14.5" customHeight="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ht="14.5" customHeight="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ht="14.5" customHeight="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ht="14.5" customHeight="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ht="14.5" customHeight="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ht="14.5" customHeight="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ht="14.5" customHeight="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ht="14.5" customHeight="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ht="14.5" customHeight="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ht="14.5" customHeight="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ht="14.5" customHeight="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ht="14.5" customHeight="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ht="14.5" customHeight="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ht="14.5" customHeight="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ht="14.5" customHeight="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ht="14.5" customHeight="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ht="14.5" customHeight="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ht="14.5" customHeight="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ht="14.5" customHeight="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ht="14.5" customHeight="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ht="14.5" customHeight="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ht="14.5" customHeight="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ht="14.5" customHeight="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ht="14.5" customHeight="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ht="14.5" customHeight="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ht="14.5" customHeight="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ht="14.5" customHeight="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ht="14.5" customHeight="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ht="14.5" customHeight="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ht="14.5" customHeight="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ht="14.5" customHeight="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ht="14.5" customHeight="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ht="14.5" customHeight="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ht="14.5" customHeight="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ht="14.5" customHeight="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ht="14.5" customHeight="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ht="14.5" customHeight="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ht="14.5" customHeight="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ht="14.5" customHeight="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ht="14.5" customHeight="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ht="14.5" customHeight="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ht="14.5" customHeight="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ht="14.5" customHeight="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ht="14.5" customHeight="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ht="14.5" customHeight="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ht="14.5" customHeight="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ht="14.5" customHeight="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ht="14.5" customHeight="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ht="14.5" customHeight="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ht="14.5" customHeight="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ht="14.5" customHeight="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ht="14.5" customHeight="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ht="14.5" customHeight="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ht="14.5" customHeight="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ht="14.5" customHeight="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ht="14.5" customHeight="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ht="14.5" customHeight="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ht="14.5" customHeight="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ht="14.5" customHeight="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ht="14.5" customHeight="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ht="14.5" customHeight="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ht="14.5" customHeight="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ht="14.5" customHeight="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ht="14.5" customHeight="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ht="14.5" customHeight="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ht="14.5" customHeight="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ht="14.5" customHeight="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ht="14.5" customHeight="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ht="14.5" customHeight="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ht="14.5" customHeight="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ht="14.5" customHeight="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ht="14.5" customHeight="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ht="14.5" customHeight="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ht="14.5" customHeight="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ht="14.5" customHeight="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ht="14.5" customHeight="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ht="14.5" customHeight="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ht="14.5" customHeight="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ht="14.5" customHeight="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ht="14.5" customHeight="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ht="14.5" customHeight="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ht="14.5" customHeight="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ht="14.5" customHeight="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ht="14.5" customHeight="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ht="14.5" customHeight="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ht="14.5" customHeight="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ht="14.5" customHeight="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ht="14.5" customHeight="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ht="14.5" customHeight="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ht="14.5" customHeight="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ht="14.5" customHeight="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ht="14.5" customHeight="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ht="14.5" customHeight="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ht="14.5" customHeight="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ht="14.5" customHeight="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ht="14.5" customHeight="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ht="14.5" customHeight="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ht="14.5" customHeight="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ht="14.5" customHeight="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ht="14.5" customHeight="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ht="14.5" customHeight="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ht="14.5" customHeight="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ht="14.5" customHeight="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ht="14.5" customHeight="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ht="14.5" customHeight="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ht="14.5" customHeight="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ht="14.5" customHeight="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ht="14.5" customHeight="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ht="14.5" customHeight="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ht="14.5" customHeight="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ht="14.5" customHeight="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ht="14.5" customHeight="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ht="14.5" customHeight="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ht="14.5" customHeight="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ht="14.5" customHeight="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ht="14.5" customHeight="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ht="14.5" customHeight="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ht="14.5" customHeight="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ht="14.5" customHeight="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ht="14.5" customHeight="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ht="14.5" customHeight="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ht="14.5" customHeight="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ht="14.5" customHeight="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ht="14.5" customHeight="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ht="14.5" customHeight="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ht="14.5" customHeight="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ht="14.5" customHeight="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ht="14.5" customHeight="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ht="14.5" customHeight="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ht="14.5" customHeight="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ht="14.5" customHeight="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ht="14.5" customHeight="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ht="14.5" customHeight="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ht="14.5" customHeight="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ht="14.5" customHeight="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ht="14.5" customHeight="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ht="14.5" customHeight="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ht="14.5" customHeight="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ht="14.5" customHeight="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ht="14.5" customHeight="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ht="14.5" customHeight="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ht="14.5" customHeight="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ht="14.5" customHeight="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ht="14.5" customHeight="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ht="14.5" customHeight="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ht="14.5" customHeight="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ht="14.5" customHeight="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ht="14.5" customHeight="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ht="14.5" customHeight="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ht="14.5" customHeight="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ht="14.5" customHeight="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ht="14.5" customHeight="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ht="14.5" customHeight="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ht="14.5" customHeight="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ht="14.5" customHeight="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ht="14.5" customHeight="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ht="14.5" customHeight="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ht="14.5" customHeight="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ht="14.5" customHeight="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ht="14.5" customHeight="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ht="14.5" customHeight="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ht="14.5" customHeight="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ht="14.5" customHeight="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ht="14.5" customHeight="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ht="14.5" customHeight="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ht="14.5" customHeight="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ht="14.5" customHeight="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ht="14.5" customHeight="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ht="14.5" customHeight="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ht="14.5" customHeight="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ht="14.5" customHeight="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ht="14.5" customHeight="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ht="14.5" customHeight="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ht="14.5" customHeight="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ht="14.5" customHeight="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ht="14.5" customHeight="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ht="14.5" customHeight="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ht="14.5" customHeight="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ht="14.5" customHeight="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ht="14.5" customHeight="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ht="14.5" customHeight="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ht="14.5" customHeight="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ht="14.5" customHeight="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ht="14.5" customHeight="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ht="14.5" customHeight="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ht="14.5" customHeight="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ht="14.5" customHeight="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ht="14.5" customHeight="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ht="14.5" customHeight="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ht="14.5" customHeight="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ht="14.5" customHeight="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ht="14.5" customHeight="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ht="14.5" customHeight="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ht="14.5" customHeight="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ht="14.5" customHeight="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ht="14.5" customHeight="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ht="14.5" customHeight="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ht="14.5" customHeight="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ht="14.5" customHeight="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ht="14.5" customHeight="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ht="14.5" customHeight="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ht="14.5" customHeight="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ht="14.5" customHeight="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ht="14.5" customHeight="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ht="14.5" customHeight="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ht="14.5" customHeight="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ht="14.5" customHeight="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ht="14.5" customHeight="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ht="14.5" customHeight="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ht="14.5" customHeight="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ht="14.5" customHeight="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ht="14.5" customHeight="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ht="14.5" customHeight="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ht="14.5" customHeight="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ht="14.5" customHeight="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ht="14.5" customHeight="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ht="14.5" customHeight="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ht="14.5" customHeight="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ht="14.5" customHeight="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ht="14.5" customHeight="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ht="14.5" customHeight="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ht="14.5" customHeight="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ht="14.5" customHeight="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ht="14.5" customHeight="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ht="14.5" customHeight="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ht="14.5" customHeight="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ht="14.5" customHeight="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ht="14.5" customHeight="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ht="14.5" customHeight="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ht="14.5" customHeight="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ht="14.5" customHeight="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ht="14.5" customHeight="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ht="14.5" customHeight="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ht="14.5" customHeight="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ht="14.5" customHeight="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ht="14.5" customHeight="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ht="14.5" customHeight="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ht="14.5" customHeight="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ht="14.5" customHeight="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ht="14.5" customHeight="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ht="14.5" customHeight="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ht="14.5" customHeight="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ht="14.5" customHeight="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ht="14.5" customHeight="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ht="14.5" customHeight="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ht="14.5" customHeight="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ht="14.5" customHeight="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ht="14.5" customHeight="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ht="14.5" customHeight="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ht="14.5" customHeight="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ht="14.5" customHeight="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ht="14.5" customHeight="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ht="14.5" customHeight="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ht="14.5" customHeight="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ht="14.5" customHeight="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ht="14.5" customHeight="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ht="14.5" customHeight="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ht="14.5" customHeight="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ht="14.5" customHeight="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ht="14.5" customHeight="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ht="14.5" customHeight="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ht="14.5" customHeight="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ht="14.5" customHeight="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ht="14.5" customHeight="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ht="14.5" customHeight="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ht="14.5" customHeight="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ht="14.5" customHeight="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ht="14.5" customHeight="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ht="14.5" customHeight="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ht="14.5" customHeight="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ht="14.5" customHeight="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ht="14.5" customHeight="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ht="14.5" customHeight="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ht="14.5" customHeight="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ht="14.5" customHeight="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ht="14.5" customHeight="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ht="14.5" customHeight="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ht="14.5" customHeight="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ht="14.5" customHeight="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ht="14.5" customHeight="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ht="14.5" customHeight="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ht="14.5" customHeight="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ht="14.5" customHeight="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ht="14.5" customHeight="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ht="14.5" customHeight="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ht="14.5" customHeight="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ht="14.5" customHeight="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ht="14.5" customHeight="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ht="14.5" customHeight="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ht="14.5" customHeight="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ht="14.5" customHeight="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ht="14.5" customHeight="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ht="14.5" customHeight="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ht="14.5" customHeight="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ht="14.5" customHeight="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ht="14.5" customHeight="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ht="14.5" customHeight="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ht="14.5" customHeight="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ht="14.5" customHeight="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ht="14.5" customHeight="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ht="14.5" customHeight="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ht="14.5" customHeight="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ht="14.5" customHeight="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ht="14.5" customHeight="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ht="14.5" customHeight="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ht="14.5" customHeight="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ht="14.5" customHeight="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ht="14.5" customHeight="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ht="14.5" customHeight="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ht="14.5" customHeight="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ht="14.5" customHeight="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ht="14.5" customHeight="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ht="14.5" customHeight="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ht="14.5" customHeight="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ht="14.5" customHeight="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ht="14.5" customHeight="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ht="14.5" customHeight="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ht="14.5" customHeight="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ht="14.5" customHeight="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ht="14.5" customHeight="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ht="14.5" customHeight="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ht="14.5" customHeight="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ht="14.5" customHeight="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ht="14.5" customHeight="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ht="14.5" customHeight="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ht="14.5" customHeight="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ht="14.5" customHeight="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ht="14.5" customHeight="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ht="14.5" customHeight="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ht="14.5" customHeight="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ht="14.5" customHeight="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ht="14.5" customHeight="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ht="14.5" customHeight="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ht="14.5" customHeight="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ht="14.5" customHeight="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ht="14.5" customHeight="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ht="14.5" customHeight="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ht="14.5" customHeight="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ht="14.5" customHeight="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ht="14.5" customHeight="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ht="14.5" customHeight="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ht="14.5" customHeight="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ht="14.5" customHeight="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ht="14.5" customHeight="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ht="14.5" customHeight="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ht="14.5" customHeight="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ht="14.5" customHeight="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ht="14.5" customHeight="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ht="14.5" customHeight="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ht="14.5" customHeight="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ht="14.5" customHeight="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ht="14.5" customHeight="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ht="14.5" customHeight="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ht="14.5" customHeight="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ht="14.5" customHeight="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ht="14.5" customHeight="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ht="14.5" customHeight="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ht="14.5" customHeight="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ht="14.5" customHeight="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ht="14.5" customHeight="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ht="14.5" customHeight="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ht="14.5" customHeight="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ht="14.5" customHeight="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ht="14.5" customHeight="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ht="14.5" customHeight="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ht="14.5" customHeight="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ht="14.5" customHeight="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ht="14.5" customHeight="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ht="14.5" customHeight="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ht="14.5" customHeight="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ht="14.5" customHeight="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ht="14.5" customHeight="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ht="14.5" customHeight="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ht="14.5" customHeight="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ht="14.5" customHeight="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ht="14.5" customHeight="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ht="14.5" customHeight="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ht="14.5" customHeight="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ht="14.5" customHeight="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ht="14.5" customHeight="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ht="14.5" customHeight="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ht="14.5" customHeight="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ht="14.5" customHeight="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ht="14.5" customHeight="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ht="14.5" customHeight="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ht="14.5" customHeight="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ht="14.5" customHeight="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ht="14.5" customHeight="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ht="14.5" customHeight="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ht="14.5" customHeight="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ht="14.5" customHeight="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ht="14.5" customHeight="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ht="14.5" customHeight="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ht="14.5" customHeight="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ht="14.5" customHeight="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ht="14.5" customHeight="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ht="14.5" customHeight="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ht="14.5" customHeight="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ht="14.5" customHeight="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ht="14.5" customHeight="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ht="14.5" customHeight="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ht="14.5" customHeight="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ht="14.5" customHeight="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ht="14.5" customHeight="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ht="14.5" customHeight="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ht="14.5" customHeight="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ht="14.5" customHeight="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ht="14.5" customHeight="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ht="14.5" customHeight="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ht="14.5" customHeight="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ht="14.5" customHeight="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ht="14.5" customHeight="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ht="14.5" customHeight="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ht="14.5" customHeight="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ht="14.5" customHeight="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ht="14.5" customHeight="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ht="14.5" customHeight="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ht="14.5" customHeight="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ht="14.5" customHeight="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ht="14.5" customHeight="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ht="14.5" customHeight="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ht="14.5" customHeight="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ht="14.5" customHeight="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ht="14.5" customHeight="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ht="14.5" customHeight="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ht="14.5" customHeight="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ht="14.5" customHeight="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ht="14.5" customHeight="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ht="14.5" customHeight="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ht="14.5" customHeight="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ht="14.5" customHeight="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ht="14.5" customHeight="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ht="14.5" customHeight="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ht="14.5" customHeight="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ht="14.5" customHeight="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ht="14.5" customHeight="1" x14ac:dyDescent="0.35">
      <c r="G997" s="85"/>
      <c r="H997" s="87"/>
      <c r="M997" s="94"/>
      <c r="N997" s="93"/>
      <c r="O997" s="85"/>
      <c r="Q997" s="94"/>
      <c r="R997" s="93"/>
      <c r="S997" s="85"/>
      <c r="U997" s="94"/>
      <c r="V997" s="93"/>
      <c r="W997" s="85"/>
      <c r="Y997" s="94"/>
      <c r="Z997" s="93"/>
      <c r="AA997" s="85"/>
      <c r="AC997" s="94"/>
      <c r="AD997" s="93"/>
      <c r="AE997" s="85"/>
    </row>
    <row r="998" spans="7:31" ht="14.5" customHeight="1" x14ac:dyDescent="0.35">
      <c r="G998" s="85"/>
      <c r="H998" s="87"/>
      <c r="M998" s="94"/>
      <c r="N998" s="93"/>
      <c r="O998" s="85"/>
      <c r="Q998" s="94"/>
      <c r="R998" s="93"/>
      <c r="S998" s="85"/>
      <c r="U998" s="94"/>
      <c r="V998" s="93"/>
      <c r="W998" s="85"/>
      <c r="Y998" s="94"/>
      <c r="Z998" s="93"/>
      <c r="AA998" s="85"/>
      <c r="AC998" s="94"/>
      <c r="AD998" s="93"/>
      <c r="AE998" s="85"/>
    </row>
    <row r="999" spans="7:31" ht="14.5" customHeight="1" x14ac:dyDescent="0.35">
      <c r="G999" s="85"/>
      <c r="H999" s="87"/>
      <c r="M999" s="94"/>
      <c r="N999" s="93"/>
      <c r="O999" s="85"/>
      <c r="Q999" s="94"/>
      <c r="R999" s="93"/>
      <c r="S999" s="85"/>
      <c r="U999" s="94"/>
      <c r="V999" s="93"/>
      <c r="W999" s="85"/>
      <c r="Y999" s="94"/>
      <c r="Z999" s="93"/>
      <c r="AA999" s="85"/>
      <c r="AC999" s="94"/>
      <c r="AD999" s="93"/>
      <c r="AE999" s="85"/>
    </row>
    <row r="1000" spans="7:31" ht="14.5" customHeight="1" x14ac:dyDescent="0.35">
      <c r="G1000" s="85"/>
      <c r="H1000" s="87"/>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31" priority="1">
      <formula>$A4="Spend to Date"</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G1003"/>
  <sheetViews>
    <sheetView workbookViewId="0">
      <pane xSplit="2" ySplit="1" topLeftCell="G7" activePane="bottomRight" state="frozen"/>
      <selection pane="topRight" activeCell="C1" sqref="C1"/>
      <selection pane="bottomLeft" activeCell="A2" sqref="A2"/>
      <selection pane="bottomRight" activeCell="T26" sqref="T26"/>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31" style="87" bestFit="1" customWidth="1"/>
    <col min="8" max="8" width="12.7265625" style="88" bestFit="1" customWidth="1"/>
    <col min="9" max="9" width="13.81640625" style="94" bestFit="1" customWidth="1"/>
    <col min="10" max="10" width="14" style="87" customWidth="1"/>
    <col min="11" max="11" width="17" style="87" customWidth="1"/>
    <col min="12" max="12" width="18.54296875" style="87" customWidth="1"/>
    <col min="13" max="13" width="23.1796875" style="89" customWidth="1"/>
    <col min="14" max="14" width="13.81640625" style="87" customWidth="1"/>
    <col min="15" max="15" width="11.54296875" style="87" bestFit="1" customWidth="1"/>
    <col min="16" max="16" width="27.4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191</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SUM(E3:E5)</f>
        <v>117187.33</v>
      </c>
      <c r="F2" s="87">
        <f>SUM(F3:F3)</f>
        <v>33521.699999999997</v>
      </c>
      <c r="I2" s="89">
        <f>SUM(I3:I5)</f>
        <v>91855</v>
      </c>
      <c r="J2" s="87">
        <f>SUM(J3:J5)</f>
        <v>20500</v>
      </c>
      <c r="M2" s="89">
        <f>SUM(M3:M5)</f>
        <v>-25632</v>
      </c>
      <c r="N2" s="87">
        <f>SUM(N3:N5)</f>
        <v>9006.0499999999993</v>
      </c>
      <c r="Q2" s="89">
        <f>SUM(Q3:Q5)</f>
        <v>0</v>
      </c>
      <c r="R2" s="87">
        <f>SUM(R3:R5)</f>
        <v>0</v>
      </c>
      <c r="U2" s="89">
        <f>SUM(U3:U5)</f>
        <v>0</v>
      </c>
      <c r="V2" s="87">
        <f>SUM(V3:V5)</f>
        <v>0</v>
      </c>
      <c r="Y2" s="89">
        <f>SUM(Y3:Y5)</f>
        <v>0</v>
      </c>
      <c r="Z2" s="87">
        <f>SUM(Z3:Z5)</f>
        <v>0</v>
      </c>
      <c r="AC2" s="89">
        <f>SUM(AC3:AC5)</f>
        <v>0</v>
      </c>
      <c r="AD2" s="87">
        <f>SUM(AD3:AD5)</f>
        <v>0</v>
      </c>
    </row>
    <row r="3" spans="1:33" x14ac:dyDescent="0.35">
      <c r="A3" s="86" t="s">
        <v>191</v>
      </c>
      <c r="B3" s="85">
        <v>1</v>
      </c>
      <c r="D3" s="86">
        <v>17445</v>
      </c>
      <c r="E3" s="87">
        <f>11071.33+6116</f>
        <v>17187.330000000002</v>
      </c>
      <c r="F3" s="87">
        <f>SUMIFS(H$20:H$1004,E$20:E$1004,$B3)</f>
        <v>33521.699999999997</v>
      </c>
      <c r="G3" s="87">
        <f>D3+E3-F3+SUMIFS(E$8:E$14,$C$8:$C$14,$A3)-SUMIFS(F$8:F$14,$C$8:$C$14,$A3)</f>
        <v>15047.559999999998</v>
      </c>
      <c r="I3" s="89">
        <f>-I9-I10</f>
        <v>6355</v>
      </c>
      <c r="J3" s="87">
        <f>SUMIFS(L$20:L$1004,I$20:I$1004,1)</f>
        <v>0</v>
      </c>
      <c r="K3" s="87">
        <f>G3+I3-J3+SUMIFS(I$8:I$14,$C$8:$C$14,$A3)-SUMIFS(J$8:J$14,$C$8:$C$14,$A3)</f>
        <v>33947.76999999999</v>
      </c>
      <c r="L3" s="86"/>
      <c r="M3" s="89">
        <v>-25000</v>
      </c>
      <c r="N3" s="87">
        <f>SUMIFS(P$23:P$1007,M$23:M$1007,1)</f>
        <v>0</v>
      </c>
      <c r="O3" s="87">
        <f>K3+M3-N3+SUMIFS(M$8:M$14,$C$8:$C$14,$A3)-SUMIFS(N$8:N$14,$C$8:$C$14,$A3)</f>
        <v>22868.349999999977</v>
      </c>
      <c r="R3" s="87">
        <f>SUMIFS(T$20:T$1004,Q$20:Q$1004,1)</f>
        <v>0</v>
      </c>
      <c r="S3" s="87">
        <f>O3+Q3-R3+SUMIFS(Q$8:Q$14,$C$8:$C$14,$A3)-SUMIFS(R$8:R$14,$C$8:$C$14,$A3)</f>
        <v>22868.349999999977</v>
      </c>
      <c r="V3" s="87">
        <f>SUMIFS(X$20:X$1004,U$20:U$1004,1)</f>
        <v>0</v>
      </c>
      <c r="W3" s="87">
        <f>S3+U3-V3+SUMIFS(U$8:U$14,$C$8:$C$14,$A3)-SUMIFS(V$8:V$14,$C$8:$C$14,$A3)</f>
        <v>22868.349999999977</v>
      </c>
      <c r="Z3" s="87">
        <f>SUMIFS(AB$20:AB$1004,Y$20:Y$1004,1)</f>
        <v>0</v>
      </c>
      <c r="AA3" s="87">
        <f>W3+Y3-Z3+SUMIFS(Y$8:Y$14,$C$8:$C$14,$A3)-SUMIFS(Z$8:Z$14,$C$8:$C$14,$A3)</f>
        <v>22868.349999999977</v>
      </c>
      <c r="AD3" s="87">
        <f>SUMIFS(AF$20:AF$1004,AC$20:AC$1004,1)</f>
        <v>0</v>
      </c>
      <c r="AE3" s="87">
        <f>AA3+AC3-AD3+SUMIFS(AC$8:AC$14,$C$8:$C$14,$A3)-SUMIFS(AD$8:AD$14,$C$8:$C$14,$A3)</f>
        <v>22868.349999999977</v>
      </c>
      <c r="AG3" s="87">
        <v>200000</v>
      </c>
    </row>
    <row r="4" spans="1:33" x14ac:dyDescent="0.35">
      <c r="A4" s="86" t="s">
        <v>192</v>
      </c>
      <c r="B4" s="85">
        <v>2</v>
      </c>
      <c r="D4" s="86">
        <v>0</v>
      </c>
      <c r="E4" s="87">
        <v>100000</v>
      </c>
      <c r="F4" s="87">
        <f>SUMIFS(H$20:H$1004,E$20:E$1004,$B4)</f>
        <v>99367.89</v>
      </c>
      <c r="G4" s="87">
        <f>D4+E4-F4+SUMIFS(E$8:E$14,$C$8:$C$14,$A4)-SUMIFS(F$8:F$14,$C$8:$C$14,$A4)</f>
        <v>632.11000000000058</v>
      </c>
      <c r="I4" s="89">
        <f>20500+65000</f>
        <v>85500</v>
      </c>
      <c r="J4" s="87">
        <f>SUMIFS(L$20:L$1004,I$20:I$1004,2)</f>
        <v>20500</v>
      </c>
      <c r="K4" s="87">
        <f>G4+I4-J4+SUMIFS(I$8:I$14,$C$8:$C$14,$A4)-SUMIFS(J$8:J$14,$C$8:$C$14,$A4)</f>
        <v>65632.11</v>
      </c>
      <c r="L4" s="86"/>
      <c r="M4" s="89">
        <v>-632</v>
      </c>
      <c r="N4" s="87">
        <f>SUMIFS(P$23:P$1007,M$23:M$1007,2)</f>
        <v>9006.0499999999993</v>
      </c>
      <c r="O4" s="87">
        <f>K4+M4-N4+SUMIFS(M$8:M$14,$C$8:$C$14,$A4)-SUMIFS(N$8:N$14,$C$8:$C$14,$A4)</f>
        <v>55994.06</v>
      </c>
      <c r="R4" s="87">
        <f>SUMIFS(T$20:T$1004,Q$20:Q$1004,2)</f>
        <v>0</v>
      </c>
      <c r="S4" s="87">
        <f>O4+Q4-R4+SUMIFS(Q$8:Q$14,$C$8:$C$14,$A4)-SUMIFS(R$8:R$14,$C$8:$C$14,$A4)</f>
        <v>55994.06</v>
      </c>
      <c r="V4" s="87">
        <f>SUMIFS(X$20:X$1004,U$20:U$1004,2)</f>
        <v>0</v>
      </c>
      <c r="W4" s="87">
        <f>S4+U4-V4+SUMIFS(U$8:U$14,$C$8:$C$14,$A4)-SUMIFS(V$8:V$14,$C$8:$C$14,$A4)</f>
        <v>55994.06</v>
      </c>
      <c r="Z4" s="87">
        <f>SUMIFS(AB$20:AB$1004,Y$20:Y$1004,2)</f>
        <v>0</v>
      </c>
      <c r="AA4" s="87">
        <f>W4+Y4-Z4+SUMIFS(Y$8:Y$14,$C$8:$C$14,$A4)-SUMIFS(Z$8:Z$14,$C$8:$C$14,$A4)</f>
        <v>55994.06</v>
      </c>
      <c r="AD4" s="87">
        <f>SUMIFS(AF$20:AF$1004,AC$20:AC$1004,2)</f>
        <v>0</v>
      </c>
      <c r="AE4" s="87">
        <f>AA4+AC4-AD4+SUMIFS(AC$8:AC$14,$C$8:$C$14,$A4)-SUMIFS(AD$8:AD$14,$C$8:$C$14,$A4)</f>
        <v>55994.06</v>
      </c>
    </row>
    <row r="5" spans="1:33" x14ac:dyDescent="0.35">
      <c r="A5" s="86" t="s">
        <v>72</v>
      </c>
      <c r="B5" s="85">
        <v>3</v>
      </c>
      <c r="D5" s="86">
        <v>0</v>
      </c>
      <c r="E5" s="87">
        <v>0</v>
      </c>
      <c r="F5" s="87">
        <f>SUMIFS(H$20:H$1004,E$20:E$1004,$B5)</f>
        <v>0</v>
      </c>
      <c r="G5" s="87">
        <f>D5+E5-F5+SUMIFS(E$8:E$14,$C$8:$C$14,$A5)-SUMIFS(F$8:F$14,$C$8:$C$14,$A5)</f>
        <v>0</v>
      </c>
      <c r="I5" s="89"/>
      <c r="J5" s="87">
        <f>SUMIFS(L$20:L$1004,I$20:I$1004,3)</f>
        <v>0</v>
      </c>
      <c r="K5" s="87">
        <f>G5+I5-J5+SUMIFS(I$8:I$14,$C$8:$C$14,$A5)-SUMIFS(J$8:J$14,$C$8:$C$14,$A5)</f>
        <v>0</v>
      </c>
      <c r="L5" s="86"/>
      <c r="N5" s="87">
        <f>SUMIFS(P$23:P$1007,M$23:M$1007,3)</f>
        <v>0</v>
      </c>
      <c r="O5" s="87">
        <f>K5+M5-N5+SUMIFS(M$8:M$14,$C$8:$C$14,$A5)-SUMIFS(N$8:N$14,$C$8:$C$14,$A5)</f>
        <v>0</v>
      </c>
      <c r="R5" s="87">
        <f>SUMIFS(T$20:T$1004,Q$20:Q$1004,3)</f>
        <v>0</v>
      </c>
      <c r="S5" s="87">
        <f>O5+Q5-R5+SUMIFS(Q$8:Q$14,$C$8:$C$14,$A5)-SUMIFS(R$8:R$14,$C$8:$C$14,$A5)</f>
        <v>0</v>
      </c>
      <c r="V5" s="87">
        <f>SUMIFS(X$20:X$1004,U$20:U$1004,3)</f>
        <v>0</v>
      </c>
      <c r="W5" s="87">
        <f>S5+U5-V5+SUMIFS(U$8:U$14,$C$8:$C$14,$A5)-SUMIFS(V$8:V$14,$C$8:$C$14,$A5)</f>
        <v>0</v>
      </c>
      <c r="Z5" s="87">
        <f>SUMIFS(AB$20:AB$1004,Y$20:Y$1004,3)</f>
        <v>0</v>
      </c>
      <c r="AA5" s="87">
        <f>W5+Y5-Z5+SUMIFS(Y$8:Y$14,$C$8:$C$14,$A5)-SUMIFS(Z$8:Z$14,$C$8:$C$14,$A5)</f>
        <v>0</v>
      </c>
      <c r="AD5" s="87">
        <f>SUMIFS(AF$20:AF$1004,AC$20:AC$1004,3)</f>
        <v>0</v>
      </c>
      <c r="AE5" s="87">
        <f>AA5+AC5-AD5+SUMIFS(AC$8:AC$14,$C$8:$C$14,$A5)-SUMIFS(AD$8:AD$14,$C$8:$C$14,$A5)</f>
        <v>0</v>
      </c>
    </row>
    <row r="6" spans="1:33" x14ac:dyDescent="0.35">
      <c r="E6" s="87"/>
      <c r="I6" s="89"/>
    </row>
    <row r="7" spans="1:33" x14ac:dyDescent="0.35">
      <c r="A7" s="84" t="s">
        <v>193</v>
      </c>
      <c r="D7" s="84"/>
      <c r="E7" s="87">
        <f>SUM(E8:E14)</f>
        <v>168884</v>
      </c>
      <c r="F7" s="87">
        <f>SUM(F8:F14)</f>
        <v>154947.07</v>
      </c>
      <c r="I7" s="89">
        <f>SUM(I8:I14)</f>
        <v>170770</v>
      </c>
      <c r="J7" s="87">
        <f>SUM(J8:J14)</f>
        <v>158224.79</v>
      </c>
      <c r="M7" s="89">
        <f>SUM(M8:M14)</f>
        <v>171345</v>
      </c>
      <c r="N7" s="87">
        <f>SUM(N8:N14)</f>
        <v>157424.42000000001</v>
      </c>
      <c r="Q7" s="89">
        <f>SUM(Q8:Q14)</f>
        <v>176487</v>
      </c>
      <c r="R7" s="87">
        <f>$Q$7</f>
        <v>176487</v>
      </c>
      <c r="U7" s="89">
        <f>SUM(U8:U14)</f>
        <v>181783</v>
      </c>
      <c r="V7" s="87">
        <f>$U$7</f>
        <v>181783</v>
      </c>
      <c r="Y7" s="89">
        <f>SUM(Y8:Y14)</f>
        <v>187238</v>
      </c>
      <c r="Z7" s="87">
        <f>$Y$7</f>
        <v>187238</v>
      </c>
      <c r="AC7" s="89">
        <f>SUM(AC8:AC14)</f>
        <v>192856</v>
      </c>
      <c r="AD7" s="87">
        <f>$AC$7</f>
        <v>192856</v>
      </c>
    </row>
    <row r="8" spans="1:33" ht="14.5" customHeight="1" x14ac:dyDescent="0.35">
      <c r="A8" s="86" t="s">
        <v>194</v>
      </c>
      <c r="B8" s="85">
        <v>4</v>
      </c>
      <c r="C8" s="86" t="s">
        <v>191</v>
      </c>
      <c r="D8" s="84"/>
      <c r="E8" s="87">
        <v>25000</v>
      </c>
      <c r="F8" s="87">
        <f t="shared" ref="F8:F14" si="0">SUMIFS(H$20:H$1004,E$20:E$1004,$B8)</f>
        <v>11063.32</v>
      </c>
      <c r="I8" s="89">
        <f t="shared" ref="I8:I14" si="1">ROUNDUP((E8)*RPICurrent,0)</f>
        <v>27125</v>
      </c>
      <c r="J8" s="87">
        <f t="shared" ref="J8:J14" si="2">SUMIFS(L$20:L$1004,I$20:I$1004,$B8)</f>
        <v>14580.039999999999</v>
      </c>
      <c r="M8" s="89">
        <f>ROUNDUP((I8)*RPI,0)</f>
        <v>27939</v>
      </c>
      <c r="N8" s="87">
        <f t="shared" ref="N8:N14" si="3">SUMIFS(P$19:P$1007,M$19:M$1007,$B8)</f>
        <v>14018.42</v>
      </c>
      <c r="Q8" s="89">
        <f t="shared" ref="Q8:Q14" si="4">ROUNDUP((M8)*RPI,0)</f>
        <v>28778</v>
      </c>
      <c r="R8" s="87">
        <f>$Q$8</f>
        <v>28778</v>
      </c>
      <c r="U8" s="89">
        <f t="shared" ref="U8:U14" si="5">ROUNDUP((Q8)*RPI,0)</f>
        <v>29642</v>
      </c>
      <c r="V8" s="87">
        <f>$U$8</f>
        <v>29642</v>
      </c>
      <c r="Y8" s="89">
        <f t="shared" ref="Y8:Y14" si="6">ROUNDUP((U8)*RPI,0)</f>
        <v>30532</v>
      </c>
      <c r="Z8" s="87">
        <f>$Y$8</f>
        <v>30532</v>
      </c>
      <c r="AC8" s="89">
        <f t="shared" ref="AC8:AC14" si="7">ROUNDUP((Y8)*RPI,0)</f>
        <v>31448</v>
      </c>
      <c r="AD8" s="87">
        <f>$AC$8</f>
        <v>31448</v>
      </c>
    </row>
    <row r="9" spans="1:33" ht="57" customHeight="1" x14ac:dyDescent="0.35">
      <c r="A9" s="86" t="s">
        <v>130</v>
      </c>
      <c r="B9" s="85">
        <v>5</v>
      </c>
      <c r="C9" s="86" t="s">
        <v>191</v>
      </c>
      <c r="D9" s="84"/>
      <c r="E9" s="87">
        <v>-20000</v>
      </c>
      <c r="F9" s="87">
        <f t="shared" si="0"/>
        <v>-20000</v>
      </c>
      <c r="I9" s="89">
        <v>-20000</v>
      </c>
      <c r="J9" s="87">
        <f t="shared" si="2"/>
        <v>-20000</v>
      </c>
      <c r="L9" s="105"/>
      <c r="M9" s="89">
        <v>-20000</v>
      </c>
      <c r="N9" s="87">
        <f t="shared" si="3"/>
        <v>-20000</v>
      </c>
      <c r="P9" s="105"/>
      <c r="Q9" s="89">
        <f t="shared" si="4"/>
        <v>-20600</v>
      </c>
      <c r="R9" s="87">
        <f>$Q$9</f>
        <v>-20600</v>
      </c>
      <c r="U9" s="89">
        <f t="shared" si="5"/>
        <v>-21218</v>
      </c>
      <c r="V9" s="87">
        <f>$U$9</f>
        <v>-21218</v>
      </c>
      <c r="Y9" s="89">
        <f t="shared" si="6"/>
        <v>-21855</v>
      </c>
      <c r="Z9" s="87">
        <f>$Y$9</f>
        <v>-21855</v>
      </c>
      <c r="AC9" s="89">
        <f t="shared" si="7"/>
        <v>-22511</v>
      </c>
      <c r="AD9" s="87">
        <f>$AC$9</f>
        <v>-22511</v>
      </c>
    </row>
    <row r="10" spans="1:33" ht="52.5" customHeight="1" x14ac:dyDescent="0.35">
      <c r="A10" s="86" t="s">
        <v>195</v>
      </c>
      <c r="B10" s="85">
        <v>6</v>
      </c>
      <c r="C10" s="86" t="s">
        <v>191</v>
      </c>
      <c r="D10" s="84"/>
      <c r="E10" s="87">
        <v>13884</v>
      </c>
      <c r="F10" s="87">
        <f t="shared" si="0"/>
        <v>13883.75</v>
      </c>
      <c r="I10" s="89">
        <v>13645</v>
      </c>
      <c r="J10" s="87">
        <f t="shared" si="2"/>
        <v>13644.75</v>
      </c>
      <c r="M10" s="89">
        <f>I10-(E10-I10)</f>
        <v>13406</v>
      </c>
      <c r="N10" s="87">
        <f t="shared" si="3"/>
        <v>13406</v>
      </c>
      <c r="P10" s="105"/>
      <c r="Q10" s="89">
        <f t="shared" si="4"/>
        <v>13809</v>
      </c>
      <c r="R10" s="87">
        <f>$Q$10</f>
        <v>13809</v>
      </c>
      <c r="U10" s="89">
        <f t="shared" si="5"/>
        <v>14224</v>
      </c>
      <c r="V10" s="87">
        <f>$U$10</f>
        <v>14224</v>
      </c>
      <c r="Y10" s="89">
        <f t="shared" si="6"/>
        <v>14651</v>
      </c>
      <c r="Z10" s="87">
        <f>$Y$10</f>
        <v>14651</v>
      </c>
      <c r="AC10" s="89">
        <f t="shared" si="7"/>
        <v>15091</v>
      </c>
      <c r="AD10" s="87">
        <f>$AC$10</f>
        <v>15091</v>
      </c>
    </row>
    <row r="11" spans="1:33" ht="46.5" customHeight="1" x14ac:dyDescent="0.35">
      <c r="A11" s="86" t="s">
        <v>196</v>
      </c>
      <c r="B11" s="85">
        <v>7</v>
      </c>
      <c r="C11" s="86" t="s">
        <v>191</v>
      </c>
      <c r="D11" s="84"/>
      <c r="E11" s="87">
        <v>150000</v>
      </c>
      <c r="F11" s="87">
        <f t="shared" si="0"/>
        <v>150000</v>
      </c>
      <c r="I11" s="89">
        <v>150000</v>
      </c>
      <c r="J11" s="87">
        <f t="shared" si="2"/>
        <v>150000</v>
      </c>
      <c r="M11" s="89">
        <v>150000</v>
      </c>
      <c r="N11" s="87">
        <f t="shared" si="3"/>
        <v>150000</v>
      </c>
      <c r="P11" s="105"/>
      <c r="Q11" s="89">
        <f t="shared" si="4"/>
        <v>154500</v>
      </c>
      <c r="R11" s="87">
        <f>$Q$11</f>
        <v>154500</v>
      </c>
      <c r="U11" s="89">
        <f t="shared" si="5"/>
        <v>159135</v>
      </c>
      <c r="V11" s="87">
        <f>$U$11</f>
        <v>159135</v>
      </c>
      <c r="Y11" s="89">
        <f t="shared" si="6"/>
        <v>163910</v>
      </c>
      <c r="Z11" s="87">
        <f>$Y$11</f>
        <v>163910</v>
      </c>
      <c r="AC11" s="89">
        <f t="shared" si="7"/>
        <v>168828</v>
      </c>
      <c r="AD11" s="87">
        <f>$AC$11</f>
        <v>168828</v>
      </c>
    </row>
    <row r="12" spans="1:33" ht="14.5" customHeight="1" x14ac:dyDescent="0.35">
      <c r="A12" s="86" t="s">
        <v>197</v>
      </c>
      <c r="B12" s="85">
        <v>8</v>
      </c>
      <c r="C12" s="86" t="s">
        <v>191</v>
      </c>
      <c r="D12" s="84"/>
      <c r="E12" s="87">
        <v>0</v>
      </c>
      <c r="F12" s="87">
        <f t="shared" si="0"/>
        <v>0</v>
      </c>
      <c r="I12" s="89">
        <v>0</v>
      </c>
      <c r="J12" s="87">
        <f t="shared" si="2"/>
        <v>0</v>
      </c>
      <c r="M12" s="89">
        <f>ROUNDUP((I12)*RPI,0)</f>
        <v>0</v>
      </c>
      <c r="N12" s="87">
        <f t="shared" si="3"/>
        <v>0</v>
      </c>
      <c r="Q12" s="89">
        <f t="shared" si="4"/>
        <v>0</v>
      </c>
      <c r="R12" s="87">
        <f>$Q$12</f>
        <v>0</v>
      </c>
      <c r="U12" s="89">
        <f t="shared" si="5"/>
        <v>0</v>
      </c>
      <c r="V12" s="87">
        <f>$U$12</f>
        <v>0</v>
      </c>
      <c r="Y12" s="89">
        <f t="shared" si="6"/>
        <v>0</v>
      </c>
      <c r="Z12" s="87">
        <f>$Y$12</f>
        <v>0</v>
      </c>
      <c r="AC12" s="89">
        <f t="shared" si="7"/>
        <v>0</v>
      </c>
      <c r="AD12" s="87">
        <f>$AC$12</f>
        <v>0</v>
      </c>
    </row>
    <row r="13" spans="1:33" ht="14.5" customHeight="1" x14ac:dyDescent="0.35">
      <c r="A13" s="86" t="s">
        <v>123</v>
      </c>
      <c r="B13" s="85">
        <v>9</v>
      </c>
      <c r="C13" s="86" t="s">
        <v>191</v>
      </c>
      <c r="D13" s="84"/>
      <c r="E13" s="87">
        <v>0</v>
      </c>
      <c r="F13" s="87">
        <f t="shared" si="0"/>
        <v>0</v>
      </c>
      <c r="I13" s="89">
        <f t="shared" si="1"/>
        <v>0</v>
      </c>
      <c r="J13" s="87">
        <f t="shared" si="2"/>
        <v>0</v>
      </c>
      <c r="M13" s="89">
        <f>ROUNDUP((I13)*RPI,0)</f>
        <v>0</v>
      </c>
      <c r="N13" s="87">
        <f t="shared" si="3"/>
        <v>0</v>
      </c>
      <c r="Q13" s="89">
        <f t="shared" si="4"/>
        <v>0</v>
      </c>
      <c r="R13" s="87">
        <f>$Q$13</f>
        <v>0</v>
      </c>
      <c r="U13" s="89">
        <f t="shared" si="5"/>
        <v>0</v>
      </c>
      <c r="V13" s="87">
        <f>$U$13</f>
        <v>0</v>
      </c>
      <c r="Y13" s="89">
        <f t="shared" si="6"/>
        <v>0</v>
      </c>
      <c r="Z13" s="87">
        <f>$Y$13</f>
        <v>0</v>
      </c>
      <c r="AC13" s="89">
        <f t="shared" si="7"/>
        <v>0</v>
      </c>
      <c r="AD13" s="87">
        <f>$AC$13</f>
        <v>0</v>
      </c>
    </row>
    <row r="14" spans="1:33" ht="14.5" customHeight="1" x14ac:dyDescent="0.35">
      <c r="A14" s="86" t="s">
        <v>142</v>
      </c>
      <c r="B14" s="85">
        <v>10</v>
      </c>
      <c r="C14" s="86" t="s">
        <v>192</v>
      </c>
      <c r="D14" s="84"/>
      <c r="E14" s="87">
        <v>0</v>
      </c>
      <c r="F14" s="87">
        <f t="shared" si="0"/>
        <v>0</v>
      </c>
      <c r="I14" s="89">
        <f t="shared" si="1"/>
        <v>0</v>
      </c>
      <c r="J14" s="87">
        <f t="shared" si="2"/>
        <v>0</v>
      </c>
      <c r="M14" s="89">
        <f>ROUNDUP((I14)*RPI,0)</f>
        <v>0</v>
      </c>
      <c r="N14" s="87">
        <f t="shared" si="3"/>
        <v>0</v>
      </c>
      <c r="Q14" s="89">
        <f t="shared" si="4"/>
        <v>0</v>
      </c>
      <c r="R14" s="87">
        <f>$Q$14</f>
        <v>0</v>
      </c>
      <c r="U14" s="89">
        <f t="shared" si="5"/>
        <v>0</v>
      </c>
      <c r="V14" s="87">
        <f>$U$14</f>
        <v>0</v>
      </c>
      <c r="Y14" s="89">
        <f t="shared" si="6"/>
        <v>0</v>
      </c>
      <c r="Z14" s="87">
        <f>$Y$14</f>
        <v>0</v>
      </c>
      <c r="AC14" s="89">
        <f t="shared" si="7"/>
        <v>0</v>
      </c>
      <c r="AD14" s="87">
        <f>$AC$14</f>
        <v>0</v>
      </c>
    </row>
    <row r="15" spans="1:33" x14ac:dyDescent="0.35">
      <c r="E15" s="87"/>
      <c r="I15" s="89"/>
    </row>
    <row r="16" spans="1:33" x14ac:dyDescent="0.35">
      <c r="E16" s="87"/>
      <c r="I16" s="89"/>
    </row>
    <row r="17" spans="1:31" x14ac:dyDescent="0.35">
      <c r="E17" s="87"/>
      <c r="I17" s="89"/>
    </row>
    <row r="18" spans="1:31" x14ac:dyDescent="0.35">
      <c r="A18" s="84" t="s">
        <v>487</v>
      </c>
      <c r="F18" s="93"/>
      <c r="G18" s="85"/>
      <c r="H18" s="87"/>
      <c r="J18" s="93"/>
      <c r="K18" s="85"/>
      <c r="M18" s="94"/>
      <c r="N18" s="93"/>
      <c r="O18" s="85"/>
      <c r="Q18" s="94"/>
      <c r="R18" s="93"/>
      <c r="S18" s="85"/>
      <c r="U18" s="94"/>
      <c r="V18" s="93"/>
      <c r="W18" s="85"/>
      <c r="Y18" s="94"/>
      <c r="Z18" s="93"/>
      <c r="AA18" s="85"/>
      <c r="AC18" s="94"/>
      <c r="AD18" s="93"/>
      <c r="AE18" s="85"/>
    </row>
    <row r="19" spans="1:31" x14ac:dyDescent="0.35">
      <c r="E19" s="85" t="s">
        <v>484</v>
      </c>
      <c r="F19" s="93" t="s">
        <v>488</v>
      </c>
      <c r="G19" s="85" t="s">
        <v>489</v>
      </c>
      <c r="H19" s="87" t="s">
        <v>475</v>
      </c>
      <c r="I19" s="94" t="s">
        <v>484</v>
      </c>
      <c r="J19" s="93" t="s">
        <v>488</v>
      </c>
      <c r="K19" s="85" t="s">
        <v>489</v>
      </c>
      <c r="L19" s="87" t="s">
        <v>475</v>
      </c>
      <c r="M19" s="94" t="s">
        <v>484</v>
      </c>
      <c r="N19" s="93" t="s">
        <v>488</v>
      </c>
      <c r="O19" s="85" t="s">
        <v>489</v>
      </c>
      <c r="P19" s="87" t="s">
        <v>475</v>
      </c>
      <c r="Q19" s="94"/>
      <c r="R19" s="93"/>
      <c r="S19" s="85"/>
      <c r="U19" s="94"/>
      <c r="V19" s="93"/>
      <c r="W19" s="85"/>
      <c r="Y19" s="94"/>
      <c r="Z19" s="93"/>
      <c r="AA19" s="85"/>
      <c r="AC19" s="94"/>
      <c r="AD19" s="93"/>
      <c r="AE19" s="85"/>
    </row>
    <row r="20" spans="1:31" x14ac:dyDescent="0.35">
      <c r="A20" s="85"/>
      <c r="D20" s="85"/>
      <c r="E20" s="85">
        <v>7</v>
      </c>
      <c r="F20" s="93" t="s">
        <v>790</v>
      </c>
      <c r="G20" s="85" t="s">
        <v>136</v>
      </c>
      <c r="H20" s="87">
        <f>37500*4</f>
        <v>150000</v>
      </c>
      <c r="I20" s="94">
        <v>2</v>
      </c>
      <c r="J20" s="93">
        <v>45176</v>
      </c>
      <c r="K20" s="85" t="s">
        <v>1343</v>
      </c>
      <c r="L20" s="87">
        <v>20500</v>
      </c>
      <c r="M20" s="94">
        <v>5</v>
      </c>
      <c r="N20" s="93" t="s">
        <v>790</v>
      </c>
      <c r="O20" s="85" t="s">
        <v>147</v>
      </c>
      <c r="P20" s="87">
        <v>-20000</v>
      </c>
      <c r="Q20" s="94"/>
      <c r="R20" s="93"/>
      <c r="S20" s="85"/>
      <c r="U20" s="94"/>
      <c r="V20" s="93"/>
      <c r="W20" s="85"/>
      <c r="Y20" s="94"/>
      <c r="Z20" s="93"/>
      <c r="AA20" s="85"/>
      <c r="AC20" s="94"/>
      <c r="AD20" s="93"/>
      <c r="AE20" s="85"/>
    </row>
    <row r="21" spans="1:31" x14ac:dyDescent="0.35">
      <c r="E21" s="85">
        <v>2</v>
      </c>
      <c r="F21" s="93">
        <v>44760</v>
      </c>
      <c r="G21" s="85" t="s">
        <v>1344</v>
      </c>
      <c r="H21" s="87">
        <v>11753.2</v>
      </c>
      <c r="I21" s="94">
        <v>2</v>
      </c>
      <c r="J21" s="93">
        <v>45176</v>
      </c>
      <c r="K21" s="85" t="s">
        <v>1345</v>
      </c>
      <c r="L21" s="87">
        <f>112882.72-L20</f>
        <v>92382.720000000001</v>
      </c>
      <c r="M21" s="94">
        <v>6</v>
      </c>
      <c r="N21" s="93" t="s">
        <v>790</v>
      </c>
      <c r="O21" s="85" t="s">
        <v>3011</v>
      </c>
      <c r="P21" s="87">
        <v>13406</v>
      </c>
      <c r="Q21" s="94"/>
      <c r="R21" s="93"/>
      <c r="S21" s="85"/>
      <c r="U21" s="94"/>
      <c r="V21" s="93"/>
      <c r="W21" s="85"/>
      <c r="Y21" s="94"/>
      <c r="Z21" s="93"/>
      <c r="AA21" s="85"/>
      <c r="AC21" s="94"/>
      <c r="AD21" s="93"/>
      <c r="AE21" s="85"/>
    </row>
    <row r="22" spans="1:31" x14ac:dyDescent="0.35">
      <c r="E22" s="85">
        <v>5</v>
      </c>
      <c r="F22" s="93" t="s">
        <v>1305</v>
      </c>
      <c r="G22" s="85" t="s">
        <v>496</v>
      </c>
      <c r="H22" s="87">
        <v>-20000</v>
      </c>
      <c r="I22" s="94">
        <v>2</v>
      </c>
      <c r="J22" s="93">
        <v>45176</v>
      </c>
      <c r="K22" s="85" t="s">
        <v>1346</v>
      </c>
      <c r="L22" s="87">
        <f>-L21</f>
        <v>-92382.720000000001</v>
      </c>
      <c r="M22" s="94">
        <v>7</v>
      </c>
      <c r="N22" s="93" t="s">
        <v>790</v>
      </c>
      <c r="O22" s="85" t="s">
        <v>3012</v>
      </c>
      <c r="P22" s="148">
        <v>150000</v>
      </c>
      <c r="Q22" s="94"/>
      <c r="R22" s="93"/>
      <c r="S22" s="85"/>
      <c r="U22" s="94"/>
      <c r="V22" s="93"/>
      <c r="W22" s="85"/>
      <c r="Y22" s="94"/>
      <c r="Z22" s="93"/>
      <c r="AA22" s="85"/>
      <c r="AC22" s="94"/>
      <c r="AD22" s="93"/>
      <c r="AE22" s="85"/>
    </row>
    <row r="23" spans="1:31" x14ac:dyDescent="0.35">
      <c r="E23" s="85">
        <v>6</v>
      </c>
      <c r="F23" s="93">
        <v>44945</v>
      </c>
      <c r="G23" s="85" t="s">
        <v>1347</v>
      </c>
      <c r="H23" s="87">
        <v>13883.75</v>
      </c>
      <c r="I23" s="94">
        <v>2</v>
      </c>
      <c r="J23" s="93" t="s">
        <v>814</v>
      </c>
      <c r="K23" s="119" t="s">
        <v>2388</v>
      </c>
      <c r="L23" s="87">
        <v>65000</v>
      </c>
      <c r="M23" s="94">
        <v>2</v>
      </c>
      <c r="N23" s="106">
        <v>45399</v>
      </c>
      <c r="O23" s="96" t="s">
        <v>1365</v>
      </c>
      <c r="P23" s="153">
        <v>6941.05</v>
      </c>
      <c r="Q23" s="94"/>
      <c r="R23" s="93"/>
      <c r="S23" s="85"/>
      <c r="U23" s="94"/>
      <c r="V23" s="93"/>
      <c r="W23" s="85"/>
      <c r="Y23" s="94"/>
      <c r="Z23" s="93"/>
      <c r="AA23" s="85"/>
      <c r="AC23" s="94"/>
      <c r="AD23" s="93"/>
      <c r="AE23" s="85"/>
    </row>
    <row r="24" spans="1:31" x14ac:dyDescent="0.35">
      <c r="E24" s="92"/>
      <c r="F24" s="93" t="s">
        <v>819</v>
      </c>
      <c r="G24" s="85" t="s">
        <v>1348</v>
      </c>
      <c r="H24" s="90">
        <f>42000-H25</f>
        <v>8478.3000000000029</v>
      </c>
      <c r="I24" s="94">
        <v>4</v>
      </c>
      <c r="J24" s="93">
        <v>45131</v>
      </c>
      <c r="K24" s="85" t="s">
        <v>1349</v>
      </c>
      <c r="L24" s="87">
        <v>1505</v>
      </c>
      <c r="M24" s="119">
        <v>2</v>
      </c>
      <c r="N24" s="93">
        <v>45387</v>
      </c>
      <c r="O24" s="85" t="s">
        <v>2819</v>
      </c>
      <c r="P24" s="148">
        <v>2065</v>
      </c>
      <c r="Q24" s="94"/>
      <c r="R24" s="93"/>
      <c r="S24" s="85"/>
      <c r="U24" s="94"/>
      <c r="V24" s="93"/>
      <c r="W24" s="85"/>
      <c r="Y24" s="94"/>
      <c r="Z24" s="93"/>
      <c r="AA24" s="85"/>
      <c r="AC24" s="94"/>
      <c r="AD24" s="93"/>
      <c r="AE24" s="85"/>
    </row>
    <row r="25" spans="1:31" x14ac:dyDescent="0.35">
      <c r="E25" s="92">
        <v>1</v>
      </c>
      <c r="F25" s="93">
        <v>44875</v>
      </c>
      <c r="G25" s="85" t="s">
        <v>1348</v>
      </c>
      <c r="H25" s="90">
        <f>18974.2+14547.5</f>
        <v>33521.699999999997</v>
      </c>
      <c r="I25" s="94">
        <v>7</v>
      </c>
      <c r="J25" s="93" t="s">
        <v>790</v>
      </c>
      <c r="K25" s="85" t="s">
        <v>196</v>
      </c>
      <c r="L25" s="87">
        <v>150000</v>
      </c>
      <c r="M25" s="119">
        <v>4</v>
      </c>
      <c r="N25" s="93">
        <v>45440</v>
      </c>
      <c r="O25" s="85" t="s">
        <v>2954</v>
      </c>
      <c r="P25" s="148">
        <v>521</v>
      </c>
      <c r="Q25" s="94"/>
      <c r="R25" s="93"/>
      <c r="S25" s="85"/>
      <c r="U25" s="94"/>
      <c r="V25" s="93"/>
      <c r="W25" s="85"/>
      <c r="Y25" s="94"/>
      <c r="Z25" s="93"/>
      <c r="AA25" s="85"/>
      <c r="AC25" s="94"/>
      <c r="AD25" s="93"/>
      <c r="AE25" s="85"/>
    </row>
    <row r="26" spans="1:31" x14ac:dyDescent="0.35">
      <c r="E26" s="85">
        <v>2</v>
      </c>
      <c r="F26" s="93">
        <v>11749</v>
      </c>
      <c r="G26" s="85" t="s">
        <v>1350</v>
      </c>
      <c r="H26" s="87">
        <v>87614.69</v>
      </c>
      <c r="I26" s="94">
        <v>5</v>
      </c>
      <c r="J26" s="93" t="s">
        <v>790</v>
      </c>
      <c r="K26" s="85" t="s">
        <v>147</v>
      </c>
      <c r="L26" s="87">
        <v>-20000</v>
      </c>
      <c r="M26" s="94">
        <v>4</v>
      </c>
      <c r="N26" s="93">
        <v>45410</v>
      </c>
      <c r="O26" s="85" t="s">
        <v>3023</v>
      </c>
      <c r="P26" s="148">
        <v>358.4</v>
      </c>
      <c r="Q26" s="94"/>
      <c r="R26" s="93"/>
      <c r="S26" s="85"/>
      <c r="U26" s="94"/>
      <c r="V26" s="93"/>
      <c r="W26" s="85"/>
      <c r="Y26" s="94"/>
      <c r="Z26" s="93"/>
      <c r="AA26" s="85"/>
      <c r="AC26" s="94"/>
      <c r="AD26" s="93"/>
      <c r="AE26" s="85"/>
    </row>
    <row r="27" spans="1:31" x14ac:dyDescent="0.35">
      <c r="E27" s="85">
        <v>4</v>
      </c>
      <c r="F27" s="93" t="s">
        <v>1305</v>
      </c>
      <c r="G27" s="85" t="s">
        <v>1351</v>
      </c>
      <c r="H27" s="87">
        <v>608.32000000000005</v>
      </c>
      <c r="I27" s="94">
        <v>4</v>
      </c>
      <c r="J27" s="93">
        <v>45091</v>
      </c>
      <c r="K27" s="85" t="s">
        <v>1352</v>
      </c>
      <c r="L27" s="87">
        <v>540</v>
      </c>
      <c r="M27" s="94">
        <v>4</v>
      </c>
      <c r="N27" s="93">
        <v>45400</v>
      </c>
      <c r="O27" s="85" t="s">
        <v>3024</v>
      </c>
      <c r="P27" s="148">
        <v>412.5</v>
      </c>
      <c r="Q27" s="94"/>
      <c r="R27" s="93"/>
      <c r="S27" s="85"/>
      <c r="U27" s="94"/>
      <c r="V27" s="93"/>
      <c r="W27" s="85"/>
      <c r="Y27" s="94"/>
      <c r="Z27" s="93"/>
      <c r="AA27" s="85"/>
      <c r="AC27" s="94"/>
      <c r="AD27" s="93"/>
      <c r="AE27" s="85"/>
    </row>
    <row r="28" spans="1:31" x14ac:dyDescent="0.35">
      <c r="E28" s="85">
        <v>4</v>
      </c>
      <c r="F28" s="93">
        <v>44903</v>
      </c>
      <c r="G28" s="85" t="s">
        <v>1353</v>
      </c>
      <c r="H28" s="87">
        <v>1725</v>
      </c>
      <c r="I28" s="94">
        <v>4</v>
      </c>
      <c r="J28" s="93">
        <v>45131</v>
      </c>
      <c r="K28" s="85" t="s">
        <v>1354</v>
      </c>
      <c r="L28" s="87">
        <f>616-400</f>
        <v>216</v>
      </c>
      <c r="M28" s="94">
        <v>4</v>
      </c>
      <c r="N28" s="93">
        <v>45481</v>
      </c>
      <c r="O28" s="85" t="s">
        <v>3150</v>
      </c>
      <c r="P28" s="87">
        <v>9479.33</v>
      </c>
      <c r="Q28" s="94"/>
      <c r="R28" s="93"/>
      <c r="S28" s="85"/>
      <c r="U28" s="94"/>
      <c r="V28" s="93"/>
      <c r="W28" s="85"/>
      <c r="Y28" s="94"/>
      <c r="Z28" s="93"/>
      <c r="AA28" s="85"/>
      <c r="AC28" s="94"/>
      <c r="AD28" s="93"/>
      <c r="AE28" s="85"/>
    </row>
    <row r="29" spans="1:31" ht="58" x14ac:dyDescent="0.35">
      <c r="E29" s="92"/>
      <c r="F29" s="97" t="s">
        <v>676</v>
      </c>
      <c r="G29" s="98" t="s">
        <v>1355</v>
      </c>
      <c r="H29" s="90">
        <v>2165</v>
      </c>
      <c r="I29" s="94">
        <v>4</v>
      </c>
      <c r="J29" s="93">
        <v>45174</v>
      </c>
      <c r="K29" s="85" t="s">
        <v>1356</v>
      </c>
      <c r="L29" s="87">
        <v>786.5</v>
      </c>
      <c r="M29" s="94">
        <v>4</v>
      </c>
      <c r="N29" s="93">
        <v>45471</v>
      </c>
      <c r="O29" s="85" t="s">
        <v>3150</v>
      </c>
      <c r="P29" s="87">
        <v>2402.19</v>
      </c>
      <c r="Q29" s="94"/>
      <c r="R29" s="93"/>
      <c r="S29" s="85"/>
      <c r="U29" s="94"/>
      <c r="V29" s="93"/>
      <c r="W29" s="85"/>
      <c r="Y29" s="94"/>
      <c r="Z29" s="93"/>
      <c r="AA29" s="85"/>
      <c r="AC29" s="94"/>
      <c r="AD29" s="93"/>
      <c r="AE29" s="85"/>
    </row>
    <row r="30" spans="1:31" x14ac:dyDescent="0.35">
      <c r="E30" s="85">
        <v>4</v>
      </c>
      <c r="F30" s="93">
        <v>44914</v>
      </c>
      <c r="G30" s="85" t="s">
        <v>1357</v>
      </c>
      <c r="H30" s="87">
        <v>600</v>
      </c>
      <c r="I30" s="94">
        <v>4</v>
      </c>
      <c r="J30" s="93">
        <v>45182</v>
      </c>
      <c r="K30" s="85" t="s">
        <v>1358</v>
      </c>
      <c r="L30" s="87">
        <v>2110</v>
      </c>
      <c r="M30" s="94">
        <v>4</v>
      </c>
      <c r="N30" s="93">
        <v>45497</v>
      </c>
      <c r="O30" s="85" t="s">
        <v>3162</v>
      </c>
      <c r="P30" s="87">
        <v>845</v>
      </c>
      <c r="Q30" s="94"/>
      <c r="R30" s="93"/>
      <c r="S30" s="85"/>
      <c r="U30" s="94"/>
      <c r="V30" s="93"/>
      <c r="W30" s="85"/>
      <c r="Y30" s="94"/>
      <c r="Z30" s="93"/>
      <c r="AA30" s="85"/>
      <c r="AC30" s="94"/>
      <c r="AD30" s="93"/>
      <c r="AE30" s="85"/>
    </row>
    <row r="31" spans="1:31" x14ac:dyDescent="0.35">
      <c r="E31" s="85">
        <v>4</v>
      </c>
      <c r="F31" s="93">
        <v>44890</v>
      </c>
      <c r="G31" s="85" t="s">
        <v>1359</v>
      </c>
      <c r="H31" s="87">
        <v>1863.75</v>
      </c>
      <c r="I31" s="94">
        <v>4</v>
      </c>
      <c r="J31" s="93">
        <v>45172</v>
      </c>
      <c r="K31" s="85" t="s">
        <v>1360</v>
      </c>
      <c r="L31" s="87">
        <v>1125</v>
      </c>
      <c r="M31" s="94"/>
      <c r="N31" s="93"/>
      <c r="O31" s="85"/>
      <c r="Q31" s="94"/>
      <c r="R31" s="93"/>
      <c r="S31" s="85"/>
      <c r="U31" s="94"/>
      <c r="V31" s="93"/>
      <c r="W31" s="85"/>
      <c r="Y31" s="94"/>
      <c r="Z31" s="93"/>
      <c r="AA31" s="85"/>
      <c r="AC31" s="94"/>
      <c r="AD31" s="93"/>
      <c r="AE31" s="85"/>
    </row>
    <row r="32" spans="1:31" x14ac:dyDescent="0.35">
      <c r="E32" s="85">
        <v>4</v>
      </c>
      <c r="F32" s="93">
        <v>44950</v>
      </c>
      <c r="G32" s="85" t="s">
        <v>1361</v>
      </c>
      <c r="H32" s="87">
        <v>6266.25</v>
      </c>
      <c r="I32" s="94">
        <v>4</v>
      </c>
      <c r="J32" s="93">
        <v>45186</v>
      </c>
      <c r="K32" s="85" t="s">
        <v>1362</v>
      </c>
      <c r="L32" s="87">
        <v>235.2</v>
      </c>
      <c r="M32" s="94"/>
      <c r="N32" s="93"/>
      <c r="O32" s="85"/>
      <c r="Q32" s="94"/>
      <c r="R32" s="93"/>
      <c r="S32" s="85"/>
      <c r="U32" s="94"/>
      <c r="V32" s="93"/>
      <c r="W32" s="85"/>
      <c r="Y32" s="94"/>
      <c r="Z32" s="93"/>
      <c r="AA32" s="85"/>
      <c r="AC32" s="94"/>
      <c r="AD32" s="93"/>
      <c r="AE32" s="85"/>
    </row>
    <row r="33" spans="6:31" x14ac:dyDescent="0.35">
      <c r="F33" s="93"/>
      <c r="G33" s="85"/>
      <c r="H33" s="87"/>
      <c r="I33" s="94">
        <v>4</v>
      </c>
      <c r="J33" s="93">
        <v>45186</v>
      </c>
      <c r="K33" s="85" t="s">
        <v>1363</v>
      </c>
      <c r="L33" s="87">
        <v>500</v>
      </c>
      <c r="M33" s="94"/>
      <c r="N33" s="93"/>
      <c r="O33" s="85"/>
      <c r="Q33" s="94"/>
      <c r="R33" s="93"/>
      <c r="S33" s="85"/>
      <c r="U33" s="94"/>
      <c r="V33" s="93"/>
      <c r="W33" s="85"/>
      <c r="Y33" s="94"/>
      <c r="Z33" s="93"/>
      <c r="AA33" s="85"/>
      <c r="AC33" s="94"/>
      <c r="AD33" s="93"/>
      <c r="AE33" s="85"/>
    </row>
    <row r="34" spans="6:31" x14ac:dyDescent="0.35">
      <c r="F34" s="93"/>
      <c r="G34" s="85"/>
      <c r="H34" s="87"/>
      <c r="I34" s="94">
        <v>4</v>
      </c>
      <c r="J34" s="93">
        <v>45194</v>
      </c>
      <c r="K34" s="85" t="s">
        <v>1364</v>
      </c>
      <c r="L34" s="87">
        <v>215</v>
      </c>
      <c r="M34" s="94"/>
      <c r="N34" s="93"/>
      <c r="O34" s="85"/>
      <c r="Q34" s="94"/>
      <c r="R34" s="93"/>
      <c r="S34" s="85"/>
      <c r="U34" s="94"/>
      <c r="V34" s="93"/>
      <c r="W34" s="85"/>
      <c r="Y34" s="94"/>
      <c r="Z34" s="93"/>
      <c r="AA34" s="85"/>
      <c r="AC34" s="94"/>
      <c r="AD34" s="93"/>
      <c r="AE34" s="85"/>
    </row>
    <row r="35" spans="6:31" x14ac:dyDescent="0.35">
      <c r="F35" s="93"/>
      <c r="G35" s="85"/>
      <c r="H35" s="87"/>
      <c r="I35" s="94">
        <v>4</v>
      </c>
      <c r="J35" s="93">
        <v>45182</v>
      </c>
      <c r="K35" s="85" t="s">
        <v>1365</v>
      </c>
      <c r="L35" s="87">
        <v>812.2</v>
      </c>
      <c r="M35" s="94"/>
      <c r="N35" s="93"/>
      <c r="O35" s="85"/>
      <c r="Q35" s="94"/>
      <c r="R35" s="93"/>
      <c r="S35" s="85"/>
      <c r="U35" s="94"/>
      <c r="V35" s="93"/>
      <c r="W35" s="85"/>
      <c r="Y35" s="94"/>
      <c r="Z35" s="93"/>
      <c r="AA35" s="85"/>
      <c r="AC35" s="94"/>
      <c r="AD35" s="93"/>
      <c r="AE35" s="85"/>
    </row>
    <row r="36" spans="6:31" x14ac:dyDescent="0.35">
      <c r="F36" s="93"/>
      <c r="G36" s="85"/>
      <c r="H36" s="87"/>
      <c r="I36" s="94">
        <v>4</v>
      </c>
      <c r="J36" s="93">
        <v>45238</v>
      </c>
      <c r="K36" s="85" t="s">
        <v>1366</v>
      </c>
      <c r="L36" s="87">
        <v>3060</v>
      </c>
      <c r="M36" s="94"/>
      <c r="N36" s="93"/>
      <c r="O36" s="85"/>
      <c r="Q36" s="94"/>
      <c r="R36" s="93"/>
      <c r="S36" s="85"/>
      <c r="U36" s="94"/>
      <c r="V36" s="93"/>
      <c r="W36" s="85"/>
      <c r="Y36" s="94"/>
      <c r="Z36" s="93"/>
      <c r="AA36" s="85"/>
      <c r="AC36" s="94"/>
      <c r="AD36" s="93"/>
      <c r="AE36" s="85"/>
    </row>
    <row r="37" spans="6:31" x14ac:dyDescent="0.35">
      <c r="F37" s="93"/>
      <c r="G37" s="85"/>
      <c r="H37" s="87"/>
      <c r="I37" s="94">
        <v>4</v>
      </c>
      <c r="J37" s="93">
        <v>45174</v>
      </c>
      <c r="K37" s="85" t="s">
        <v>1367</v>
      </c>
      <c r="L37" s="87">
        <v>990.5</v>
      </c>
      <c r="M37" s="94"/>
      <c r="N37" s="93"/>
      <c r="O37" s="85"/>
      <c r="Q37" s="94"/>
      <c r="R37" s="93"/>
      <c r="S37" s="85"/>
      <c r="U37" s="94"/>
      <c r="V37" s="93"/>
      <c r="W37" s="85"/>
      <c r="Y37" s="94"/>
      <c r="Z37" s="93"/>
      <c r="AA37" s="85"/>
      <c r="AC37" s="94"/>
      <c r="AD37" s="93"/>
      <c r="AE37" s="85"/>
    </row>
    <row r="38" spans="6:31" x14ac:dyDescent="0.35">
      <c r="F38" s="93"/>
      <c r="G38" s="85"/>
      <c r="H38" s="87"/>
      <c r="I38" s="94">
        <v>6</v>
      </c>
      <c r="J38" s="93" t="s">
        <v>790</v>
      </c>
      <c r="K38" s="85" t="s">
        <v>1368</v>
      </c>
      <c r="L38" s="87">
        <v>13644.75</v>
      </c>
      <c r="M38" s="94"/>
      <c r="N38" s="93"/>
      <c r="O38" s="85"/>
      <c r="Q38" s="94"/>
      <c r="R38" s="93"/>
      <c r="S38" s="85"/>
      <c r="U38" s="94"/>
      <c r="V38" s="93"/>
      <c r="W38" s="85"/>
      <c r="Y38" s="94"/>
      <c r="Z38" s="93"/>
      <c r="AA38" s="85"/>
      <c r="AC38" s="94"/>
      <c r="AD38" s="93"/>
      <c r="AE38" s="85"/>
    </row>
    <row r="39" spans="6:31" x14ac:dyDescent="0.35">
      <c r="F39" s="93"/>
      <c r="G39" s="85"/>
      <c r="H39" s="87"/>
      <c r="I39" s="94">
        <v>4</v>
      </c>
      <c r="J39" s="93">
        <v>45227</v>
      </c>
      <c r="K39" s="85" t="s">
        <v>2177</v>
      </c>
      <c r="L39" s="87">
        <v>372</v>
      </c>
      <c r="M39" s="94"/>
      <c r="N39" s="93"/>
      <c r="O39" s="85"/>
      <c r="Q39" s="94"/>
      <c r="R39" s="93"/>
      <c r="S39" s="85"/>
      <c r="U39" s="94"/>
      <c r="V39" s="93"/>
      <c r="W39" s="85"/>
      <c r="Y39" s="94"/>
      <c r="Z39" s="93"/>
      <c r="AA39" s="85"/>
      <c r="AC39" s="94"/>
      <c r="AD39" s="93"/>
      <c r="AE39" s="85"/>
    </row>
    <row r="40" spans="6:31" x14ac:dyDescent="0.35">
      <c r="F40" s="93"/>
      <c r="G40" s="85"/>
      <c r="H40" s="87"/>
      <c r="I40" s="94">
        <v>4</v>
      </c>
      <c r="J40" s="93">
        <v>45236</v>
      </c>
      <c r="K40" s="85" t="s">
        <v>2178</v>
      </c>
      <c r="L40" s="87">
        <v>253</v>
      </c>
      <c r="M40" s="94"/>
      <c r="N40" s="93"/>
      <c r="O40" s="85"/>
      <c r="Q40" s="94"/>
      <c r="R40" s="93"/>
      <c r="S40" s="85"/>
      <c r="U40" s="94"/>
      <c r="V40" s="93"/>
      <c r="W40" s="85"/>
      <c r="Y40" s="94"/>
      <c r="Z40" s="93"/>
      <c r="AA40" s="85"/>
      <c r="AC40" s="94"/>
      <c r="AD40" s="93"/>
      <c r="AE40" s="85"/>
    </row>
    <row r="41" spans="6:31" x14ac:dyDescent="0.35">
      <c r="F41" s="93"/>
      <c r="G41" s="85"/>
      <c r="H41" s="87"/>
      <c r="I41" s="94">
        <v>4</v>
      </c>
      <c r="J41" s="93">
        <v>45247</v>
      </c>
      <c r="K41" s="85" t="s">
        <v>2179</v>
      </c>
      <c r="L41" s="87">
        <v>1290</v>
      </c>
      <c r="M41" s="94"/>
      <c r="N41" s="93"/>
      <c r="O41" s="85"/>
      <c r="Q41" s="94"/>
      <c r="R41" s="93"/>
      <c r="S41" s="85"/>
      <c r="U41" s="94"/>
      <c r="V41" s="93"/>
      <c r="W41" s="85"/>
      <c r="Y41" s="94"/>
      <c r="Z41" s="93"/>
      <c r="AA41" s="85"/>
      <c r="AC41" s="94"/>
      <c r="AD41" s="93"/>
      <c r="AE41" s="85"/>
    </row>
    <row r="42" spans="6:31" x14ac:dyDescent="0.35">
      <c r="F42" s="93"/>
      <c r="G42" s="85"/>
      <c r="H42" s="87"/>
      <c r="I42" s="95">
        <v>4</v>
      </c>
      <c r="J42" s="106">
        <v>45303</v>
      </c>
      <c r="K42" s="96" t="s">
        <v>2421</v>
      </c>
      <c r="L42" s="122">
        <v>569.64</v>
      </c>
      <c r="M42" s="94"/>
      <c r="N42" s="93"/>
      <c r="O42" s="85"/>
      <c r="Q42" s="94"/>
      <c r="R42" s="93"/>
      <c r="S42" s="85"/>
      <c r="U42" s="94"/>
      <c r="V42" s="93"/>
      <c r="W42" s="85"/>
      <c r="Y42" s="94"/>
      <c r="Z42" s="93"/>
      <c r="AA42" s="85"/>
      <c r="AC42" s="94"/>
      <c r="AD42" s="93"/>
      <c r="AE42" s="85"/>
    </row>
    <row r="43" spans="6:31" x14ac:dyDescent="0.35">
      <c r="F43" s="93"/>
      <c r="G43" s="85"/>
      <c r="H43" s="87"/>
      <c r="I43" s="95" t="s">
        <v>23</v>
      </c>
      <c r="J43" s="96" t="s">
        <v>491</v>
      </c>
      <c r="K43" s="96" t="s">
        <v>1365</v>
      </c>
      <c r="L43" s="122">
        <v>6362</v>
      </c>
      <c r="O43" s="85"/>
      <c r="Q43" s="94"/>
      <c r="R43" s="93"/>
      <c r="S43" s="85"/>
      <c r="U43" s="94"/>
      <c r="V43" s="93"/>
      <c r="W43" s="85"/>
      <c r="Y43" s="94"/>
      <c r="Z43" s="93"/>
      <c r="AA43" s="85"/>
      <c r="AC43" s="94"/>
      <c r="AD43" s="93"/>
      <c r="AE43" s="85"/>
    </row>
    <row r="44" spans="6:31" x14ac:dyDescent="0.35">
      <c r="F44" s="93"/>
      <c r="G44" s="85"/>
      <c r="H44" s="87"/>
      <c r="I44" s="95" t="s">
        <v>2808</v>
      </c>
      <c r="J44" s="106">
        <v>45329</v>
      </c>
      <c r="K44" s="96" t="s">
        <v>2568</v>
      </c>
      <c r="L44" s="122">
        <v>8575</v>
      </c>
      <c r="O44" s="85"/>
      <c r="Q44" s="94"/>
      <c r="R44" s="93"/>
      <c r="S44" s="85"/>
      <c r="U44" s="94"/>
      <c r="V44" s="93"/>
      <c r="W44" s="85"/>
      <c r="Y44" s="94"/>
      <c r="Z44" s="93"/>
      <c r="AA44" s="85"/>
      <c r="AC44" s="94"/>
      <c r="AD44" s="93"/>
      <c r="AE44" s="85"/>
    </row>
    <row r="45" spans="6:31" x14ac:dyDescent="0.35">
      <c r="F45" s="93"/>
      <c r="G45" s="85"/>
      <c r="H45" s="87"/>
      <c r="I45" s="94">
        <v>2</v>
      </c>
      <c r="J45" s="93" t="s">
        <v>814</v>
      </c>
      <c r="K45" s="98" t="s">
        <v>1346</v>
      </c>
      <c r="L45" s="87">
        <v>-65000</v>
      </c>
      <c r="M45" s="95"/>
      <c r="N45" s="93"/>
      <c r="O45" s="85"/>
      <c r="Q45" s="94"/>
      <c r="R45" s="93"/>
      <c r="S45" s="85"/>
      <c r="U45" s="94"/>
      <c r="V45" s="93"/>
      <c r="W45" s="85"/>
      <c r="Y45" s="94"/>
      <c r="Z45" s="93"/>
      <c r="AA45" s="85"/>
      <c r="AC45" s="94"/>
      <c r="AD45" s="93"/>
      <c r="AE45" s="85"/>
    </row>
    <row r="46" spans="6:31" x14ac:dyDescent="0.35">
      <c r="F46" s="93"/>
      <c r="G46" s="85"/>
      <c r="H46" s="87"/>
      <c r="I46" s="95"/>
      <c r="J46" s="96"/>
      <c r="K46" s="96"/>
      <c r="L46" s="122"/>
      <c r="M46" s="95"/>
      <c r="N46" s="93"/>
      <c r="O46" s="85"/>
      <c r="Q46" s="94"/>
      <c r="R46" s="93"/>
      <c r="S46" s="85"/>
      <c r="U46" s="94"/>
      <c r="V46" s="93"/>
      <c r="W46" s="85"/>
      <c r="Y46" s="94"/>
      <c r="Z46" s="93"/>
      <c r="AA46" s="85"/>
      <c r="AC46" s="94"/>
      <c r="AD46" s="93"/>
      <c r="AE46" s="85"/>
    </row>
    <row r="47" spans="6:31" x14ac:dyDescent="0.35">
      <c r="F47" s="93"/>
      <c r="G47" s="85"/>
      <c r="H47" s="87"/>
      <c r="J47" s="93"/>
      <c r="K47" s="85"/>
      <c r="M47" s="95"/>
      <c r="N47" s="93"/>
      <c r="O47" s="85"/>
      <c r="Q47" s="94"/>
      <c r="R47" s="93"/>
      <c r="S47" s="85"/>
      <c r="U47" s="94"/>
      <c r="V47" s="93"/>
      <c r="W47" s="85"/>
      <c r="Y47" s="94"/>
      <c r="Z47" s="93"/>
      <c r="AA47" s="85"/>
      <c r="AC47" s="94"/>
      <c r="AD47" s="93"/>
      <c r="AE47" s="85"/>
    </row>
    <row r="48" spans="6:31" x14ac:dyDescent="0.35">
      <c r="F48" s="93"/>
      <c r="G48" s="85"/>
      <c r="H48" s="87"/>
      <c r="J48" s="93"/>
      <c r="K48" s="85"/>
      <c r="M48" s="95"/>
      <c r="N48" s="96"/>
      <c r="O48" s="85"/>
      <c r="Q48" s="94"/>
      <c r="R48" s="93"/>
      <c r="S48" s="85"/>
      <c r="U48" s="94"/>
      <c r="V48" s="93"/>
      <c r="W48" s="85"/>
      <c r="Y48" s="94"/>
      <c r="Z48" s="93"/>
      <c r="AA48" s="85"/>
      <c r="AC48" s="94"/>
      <c r="AD48" s="93"/>
      <c r="AE48" s="85"/>
    </row>
    <row r="49" spans="6:31" x14ac:dyDescent="0.35">
      <c r="F49" s="93"/>
      <c r="G49" s="85"/>
      <c r="H49" s="87"/>
      <c r="J49" s="93"/>
      <c r="K49" s="85"/>
      <c r="M49" s="95"/>
      <c r="N49" s="96"/>
      <c r="O49" s="85"/>
      <c r="Q49" s="94"/>
      <c r="R49" s="93"/>
      <c r="S49" s="85"/>
      <c r="U49" s="94"/>
      <c r="V49" s="93"/>
      <c r="W49" s="85"/>
      <c r="Y49" s="94"/>
      <c r="Z49" s="93"/>
      <c r="AA49" s="85"/>
      <c r="AC49" s="94"/>
      <c r="AD49" s="93"/>
      <c r="AE49" s="85"/>
    </row>
    <row r="50" spans="6:31" x14ac:dyDescent="0.35">
      <c r="F50" s="93"/>
      <c r="G50" s="85"/>
      <c r="H50" s="87"/>
      <c r="J50" s="93"/>
      <c r="K50" s="85"/>
      <c r="M50" s="94"/>
      <c r="N50" s="93"/>
      <c r="O50" s="85"/>
      <c r="Q50" s="94"/>
      <c r="R50" s="93"/>
      <c r="S50" s="85"/>
      <c r="U50" s="94"/>
      <c r="V50" s="93"/>
      <c r="W50" s="85"/>
      <c r="Y50" s="94"/>
      <c r="Z50" s="93"/>
      <c r="AA50" s="85"/>
      <c r="AC50" s="94"/>
      <c r="AD50" s="93"/>
      <c r="AE50" s="85"/>
    </row>
    <row r="51" spans="6:31" x14ac:dyDescent="0.35">
      <c r="F51" s="93"/>
      <c r="G51" s="85"/>
      <c r="H51" s="87"/>
      <c r="J51" s="93"/>
      <c r="K51" s="85"/>
      <c r="M51" s="94"/>
      <c r="N51" s="93"/>
      <c r="O51" s="85"/>
      <c r="Q51" s="94"/>
      <c r="R51" s="93"/>
      <c r="S51" s="85"/>
      <c r="U51" s="94"/>
      <c r="V51" s="93"/>
      <c r="W51" s="85"/>
      <c r="Y51" s="94"/>
      <c r="Z51" s="93"/>
      <c r="AA51" s="85"/>
      <c r="AC51" s="94"/>
      <c r="AD51" s="93"/>
      <c r="AE51" s="85"/>
    </row>
    <row r="52" spans="6:31" x14ac:dyDescent="0.35">
      <c r="F52" s="93"/>
      <c r="G52" s="85"/>
      <c r="H52" s="87"/>
      <c r="J52" s="93"/>
      <c r="K52" s="85"/>
      <c r="M52" s="94"/>
      <c r="N52" s="93"/>
      <c r="O52" s="85"/>
      <c r="Q52" s="94"/>
      <c r="R52" s="93"/>
      <c r="S52" s="85"/>
      <c r="U52" s="94"/>
      <c r="V52" s="93"/>
      <c r="W52" s="85"/>
      <c r="Y52" s="94"/>
      <c r="Z52" s="93"/>
      <c r="AA52" s="85"/>
      <c r="AC52" s="94"/>
      <c r="AD52" s="93"/>
      <c r="AE52" s="85"/>
    </row>
    <row r="53" spans="6:31" x14ac:dyDescent="0.35">
      <c r="F53" s="93"/>
      <c r="G53" s="85"/>
      <c r="H53" s="87"/>
      <c r="J53" s="93"/>
      <c r="K53" s="85"/>
      <c r="M53" s="94"/>
      <c r="N53" s="93"/>
      <c r="O53" s="85"/>
      <c r="Q53" s="94"/>
      <c r="R53" s="93"/>
      <c r="S53" s="85"/>
      <c r="U53" s="94"/>
      <c r="V53" s="93"/>
      <c r="W53" s="85"/>
      <c r="Y53" s="94"/>
      <c r="Z53" s="93"/>
      <c r="AA53" s="85"/>
      <c r="AC53" s="94"/>
      <c r="AD53" s="93"/>
      <c r="AE53" s="85"/>
    </row>
    <row r="54" spans="6:31" x14ac:dyDescent="0.35">
      <c r="F54" s="93"/>
      <c r="G54" s="85"/>
      <c r="H54" s="87"/>
      <c r="J54" s="93"/>
      <c r="K54" s="85"/>
      <c r="M54" s="94"/>
      <c r="N54" s="93"/>
      <c r="O54" s="85"/>
      <c r="Q54" s="94"/>
      <c r="R54" s="93"/>
      <c r="S54" s="85"/>
      <c r="U54" s="94"/>
      <c r="V54" s="93"/>
      <c r="W54" s="85"/>
      <c r="Y54" s="94"/>
      <c r="Z54" s="93"/>
      <c r="AA54" s="85"/>
      <c r="AC54" s="94"/>
      <c r="AD54" s="93"/>
      <c r="AE54" s="85"/>
    </row>
    <row r="55" spans="6:31" x14ac:dyDescent="0.35">
      <c r="F55" s="93"/>
      <c r="G55" s="85"/>
      <c r="H55" s="87"/>
      <c r="J55" s="93"/>
      <c r="K55" s="85"/>
      <c r="M55" s="94"/>
      <c r="N55" s="93"/>
      <c r="O55" s="85"/>
      <c r="Q55" s="94"/>
      <c r="R55" s="93"/>
      <c r="S55" s="85"/>
      <c r="U55" s="94"/>
      <c r="V55" s="93"/>
      <c r="W55" s="85"/>
      <c r="Y55" s="94"/>
      <c r="Z55" s="93"/>
      <c r="AA55" s="85"/>
      <c r="AC55" s="94"/>
      <c r="AD55" s="93"/>
      <c r="AE55" s="85"/>
    </row>
    <row r="56" spans="6:31" x14ac:dyDescent="0.35">
      <c r="F56" s="93"/>
      <c r="G56" s="85"/>
      <c r="H56" s="87"/>
      <c r="J56" s="93"/>
      <c r="K56" s="85"/>
      <c r="M56" s="94"/>
      <c r="N56" s="93"/>
      <c r="O56" s="85"/>
      <c r="Q56" s="94"/>
      <c r="R56" s="93"/>
      <c r="S56" s="85"/>
      <c r="U56" s="94"/>
      <c r="V56" s="93"/>
      <c r="W56" s="85"/>
      <c r="Y56" s="94"/>
      <c r="Z56" s="93"/>
      <c r="AA56" s="85"/>
      <c r="AC56" s="94"/>
      <c r="AD56" s="93"/>
      <c r="AE56" s="85"/>
    </row>
    <row r="57" spans="6:31" x14ac:dyDescent="0.35">
      <c r="F57" s="93"/>
      <c r="G57" s="85"/>
      <c r="H57" s="87"/>
      <c r="J57" s="93"/>
      <c r="K57" s="85"/>
      <c r="M57" s="94"/>
      <c r="N57" s="93"/>
      <c r="O57" s="85"/>
      <c r="Q57" s="94"/>
      <c r="R57" s="93"/>
      <c r="S57" s="85"/>
      <c r="U57" s="94"/>
      <c r="V57" s="93"/>
      <c r="W57" s="85"/>
      <c r="Y57" s="94"/>
      <c r="Z57" s="93"/>
      <c r="AA57" s="85"/>
      <c r="AC57" s="94"/>
      <c r="AD57" s="93"/>
      <c r="AE57" s="85"/>
    </row>
    <row r="58" spans="6:31" x14ac:dyDescent="0.35">
      <c r="F58" s="93"/>
      <c r="G58" s="85"/>
      <c r="H58" s="87"/>
      <c r="J58" s="93"/>
      <c r="K58" s="85"/>
      <c r="M58" s="94"/>
      <c r="N58" s="93"/>
      <c r="O58" s="85"/>
      <c r="Q58" s="94"/>
      <c r="R58" s="93"/>
      <c r="S58" s="85"/>
      <c r="U58" s="94"/>
      <c r="V58" s="93"/>
      <c r="W58" s="85"/>
      <c r="Y58" s="94"/>
      <c r="Z58" s="93"/>
      <c r="AA58" s="85"/>
      <c r="AC58" s="94"/>
      <c r="AD58" s="93"/>
      <c r="AE58" s="85"/>
    </row>
    <row r="59" spans="6:31" x14ac:dyDescent="0.35">
      <c r="F59" s="93"/>
      <c r="G59" s="85"/>
      <c r="H59" s="87"/>
      <c r="J59" s="93"/>
      <c r="K59" s="85"/>
      <c r="M59" s="94"/>
      <c r="N59" s="93"/>
      <c r="O59" s="85"/>
      <c r="Q59" s="94"/>
      <c r="R59" s="93"/>
      <c r="S59" s="85"/>
      <c r="U59" s="94"/>
      <c r="V59" s="93"/>
      <c r="W59" s="85"/>
      <c r="Y59" s="94"/>
      <c r="Z59" s="93"/>
      <c r="AA59" s="85"/>
      <c r="AC59" s="94"/>
      <c r="AD59" s="93"/>
      <c r="AE59" s="85"/>
    </row>
    <row r="60" spans="6:31" x14ac:dyDescent="0.35">
      <c r="F60" s="93"/>
      <c r="G60" s="85"/>
      <c r="H60" s="87"/>
      <c r="J60" s="93"/>
      <c r="K60" s="85"/>
      <c r="M60" s="94"/>
      <c r="N60" s="93"/>
      <c r="O60" s="85"/>
      <c r="Q60" s="94"/>
      <c r="R60" s="93"/>
      <c r="S60" s="85"/>
      <c r="U60" s="94"/>
      <c r="V60" s="93"/>
      <c r="W60" s="85"/>
      <c r="Y60" s="94"/>
      <c r="Z60" s="93"/>
      <c r="AA60" s="85"/>
      <c r="AC60" s="94"/>
      <c r="AD60" s="93"/>
      <c r="AE60" s="85"/>
    </row>
    <row r="61" spans="6:31" x14ac:dyDescent="0.35">
      <c r="F61" s="93"/>
      <c r="G61" s="85"/>
      <c r="H61" s="87"/>
      <c r="J61" s="93"/>
      <c r="K61" s="85"/>
      <c r="M61" s="94"/>
      <c r="N61" s="93"/>
      <c r="O61" s="85"/>
      <c r="Q61" s="94"/>
      <c r="R61" s="93"/>
      <c r="S61" s="85"/>
      <c r="U61" s="94"/>
      <c r="V61" s="93"/>
      <c r="W61" s="85"/>
      <c r="Y61" s="94"/>
      <c r="Z61" s="93"/>
      <c r="AA61" s="85"/>
      <c r="AC61" s="94"/>
      <c r="AD61" s="93"/>
      <c r="AE61" s="85"/>
    </row>
    <row r="62" spans="6:31" x14ac:dyDescent="0.35">
      <c r="F62" s="93"/>
      <c r="G62" s="85"/>
      <c r="H62" s="87"/>
      <c r="J62" s="93"/>
      <c r="K62" s="85"/>
      <c r="M62" s="94"/>
      <c r="N62" s="93"/>
      <c r="O62" s="85"/>
      <c r="Q62" s="94"/>
      <c r="R62" s="93"/>
      <c r="S62" s="85"/>
      <c r="U62" s="94"/>
      <c r="V62" s="93"/>
      <c r="W62" s="85"/>
      <c r="Y62" s="94"/>
      <c r="Z62" s="93"/>
      <c r="AA62" s="85"/>
      <c r="AC62" s="94"/>
      <c r="AD62" s="93"/>
      <c r="AE62" s="85"/>
    </row>
    <row r="63" spans="6:31" x14ac:dyDescent="0.35">
      <c r="F63" s="93"/>
      <c r="G63" s="85"/>
      <c r="H63" s="87"/>
      <c r="J63" s="93"/>
      <c r="K63" s="85"/>
      <c r="M63" s="94"/>
      <c r="N63" s="93"/>
      <c r="O63" s="85"/>
      <c r="Q63" s="94"/>
      <c r="R63" s="93"/>
      <c r="S63" s="85"/>
      <c r="U63" s="94"/>
      <c r="V63" s="93"/>
      <c r="W63" s="85"/>
      <c r="Y63" s="94"/>
      <c r="Z63" s="93"/>
      <c r="AA63" s="85"/>
      <c r="AC63" s="94"/>
      <c r="AD63" s="93"/>
      <c r="AE63" s="85"/>
    </row>
    <row r="64" spans="6:31" x14ac:dyDescent="0.35">
      <c r="F64" s="93"/>
      <c r="G64" s="85"/>
      <c r="H64" s="87"/>
      <c r="J64" s="93"/>
      <c r="K64" s="85"/>
      <c r="M64" s="94"/>
      <c r="N64" s="93"/>
      <c r="O64" s="85"/>
      <c r="Q64" s="94"/>
      <c r="R64" s="93"/>
      <c r="S64" s="85"/>
      <c r="U64" s="94"/>
      <c r="V64" s="93"/>
      <c r="W64" s="85"/>
      <c r="Y64" s="94"/>
      <c r="Z64" s="93"/>
      <c r="AA64" s="85"/>
      <c r="AC64" s="94"/>
      <c r="AD64" s="93"/>
      <c r="AE64" s="85"/>
    </row>
    <row r="65" spans="6:31" x14ac:dyDescent="0.35">
      <c r="F65" s="93"/>
      <c r="G65" s="85"/>
      <c r="H65" s="87"/>
      <c r="J65" s="93"/>
      <c r="K65" s="85"/>
      <c r="M65" s="94"/>
      <c r="N65" s="93"/>
      <c r="O65" s="85"/>
      <c r="Q65" s="94"/>
      <c r="R65" s="93"/>
      <c r="S65" s="85"/>
      <c r="U65" s="94"/>
      <c r="V65" s="93"/>
      <c r="W65" s="85"/>
      <c r="Y65" s="94"/>
      <c r="Z65" s="93"/>
      <c r="AA65" s="85"/>
      <c r="AC65" s="94"/>
      <c r="AD65" s="93"/>
      <c r="AE65" s="85"/>
    </row>
    <row r="66" spans="6:31" x14ac:dyDescent="0.35">
      <c r="F66" s="93"/>
      <c r="G66" s="85"/>
      <c r="H66" s="87"/>
      <c r="J66" s="93"/>
      <c r="K66" s="85"/>
      <c r="M66" s="94"/>
      <c r="N66" s="93"/>
      <c r="O66" s="85"/>
      <c r="Q66" s="94"/>
      <c r="R66" s="93"/>
      <c r="S66" s="85"/>
      <c r="U66" s="94"/>
      <c r="V66" s="93"/>
      <c r="W66" s="85"/>
      <c r="Y66" s="94"/>
      <c r="Z66" s="93"/>
      <c r="AA66" s="85"/>
      <c r="AC66" s="94"/>
      <c r="AD66" s="93"/>
      <c r="AE66" s="85"/>
    </row>
    <row r="67" spans="6:31" x14ac:dyDescent="0.35">
      <c r="F67" s="93"/>
      <c r="G67" s="85"/>
      <c r="H67" s="87"/>
      <c r="J67" s="93"/>
      <c r="K67" s="85"/>
      <c r="M67" s="94"/>
      <c r="N67" s="93"/>
      <c r="O67" s="85"/>
      <c r="Q67" s="94"/>
      <c r="R67" s="93"/>
      <c r="S67" s="85"/>
      <c r="U67" s="94"/>
      <c r="V67" s="93"/>
      <c r="W67" s="85"/>
      <c r="Y67" s="94"/>
      <c r="Z67" s="93"/>
      <c r="AA67" s="85"/>
      <c r="AC67" s="94"/>
      <c r="AD67" s="93"/>
      <c r="AE67" s="85"/>
    </row>
    <row r="68" spans="6:31" x14ac:dyDescent="0.35">
      <c r="F68" s="93"/>
      <c r="G68" s="85"/>
      <c r="H68" s="87"/>
      <c r="J68" s="93"/>
      <c r="K68" s="85"/>
      <c r="M68" s="94"/>
      <c r="N68" s="93"/>
      <c r="O68" s="85"/>
      <c r="Q68" s="94"/>
      <c r="R68" s="93"/>
      <c r="S68" s="85"/>
      <c r="U68" s="94"/>
      <c r="V68" s="93"/>
      <c r="W68" s="85"/>
      <c r="Y68" s="94"/>
      <c r="Z68" s="93"/>
      <c r="AA68" s="85"/>
      <c r="AC68" s="94"/>
      <c r="AD68" s="93"/>
      <c r="AE68" s="85"/>
    </row>
    <row r="69" spans="6:31" x14ac:dyDescent="0.35">
      <c r="F69" s="93"/>
      <c r="G69" s="85"/>
      <c r="H69" s="87"/>
      <c r="J69" s="93"/>
      <c r="K69" s="85"/>
      <c r="M69" s="94"/>
      <c r="N69" s="93"/>
      <c r="O69" s="85"/>
      <c r="Q69" s="94"/>
      <c r="R69" s="93"/>
      <c r="S69" s="85"/>
      <c r="U69" s="94"/>
      <c r="V69" s="93"/>
      <c r="W69" s="85"/>
      <c r="Y69" s="94"/>
      <c r="Z69" s="93"/>
      <c r="AA69" s="85"/>
      <c r="AC69" s="94"/>
      <c r="AD69" s="93"/>
      <c r="AE69" s="85"/>
    </row>
    <row r="70" spans="6:31" x14ac:dyDescent="0.35">
      <c r="F70" s="93"/>
      <c r="G70" s="85"/>
      <c r="H70" s="87"/>
      <c r="J70" s="93"/>
      <c r="K70" s="85"/>
      <c r="M70" s="94"/>
      <c r="N70" s="93"/>
      <c r="O70" s="85"/>
      <c r="Q70" s="94"/>
      <c r="R70" s="93"/>
      <c r="S70" s="85"/>
      <c r="U70" s="94"/>
      <c r="V70" s="93"/>
      <c r="W70" s="85"/>
      <c r="Y70" s="94"/>
      <c r="Z70" s="93"/>
      <c r="AA70" s="85"/>
      <c r="AC70" s="94"/>
      <c r="AD70" s="93"/>
      <c r="AE70" s="85"/>
    </row>
    <row r="71" spans="6:31" x14ac:dyDescent="0.35">
      <c r="F71" s="93"/>
      <c r="G71" s="85"/>
      <c r="H71" s="87"/>
      <c r="J71" s="93"/>
      <c r="K71" s="85"/>
      <c r="M71" s="94"/>
      <c r="N71" s="93"/>
      <c r="O71" s="85"/>
      <c r="Q71" s="94"/>
      <c r="R71" s="93"/>
      <c r="S71" s="85"/>
      <c r="U71" s="94"/>
      <c r="V71" s="93"/>
      <c r="W71" s="85"/>
      <c r="Y71" s="94"/>
      <c r="Z71" s="93"/>
      <c r="AA71" s="85"/>
      <c r="AC71" s="94"/>
      <c r="AD71" s="93"/>
      <c r="AE71" s="85"/>
    </row>
    <row r="72" spans="6:31" x14ac:dyDescent="0.35">
      <c r="F72" s="93"/>
      <c r="G72" s="85"/>
      <c r="H72" s="87"/>
      <c r="J72" s="93"/>
      <c r="K72" s="85"/>
      <c r="M72" s="94"/>
      <c r="N72" s="93"/>
      <c r="O72" s="85"/>
      <c r="Q72" s="94"/>
      <c r="R72" s="93"/>
      <c r="S72" s="85"/>
      <c r="U72" s="94"/>
      <c r="V72" s="93"/>
      <c r="W72" s="85"/>
      <c r="Y72" s="94"/>
      <c r="Z72" s="93"/>
      <c r="AA72" s="85"/>
      <c r="AC72" s="94"/>
      <c r="AD72" s="93"/>
      <c r="AE72" s="85"/>
    </row>
    <row r="73" spans="6:31" x14ac:dyDescent="0.35">
      <c r="F73" s="93"/>
      <c r="G73" s="85"/>
      <c r="H73" s="87"/>
      <c r="J73" s="93"/>
      <c r="K73" s="85"/>
      <c r="M73" s="94"/>
      <c r="N73" s="93"/>
      <c r="O73" s="85"/>
      <c r="Q73" s="94"/>
      <c r="R73" s="93"/>
      <c r="S73" s="85"/>
      <c r="U73" s="94"/>
      <c r="V73" s="93"/>
      <c r="W73" s="85"/>
      <c r="Y73" s="94"/>
      <c r="Z73" s="93"/>
      <c r="AA73" s="85"/>
      <c r="AC73" s="94"/>
      <c r="AD73" s="93"/>
      <c r="AE73" s="85"/>
    </row>
    <row r="74" spans="6:31" x14ac:dyDescent="0.35">
      <c r="F74" s="93"/>
      <c r="G74" s="85"/>
      <c r="H74" s="87"/>
      <c r="J74" s="93"/>
      <c r="K74" s="85"/>
      <c r="M74" s="94"/>
      <c r="N74" s="93"/>
      <c r="O74" s="85"/>
      <c r="Q74" s="94"/>
      <c r="R74" s="93"/>
      <c r="S74" s="85"/>
      <c r="U74" s="94"/>
      <c r="V74" s="93"/>
      <c r="W74" s="85"/>
      <c r="Y74" s="94"/>
      <c r="Z74" s="93"/>
      <c r="AA74" s="85"/>
      <c r="AC74" s="94"/>
      <c r="AD74" s="93"/>
      <c r="AE74" s="85"/>
    </row>
    <row r="75" spans="6:31" x14ac:dyDescent="0.35">
      <c r="F75" s="93"/>
      <c r="G75" s="85"/>
      <c r="H75" s="87"/>
      <c r="J75" s="93"/>
      <c r="K75" s="85"/>
      <c r="M75" s="94"/>
      <c r="N75" s="93"/>
      <c r="O75" s="85"/>
      <c r="Q75" s="94"/>
      <c r="R75" s="93"/>
      <c r="S75" s="85"/>
      <c r="U75" s="94"/>
      <c r="V75" s="93"/>
      <c r="W75" s="85"/>
      <c r="Y75" s="94"/>
      <c r="Z75" s="93"/>
      <c r="AA75" s="85"/>
      <c r="AC75" s="94"/>
      <c r="AD75" s="93"/>
      <c r="AE75" s="85"/>
    </row>
    <row r="76" spans="6:31" x14ac:dyDescent="0.35">
      <c r="F76" s="93"/>
      <c r="G76" s="85"/>
      <c r="H76" s="87"/>
      <c r="J76" s="93"/>
      <c r="K76" s="85"/>
      <c r="M76" s="94"/>
      <c r="N76" s="93"/>
      <c r="O76" s="85"/>
      <c r="Q76" s="94"/>
      <c r="R76" s="93"/>
      <c r="S76" s="85"/>
      <c r="U76" s="94"/>
      <c r="V76" s="93"/>
      <c r="W76" s="85"/>
      <c r="Y76" s="94"/>
      <c r="Z76" s="93"/>
      <c r="AA76" s="85"/>
      <c r="AC76" s="94"/>
      <c r="AD76" s="93"/>
      <c r="AE76" s="85"/>
    </row>
    <row r="77" spans="6:31" x14ac:dyDescent="0.35">
      <c r="F77" s="93"/>
      <c r="G77" s="85"/>
      <c r="H77" s="87"/>
      <c r="J77" s="93"/>
      <c r="K77" s="85"/>
      <c r="M77" s="94"/>
      <c r="N77" s="93"/>
      <c r="O77" s="85"/>
      <c r="Q77" s="94"/>
      <c r="R77" s="93"/>
      <c r="S77" s="85"/>
      <c r="U77" s="94"/>
      <c r="V77" s="93"/>
      <c r="W77" s="85"/>
      <c r="Y77" s="94"/>
      <c r="Z77" s="93"/>
      <c r="AA77" s="85"/>
      <c r="AC77" s="94"/>
      <c r="AD77" s="93"/>
      <c r="AE77" s="85"/>
    </row>
    <row r="78" spans="6:31" x14ac:dyDescent="0.35">
      <c r="F78" s="93"/>
      <c r="G78" s="85"/>
      <c r="H78" s="87"/>
      <c r="J78" s="93"/>
      <c r="K78" s="85"/>
      <c r="M78" s="94"/>
      <c r="N78" s="93"/>
      <c r="O78" s="85"/>
      <c r="Q78" s="94"/>
      <c r="R78" s="93"/>
      <c r="S78" s="85"/>
      <c r="U78" s="94"/>
      <c r="V78" s="93"/>
      <c r="W78" s="85"/>
      <c r="Y78" s="94"/>
      <c r="Z78" s="93"/>
      <c r="AA78" s="85"/>
      <c r="AC78" s="94"/>
      <c r="AD78" s="93"/>
      <c r="AE78" s="85"/>
    </row>
    <row r="79" spans="6:31" x14ac:dyDescent="0.35">
      <c r="F79" s="93"/>
      <c r="G79" s="85"/>
      <c r="H79" s="87"/>
      <c r="J79" s="93"/>
      <c r="K79" s="85"/>
      <c r="M79" s="94"/>
      <c r="N79" s="93"/>
      <c r="O79" s="85"/>
      <c r="Q79" s="94"/>
      <c r="R79" s="93"/>
      <c r="S79" s="85"/>
      <c r="U79" s="94"/>
      <c r="V79" s="93"/>
      <c r="W79" s="85"/>
      <c r="Y79" s="94"/>
      <c r="Z79" s="93"/>
      <c r="AA79" s="85"/>
      <c r="AC79" s="94"/>
      <c r="AD79" s="93"/>
      <c r="AE79" s="85"/>
    </row>
    <row r="80" spans="6:31" x14ac:dyDescent="0.35">
      <c r="F80" s="93"/>
      <c r="G80" s="85"/>
      <c r="H80" s="87"/>
      <c r="J80" s="93"/>
      <c r="K80" s="85"/>
      <c r="M80" s="94"/>
      <c r="N80" s="93"/>
      <c r="O80" s="85"/>
      <c r="Q80" s="94"/>
      <c r="R80" s="93"/>
      <c r="S80" s="85"/>
      <c r="U80" s="94"/>
      <c r="V80" s="93"/>
      <c r="W80" s="85"/>
      <c r="Y80" s="94"/>
      <c r="Z80" s="93"/>
      <c r="AA80" s="85"/>
      <c r="AC80" s="94"/>
      <c r="AD80" s="93"/>
      <c r="AE80" s="85"/>
    </row>
    <row r="81" spans="6:31" x14ac:dyDescent="0.35">
      <c r="F81" s="93"/>
      <c r="G81" s="85"/>
      <c r="H81" s="87"/>
      <c r="J81" s="93"/>
      <c r="K81" s="85"/>
      <c r="M81" s="94"/>
      <c r="N81" s="93"/>
      <c r="O81" s="85"/>
      <c r="Q81" s="94"/>
      <c r="R81" s="93"/>
      <c r="S81" s="85"/>
      <c r="U81" s="94"/>
      <c r="V81" s="93"/>
      <c r="W81" s="85"/>
      <c r="Y81" s="94"/>
      <c r="Z81" s="93"/>
      <c r="AA81" s="85"/>
      <c r="AC81" s="94"/>
      <c r="AD81" s="93"/>
      <c r="AE81" s="85"/>
    </row>
    <row r="82" spans="6:31" x14ac:dyDescent="0.35">
      <c r="F82" s="93"/>
      <c r="G82" s="85"/>
      <c r="H82" s="87"/>
      <c r="J82" s="93"/>
      <c r="K82" s="85"/>
      <c r="M82" s="94"/>
      <c r="N82" s="93"/>
      <c r="O82" s="85"/>
      <c r="Q82" s="94"/>
      <c r="R82" s="93"/>
      <c r="S82" s="85"/>
      <c r="U82" s="94"/>
      <c r="V82" s="93"/>
      <c r="W82" s="85"/>
      <c r="Y82" s="94"/>
      <c r="Z82" s="93"/>
      <c r="AA82" s="85"/>
      <c r="AC82" s="94"/>
      <c r="AD82" s="93"/>
      <c r="AE82" s="85"/>
    </row>
    <row r="83" spans="6:31" x14ac:dyDescent="0.35">
      <c r="F83" s="93"/>
      <c r="G83" s="85"/>
      <c r="H83" s="87"/>
      <c r="J83" s="93"/>
      <c r="K83" s="85"/>
      <c r="M83" s="94"/>
      <c r="N83" s="93"/>
      <c r="O83" s="85"/>
      <c r="Q83" s="94"/>
      <c r="R83" s="93"/>
      <c r="S83" s="85"/>
      <c r="U83" s="94"/>
      <c r="V83" s="93"/>
      <c r="W83" s="85"/>
      <c r="Y83" s="94"/>
      <c r="Z83" s="93"/>
      <c r="AA83" s="85"/>
      <c r="AC83" s="94"/>
      <c r="AD83" s="93"/>
      <c r="AE83" s="85"/>
    </row>
    <row r="84" spans="6:31" x14ac:dyDescent="0.35">
      <c r="F84" s="93"/>
      <c r="G84" s="85"/>
      <c r="H84" s="87"/>
      <c r="J84" s="93"/>
      <c r="K84" s="85"/>
      <c r="M84" s="94"/>
      <c r="N84" s="93"/>
      <c r="O84" s="85"/>
      <c r="Q84" s="94"/>
      <c r="R84" s="93"/>
      <c r="S84" s="85"/>
      <c r="U84" s="94"/>
      <c r="V84" s="93"/>
      <c r="W84" s="85"/>
      <c r="Y84" s="94"/>
      <c r="Z84" s="93"/>
      <c r="AA84" s="85"/>
      <c r="AC84" s="94"/>
      <c r="AD84" s="93"/>
      <c r="AE84" s="85"/>
    </row>
    <row r="85" spans="6:31" x14ac:dyDescent="0.35">
      <c r="F85" s="93"/>
      <c r="G85" s="85"/>
      <c r="H85" s="87"/>
      <c r="J85" s="93"/>
      <c r="K85" s="85"/>
      <c r="M85" s="94"/>
      <c r="N85" s="93"/>
      <c r="O85" s="85"/>
      <c r="Q85" s="94"/>
      <c r="R85" s="93"/>
      <c r="S85" s="85"/>
      <c r="U85" s="94"/>
      <c r="V85" s="93"/>
      <c r="W85" s="85"/>
      <c r="Y85" s="94"/>
      <c r="Z85" s="93"/>
      <c r="AA85" s="85"/>
      <c r="AC85" s="94"/>
      <c r="AD85" s="93"/>
      <c r="AE85" s="85"/>
    </row>
    <row r="86" spans="6:31" x14ac:dyDescent="0.35">
      <c r="F86" s="93"/>
      <c r="G86" s="85"/>
      <c r="H86" s="87"/>
      <c r="J86" s="93"/>
      <c r="K86" s="85"/>
      <c r="M86" s="94"/>
      <c r="N86" s="93"/>
      <c r="O86" s="85"/>
      <c r="Q86" s="94"/>
      <c r="R86" s="93"/>
      <c r="S86" s="85"/>
      <c r="U86" s="94"/>
      <c r="V86" s="93"/>
      <c r="W86" s="85"/>
      <c r="Y86" s="94"/>
      <c r="Z86" s="93"/>
      <c r="AA86" s="85"/>
      <c r="AC86" s="94"/>
      <c r="AD86" s="93"/>
      <c r="AE86" s="85"/>
    </row>
    <row r="87" spans="6:31" x14ac:dyDescent="0.35">
      <c r="F87" s="93"/>
      <c r="G87" s="85"/>
      <c r="H87" s="87"/>
      <c r="J87" s="93"/>
      <c r="K87" s="85"/>
      <c r="M87" s="94"/>
      <c r="N87" s="93"/>
      <c r="O87" s="85"/>
      <c r="Q87" s="94"/>
      <c r="R87" s="93"/>
      <c r="S87" s="85"/>
      <c r="U87" s="94"/>
      <c r="V87" s="93"/>
      <c r="W87" s="85"/>
      <c r="Y87" s="94"/>
      <c r="Z87" s="93"/>
      <c r="AA87" s="85"/>
      <c r="AC87" s="94"/>
      <c r="AD87" s="93"/>
      <c r="AE87" s="85"/>
    </row>
    <row r="88" spans="6:31" x14ac:dyDescent="0.35">
      <c r="F88" s="93"/>
      <c r="G88" s="85"/>
      <c r="H88" s="87"/>
      <c r="J88" s="93"/>
      <c r="K88" s="85"/>
      <c r="M88" s="94"/>
      <c r="N88" s="93"/>
      <c r="O88" s="85"/>
      <c r="Q88" s="94"/>
      <c r="R88" s="93"/>
      <c r="S88" s="85"/>
      <c r="U88" s="94"/>
      <c r="V88" s="93"/>
      <c r="W88" s="85"/>
      <c r="Y88" s="94"/>
      <c r="Z88" s="93"/>
      <c r="AA88" s="85"/>
      <c r="AC88" s="94"/>
      <c r="AD88" s="93"/>
      <c r="AE88" s="85"/>
    </row>
    <row r="89" spans="6:31" x14ac:dyDescent="0.35">
      <c r="F89" s="93"/>
      <c r="G89" s="85"/>
      <c r="H89" s="87"/>
      <c r="J89" s="93"/>
      <c r="K89" s="85"/>
      <c r="M89" s="94"/>
      <c r="N89" s="93"/>
      <c r="O89" s="85"/>
      <c r="Q89" s="94"/>
      <c r="R89" s="93"/>
      <c r="S89" s="85"/>
      <c r="U89" s="94"/>
      <c r="V89" s="93"/>
      <c r="W89" s="85"/>
      <c r="Y89" s="94"/>
      <c r="Z89" s="93"/>
      <c r="AA89" s="85"/>
      <c r="AC89" s="94"/>
      <c r="AD89" s="93"/>
      <c r="AE89" s="85"/>
    </row>
    <row r="90" spans="6:31" x14ac:dyDescent="0.35">
      <c r="F90" s="93"/>
      <c r="G90" s="85"/>
      <c r="H90" s="87"/>
      <c r="J90" s="93"/>
      <c r="K90" s="85"/>
      <c r="M90" s="94"/>
      <c r="N90" s="93"/>
      <c r="O90" s="85"/>
      <c r="Q90" s="94"/>
      <c r="R90" s="93"/>
      <c r="S90" s="85"/>
      <c r="U90" s="94"/>
      <c r="V90" s="93"/>
      <c r="W90" s="85"/>
      <c r="Y90" s="94"/>
      <c r="Z90" s="93"/>
      <c r="AA90" s="85"/>
      <c r="AC90" s="94"/>
      <c r="AD90" s="93"/>
      <c r="AE90" s="85"/>
    </row>
    <row r="91" spans="6:31" x14ac:dyDescent="0.35">
      <c r="F91" s="93"/>
      <c r="G91" s="85"/>
      <c r="H91" s="87"/>
      <c r="J91" s="93"/>
      <c r="K91" s="85"/>
      <c r="M91" s="94"/>
      <c r="N91" s="93"/>
      <c r="O91" s="85"/>
      <c r="Q91" s="94"/>
      <c r="R91" s="93"/>
      <c r="S91" s="85"/>
      <c r="U91" s="94"/>
      <c r="V91" s="93"/>
      <c r="W91" s="85"/>
      <c r="Y91" s="94"/>
      <c r="Z91" s="93"/>
      <c r="AA91" s="85"/>
      <c r="AC91" s="94"/>
      <c r="AD91" s="93"/>
      <c r="AE91" s="85"/>
    </row>
    <row r="92" spans="6:31" x14ac:dyDescent="0.35">
      <c r="F92" s="93"/>
      <c r="G92" s="85"/>
      <c r="H92" s="87"/>
      <c r="J92" s="93"/>
      <c r="K92" s="85"/>
      <c r="M92" s="94"/>
      <c r="N92" s="93"/>
      <c r="O92" s="85"/>
      <c r="Q92" s="94"/>
      <c r="R92" s="93"/>
      <c r="S92" s="85"/>
      <c r="U92" s="94"/>
      <c r="V92" s="93"/>
      <c r="W92" s="85"/>
      <c r="Y92" s="94"/>
      <c r="Z92" s="93"/>
      <c r="AA92" s="85"/>
      <c r="AC92" s="94"/>
      <c r="AD92" s="93"/>
      <c r="AE92" s="85"/>
    </row>
    <row r="93" spans="6:31" x14ac:dyDescent="0.35">
      <c r="F93" s="93"/>
      <c r="G93" s="85"/>
      <c r="H93" s="87"/>
      <c r="J93" s="93"/>
      <c r="K93" s="85"/>
      <c r="M93" s="94"/>
      <c r="N93" s="93"/>
      <c r="O93" s="85"/>
      <c r="Q93" s="94"/>
      <c r="R93" s="93"/>
      <c r="S93" s="85"/>
      <c r="U93" s="94"/>
      <c r="V93" s="93"/>
      <c r="W93" s="85"/>
      <c r="Y93" s="94"/>
      <c r="Z93" s="93"/>
      <c r="AA93" s="85"/>
      <c r="AC93" s="94"/>
      <c r="AD93" s="93"/>
      <c r="AE93" s="85"/>
    </row>
    <row r="94" spans="6:31" x14ac:dyDescent="0.35">
      <c r="F94" s="93"/>
      <c r="G94" s="85"/>
      <c r="H94" s="87"/>
      <c r="J94" s="93"/>
      <c r="K94" s="85"/>
      <c r="M94" s="94"/>
      <c r="N94" s="93"/>
      <c r="O94" s="85"/>
      <c r="Q94" s="94"/>
      <c r="R94" s="93"/>
      <c r="S94" s="85"/>
      <c r="U94" s="94"/>
      <c r="V94" s="93"/>
      <c r="W94" s="85"/>
      <c r="Y94" s="94"/>
      <c r="Z94" s="93"/>
      <c r="AA94" s="85"/>
      <c r="AC94" s="94"/>
      <c r="AD94" s="93"/>
      <c r="AE94" s="85"/>
    </row>
    <row r="95" spans="6:31" x14ac:dyDescent="0.35">
      <c r="F95" s="93"/>
      <c r="G95" s="85"/>
      <c r="H95" s="87"/>
      <c r="J95" s="93"/>
      <c r="K95" s="85"/>
      <c r="M95" s="94"/>
      <c r="N95" s="93"/>
      <c r="O95" s="85"/>
      <c r="Q95" s="94"/>
      <c r="R95" s="93"/>
      <c r="S95" s="85"/>
      <c r="U95" s="94"/>
      <c r="V95" s="93"/>
      <c r="W95" s="85"/>
      <c r="Y95" s="94"/>
      <c r="Z95" s="93"/>
      <c r="AA95" s="85"/>
      <c r="AC95" s="94"/>
      <c r="AD95" s="93"/>
      <c r="AE95" s="85"/>
    </row>
    <row r="96" spans="6:31" x14ac:dyDescent="0.35">
      <c r="F96" s="93"/>
      <c r="G96" s="85"/>
      <c r="H96" s="87"/>
      <c r="J96" s="93"/>
      <c r="K96" s="85"/>
      <c r="M96" s="94"/>
      <c r="N96" s="93"/>
      <c r="O96" s="85"/>
      <c r="Q96" s="94"/>
      <c r="R96" s="93"/>
      <c r="S96" s="85"/>
      <c r="U96" s="94"/>
      <c r="V96" s="93"/>
      <c r="W96" s="85"/>
      <c r="Y96" s="94"/>
      <c r="Z96" s="93"/>
      <c r="AA96" s="85"/>
      <c r="AC96" s="94"/>
      <c r="AD96" s="93"/>
      <c r="AE96" s="85"/>
    </row>
    <row r="97" spans="6:31" x14ac:dyDescent="0.35">
      <c r="F97" s="93"/>
      <c r="G97" s="85"/>
      <c r="H97" s="87"/>
      <c r="J97" s="93"/>
      <c r="K97" s="85"/>
      <c r="M97" s="94"/>
      <c r="N97" s="93"/>
      <c r="O97" s="85"/>
      <c r="Q97" s="94"/>
      <c r="R97" s="93"/>
      <c r="S97" s="85"/>
      <c r="U97" s="94"/>
      <c r="V97" s="93"/>
      <c r="W97" s="85"/>
      <c r="Y97" s="94"/>
      <c r="Z97" s="93"/>
      <c r="AA97" s="85"/>
      <c r="AC97" s="94"/>
      <c r="AD97" s="93"/>
      <c r="AE97" s="85"/>
    </row>
    <row r="98" spans="6:31" x14ac:dyDescent="0.35">
      <c r="F98" s="93"/>
      <c r="G98" s="85"/>
      <c r="H98" s="87"/>
      <c r="J98" s="93"/>
      <c r="K98" s="85"/>
      <c r="M98" s="94"/>
      <c r="N98" s="93"/>
      <c r="O98" s="85"/>
      <c r="Q98" s="94"/>
      <c r="R98" s="93"/>
      <c r="S98" s="85"/>
      <c r="U98" s="94"/>
      <c r="V98" s="93"/>
      <c r="W98" s="85"/>
      <c r="Y98" s="94"/>
      <c r="Z98" s="93"/>
      <c r="AA98" s="85"/>
      <c r="AC98" s="94"/>
      <c r="AD98" s="93"/>
      <c r="AE98" s="85"/>
    </row>
    <row r="99" spans="6:31" x14ac:dyDescent="0.35">
      <c r="F99" s="93"/>
      <c r="G99" s="85"/>
      <c r="H99" s="87"/>
      <c r="J99" s="93"/>
      <c r="K99" s="85"/>
      <c r="M99" s="94"/>
      <c r="N99" s="93"/>
      <c r="O99" s="85"/>
      <c r="Q99" s="94"/>
      <c r="R99" s="93"/>
      <c r="S99" s="85"/>
      <c r="U99" s="94"/>
      <c r="V99" s="93"/>
      <c r="W99" s="85"/>
      <c r="Y99" s="94"/>
      <c r="Z99" s="93"/>
      <c r="AA99" s="85"/>
      <c r="AC99" s="94"/>
      <c r="AD99" s="93"/>
      <c r="AE99" s="85"/>
    </row>
    <row r="100" spans="6:31" x14ac:dyDescent="0.35">
      <c r="F100" s="93"/>
      <c r="G100" s="85"/>
      <c r="H100" s="87"/>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J1000" s="93"/>
      <c r="K1000" s="85"/>
      <c r="M1000" s="94"/>
      <c r="N1000" s="93"/>
      <c r="O1000" s="85"/>
      <c r="Q1000" s="94"/>
      <c r="R1000" s="93"/>
      <c r="S1000" s="85"/>
      <c r="U1000" s="94"/>
      <c r="V1000" s="93"/>
      <c r="W1000" s="85"/>
      <c r="Y1000" s="94"/>
      <c r="Z1000" s="93"/>
      <c r="AA1000" s="85"/>
      <c r="AC1000" s="94"/>
      <c r="AD1000" s="93"/>
      <c r="AE1000" s="85"/>
    </row>
    <row r="1001" spans="6:31" x14ac:dyDescent="0.35">
      <c r="M1001" s="94"/>
      <c r="N1001" s="93"/>
      <c r="O1001" s="85"/>
    </row>
    <row r="1002" spans="6:31" x14ac:dyDescent="0.35">
      <c r="M1002" s="94"/>
      <c r="N1002" s="93"/>
      <c r="O1002" s="85"/>
    </row>
    <row r="1003" spans="6:31" x14ac:dyDescent="0.35">
      <c r="M1003" s="94"/>
      <c r="N1003" s="93"/>
      <c r="O1003" s="85"/>
    </row>
  </sheetData>
  <conditionalFormatting sqref="A20:L1048576 Q20:AG1048576 M20:P22 A1:AG19">
    <cfRule type="expression" dxfId="30" priority="1">
      <formula>$A4="Spend to Date"</formula>
    </cfRule>
  </conditionalFormatting>
  <conditionalFormatting sqref="M23:P1048576">
    <cfRule type="expression" dxfId="29" priority="15">
      <formula>$A23="Spend to Date"</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G1007"/>
  <sheetViews>
    <sheetView workbookViewId="0">
      <pane xSplit="2" ySplit="1" topLeftCell="L12" activePane="bottomRight" state="frozen"/>
      <selection pane="topRight" activeCell="C1" sqref="C1"/>
      <selection pane="bottomLeft" activeCell="A2" sqref="A2"/>
      <selection pane="bottomRight" activeCell="A19" sqref="A19"/>
    </sheetView>
  </sheetViews>
  <sheetFormatPr defaultColWidth="8.81640625" defaultRowHeight="14.5" customHeight="1"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94" bestFit="1" customWidth="1"/>
    <col min="10" max="10" width="19.54296875" style="93" bestFit="1" customWidth="1"/>
    <col min="11" max="11" width="35.81640625" style="87" bestFit="1" customWidth="1"/>
    <col min="12" max="12" width="13.453125" style="87" bestFit="1" customWidth="1"/>
    <col min="13" max="13" width="13.81640625" style="89" bestFit="1" customWidth="1"/>
    <col min="14" max="14" width="13.81640625" style="87" customWidth="1"/>
    <col min="15" max="15" width="14.7265625" style="87" customWidth="1"/>
    <col min="16" max="16" width="34.7265625" style="87" customWidth="1"/>
    <col min="17" max="17" width="13.81640625" style="89" bestFit="1" customWidth="1"/>
    <col min="18" max="18" width="13.81640625" style="87" customWidth="1"/>
    <col min="19" max="19" width="12.26953125" style="87"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149999999999999" customHeight="1" x14ac:dyDescent="0.35">
      <c r="A1" s="84" t="s">
        <v>198</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ht="14.5" customHeight="1" x14ac:dyDescent="0.35">
      <c r="A2" s="86" t="s">
        <v>10</v>
      </c>
      <c r="D2" s="87"/>
      <c r="E2" s="87">
        <f>SUM(E3:E4)</f>
        <v>-57373.96</v>
      </c>
      <c r="F2" s="87">
        <f>SUM(F3:F3)</f>
        <v>10000</v>
      </c>
      <c r="I2" s="89">
        <f>SUM(I3:I4)</f>
        <v>-58853</v>
      </c>
      <c r="J2" s="87">
        <f>SUM(J3:J4)</f>
        <v>92382.720000000001</v>
      </c>
      <c r="M2" s="89">
        <f>SUM(M3:M4)</f>
        <v>144717</v>
      </c>
      <c r="N2" s="87">
        <f>SUM(N3:N4)</f>
        <v>0</v>
      </c>
      <c r="Q2" s="89">
        <f>SUM(Q3:Q4)</f>
        <v>460371</v>
      </c>
      <c r="R2" s="87">
        <f>SUM(R3:R4)</f>
        <v>0</v>
      </c>
      <c r="U2" s="89">
        <f>SUM(U3:U4)</f>
        <v>-356692</v>
      </c>
      <c r="V2" s="87">
        <f>SUM(V3:V4)</f>
        <v>0</v>
      </c>
      <c r="Y2" s="89">
        <f>SUM(Y3:Y4)</f>
        <v>-349292</v>
      </c>
      <c r="Z2" s="87">
        <f>SUM(Z3:Z4)</f>
        <v>0</v>
      </c>
      <c r="AC2" s="89">
        <f>SUM(AC3:AC4)</f>
        <v>-2766</v>
      </c>
      <c r="AD2" s="87">
        <f>SUM(AD3:AD4)</f>
        <v>0</v>
      </c>
    </row>
    <row r="3" spans="1:33" x14ac:dyDescent="0.35">
      <c r="A3" s="86" t="s">
        <v>198</v>
      </c>
      <c r="B3" s="85">
        <v>1</v>
      </c>
      <c r="D3" s="86">
        <v>92793</v>
      </c>
      <c r="E3" s="87">
        <f>1161-55000-3534.96</f>
        <v>-57373.96</v>
      </c>
      <c r="F3" s="87">
        <f>SUMIFS(H$25:H$995,E$25:E$995,$B3)</f>
        <v>10000</v>
      </c>
      <c r="G3" s="87">
        <f>D3+E3-F3+SUMIFS(E$7:E$19,$C$7:$C$19,$A3)-SUMIFS(F$7:F$19,$C$7:$C$19,$A3)</f>
        <v>68127.960000000006</v>
      </c>
      <c r="I3" s="89">
        <f>-I6</f>
        <v>-58853</v>
      </c>
      <c r="J3" s="87">
        <f>SUMIFS(L$25:L$996,I$25:I$996,$B3)</f>
        <v>0</v>
      </c>
      <c r="K3" s="87">
        <f>G3+I3-J3+SUMIFS(I$7:I$19,$C$7:$C$19,$A3)-SUMIFS(J$7:J$19,$C$7:$C$19,$A3)</f>
        <v>46323.22</v>
      </c>
      <c r="L3" s="86"/>
      <c r="N3" s="87">
        <f>SUMIFS(P$25:P$995,M$25:M$995,$B3)</f>
        <v>0</v>
      </c>
      <c r="O3" s="87">
        <f>K3+M3-N3+SUMIFS(M$7:M$19,$C$7:$C$19,$A3)-SUMIFS(N$7:N$19,$C$7:$C$19,$A3)</f>
        <v>64239.75</v>
      </c>
      <c r="P3" s="86" t="s">
        <v>1369</v>
      </c>
      <c r="R3" s="87">
        <f>SUMIFS(T$25:T$995,Q$25:Q$995,$B3)</f>
        <v>0</v>
      </c>
      <c r="S3" s="87">
        <f>O3+Q3-R3+SUMIFS(Q$7:Q$19,$C$7:$C$19,$A3)-SUMIFS(R$7:R$19,$C$7:$C$19,$A3)</f>
        <v>64239.75</v>
      </c>
      <c r="V3" s="87">
        <f>SUMIFS(X$25:X$995,U$25:U$995,$B3)</f>
        <v>0</v>
      </c>
      <c r="W3" s="87">
        <f>S3+U3-V3+SUMIFS(U$7:U$19,$C$7:$C$19,$A3)-SUMIFS(V$7:V$19,$C$7:$C$19,$A3)</f>
        <v>64239.75</v>
      </c>
      <c r="Z3" s="87">
        <f>SUMIFS(AB$25:AB$995,Y$25:Y$995,$B3)</f>
        <v>0</v>
      </c>
      <c r="AA3" s="87">
        <f>W3+Y3-Z3+SUMIFS(Y$7:Y$19,$C$7:$C$19,$A3)-SUMIFS(Z$7:Z$19,$C$7:$C$19,$A3)</f>
        <v>64239.75</v>
      </c>
      <c r="AD3" s="87">
        <f>SUMIFS(AF$25:AF$995,AC$25:AC$995,$B3)</f>
        <v>0</v>
      </c>
      <c r="AE3" s="87">
        <f>AA3+AC3-AD3+SUMIFS(AC$7:AC$19,$C$7:$C$19,$A3)-SUMIFS(AD$7:AD$19,$C$7:$C$19,$A3)</f>
        <v>64239.75</v>
      </c>
      <c r="AG3" s="87">
        <v>100000</v>
      </c>
    </row>
    <row r="4" spans="1:33" x14ac:dyDescent="0.35">
      <c r="A4" s="86" t="s">
        <v>200</v>
      </c>
      <c r="B4" s="85">
        <v>2</v>
      </c>
      <c r="D4" s="86">
        <v>207017</v>
      </c>
      <c r="E4" s="87">
        <v>0</v>
      </c>
      <c r="F4" s="87">
        <f>SUMIFS(H$25:H$995,E$25:E$995,$B4)</f>
        <v>0</v>
      </c>
      <c r="G4" s="87">
        <f>D4+E4-F4+SUMIFS(E$7:E$19,$C$7:$C$19,$A4)-SUMIFS(F$7:F$19,$C$7:$C$19,$A4)</f>
        <v>5399.9900000000198</v>
      </c>
      <c r="I4" s="89">
        <v>0</v>
      </c>
      <c r="J4" s="87">
        <f>SUMIFS(L$25:L$996,I$25:I$996,$B4)</f>
        <v>92382.720000000001</v>
      </c>
      <c r="K4" s="87">
        <f>G4+I4-J4+SUMIFS(I$7:I$19,$C$7:$C$19,$A4)-SUMIFS(J$7:J$19,$C$7:$C$19,$A4)</f>
        <v>51472.750000000058</v>
      </c>
      <c r="L4" s="86"/>
      <c r="M4" s="89">
        <f>-M6+SUM(M8:M10)</f>
        <v>144717</v>
      </c>
      <c r="N4" s="87">
        <f>SUMIFS(P$25:P$995,M$25:M$995,$B4)</f>
        <v>0</v>
      </c>
      <c r="O4" s="87">
        <f>K4+M4-N4+SUMIFS(M$7:M$19,$C$7:$C$19,$A4)-SUMIFS(N$7:N$19,$C$7:$C$19,$A4)</f>
        <v>51472.750000000058</v>
      </c>
      <c r="P4" s="86" t="s">
        <v>1370</v>
      </c>
      <c r="Q4" s="89">
        <f>-SUM(Q12:Q17)</f>
        <v>460371</v>
      </c>
      <c r="R4" s="87">
        <f>SUMIFS(T$25:T$995,Q$25:Q$995,$B4)</f>
        <v>0</v>
      </c>
      <c r="S4" s="87">
        <f>O4+Q4-R4+SUMIFS(Q$7:Q$19,$C$7:$C$19,$A4)-SUMIFS(R$7:R$19,$C$7:$C$19,$A4)</f>
        <v>511843.75000000006</v>
      </c>
      <c r="U4" s="89">
        <f>-SUM(U12:U17)</f>
        <v>-356692</v>
      </c>
      <c r="V4" s="87">
        <f>SUMIFS(X$25:X$995,U$25:U$995,$B4)</f>
        <v>0</v>
      </c>
      <c r="W4" s="87">
        <f>S4+U4-V4+SUMIFS(U$7:U$19,$C$7:$C$19,$A4)-SUMIFS(V$7:V$19,$C$7:$C$19,$A4)</f>
        <v>155152.75000000006</v>
      </c>
      <c r="Y4" s="89">
        <f>-SUM(Y12:Y17)</f>
        <v>-349292</v>
      </c>
      <c r="Z4" s="87">
        <f>SUMIFS(AB$25:AB$995,Y$25:Y$995,$B4)</f>
        <v>0</v>
      </c>
      <c r="AA4" s="87">
        <f>W4+Y4-Z4+SUMIFS(Y$7:Y$19,$C$7:$C$19,$A4)-SUMIFS(Z$7:Z$19,$C$7:$C$19,$A4)</f>
        <v>-194139.24999999994</v>
      </c>
      <c r="AC4" s="89">
        <f>-SUM(AC12:AC17)</f>
        <v>-2766</v>
      </c>
      <c r="AD4" s="87">
        <f>SUMIFS(AF$25:AF$995,AC$25:AC$995,$B4)</f>
        <v>0</v>
      </c>
      <c r="AE4" s="87">
        <f>AA4+AC4-AD4+SUMIFS(AC$7:AC$19,$C$7:$C$19,$A4)-SUMIFS(AD$7:AD$19,$C$7:$C$19,$A4)</f>
        <v>-196905.24999999994</v>
      </c>
    </row>
    <row r="5" spans="1:33" ht="14.5" customHeight="1" x14ac:dyDescent="0.35">
      <c r="E5" s="87"/>
      <c r="F5" s="87"/>
      <c r="I5" s="89"/>
      <c r="J5" s="87"/>
      <c r="K5" s="86"/>
    </row>
    <row r="6" spans="1:33" ht="14.5" customHeight="1" x14ac:dyDescent="0.35">
      <c r="A6" s="84" t="s">
        <v>201</v>
      </c>
      <c r="D6" s="84"/>
      <c r="E6" s="87">
        <f>SUM(E7:E19)</f>
        <v>61049.29</v>
      </c>
      <c r="F6" s="87">
        <f>SUM(F7:F19)</f>
        <v>219957.37999999998</v>
      </c>
      <c r="I6" s="89">
        <f>SUM(I7:I19)</f>
        <v>58853</v>
      </c>
      <c r="J6" s="87">
        <f>SUM(J7:J19)</f>
        <v>-116650.74000000005</v>
      </c>
      <c r="M6" s="89">
        <f>SUM(M7:M19)</f>
        <v>-125409</v>
      </c>
      <c r="N6" s="87">
        <f>SUM(N7:N19)</f>
        <v>1391.47</v>
      </c>
      <c r="Q6" s="89">
        <f>SUM(Q7:Q19)</f>
        <v>-440483</v>
      </c>
      <c r="R6" s="87">
        <f>$Q$6</f>
        <v>-440483</v>
      </c>
      <c r="U6" s="89">
        <f>SUM(U7:U19)</f>
        <v>377177</v>
      </c>
      <c r="V6" s="87">
        <f>$U$6</f>
        <v>377177</v>
      </c>
      <c r="Y6" s="89">
        <f>SUM(Y7:Y19)</f>
        <v>370394</v>
      </c>
      <c r="Z6" s="87">
        <f>$Y$6</f>
        <v>370394</v>
      </c>
      <c r="AC6" s="89">
        <f>SUM(AC7:AC19)</f>
        <v>24502</v>
      </c>
      <c r="AD6" s="87">
        <f>$AC$6</f>
        <v>24502</v>
      </c>
    </row>
    <row r="7" spans="1:33" ht="14.5" customHeight="1" x14ac:dyDescent="0.35">
      <c r="A7" s="86" t="s">
        <v>201</v>
      </c>
      <c r="B7" s="85">
        <v>3</v>
      </c>
      <c r="C7" s="86" t="s">
        <v>198</v>
      </c>
      <c r="D7" s="84"/>
      <c r="E7" s="87">
        <v>0</v>
      </c>
      <c r="F7" s="87">
        <f t="shared" ref="F7:F19" si="0">SUMIFS(H$25:H$995,E$25:E$995,$B7)</f>
        <v>0</v>
      </c>
      <c r="I7" s="89">
        <f>ROUNDUP((E7)*RPICurrent,0)</f>
        <v>0</v>
      </c>
      <c r="J7" s="87">
        <f>SUMIFS(L$25:L$996,I$25:I$996,$B7)</f>
        <v>0</v>
      </c>
      <c r="M7" s="89">
        <f>ROUNDUP((I7)*RPI,0)</f>
        <v>0</v>
      </c>
      <c r="N7" s="87">
        <f>SUMIFS(P$25:P$996,M$25:M$996,$B7)</f>
        <v>0</v>
      </c>
      <c r="Q7" s="89">
        <f t="shared" ref="Q7:Q19" si="1">ROUNDUP((M7)*RPI,0)</f>
        <v>0</v>
      </c>
      <c r="R7" s="87">
        <f>$Q$7</f>
        <v>0</v>
      </c>
      <c r="U7" s="89">
        <f t="shared" ref="U7:U19" si="2">ROUNDUP((Q7)*RPI,0)</f>
        <v>0</v>
      </c>
      <c r="V7" s="87">
        <f>$U$7</f>
        <v>0</v>
      </c>
      <c r="Y7" s="89">
        <f t="shared" ref="Y7:Y19" si="3">ROUNDUP((U7)*RPI,0)</f>
        <v>0</v>
      </c>
      <c r="Z7" s="87">
        <f>$Y$7</f>
        <v>0</v>
      </c>
      <c r="AC7" s="89">
        <f t="shared" ref="AC7:AC19" si="4">ROUNDUP((Y7)*RPI,0)</f>
        <v>0</v>
      </c>
      <c r="AD7" s="87">
        <f>$AC$7</f>
        <v>0</v>
      </c>
    </row>
    <row r="8" spans="1:33" ht="86.25" customHeight="1" x14ac:dyDescent="0.35">
      <c r="A8" s="86" t="s">
        <v>202</v>
      </c>
      <c r="B8" s="85">
        <v>4</v>
      </c>
      <c r="C8" s="86" t="s">
        <v>198</v>
      </c>
      <c r="D8" s="84"/>
      <c r="E8" s="87">
        <v>55000</v>
      </c>
      <c r="F8" s="87">
        <f t="shared" si="0"/>
        <v>10980</v>
      </c>
      <c r="I8" s="89">
        <v>50000</v>
      </c>
      <c r="J8" s="87">
        <f>SUMIFS(L$25:L$996,I$25:I$996,$B8)</f>
        <v>11081.38</v>
      </c>
      <c r="L8" s="86"/>
      <c r="M8" s="89">
        <v>10000</v>
      </c>
      <c r="N8" s="87">
        <f t="shared" ref="N8:N19" si="5">SUMIFS(P$25:P$996,M$25:M$996,$B8)</f>
        <v>0</v>
      </c>
      <c r="P8" s="86"/>
      <c r="Q8" s="89">
        <f t="shared" si="1"/>
        <v>10300</v>
      </c>
      <c r="R8" s="87">
        <f>$Q$8</f>
        <v>10300</v>
      </c>
      <c r="U8" s="89">
        <f t="shared" si="2"/>
        <v>10609</v>
      </c>
      <c r="V8" s="87">
        <f>$U$8</f>
        <v>10609</v>
      </c>
      <c r="Y8" s="89">
        <f t="shared" si="3"/>
        <v>10928</v>
      </c>
      <c r="Z8" s="87">
        <f>$Y$8</f>
        <v>10928</v>
      </c>
      <c r="AC8" s="89">
        <f t="shared" si="4"/>
        <v>11256</v>
      </c>
      <c r="AD8" s="87">
        <f>$AC$8</f>
        <v>11256</v>
      </c>
    </row>
    <row r="9" spans="1:33" ht="14.5" customHeight="1" x14ac:dyDescent="0.35">
      <c r="A9" s="86" t="s">
        <v>124</v>
      </c>
      <c r="B9" s="85">
        <v>5</v>
      </c>
      <c r="C9" s="86" t="s">
        <v>198</v>
      </c>
      <c r="D9" s="84"/>
      <c r="E9" s="87">
        <v>3534.96</v>
      </c>
      <c r="F9" s="87">
        <f t="shared" si="0"/>
        <v>6175.37</v>
      </c>
      <c r="I9" s="89">
        <f>7200+550</f>
        <v>7750</v>
      </c>
      <c r="J9" s="87">
        <f>SUMIFS(L$25:L$996,I$25:I$996,$B9)</f>
        <v>9437.1100000000024</v>
      </c>
      <c r="M9" s="89">
        <f>ROUNDUP((I9)*RPI,0)</f>
        <v>7983</v>
      </c>
      <c r="N9" s="87">
        <f t="shared" si="5"/>
        <v>105.22</v>
      </c>
      <c r="Q9" s="89">
        <f t="shared" si="1"/>
        <v>8223</v>
      </c>
      <c r="R9" s="87">
        <f>$Q$9</f>
        <v>8223</v>
      </c>
      <c r="U9" s="89">
        <f t="shared" si="2"/>
        <v>8470</v>
      </c>
      <c r="V9" s="87">
        <f>$U$9</f>
        <v>8470</v>
      </c>
      <c r="Y9" s="89">
        <f t="shared" si="3"/>
        <v>8725</v>
      </c>
      <c r="Z9" s="87">
        <f>$Y$9</f>
        <v>8725</v>
      </c>
      <c r="AC9" s="89">
        <f t="shared" si="4"/>
        <v>8987</v>
      </c>
      <c r="AD9" s="87">
        <f>$AC$9</f>
        <v>8987</v>
      </c>
    </row>
    <row r="10" spans="1:33" ht="14.5" customHeight="1" x14ac:dyDescent="0.35">
      <c r="A10" s="86" t="s">
        <v>203</v>
      </c>
      <c r="B10" s="85">
        <v>6</v>
      </c>
      <c r="C10" s="86" t="s">
        <v>198</v>
      </c>
      <c r="D10" s="84"/>
      <c r="E10" s="87">
        <v>2514.33</v>
      </c>
      <c r="F10" s="87">
        <f t="shared" si="0"/>
        <v>1185</v>
      </c>
      <c r="I10" s="89">
        <v>1103</v>
      </c>
      <c r="J10" s="87">
        <f>SUMIFS(L$25:L$996,I$25:I$996,$B10)</f>
        <v>1286.25</v>
      </c>
      <c r="M10" s="89">
        <f>ROUNDUP((J10)*RPI,0)</f>
        <v>1325</v>
      </c>
      <c r="N10" s="87">
        <f t="shared" si="5"/>
        <v>1286.25</v>
      </c>
      <c r="Q10" s="89">
        <f t="shared" si="1"/>
        <v>1365</v>
      </c>
      <c r="R10" s="87">
        <f>$Q$10</f>
        <v>1365</v>
      </c>
      <c r="U10" s="89">
        <f t="shared" si="2"/>
        <v>1406</v>
      </c>
      <c r="V10" s="87">
        <f>$U$10</f>
        <v>1406</v>
      </c>
      <c r="Y10" s="89">
        <f t="shared" si="3"/>
        <v>1449</v>
      </c>
      <c r="Z10" s="87">
        <f>$Y$10</f>
        <v>1449</v>
      </c>
      <c r="AC10" s="89">
        <f t="shared" si="4"/>
        <v>1493</v>
      </c>
      <c r="AD10" s="87">
        <f>$AC$10</f>
        <v>1493</v>
      </c>
    </row>
    <row r="11" spans="1:33" ht="14.5" customHeight="1" x14ac:dyDescent="0.35">
      <c r="A11" s="86" t="s">
        <v>204</v>
      </c>
      <c r="B11" s="85">
        <v>7</v>
      </c>
      <c r="C11" s="86" t="s">
        <v>200</v>
      </c>
      <c r="D11" s="84"/>
      <c r="E11" s="87">
        <v>0</v>
      </c>
      <c r="F11" s="87">
        <f t="shared" si="0"/>
        <v>288779.17</v>
      </c>
      <c r="I11" s="89">
        <f>ROUNDUP((E11)*RPICurrent,0)</f>
        <v>0</v>
      </c>
      <c r="J11" s="87">
        <f>SUMIFS(L$25:L$996,I$25:I$996,$B11)</f>
        <v>291271.34999999998</v>
      </c>
      <c r="M11" s="89">
        <f>ROUNDUP((I11)*RPI,0)</f>
        <v>0</v>
      </c>
      <c r="N11" s="87">
        <f t="shared" si="5"/>
        <v>0</v>
      </c>
      <c r="Q11" s="89">
        <f t="shared" si="1"/>
        <v>0</v>
      </c>
      <c r="R11" s="87">
        <f>$Q$11</f>
        <v>0</v>
      </c>
      <c r="U11" s="89">
        <f t="shared" si="2"/>
        <v>0</v>
      </c>
      <c r="V11" s="87">
        <f>$U$11</f>
        <v>0</v>
      </c>
      <c r="Y11" s="89">
        <f t="shared" si="3"/>
        <v>0</v>
      </c>
      <c r="Z11" s="87">
        <f>$Y$11</f>
        <v>0</v>
      </c>
      <c r="AC11" s="89">
        <f t="shared" si="4"/>
        <v>0</v>
      </c>
      <c r="AD11" s="87">
        <f>$AC$11</f>
        <v>0</v>
      </c>
    </row>
    <row r="12" spans="1:33" ht="14.5" customHeight="1" x14ac:dyDescent="0.35">
      <c r="A12" s="86" t="s">
        <v>2113</v>
      </c>
      <c r="B12" s="85">
        <v>10</v>
      </c>
      <c r="C12" s="86" t="s">
        <v>200</v>
      </c>
      <c r="D12" s="84"/>
      <c r="E12" s="87">
        <v>0</v>
      </c>
      <c r="F12" s="87">
        <f>SUMIFS(H$24:H$994,E$24:E$994,$B12)</f>
        <v>0</v>
      </c>
      <c r="I12" s="89">
        <f>ROUNDUP((E12)*RPICurrent,0)</f>
        <v>0</v>
      </c>
      <c r="J12" s="87">
        <f t="shared" ref="J12:J17" si="6">SUMIFS(L$24:L$995,I$24:I$995,$B12)</f>
        <v>287206</v>
      </c>
      <c r="M12" s="89">
        <v>2878897</v>
      </c>
      <c r="N12" s="87">
        <f t="shared" si="5"/>
        <v>0</v>
      </c>
      <c r="Q12" s="89">
        <v>4506617</v>
      </c>
      <c r="R12" s="89">
        <v>4506617</v>
      </c>
      <c r="U12" s="89">
        <v>0</v>
      </c>
      <c r="V12" s="87">
        <f>$U$11</f>
        <v>0</v>
      </c>
      <c r="Y12" s="89">
        <f>ROUNDUP((U12)*RPI,0)</f>
        <v>0</v>
      </c>
      <c r="Z12" s="87">
        <f>$Y$11</f>
        <v>0</v>
      </c>
      <c r="AC12" s="89">
        <f>ROUNDUP((Y12)*RPI,0)</f>
        <v>0</v>
      </c>
      <c r="AD12" s="87">
        <f>$AC$11</f>
        <v>0</v>
      </c>
    </row>
    <row r="13" spans="1:33" ht="14.5" customHeight="1" x14ac:dyDescent="0.35">
      <c r="A13" s="86" t="s">
        <v>2114</v>
      </c>
      <c r="B13" s="85">
        <v>11</v>
      </c>
      <c r="C13" s="86" t="s">
        <v>200</v>
      </c>
      <c r="D13" s="84"/>
      <c r="E13" s="87">
        <v>0</v>
      </c>
      <c r="F13" s="87">
        <v>0</v>
      </c>
      <c r="I13" s="89">
        <v>0</v>
      </c>
      <c r="J13" s="87">
        <f t="shared" si="6"/>
        <v>11903</v>
      </c>
      <c r="M13" s="89">
        <v>67629</v>
      </c>
      <c r="N13" s="87">
        <f t="shared" si="5"/>
        <v>0</v>
      </c>
      <c r="Q13" s="89">
        <v>89079</v>
      </c>
      <c r="R13" s="89">
        <v>89079</v>
      </c>
      <c r="U13" s="89">
        <v>79729</v>
      </c>
      <c r="V13" s="89">
        <v>79729</v>
      </c>
      <c r="Y13" s="89">
        <v>72079</v>
      </c>
      <c r="Z13" s="89">
        <v>72079</v>
      </c>
      <c r="AC13" s="89">
        <v>27286</v>
      </c>
      <c r="AD13" s="89">
        <v>27286</v>
      </c>
    </row>
    <row r="14" spans="1:33" ht="14.5" customHeight="1" x14ac:dyDescent="0.35">
      <c r="A14" s="86" t="s">
        <v>2115</v>
      </c>
      <c r="B14" s="85">
        <v>12</v>
      </c>
      <c r="C14" s="86" t="s">
        <v>200</v>
      </c>
      <c r="D14" s="84"/>
      <c r="E14" s="87">
        <v>0</v>
      </c>
      <c r="F14" s="87">
        <v>0</v>
      </c>
      <c r="I14" s="89">
        <v>0</v>
      </c>
      <c r="J14" s="87">
        <f t="shared" si="6"/>
        <v>10789</v>
      </c>
      <c r="M14" s="89">
        <v>542008</v>
      </c>
      <c r="N14" s="87">
        <f t="shared" si="5"/>
        <v>0</v>
      </c>
      <c r="Q14" s="89">
        <v>608222</v>
      </c>
      <c r="R14" s="89">
        <v>608222</v>
      </c>
      <c r="U14" s="89">
        <v>43408</v>
      </c>
      <c r="V14" s="89">
        <v>43407</v>
      </c>
      <c r="Y14" s="89">
        <v>43658</v>
      </c>
      <c r="Z14" s="89">
        <v>43658</v>
      </c>
      <c r="AC14" s="89">
        <v>21579</v>
      </c>
      <c r="AD14" s="89">
        <v>21579</v>
      </c>
    </row>
    <row r="15" spans="1:33" ht="14.5" customHeight="1" x14ac:dyDescent="0.35">
      <c r="A15" s="86" t="s">
        <v>2116</v>
      </c>
      <c r="B15" s="85">
        <v>13</v>
      </c>
      <c r="C15" s="86" t="s">
        <v>200</v>
      </c>
      <c r="D15" s="84"/>
      <c r="E15" s="87">
        <v>0</v>
      </c>
      <c r="F15" s="87">
        <v>0</v>
      </c>
      <c r="I15" s="89">
        <v>0</v>
      </c>
      <c r="J15" s="87">
        <f t="shared" si="6"/>
        <v>-457494</v>
      </c>
      <c r="K15" s="88"/>
      <c r="L15" s="88"/>
      <c r="M15" s="89">
        <v>-3633251</v>
      </c>
      <c r="N15" s="87">
        <f t="shared" si="5"/>
        <v>0</v>
      </c>
      <c r="Q15" s="89">
        <v>-5766469</v>
      </c>
      <c r="R15" s="89">
        <v>-5766469</v>
      </c>
      <c r="U15" s="89">
        <v>0</v>
      </c>
      <c r="V15" s="87">
        <v>0</v>
      </c>
      <c r="Y15" s="89">
        <v>0</v>
      </c>
      <c r="Z15" s="87">
        <v>0</v>
      </c>
      <c r="AC15" s="89">
        <v>-162876</v>
      </c>
      <c r="AD15" s="89">
        <v>-162876</v>
      </c>
    </row>
    <row r="16" spans="1:33" ht="14.5" customHeight="1" x14ac:dyDescent="0.35">
      <c r="A16" s="86" t="s">
        <v>130</v>
      </c>
      <c r="B16" s="85">
        <v>14</v>
      </c>
      <c r="C16" s="86" t="s">
        <v>200</v>
      </c>
      <c r="D16" s="84"/>
      <c r="E16" s="87">
        <v>0</v>
      </c>
      <c r="F16" s="87">
        <v>0</v>
      </c>
      <c r="I16" s="89">
        <v>0</v>
      </c>
      <c r="J16" s="87">
        <f t="shared" si="6"/>
        <v>0</v>
      </c>
      <c r="N16" s="87">
        <f t="shared" si="5"/>
        <v>0</v>
      </c>
      <c r="Q16" s="89">
        <v>0</v>
      </c>
      <c r="R16" s="89">
        <v>0</v>
      </c>
    </row>
    <row r="17" spans="1:31" ht="14.5" customHeight="1" x14ac:dyDescent="0.35">
      <c r="A17" s="86" t="s">
        <v>2117</v>
      </c>
      <c r="B17" s="85">
        <v>15</v>
      </c>
      <c r="C17" s="86" t="s">
        <v>200</v>
      </c>
      <c r="D17" s="84"/>
      <c r="E17" s="87">
        <v>0</v>
      </c>
      <c r="F17" s="87">
        <v>0</v>
      </c>
      <c r="I17" s="89">
        <v>0</v>
      </c>
      <c r="J17" s="87">
        <f t="shared" si="6"/>
        <v>0</v>
      </c>
      <c r="M17" s="89">
        <v>0</v>
      </c>
      <c r="N17" s="87">
        <f t="shared" si="5"/>
        <v>0</v>
      </c>
      <c r="Q17" s="123">
        <v>102180</v>
      </c>
      <c r="R17" s="123">
        <v>102180</v>
      </c>
      <c r="U17" s="89">
        <v>233555</v>
      </c>
      <c r="V17" s="89">
        <v>233555</v>
      </c>
      <c r="Y17" s="89">
        <v>233555</v>
      </c>
      <c r="Z17" s="89">
        <v>233555</v>
      </c>
      <c r="AC17" s="89">
        <v>116777</v>
      </c>
      <c r="AD17" s="89">
        <v>116777</v>
      </c>
    </row>
    <row r="18" spans="1:31" ht="14.5" customHeight="1" x14ac:dyDescent="0.35">
      <c r="A18" s="86" t="s">
        <v>205</v>
      </c>
      <c r="B18" s="85">
        <v>8</v>
      </c>
      <c r="C18" s="86" t="s">
        <v>200</v>
      </c>
      <c r="D18" s="84"/>
      <c r="E18" s="87">
        <v>0</v>
      </c>
      <c r="F18" s="87">
        <f t="shared" si="0"/>
        <v>-87162.16</v>
      </c>
      <c r="I18" s="89">
        <f>ROUNDUP((E18)*RPICurrent,0)</f>
        <v>0</v>
      </c>
      <c r="J18" s="87">
        <f>SUMIFS(L$25:L$996,I$25:I$996,$B18)</f>
        <v>-282130.83</v>
      </c>
      <c r="M18" s="89">
        <f>ROUNDUP((I18)*RPI,0)</f>
        <v>0</v>
      </c>
      <c r="N18" s="87">
        <f t="shared" si="5"/>
        <v>0</v>
      </c>
      <c r="Q18" s="89">
        <f t="shared" si="1"/>
        <v>0</v>
      </c>
      <c r="R18" s="87">
        <f>$Q$18</f>
        <v>0</v>
      </c>
      <c r="U18" s="89">
        <f t="shared" si="2"/>
        <v>0</v>
      </c>
      <c r="V18" s="87">
        <f>$U$18</f>
        <v>0</v>
      </c>
      <c r="Y18" s="89">
        <f t="shared" si="3"/>
        <v>0</v>
      </c>
      <c r="Z18" s="87">
        <f>$Y$18</f>
        <v>0</v>
      </c>
      <c r="AC18" s="89">
        <f t="shared" si="4"/>
        <v>0</v>
      </c>
      <c r="AD18" s="87">
        <f>$AC$18</f>
        <v>0</v>
      </c>
    </row>
    <row r="19" spans="1:31" ht="14.5" customHeight="1" x14ac:dyDescent="0.35">
      <c r="A19" s="86" t="s">
        <v>206</v>
      </c>
      <c r="B19" s="85">
        <v>9</v>
      </c>
      <c r="C19" s="86" t="s">
        <v>198</v>
      </c>
      <c r="D19" s="84"/>
      <c r="E19" s="87">
        <v>0</v>
      </c>
      <c r="F19" s="87">
        <f t="shared" si="0"/>
        <v>0</v>
      </c>
      <c r="I19" s="89">
        <f>ROUNDUP((E19)*RPICurrent,0)</f>
        <v>0</v>
      </c>
      <c r="J19" s="87">
        <f>SUMIFS(L$25:L$996,I$25:I$996,$B19)</f>
        <v>0</v>
      </c>
      <c r="M19" s="89">
        <f>ROUNDUP((I19)*RPI,0)</f>
        <v>0</v>
      </c>
      <c r="N19" s="87">
        <f t="shared" si="5"/>
        <v>0</v>
      </c>
      <c r="Q19" s="89">
        <f t="shared" si="1"/>
        <v>0</v>
      </c>
      <c r="R19" s="87">
        <f>$Q$19</f>
        <v>0</v>
      </c>
      <c r="U19" s="89">
        <f t="shared" si="2"/>
        <v>0</v>
      </c>
      <c r="V19" s="87">
        <f>$U$19</f>
        <v>0</v>
      </c>
      <c r="Y19" s="89">
        <f t="shared" si="3"/>
        <v>0</v>
      </c>
      <c r="Z19" s="87">
        <f>$Y$19</f>
        <v>0</v>
      </c>
      <c r="AC19" s="89">
        <f t="shared" si="4"/>
        <v>0</v>
      </c>
      <c r="AD19" s="87">
        <f>$AC$19</f>
        <v>0</v>
      </c>
    </row>
    <row r="20" spans="1:31" ht="14.5" customHeight="1" x14ac:dyDescent="0.35">
      <c r="E20" s="87"/>
      <c r="F20" s="87"/>
      <c r="I20" s="89"/>
      <c r="J20" s="87"/>
    </row>
    <row r="21" spans="1:31" ht="14.5" customHeight="1" x14ac:dyDescent="0.35">
      <c r="E21" s="87"/>
      <c r="F21" s="87"/>
      <c r="I21" s="89"/>
      <c r="J21" s="87"/>
    </row>
    <row r="22" spans="1:31" ht="14.5" customHeight="1" x14ac:dyDescent="0.35">
      <c r="E22" s="87"/>
      <c r="F22" s="87"/>
      <c r="I22" s="89"/>
      <c r="J22" s="87"/>
    </row>
    <row r="23" spans="1:31" ht="14.5" customHeight="1" x14ac:dyDescent="0.35">
      <c r="A23" s="84" t="s">
        <v>487</v>
      </c>
      <c r="G23" s="85"/>
      <c r="H23" s="87"/>
      <c r="K23" s="85"/>
      <c r="M23" s="94"/>
      <c r="N23" s="93"/>
      <c r="O23" s="85"/>
      <c r="Q23" s="94"/>
      <c r="R23" s="93"/>
      <c r="S23" s="85"/>
      <c r="U23" s="94"/>
      <c r="V23" s="93"/>
      <c r="W23" s="85"/>
      <c r="Y23" s="94"/>
      <c r="Z23" s="93"/>
      <c r="AA23" s="85"/>
      <c r="AC23" s="94"/>
      <c r="AD23" s="93"/>
      <c r="AE23" s="85"/>
    </row>
    <row r="24" spans="1:31" ht="14.5" customHeight="1" x14ac:dyDescent="0.35">
      <c r="E24" s="85" t="s">
        <v>484</v>
      </c>
      <c r="F24" s="93" t="s">
        <v>488</v>
      </c>
      <c r="G24" s="85" t="s">
        <v>489</v>
      </c>
      <c r="H24" s="87" t="s">
        <v>475</v>
      </c>
      <c r="I24" s="85" t="s">
        <v>484</v>
      </c>
      <c r="J24" s="93" t="s">
        <v>488</v>
      </c>
      <c r="K24" s="85" t="s">
        <v>489</v>
      </c>
      <c r="L24" s="87" t="s">
        <v>475</v>
      </c>
      <c r="M24" s="85" t="s">
        <v>484</v>
      </c>
      <c r="N24" s="93" t="s">
        <v>488</v>
      </c>
      <c r="O24" s="85" t="s">
        <v>489</v>
      </c>
      <c r="P24" s="87" t="s">
        <v>475</v>
      </c>
      <c r="Q24" s="94"/>
      <c r="R24" s="93"/>
      <c r="S24" s="85"/>
      <c r="U24" s="94"/>
      <c r="V24" s="93"/>
      <c r="W24" s="85"/>
      <c r="Y24" s="94"/>
      <c r="Z24" s="93"/>
      <c r="AA24" s="85"/>
      <c r="AC24" s="94"/>
      <c r="AD24" s="93"/>
      <c r="AE24" s="85"/>
    </row>
    <row r="25" spans="1:31" ht="14.5" customHeight="1" x14ac:dyDescent="0.35">
      <c r="A25" s="85"/>
      <c r="D25" s="85"/>
      <c r="E25" s="85">
        <v>6</v>
      </c>
      <c r="F25" s="93">
        <v>44652</v>
      </c>
      <c r="G25" s="85" t="s">
        <v>1371</v>
      </c>
      <c r="H25" s="87">
        <v>1185</v>
      </c>
      <c r="I25" s="94">
        <v>2</v>
      </c>
      <c r="J25" s="93" t="s">
        <v>1372</v>
      </c>
      <c r="K25" s="85" t="s">
        <v>1372</v>
      </c>
      <c r="L25" s="87">
        <v>92382.720000000001</v>
      </c>
      <c r="M25" s="94">
        <v>6</v>
      </c>
      <c r="N25" s="93">
        <v>45387</v>
      </c>
      <c r="O25" s="85" t="s">
        <v>1371</v>
      </c>
      <c r="P25" s="148">
        <v>1286.25</v>
      </c>
      <c r="Q25" s="94"/>
      <c r="R25" s="93"/>
      <c r="S25" s="85"/>
      <c r="U25" s="94"/>
      <c r="V25" s="93"/>
      <c r="W25" s="85"/>
      <c r="Y25" s="94"/>
      <c r="Z25" s="93"/>
      <c r="AA25" s="85"/>
      <c r="AC25" s="94"/>
      <c r="AD25" s="93"/>
      <c r="AE25" s="85"/>
    </row>
    <row r="26" spans="1:31" ht="14.5" customHeight="1" x14ac:dyDescent="0.35">
      <c r="E26" s="85">
        <v>5</v>
      </c>
      <c r="F26" s="93">
        <v>44712</v>
      </c>
      <c r="G26" s="85" t="s">
        <v>1373</v>
      </c>
      <c r="H26" s="87">
        <v>1600</v>
      </c>
      <c r="I26" s="94">
        <v>6</v>
      </c>
      <c r="J26" s="93">
        <v>45042</v>
      </c>
      <c r="K26" s="85" t="s">
        <v>1371</v>
      </c>
      <c r="L26" s="87">
        <v>1286.25</v>
      </c>
      <c r="M26" s="94">
        <v>5</v>
      </c>
      <c r="N26" s="93">
        <v>45460</v>
      </c>
      <c r="O26" s="85" t="s">
        <v>2963</v>
      </c>
      <c r="P26" s="148">
        <v>54.35</v>
      </c>
      <c r="Q26" s="94"/>
      <c r="R26" s="93"/>
      <c r="S26" s="85"/>
      <c r="U26" s="94"/>
      <c r="V26" s="93"/>
      <c r="W26" s="85"/>
      <c r="Y26" s="94"/>
      <c r="Z26" s="93"/>
      <c r="AA26" s="85"/>
      <c r="AC26" s="94"/>
      <c r="AD26" s="93"/>
      <c r="AE26" s="85"/>
    </row>
    <row r="27" spans="1:31" ht="14.5" customHeight="1" x14ac:dyDescent="0.35">
      <c r="E27" s="85">
        <v>5</v>
      </c>
      <c r="F27" s="93" t="s">
        <v>1186</v>
      </c>
      <c r="G27" s="85" t="s">
        <v>1374</v>
      </c>
      <c r="H27" s="87">
        <f>5668.44-1600</f>
        <v>4068.4399999999996</v>
      </c>
      <c r="I27" s="94">
        <v>5</v>
      </c>
      <c r="J27" s="93">
        <v>45051</v>
      </c>
      <c r="K27" s="85" t="s">
        <v>1375</v>
      </c>
      <c r="L27" s="87">
        <v>41.67</v>
      </c>
      <c r="M27" s="94">
        <v>5</v>
      </c>
      <c r="N27" s="93">
        <v>45461</v>
      </c>
      <c r="O27" s="85" t="s">
        <v>2963</v>
      </c>
      <c r="P27" s="148">
        <v>50.87</v>
      </c>
      <c r="Q27" s="94"/>
      <c r="R27" s="93"/>
      <c r="S27" s="85"/>
      <c r="U27" s="94"/>
      <c r="V27" s="93"/>
      <c r="W27" s="85"/>
      <c r="Y27" s="94"/>
      <c r="Z27" s="93"/>
      <c r="AA27" s="85"/>
      <c r="AC27" s="94"/>
      <c r="AD27" s="93"/>
      <c r="AE27" s="85"/>
    </row>
    <row r="28" spans="1:31" ht="14.5" customHeight="1" x14ac:dyDescent="0.35">
      <c r="E28" s="85">
        <v>4</v>
      </c>
      <c r="F28" s="93" t="s">
        <v>1186</v>
      </c>
      <c r="G28" s="85" t="s">
        <v>76</v>
      </c>
      <c r="H28" s="87">
        <f>325+970+600+1100+3440+30+3240+1275</f>
        <v>10980</v>
      </c>
      <c r="I28" s="94">
        <v>5</v>
      </c>
      <c r="J28" s="93">
        <v>45051</v>
      </c>
      <c r="K28" s="85" t="s">
        <v>1376</v>
      </c>
      <c r="L28" s="87">
        <v>675.92</v>
      </c>
      <c r="M28" s="94"/>
      <c r="N28" s="93"/>
      <c r="O28" s="85"/>
      <c r="Q28" s="94"/>
      <c r="R28" s="93"/>
      <c r="S28" s="85"/>
      <c r="U28" s="94"/>
      <c r="V28" s="93"/>
      <c r="W28" s="85"/>
      <c r="Y28" s="94"/>
      <c r="Z28" s="93"/>
      <c r="AA28" s="85"/>
      <c r="AC28" s="94"/>
      <c r="AD28" s="93"/>
      <c r="AE28" s="85"/>
    </row>
    <row r="29" spans="1:31" ht="14.5" customHeight="1" x14ac:dyDescent="0.35">
      <c r="E29" s="85">
        <v>7</v>
      </c>
      <c r="F29" s="93" t="s">
        <v>1186</v>
      </c>
      <c r="G29" s="85" t="s">
        <v>1377</v>
      </c>
      <c r="H29" s="87">
        <v>285711.92</v>
      </c>
      <c r="I29" s="94">
        <v>5</v>
      </c>
      <c r="J29" s="93">
        <v>45065</v>
      </c>
      <c r="K29" s="85" t="s">
        <v>1378</v>
      </c>
      <c r="L29" s="87">
        <v>24.93</v>
      </c>
      <c r="M29" s="94"/>
      <c r="N29" s="93"/>
      <c r="O29" s="85"/>
      <c r="Q29" s="94"/>
      <c r="R29" s="93"/>
      <c r="S29" s="85"/>
      <c r="U29" s="94"/>
      <c r="V29" s="93"/>
      <c r="W29" s="85"/>
      <c r="Y29" s="94"/>
      <c r="Z29" s="93"/>
      <c r="AA29" s="85"/>
      <c r="AC29" s="94"/>
      <c r="AD29" s="93"/>
      <c r="AE29" s="85"/>
    </row>
    <row r="30" spans="1:31" ht="14.5" customHeight="1" x14ac:dyDescent="0.35">
      <c r="E30" s="85">
        <v>5</v>
      </c>
      <c r="F30" s="93" t="s">
        <v>1305</v>
      </c>
      <c r="G30" s="85" t="s">
        <v>1379</v>
      </c>
      <c r="H30" s="87"/>
      <c r="I30" s="94">
        <v>5</v>
      </c>
      <c r="J30" s="93">
        <v>45084</v>
      </c>
      <c r="K30" s="85" t="s">
        <v>1231</v>
      </c>
      <c r="L30" s="87">
        <v>639.83000000000004</v>
      </c>
      <c r="M30" s="94"/>
      <c r="N30" s="93"/>
      <c r="O30" s="85"/>
      <c r="Q30" s="94"/>
      <c r="R30" s="93"/>
      <c r="S30" s="85"/>
      <c r="U30" s="94"/>
      <c r="V30" s="93"/>
      <c r="W30" s="85"/>
      <c r="Y30" s="94"/>
      <c r="Z30" s="93"/>
      <c r="AA30" s="85"/>
      <c r="AC30" s="94"/>
      <c r="AD30" s="93"/>
      <c r="AE30" s="85"/>
    </row>
    <row r="31" spans="1:31" ht="14.5" customHeight="1" x14ac:dyDescent="0.35">
      <c r="F31" s="93" t="s">
        <v>491</v>
      </c>
      <c r="G31" s="85" t="s">
        <v>1380</v>
      </c>
      <c r="H31" s="87">
        <f>-H29-SUMIFS(H32:H990,E32:E990,8)+90675</f>
        <v>-107874.75999999998</v>
      </c>
      <c r="I31" s="94">
        <v>5</v>
      </c>
      <c r="J31" s="93">
        <v>45094</v>
      </c>
      <c r="K31" s="85" t="s">
        <v>1381</v>
      </c>
      <c r="L31" s="87">
        <v>49.62</v>
      </c>
      <c r="M31" s="94"/>
      <c r="N31" s="93"/>
      <c r="O31" s="85"/>
      <c r="Q31" s="94"/>
      <c r="R31" s="93"/>
      <c r="S31" s="85"/>
      <c r="U31" s="94"/>
      <c r="V31" s="93"/>
      <c r="W31" s="85"/>
      <c r="Y31" s="94"/>
      <c r="Z31" s="93"/>
      <c r="AA31" s="85"/>
      <c r="AC31" s="94"/>
      <c r="AD31" s="93"/>
      <c r="AE31" s="85"/>
    </row>
    <row r="32" spans="1:31" ht="14.5" customHeight="1" x14ac:dyDescent="0.35">
      <c r="F32" s="93" t="s">
        <v>676</v>
      </c>
      <c r="G32" s="85" t="s">
        <v>1382</v>
      </c>
      <c r="H32" s="87">
        <v>5000</v>
      </c>
      <c r="I32" s="94">
        <v>8</v>
      </c>
      <c r="J32" s="93">
        <v>45062</v>
      </c>
      <c r="K32" s="85" t="s">
        <v>1383</v>
      </c>
      <c r="L32" s="87">
        <v>-137423</v>
      </c>
      <c r="M32" s="94"/>
      <c r="N32" s="93"/>
      <c r="O32" s="85"/>
      <c r="Q32" s="94"/>
      <c r="R32" s="93"/>
      <c r="S32" s="85"/>
      <c r="U32" s="94"/>
      <c r="V32" s="93"/>
      <c r="W32" s="85"/>
      <c r="Y32" s="94"/>
      <c r="Z32" s="93"/>
      <c r="AA32" s="85"/>
      <c r="AC32" s="94"/>
      <c r="AD32" s="93"/>
      <c r="AE32" s="85"/>
    </row>
    <row r="33" spans="5:31" ht="14.5" customHeight="1" x14ac:dyDescent="0.35">
      <c r="E33" s="92">
        <v>1</v>
      </c>
      <c r="F33" s="97" t="s">
        <v>1199</v>
      </c>
      <c r="G33" s="92" t="s">
        <v>787</v>
      </c>
      <c r="H33" s="90">
        <v>10000</v>
      </c>
      <c r="I33" s="117">
        <v>8</v>
      </c>
      <c r="J33" s="93">
        <v>45107</v>
      </c>
      <c r="K33" s="85" t="s">
        <v>1384</v>
      </c>
      <c r="L33" s="87">
        <v>-65000</v>
      </c>
      <c r="M33" s="94"/>
      <c r="N33" s="93"/>
      <c r="O33" s="85"/>
      <c r="Q33" s="94"/>
      <c r="R33" s="93"/>
      <c r="S33" s="85"/>
      <c r="U33" s="94"/>
      <c r="V33" s="93"/>
      <c r="W33" s="85"/>
      <c r="Y33" s="94"/>
      <c r="Z33" s="93"/>
      <c r="AA33" s="85"/>
      <c r="AC33" s="94"/>
      <c r="AD33" s="93"/>
      <c r="AE33" s="85"/>
    </row>
    <row r="34" spans="5:31" ht="14.5" customHeight="1" x14ac:dyDescent="0.35">
      <c r="E34" s="85">
        <v>5</v>
      </c>
      <c r="F34" s="93" t="s">
        <v>775</v>
      </c>
      <c r="G34" s="85" t="s">
        <v>1209</v>
      </c>
      <c r="H34" s="87">
        <v>506.93</v>
      </c>
      <c r="I34" s="94">
        <v>4</v>
      </c>
      <c r="J34" s="93">
        <v>45133</v>
      </c>
      <c r="K34" s="85" t="s">
        <v>1385</v>
      </c>
      <c r="L34" s="87">
        <v>8889.3799999999992</v>
      </c>
      <c r="M34" s="94"/>
      <c r="N34" s="93"/>
      <c r="O34" s="85"/>
      <c r="Q34" s="94"/>
      <c r="R34" s="93"/>
      <c r="S34" s="85"/>
      <c r="U34" s="94"/>
      <c r="V34" s="93"/>
      <c r="W34" s="85"/>
      <c r="Y34" s="94"/>
      <c r="Z34" s="93"/>
      <c r="AA34" s="85"/>
      <c r="AC34" s="94"/>
      <c r="AD34" s="93"/>
      <c r="AE34" s="85"/>
    </row>
    <row r="35" spans="5:31" ht="14.5" customHeight="1" x14ac:dyDescent="0.35">
      <c r="E35" s="85">
        <v>8</v>
      </c>
      <c r="F35" s="93" t="s">
        <v>967</v>
      </c>
      <c r="G35" s="85" t="s">
        <v>1386</v>
      </c>
      <c r="H35" s="87">
        <v>-87162.16</v>
      </c>
      <c r="I35" s="94">
        <v>5</v>
      </c>
      <c r="J35" s="93">
        <v>45125</v>
      </c>
      <c r="K35" s="85" t="s">
        <v>1232</v>
      </c>
      <c r="L35" s="87">
        <v>742.08</v>
      </c>
      <c r="M35" s="94"/>
      <c r="N35" s="93"/>
      <c r="O35" s="85"/>
      <c r="Q35" s="94"/>
      <c r="R35" s="93"/>
      <c r="S35" s="85"/>
      <c r="U35" s="94"/>
      <c r="V35" s="93"/>
      <c r="W35" s="85"/>
      <c r="Y35" s="94"/>
      <c r="Z35" s="93"/>
      <c r="AA35" s="85"/>
      <c r="AC35" s="94"/>
      <c r="AD35" s="93"/>
      <c r="AE35" s="85"/>
    </row>
    <row r="36" spans="5:31" ht="14.5" customHeight="1" x14ac:dyDescent="0.35">
      <c r="E36" s="85">
        <v>7</v>
      </c>
      <c r="F36" s="93" t="s">
        <v>775</v>
      </c>
      <c r="G36" s="85" t="s">
        <v>1387</v>
      </c>
      <c r="H36" s="87">
        <v>3067.25</v>
      </c>
      <c r="I36" s="94">
        <v>7</v>
      </c>
      <c r="J36" s="93" t="s">
        <v>1388</v>
      </c>
      <c r="K36" s="93" t="s">
        <v>1388</v>
      </c>
      <c r="L36" s="87">
        <v>30000</v>
      </c>
      <c r="M36" s="94"/>
      <c r="N36" s="93"/>
      <c r="O36" s="85"/>
      <c r="Q36" s="94"/>
      <c r="R36" s="93"/>
      <c r="S36" s="85"/>
      <c r="U36" s="94"/>
      <c r="V36" s="93"/>
      <c r="W36" s="85"/>
      <c r="Y36" s="94"/>
      <c r="Z36" s="93"/>
      <c r="AA36" s="85"/>
      <c r="AC36" s="94"/>
      <c r="AD36" s="93"/>
      <c r="AE36" s="85"/>
    </row>
    <row r="37" spans="5:31" ht="14.5" customHeight="1" x14ac:dyDescent="0.35">
      <c r="G37" s="85"/>
      <c r="H37" s="87"/>
      <c r="I37" s="94">
        <v>5</v>
      </c>
      <c r="J37" s="93">
        <v>45143</v>
      </c>
      <c r="K37" s="85" t="s">
        <v>1234</v>
      </c>
      <c r="L37" s="87">
        <v>704.17</v>
      </c>
      <c r="M37" s="94"/>
      <c r="N37" s="93"/>
      <c r="O37" s="85"/>
      <c r="Q37" s="94"/>
      <c r="R37" s="93"/>
      <c r="S37" s="85"/>
      <c r="U37" s="94"/>
      <c r="V37" s="93"/>
      <c r="W37" s="85"/>
      <c r="Y37" s="94"/>
      <c r="Z37" s="93"/>
      <c r="AA37" s="85"/>
      <c r="AC37" s="94"/>
      <c r="AD37" s="93"/>
      <c r="AE37" s="85"/>
    </row>
    <row r="38" spans="5:31" ht="14.5" customHeight="1" x14ac:dyDescent="0.35">
      <c r="G38" s="85"/>
      <c r="H38" s="87"/>
      <c r="I38" s="94">
        <v>5</v>
      </c>
      <c r="J38" s="93">
        <v>45176</v>
      </c>
      <c r="K38" s="85" t="s">
        <v>1269</v>
      </c>
      <c r="L38" s="87">
        <v>663.92</v>
      </c>
      <c r="M38" s="94"/>
      <c r="N38" s="93"/>
      <c r="O38" s="85"/>
      <c r="Q38" s="94"/>
      <c r="R38" s="93"/>
      <c r="S38" s="85"/>
      <c r="U38" s="94"/>
      <c r="V38" s="93"/>
      <c r="W38" s="85"/>
      <c r="Y38" s="94"/>
      <c r="Z38" s="93"/>
      <c r="AA38" s="85"/>
      <c r="AC38" s="94"/>
      <c r="AD38" s="93"/>
      <c r="AE38" s="85"/>
    </row>
    <row r="39" spans="5:31" ht="14.5" customHeight="1" x14ac:dyDescent="0.35">
      <c r="G39" s="85"/>
      <c r="H39" s="87"/>
      <c r="I39" s="94">
        <v>8</v>
      </c>
      <c r="J39" s="93">
        <v>45184</v>
      </c>
      <c r="K39" s="85" t="s">
        <v>1386</v>
      </c>
      <c r="L39" s="87">
        <v>-79707.83</v>
      </c>
      <c r="M39" s="94"/>
      <c r="N39" s="93"/>
      <c r="O39" s="85"/>
      <c r="Q39" s="94"/>
      <c r="R39" s="93"/>
      <c r="S39" s="85"/>
      <c r="U39" s="94"/>
      <c r="V39" s="93"/>
      <c r="W39" s="85"/>
      <c r="Y39" s="94"/>
      <c r="Z39" s="93"/>
      <c r="AA39" s="85"/>
      <c r="AC39" s="94"/>
      <c r="AD39" s="93"/>
      <c r="AE39" s="85"/>
    </row>
    <row r="40" spans="5:31" ht="14.5" customHeight="1" x14ac:dyDescent="0.35">
      <c r="G40" s="85"/>
      <c r="H40" s="87"/>
      <c r="I40" s="94">
        <v>5</v>
      </c>
      <c r="J40" s="93">
        <v>45186</v>
      </c>
      <c r="K40" s="85" t="s">
        <v>1389</v>
      </c>
      <c r="L40" s="87">
        <v>51.35</v>
      </c>
      <c r="M40" s="94"/>
      <c r="N40" s="93"/>
      <c r="O40" s="85"/>
      <c r="Q40" s="94"/>
      <c r="R40" s="93"/>
      <c r="S40" s="85"/>
      <c r="U40" s="94"/>
      <c r="V40" s="93"/>
      <c r="W40" s="85"/>
      <c r="Y40" s="94"/>
      <c r="Z40" s="93"/>
      <c r="AA40" s="85"/>
      <c r="AC40" s="94"/>
      <c r="AD40" s="93"/>
      <c r="AE40" s="85"/>
    </row>
    <row r="41" spans="5:31" ht="14.5" customHeight="1" x14ac:dyDescent="0.35">
      <c r="G41" s="85"/>
      <c r="H41" s="87"/>
      <c r="I41" s="94">
        <v>5</v>
      </c>
      <c r="J41" s="93">
        <v>45205</v>
      </c>
      <c r="K41" s="85" t="s">
        <v>1203</v>
      </c>
      <c r="L41" s="87">
        <v>669.2</v>
      </c>
      <c r="M41" s="94"/>
      <c r="N41" s="93"/>
      <c r="O41" s="85"/>
      <c r="Q41" s="94"/>
      <c r="R41" s="93"/>
      <c r="S41" s="85"/>
      <c r="U41" s="94"/>
      <c r="V41" s="93"/>
      <c r="W41" s="85"/>
      <c r="Y41" s="94"/>
      <c r="Z41" s="93"/>
      <c r="AA41" s="85"/>
      <c r="AC41" s="94"/>
      <c r="AD41" s="93"/>
      <c r="AE41" s="85"/>
    </row>
    <row r="42" spans="5:31" ht="14.5" customHeight="1" x14ac:dyDescent="0.35">
      <c r="G42" s="85"/>
      <c r="H42" s="87"/>
      <c r="I42" s="94">
        <v>7</v>
      </c>
      <c r="J42" s="93" t="s">
        <v>2125</v>
      </c>
      <c r="K42" s="85" t="s">
        <v>2126</v>
      </c>
      <c r="L42" s="87">
        <v>134293.68</v>
      </c>
      <c r="M42" s="94"/>
      <c r="N42" s="93"/>
      <c r="O42" s="85"/>
      <c r="Q42" s="94"/>
      <c r="R42" s="93"/>
      <c r="S42" s="85"/>
      <c r="U42" s="94"/>
      <c r="V42" s="93"/>
      <c r="W42" s="85"/>
      <c r="Y42" s="94"/>
      <c r="Z42" s="93"/>
      <c r="AA42" s="85"/>
      <c r="AC42" s="94"/>
      <c r="AD42" s="93"/>
      <c r="AE42" s="85"/>
    </row>
    <row r="43" spans="5:31" ht="14.5" customHeight="1" x14ac:dyDescent="0.35">
      <c r="G43" s="85"/>
      <c r="H43" s="87"/>
      <c r="I43" s="94">
        <v>7</v>
      </c>
      <c r="J43" s="93" t="s">
        <v>2378</v>
      </c>
      <c r="K43" s="85" t="s">
        <v>2126</v>
      </c>
      <c r="L43" s="87">
        <f>42947.67+1400+11848</f>
        <v>56195.67</v>
      </c>
      <c r="N43" s="96"/>
      <c r="O43" s="96"/>
      <c r="Q43" s="94"/>
      <c r="R43" s="93"/>
      <c r="S43" s="85"/>
      <c r="U43" s="94"/>
      <c r="V43" s="93"/>
      <c r="W43" s="85"/>
      <c r="Y43" s="94"/>
      <c r="Z43" s="93"/>
      <c r="AA43" s="85"/>
      <c r="AC43" s="94"/>
      <c r="AD43" s="93"/>
      <c r="AE43" s="85"/>
    </row>
    <row r="44" spans="5:31" ht="14.5" customHeight="1" x14ac:dyDescent="0.35">
      <c r="G44" s="85"/>
      <c r="H44" s="87"/>
      <c r="I44" s="94">
        <v>7</v>
      </c>
      <c r="J44" s="93">
        <v>45236</v>
      </c>
      <c r="K44" s="85" t="s">
        <v>2180</v>
      </c>
      <c r="L44" s="87">
        <v>63747</v>
      </c>
      <c r="N44" s="96"/>
      <c r="O44" s="96"/>
      <c r="Q44" s="94"/>
      <c r="R44" s="93"/>
      <c r="S44" s="85"/>
      <c r="U44" s="94"/>
      <c r="V44" s="93"/>
      <c r="W44" s="85"/>
      <c r="Y44" s="94"/>
      <c r="Z44" s="93"/>
      <c r="AA44" s="85"/>
      <c r="AC44" s="94"/>
      <c r="AD44" s="93"/>
      <c r="AE44" s="85"/>
    </row>
    <row r="45" spans="5:31" ht="14.5" customHeight="1" x14ac:dyDescent="0.35">
      <c r="G45" s="85"/>
      <c r="H45" s="87"/>
      <c r="I45" s="94">
        <v>5</v>
      </c>
      <c r="J45" s="93">
        <v>45237</v>
      </c>
      <c r="K45" s="85" t="s">
        <v>2164</v>
      </c>
      <c r="L45" s="87">
        <v>733.09</v>
      </c>
      <c r="M45" s="95"/>
      <c r="N45" s="96"/>
      <c r="O45" s="96"/>
      <c r="Q45" s="94"/>
      <c r="R45" s="93"/>
      <c r="S45" s="85"/>
      <c r="U45" s="94"/>
      <c r="V45" s="93"/>
      <c r="W45" s="85"/>
      <c r="Y45" s="94"/>
      <c r="Z45" s="93"/>
      <c r="AA45" s="85"/>
      <c r="AC45" s="94"/>
      <c r="AD45" s="93"/>
      <c r="AE45" s="85"/>
    </row>
    <row r="46" spans="5:31" ht="14.5" customHeight="1" x14ac:dyDescent="0.35">
      <c r="G46" s="85"/>
      <c r="H46" s="87"/>
      <c r="I46" s="94">
        <v>1</v>
      </c>
      <c r="J46" s="93" t="s">
        <v>814</v>
      </c>
      <c r="K46" s="93" t="s">
        <v>2181</v>
      </c>
      <c r="L46" s="87">
        <v>-65000</v>
      </c>
      <c r="M46" s="95"/>
      <c r="N46" s="96"/>
      <c r="O46" s="96"/>
      <c r="Q46" s="94"/>
      <c r="R46" s="93"/>
      <c r="S46" s="85"/>
      <c r="U46" s="94"/>
      <c r="V46" s="93"/>
      <c r="W46" s="85"/>
      <c r="Y46" s="94"/>
      <c r="Z46" s="93"/>
      <c r="AA46" s="85"/>
      <c r="AC46" s="94"/>
      <c r="AD46" s="93"/>
      <c r="AE46" s="85"/>
    </row>
    <row r="47" spans="5:31" ht="14.5" customHeight="1" x14ac:dyDescent="0.35">
      <c r="G47" s="85"/>
      <c r="H47" s="87"/>
      <c r="I47" s="94">
        <v>4</v>
      </c>
      <c r="J47" s="93">
        <v>45278</v>
      </c>
      <c r="K47" s="87" t="s">
        <v>2265</v>
      </c>
      <c r="L47" s="87">
        <v>1382</v>
      </c>
      <c r="M47" s="95"/>
      <c r="N47" s="96"/>
      <c r="O47" s="96"/>
      <c r="P47" s="96"/>
      <c r="Q47" s="95"/>
      <c r="R47" s="96"/>
      <c r="S47" s="85"/>
      <c r="U47" s="94"/>
      <c r="V47" s="93"/>
      <c r="W47" s="85"/>
      <c r="Y47" s="94"/>
      <c r="Z47" s="93"/>
      <c r="AA47" s="85"/>
      <c r="AC47" s="94"/>
      <c r="AD47" s="93"/>
      <c r="AE47" s="85"/>
    </row>
    <row r="48" spans="5:31" ht="14.5" customHeight="1" x14ac:dyDescent="0.35">
      <c r="G48" s="85"/>
      <c r="H48" s="87"/>
      <c r="I48" s="94">
        <v>5</v>
      </c>
      <c r="J48" s="93">
        <v>45267</v>
      </c>
      <c r="K48" s="87" t="s">
        <v>2262</v>
      </c>
      <c r="L48" s="87">
        <v>766.59</v>
      </c>
      <c r="M48" s="95"/>
      <c r="N48" s="96"/>
      <c r="O48" s="96"/>
      <c r="P48" s="96"/>
      <c r="Q48" s="95"/>
      <c r="R48" s="96"/>
      <c r="S48" s="85"/>
      <c r="U48" s="94"/>
      <c r="V48" s="93"/>
      <c r="W48" s="85"/>
      <c r="Y48" s="94"/>
      <c r="Z48" s="93"/>
      <c r="AA48" s="85"/>
      <c r="AC48" s="94"/>
      <c r="AD48" s="93"/>
      <c r="AE48" s="85"/>
    </row>
    <row r="49" spans="7:31" ht="14.5" customHeight="1" x14ac:dyDescent="0.35">
      <c r="G49" s="85"/>
      <c r="H49" s="87"/>
      <c r="I49" s="94">
        <v>5</v>
      </c>
      <c r="J49" s="93">
        <v>45271</v>
      </c>
      <c r="K49" s="87" t="s">
        <v>2261</v>
      </c>
      <c r="L49" s="87">
        <v>97.8</v>
      </c>
      <c r="M49" s="95"/>
      <c r="N49" s="96"/>
      <c r="O49" s="96"/>
      <c r="P49" s="96"/>
      <c r="Q49" s="95"/>
      <c r="R49" s="96"/>
      <c r="S49" s="85"/>
      <c r="U49" s="94"/>
      <c r="V49" s="93"/>
      <c r="W49" s="85"/>
      <c r="Y49" s="94"/>
      <c r="Z49" s="93"/>
      <c r="AA49" s="85"/>
      <c r="AC49" s="94"/>
      <c r="AD49" s="93"/>
      <c r="AE49" s="85"/>
    </row>
    <row r="50" spans="7:31" ht="14.5" customHeight="1" x14ac:dyDescent="0.35">
      <c r="G50" s="85"/>
      <c r="H50" s="87"/>
      <c r="I50" s="94">
        <v>5</v>
      </c>
      <c r="J50" s="93">
        <v>45264</v>
      </c>
      <c r="K50" s="87" t="s">
        <v>2280</v>
      </c>
      <c r="L50" s="87">
        <v>121.3</v>
      </c>
      <c r="M50" s="95"/>
      <c r="N50" s="96"/>
      <c r="O50" s="96"/>
      <c r="P50" s="96"/>
      <c r="Q50" s="95"/>
      <c r="R50" s="96"/>
      <c r="S50" s="85"/>
      <c r="U50" s="94"/>
      <c r="V50" s="93"/>
      <c r="W50" s="85"/>
      <c r="Y50" s="94"/>
      <c r="Z50" s="93"/>
      <c r="AA50" s="85"/>
      <c r="AC50" s="94"/>
      <c r="AD50" s="93"/>
      <c r="AE50" s="85"/>
    </row>
    <row r="51" spans="7:31" ht="14.5" customHeight="1" x14ac:dyDescent="0.35">
      <c r="G51" s="85"/>
      <c r="H51" s="87"/>
      <c r="I51" s="94">
        <v>5</v>
      </c>
      <c r="J51" s="93">
        <v>45277</v>
      </c>
      <c r="K51" s="87" t="s">
        <v>2281</v>
      </c>
      <c r="L51" s="87">
        <v>50.79</v>
      </c>
      <c r="M51" s="95"/>
      <c r="N51" s="96"/>
      <c r="O51" s="96"/>
      <c r="P51" s="96"/>
      <c r="Q51" s="95"/>
      <c r="R51" s="96"/>
      <c r="S51" s="85"/>
      <c r="U51" s="94"/>
      <c r="V51" s="93"/>
      <c r="W51" s="85"/>
      <c r="Y51" s="94"/>
      <c r="Z51" s="93"/>
      <c r="AA51" s="85"/>
      <c r="AC51" s="94"/>
      <c r="AD51" s="93"/>
      <c r="AE51" s="85"/>
    </row>
    <row r="52" spans="7:31" ht="14.5" customHeight="1" x14ac:dyDescent="0.35">
      <c r="G52" s="85"/>
      <c r="H52" s="87"/>
      <c r="I52" s="94">
        <v>5</v>
      </c>
      <c r="J52" s="93">
        <v>45278</v>
      </c>
      <c r="K52" s="87" t="s">
        <v>2281</v>
      </c>
      <c r="L52" s="87">
        <v>50.79</v>
      </c>
      <c r="M52" s="95"/>
      <c r="N52" s="96"/>
      <c r="O52" s="96"/>
      <c r="P52" s="96"/>
      <c r="Q52" s="95"/>
      <c r="R52" s="96"/>
      <c r="S52" s="85"/>
      <c r="U52" s="94"/>
      <c r="V52" s="93"/>
      <c r="W52" s="85"/>
      <c r="Y52" s="94"/>
      <c r="Z52" s="93"/>
      <c r="AA52" s="85"/>
      <c r="AC52" s="94"/>
      <c r="AD52" s="93"/>
      <c r="AE52" s="85"/>
    </row>
    <row r="53" spans="7:31" ht="14.5" customHeight="1" x14ac:dyDescent="0.35">
      <c r="G53" s="85"/>
      <c r="H53" s="87"/>
      <c r="I53" s="94">
        <v>5</v>
      </c>
      <c r="J53" s="93">
        <v>45261</v>
      </c>
      <c r="K53" s="87" t="s">
        <v>2330</v>
      </c>
      <c r="L53" s="87">
        <v>59.45</v>
      </c>
      <c r="M53" s="95"/>
      <c r="N53" s="96"/>
      <c r="O53" s="96"/>
      <c r="P53" s="96"/>
      <c r="Q53" s="95"/>
      <c r="R53" s="96"/>
      <c r="S53" s="85"/>
      <c r="U53" s="94"/>
      <c r="V53" s="93"/>
      <c r="W53" s="85"/>
      <c r="Y53" s="94"/>
      <c r="Z53" s="93"/>
      <c r="AA53" s="85"/>
      <c r="AC53" s="94"/>
      <c r="AD53" s="93"/>
      <c r="AE53" s="85"/>
    </row>
    <row r="54" spans="7:31" ht="14.5" customHeight="1" x14ac:dyDescent="0.35">
      <c r="G54" s="85"/>
      <c r="H54" s="87"/>
      <c r="I54" s="94">
        <v>5</v>
      </c>
      <c r="J54" s="93">
        <v>45297</v>
      </c>
      <c r="K54" s="87" t="s">
        <v>2353</v>
      </c>
      <c r="L54" s="87">
        <v>767.72</v>
      </c>
      <c r="M54" s="95"/>
      <c r="N54" s="96"/>
      <c r="O54" s="96"/>
      <c r="P54" s="96"/>
      <c r="Q54" s="95"/>
      <c r="R54" s="96"/>
      <c r="S54" s="85"/>
      <c r="U54" s="94"/>
      <c r="V54" s="93"/>
      <c r="W54" s="85"/>
      <c r="Y54" s="94"/>
      <c r="Z54" s="93"/>
      <c r="AA54" s="85"/>
      <c r="AC54" s="94"/>
      <c r="AD54" s="93"/>
      <c r="AE54" s="85"/>
    </row>
    <row r="55" spans="7:31" ht="14.5" customHeight="1" x14ac:dyDescent="0.35">
      <c r="G55" s="85"/>
      <c r="H55" s="87"/>
      <c r="I55" s="94">
        <v>10</v>
      </c>
      <c r="J55" s="87" t="s">
        <v>491</v>
      </c>
      <c r="K55" s="86" t="s">
        <v>2433</v>
      </c>
      <c r="L55" s="112">
        <f>138856+148350</f>
        <v>287206</v>
      </c>
      <c r="M55" s="95"/>
      <c r="N55" s="96"/>
      <c r="O55" s="96"/>
      <c r="P55" s="96"/>
      <c r="Q55" s="95"/>
      <c r="R55" s="96"/>
      <c r="S55" s="85"/>
      <c r="U55" s="94"/>
      <c r="V55" s="93"/>
      <c r="W55" s="85"/>
      <c r="Y55" s="94"/>
      <c r="Z55" s="93"/>
      <c r="AA55" s="85"/>
      <c r="AC55" s="94"/>
      <c r="AD55" s="93"/>
      <c r="AE55" s="85"/>
    </row>
    <row r="56" spans="7:31" ht="14.5" customHeight="1" x14ac:dyDescent="0.35">
      <c r="G56" s="85"/>
      <c r="H56" s="87"/>
      <c r="I56" s="94">
        <v>11</v>
      </c>
      <c r="J56" s="87" t="s">
        <v>491</v>
      </c>
      <c r="K56" s="86" t="s">
        <v>2434</v>
      </c>
      <c r="L56" s="112">
        <v>11903</v>
      </c>
      <c r="M56" s="95"/>
      <c r="N56" s="96"/>
      <c r="O56" s="96"/>
      <c r="P56" s="96"/>
      <c r="Q56" s="95"/>
      <c r="R56" s="96"/>
      <c r="S56" s="85"/>
      <c r="U56" s="94"/>
      <c r="V56" s="93"/>
      <c r="W56" s="85"/>
      <c r="Y56" s="94"/>
      <c r="Z56" s="93"/>
      <c r="AA56" s="85"/>
      <c r="AC56" s="94"/>
      <c r="AD56" s="93"/>
      <c r="AE56" s="85"/>
    </row>
    <row r="57" spans="7:31" ht="14.5" customHeight="1" x14ac:dyDescent="0.35">
      <c r="G57" s="85"/>
      <c r="H57" s="87"/>
      <c r="I57" s="94">
        <v>12</v>
      </c>
      <c r="J57" s="87" t="s">
        <v>491</v>
      </c>
      <c r="K57" s="87" t="s">
        <v>2431</v>
      </c>
      <c r="L57" s="87">
        <v>10789</v>
      </c>
      <c r="M57" s="95"/>
      <c r="N57" s="96"/>
      <c r="O57" s="96"/>
      <c r="P57" s="96"/>
      <c r="Q57" s="95"/>
      <c r="R57" s="96"/>
      <c r="S57" s="85"/>
      <c r="U57" s="94"/>
      <c r="V57" s="93"/>
      <c r="W57" s="85"/>
      <c r="Y57" s="94"/>
      <c r="Z57" s="93"/>
      <c r="AA57" s="85"/>
      <c r="AC57" s="94"/>
      <c r="AD57" s="93"/>
      <c r="AE57" s="85"/>
    </row>
    <row r="58" spans="7:31" ht="14.5" customHeight="1" x14ac:dyDescent="0.35">
      <c r="G58" s="85"/>
      <c r="H58" s="87"/>
      <c r="I58" s="94">
        <v>13</v>
      </c>
      <c r="J58" s="87" t="s">
        <v>491</v>
      </c>
      <c r="K58" s="87" t="s">
        <v>2432</v>
      </c>
      <c r="L58" s="87">
        <v>-457494</v>
      </c>
      <c r="M58" s="95"/>
      <c r="N58" s="96"/>
      <c r="O58" s="96"/>
      <c r="P58" s="96"/>
      <c r="Q58" s="95"/>
      <c r="R58" s="96"/>
      <c r="S58" s="85"/>
      <c r="U58" s="94"/>
      <c r="V58" s="93"/>
      <c r="W58" s="85"/>
      <c r="Y58" s="94"/>
      <c r="Z58" s="93"/>
      <c r="AA58" s="85"/>
      <c r="AC58" s="94"/>
      <c r="AD58" s="93"/>
      <c r="AE58" s="85"/>
    </row>
    <row r="59" spans="7:31" ht="14.5" customHeight="1" x14ac:dyDescent="0.35">
      <c r="G59" s="85"/>
      <c r="H59" s="87"/>
      <c r="I59" s="94">
        <v>5</v>
      </c>
      <c r="J59" s="121">
        <v>45329</v>
      </c>
      <c r="K59" s="87" t="s">
        <v>1275</v>
      </c>
      <c r="L59" s="87">
        <v>862.14</v>
      </c>
      <c r="M59" s="95"/>
      <c r="N59" s="96"/>
      <c r="O59" s="96"/>
      <c r="P59" s="96"/>
      <c r="Q59" s="95"/>
      <c r="R59" s="96"/>
      <c r="S59" s="85"/>
      <c r="U59" s="94"/>
      <c r="V59" s="93"/>
      <c r="W59" s="85"/>
      <c r="Y59" s="94"/>
      <c r="Z59" s="93"/>
      <c r="AA59" s="85"/>
      <c r="AC59" s="94"/>
      <c r="AD59" s="93"/>
      <c r="AE59" s="85"/>
    </row>
    <row r="60" spans="7:31" ht="14.5" customHeight="1" x14ac:dyDescent="0.35">
      <c r="G60" s="85"/>
      <c r="H60" s="87"/>
      <c r="I60" s="94">
        <v>1</v>
      </c>
      <c r="J60" s="93" t="s">
        <v>814</v>
      </c>
      <c r="K60" s="93" t="s">
        <v>2641</v>
      </c>
      <c r="L60" s="87">
        <v>65000</v>
      </c>
      <c r="M60" s="95"/>
      <c r="N60" s="96"/>
      <c r="O60" s="96"/>
      <c r="P60" s="96"/>
      <c r="Q60" s="95"/>
      <c r="R60" s="96"/>
      <c r="S60" s="85"/>
      <c r="U60" s="94"/>
      <c r="V60" s="93"/>
      <c r="W60" s="85"/>
      <c r="Y60" s="94"/>
      <c r="Z60" s="93"/>
      <c r="AA60" s="85"/>
      <c r="AC60" s="94"/>
      <c r="AD60" s="93"/>
      <c r="AE60" s="85"/>
    </row>
    <row r="61" spans="7:31" ht="14.5" customHeight="1" x14ac:dyDescent="0.35">
      <c r="G61" s="85"/>
      <c r="H61" s="87"/>
      <c r="I61" s="94">
        <v>5</v>
      </c>
      <c r="J61" s="121">
        <v>45368</v>
      </c>
      <c r="K61" s="87" t="s">
        <v>2659</v>
      </c>
      <c r="L61" s="87">
        <v>50.79</v>
      </c>
      <c r="M61" s="95"/>
      <c r="N61" s="96"/>
      <c r="O61" s="96"/>
      <c r="P61" s="96"/>
      <c r="Q61" s="94"/>
      <c r="R61" s="93"/>
      <c r="S61" s="85"/>
      <c r="U61" s="94"/>
      <c r="V61" s="93"/>
      <c r="W61" s="85"/>
      <c r="Y61" s="94"/>
      <c r="Z61" s="93"/>
      <c r="AA61" s="85"/>
      <c r="AC61" s="94"/>
      <c r="AD61" s="93"/>
      <c r="AE61" s="85"/>
    </row>
    <row r="62" spans="7:31" ht="14.5" customHeight="1" x14ac:dyDescent="0.35">
      <c r="G62" s="85"/>
      <c r="H62" s="87"/>
      <c r="I62" s="94">
        <v>5</v>
      </c>
      <c r="J62" s="121">
        <v>45358</v>
      </c>
      <c r="K62" s="87" t="s">
        <v>1208</v>
      </c>
      <c r="L62" s="87">
        <v>769.56</v>
      </c>
      <c r="M62" s="94"/>
      <c r="N62" s="93"/>
      <c r="O62" s="85"/>
      <c r="Q62" s="95"/>
      <c r="R62" s="93"/>
      <c r="S62" s="85"/>
      <c r="U62" s="94"/>
      <c r="V62" s="93"/>
      <c r="W62" s="85"/>
      <c r="Y62" s="94"/>
      <c r="Z62" s="93"/>
      <c r="AA62" s="85"/>
      <c r="AC62" s="94"/>
      <c r="AD62" s="93"/>
      <c r="AE62" s="85"/>
    </row>
    <row r="63" spans="7:31" ht="14.5" customHeight="1" x14ac:dyDescent="0.35">
      <c r="G63" s="85"/>
      <c r="H63" s="87"/>
      <c r="I63" s="94">
        <v>4</v>
      </c>
      <c r="J63" s="121">
        <v>45362</v>
      </c>
      <c r="K63" s="87" t="s">
        <v>2712</v>
      </c>
      <c r="L63" s="87">
        <v>810</v>
      </c>
      <c r="M63" s="95"/>
      <c r="N63" s="96"/>
      <c r="O63" s="96"/>
      <c r="P63" s="96"/>
      <c r="Q63" s="95"/>
      <c r="R63" s="93"/>
      <c r="S63" s="85"/>
      <c r="U63" s="94"/>
      <c r="V63" s="93"/>
      <c r="W63" s="85"/>
      <c r="Y63" s="94"/>
      <c r="Z63" s="93"/>
      <c r="AA63" s="85"/>
      <c r="AC63" s="94"/>
      <c r="AD63" s="93"/>
      <c r="AE63" s="85"/>
    </row>
    <row r="64" spans="7:31" ht="14.5" customHeight="1" x14ac:dyDescent="0.35">
      <c r="G64" s="85"/>
      <c r="H64" s="87"/>
      <c r="I64" s="94">
        <v>5</v>
      </c>
      <c r="J64" s="121">
        <v>45368</v>
      </c>
      <c r="K64" s="87" t="s">
        <v>2659</v>
      </c>
      <c r="L64" s="87">
        <v>50.79</v>
      </c>
      <c r="M64" s="95"/>
      <c r="N64" s="96"/>
      <c r="O64" s="96"/>
      <c r="P64" s="96"/>
      <c r="Q64" s="94"/>
      <c r="R64" s="93"/>
      <c r="S64" s="85"/>
      <c r="U64" s="94"/>
      <c r="V64" s="93"/>
      <c r="W64" s="85"/>
      <c r="Y64" s="94"/>
      <c r="Z64" s="93"/>
      <c r="AA64" s="85"/>
      <c r="AC64" s="94"/>
      <c r="AD64" s="93"/>
      <c r="AE64" s="85"/>
    </row>
    <row r="65" spans="7:31" ht="14.5" customHeight="1" x14ac:dyDescent="0.35">
      <c r="G65" s="85"/>
      <c r="H65" s="87"/>
      <c r="I65" s="94">
        <v>5</v>
      </c>
      <c r="J65" s="93" t="s">
        <v>775</v>
      </c>
      <c r="K65" s="87" t="s">
        <v>1209</v>
      </c>
      <c r="L65" s="148">
        <v>793.61</v>
      </c>
      <c r="M65" s="94"/>
      <c r="N65" s="93"/>
      <c r="O65" s="85"/>
      <c r="Q65" s="94"/>
      <c r="R65" s="93"/>
      <c r="S65" s="85"/>
      <c r="U65" s="94"/>
      <c r="V65" s="93"/>
      <c r="W65" s="85"/>
      <c r="Y65" s="94"/>
      <c r="Z65" s="93"/>
      <c r="AA65" s="85"/>
      <c r="AC65" s="94"/>
      <c r="AD65" s="93"/>
      <c r="AE65" s="85"/>
    </row>
    <row r="66" spans="7:31" ht="14.5" customHeight="1" x14ac:dyDescent="0.35">
      <c r="G66" s="85"/>
      <c r="H66" s="87"/>
      <c r="I66" s="94">
        <v>7</v>
      </c>
      <c r="J66" s="93" t="s">
        <v>775</v>
      </c>
      <c r="K66" s="87" t="s">
        <v>2795</v>
      </c>
      <c r="L66" s="148">
        <v>7035</v>
      </c>
      <c r="M66" s="94"/>
      <c r="N66" s="93"/>
      <c r="O66" s="85"/>
      <c r="Q66" s="94"/>
      <c r="R66" s="93"/>
      <c r="S66" s="85"/>
      <c r="U66" s="94"/>
      <c r="V66" s="93"/>
      <c r="W66" s="85"/>
      <c r="Y66" s="94"/>
      <c r="Z66" s="93"/>
      <c r="AA66" s="85"/>
      <c r="AC66" s="94"/>
      <c r="AD66" s="93"/>
      <c r="AE66" s="85"/>
    </row>
    <row r="67" spans="7:31" ht="14.5" customHeight="1" x14ac:dyDescent="0.35">
      <c r="G67" s="85"/>
      <c r="H67" s="87"/>
      <c r="K67" s="85"/>
      <c r="M67" s="94"/>
      <c r="N67" s="93"/>
      <c r="O67" s="85"/>
      <c r="Q67" s="94"/>
      <c r="R67" s="93"/>
      <c r="S67" s="85"/>
      <c r="U67" s="94"/>
      <c r="V67" s="93"/>
      <c r="W67" s="85"/>
      <c r="Y67" s="94"/>
      <c r="Z67" s="93"/>
      <c r="AA67" s="85"/>
      <c r="AC67" s="94"/>
      <c r="AD67" s="93"/>
      <c r="AE67" s="85"/>
    </row>
    <row r="68" spans="7:31" ht="14.5" customHeight="1" x14ac:dyDescent="0.35">
      <c r="G68" s="85"/>
      <c r="H68" s="87"/>
      <c r="K68" s="85"/>
      <c r="M68" s="94"/>
      <c r="N68" s="93"/>
      <c r="O68" s="85"/>
      <c r="Q68" s="94"/>
      <c r="R68" s="93"/>
      <c r="S68" s="85"/>
      <c r="U68" s="94"/>
      <c r="V68" s="93"/>
      <c r="W68" s="85"/>
      <c r="Y68" s="94"/>
      <c r="Z68" s="93"/>
      <c r="AA68" s="85"/>
      <c r="AC68" s="94"/>
      <c r="AD68" s="93"/>
      <c r="AE68" s="85"/>
    </row>
    <row r="69" spans="7:31" ht="14.5" customHeight="1" x14ac:dyDescent="0.35">
      <c r="G69" s="85"/>
      <c r="H69" s="87"/>
      <c r="K69" s="85"/>
      <c r="M69" s="94"/>
      <c r="N69" s="93"/>
      <c r="O69" s="85"/>
      <c r="Q69" s="94"/>
      <c r="R69" s="93"/>
      <c r="S69" s="85"/>
      <c r="U69" s="94"/>
      <c r="V69" s="93"/>
      <c r="W69" s="85"/>
      <c r="Y69" s="94"/>
      <c r="Z69" s="93"/>
      <c r="AA69" s="85"/>
      <c r="AC69" s="94"/>
      <c r="AD69" s="93"/>
      <c r="AE69" s="85"/>
    </row>
    <row r="70" spans="7:31" ht="14.5" customHeight="1" x14ac:dyDescent="0.35">
      <c r="G70" s="85"/>
      <c r="H70" s="87"/>
      <c r="K70" s="85"/>
      <c r="M70" s="94"/>
      <c r="N70" s="93"/>
      <c r="O70" s="85"/>
      <c r="Q70" s="94"/>
      <c r="R70" s="93"/>
      <c r="S70" s="85"/>
      <c r="U70" s="94"/>
      <c r="V70" s="93"/>
      <c r="W70" s="85"/>
      <c r="Y70" s="94"/>
      <c r="Z70" s="93"/>
      <c r="AA70" s="85"/>
      <c r="AC70" s="94"/>
      <c r="AD70" s="93"/>
      <c r="AE70" s="85"/>
    </row>
    <row r="71" spans="7:31" ht="14.5" customHeight="1" x14ac:dyDescent="0.35">
      <c r="G71" s="85"/>
      <c r="H71" s="87"/>
      <c r="K71" s="85"/>
      <c r="M71" s="94"/>
      <c r="N71" s="93"/>
      <c r="O71" s="85"/>
      <c r="Q71" s="94"/>
      <c r="R71" s="93"/>
      <c r="S71" s="85"/>
      <c r="U71" s="94"/>
      <c r="V71" s="93"/>
      <c r="W71" s="85"/>
      <c r="Y71" s="94"/>
      <c r="Z71" s="93"/>
      <c r="AA71" s="85"/>
      <c r="AC71" s="94"/>
      <c r="AD71" s="93"/>
      <c r="AE71" s="85"/>
    </row>
    <row r="72" spans="7:31" ht="14.5" customHeight="1" x14ac:dyDescent="0.35">
      <c r="G72" s="85"/>
      <c r="H72" s="87"/>
      <c r="K72" s="85"/>
      <c r="M72" s="94"/>
      <c r="N72" s="93"/>
      <c r="O72" s="85"/>
      <c r="Q72" s="94"/>
      <c r="R72" s="93"/>
      <c r="S72" s="85"/>
      <c r="U72" s="94"/>
      <c r="V72" s="93"/>
      <c r="W72" s="85"/>
      <c r="Y72" s="94"/>
      <c r="Z72" s="93"/>
      <c r="AA72" s="85"/>
      <c r="AC72" s="94"/>
      <c r="AD72" s="93"/>
      <c r="AE72" s="85"/>
    </row>
    <row r="73" spans="7:31" ht="14.5" customHeight="1" x14ac:dyDescent="0.35">
      <c r="G73" s="85"/>
      <c r="H73" s="87"/>
      <c r="K73" s="85"/>
      <c r="M73" s="94"/>
      <c r="N73" s="93"/>
      <c r="O73" s="85"/>
      <c r="Q73" s="94"/>
      <c r="R73" s="93"/>
      <c r="S73" s="85"/>
      <c r="U73" s="94"/>
      <c r="V73" s="93"/>
      <c r="W73" s="85"/>
      <c r="Y73" s="94"/>
      <c r="Z73" s="93"/>
      <c r="AA73" s="85"/>
      <c r="AC73" s="94"/>
      <c r="AD73" s="93"/>
      <c r="AE73" s="85"/>
    </row>
    <row r="74" spans="7:31" ht="14.5" customHeight="1" x14ac:dyDescent="0.35">
      <c r="G74" s="85"/>
      <c r="H74" s="87"/>
      <c r="K74" s="85"/>
      <c r="M74" s="94"/>
      <c r="N74" s="93"/>
      <c r="O74" s="85"/>
      <c r="Q74" s="94"/>
      <c r="R74" s="93"/>
      <c r="S74" s="85"/>
      <c r="U74" s="94"/>
      <c r="V74" s="93"/>
      <c r="W74" s="85"/>
      <c r="Y74" s="94"/>
      <c r="Z74" s="93"/>
      <c r="AA74" s="85"/>
      <c r="AC74" s="94"/>
      <c r="AD74" s="93"/>
      <c r="AE74" s="85"/>
    </row>
    <row r="75" spans="7:31" ht="14.5" customHeight="1" x14ac:dyDescent="0.35">
      <c r="G75" s="85"/>
      <c r="H75" s="87"/>
      <c r="K75" s="85"/>
      <c r="M75" s="94"/>
      <c r="N75" s="93"/>
      <c r="O75" s="85"/>
      <c r="Q75" s="94"/>
      <c r="R75" s="93"/>
      <c r="S75" s="85"/>
      <c r="U75" s="94"/>
      <c r="V75" s="93"/>
      <c r="W75" s="85"/>
      <c r="Y75" s="94"/>
      <c r="Z75" s="93"/>
      <c r="AA75" s="85"/>
      <c r="AC75" s="94"/>
      <c r="AD75" s="93"/>
      <c r="AE75" s="85"/>
    </row>
    <row r="76" spans="7:31" ht="14.5" customHeight="1" x14ac:dyDescent="0.35">
      <c r="G76" s="85"/>
      <c r="H76" s="87"/>
      <c r="K76" s="85"/>
      <c r="M76" s="94"/>
      <c r="N76" s="93"/>
      <c r="O76" s="85"/>
      <c r="Q76" s="94"/>
      <c r="R76" s="93"/>
      <c r="S76" s="85"/>
      <c r="U76" s="94"/>
      <c r="V76" s="93"/>
      <c r="W76" s="85"/>
      <c r="Y76" s="94"/>
      <c r="Z76" s="93"/>
      <c r="AA76" s="85"/>
      <c r="AC76" s="94"/>
      <c r="AD76" s="93"/>
      <c r="AE76" s="85"/>
    </row>
    <row r="77" spans="7:31" ht="14.5" customHeight="1" x14ac:dyDescent="0.35">
      <c r="G77" s="85"/>
      <c r="H77" s="87"/>
      <c r="K77" s="85"/>
      <c r="M77" s="94"/>
      <c r="N77" s="93"/>
      <c r="O77" s="85"/>
      <c r="Q77" s="94"/>
      <c r="R77" s="93"/>
      <c r="S77" s="85"/>
      <c r="U77" s="94"/>
      <c r="V77" s="93"/>
      <c r="W77" s="85"/>
      <c r="Y77" s="94"/>
      <c r="Z77" s="93"/>
      <c r="AA77" s="85"/>
      <c r="AC77" s="94"/>
      <c r="AD77" s="93"/>
      <c r="AE77" s="85"/>
    </row>
    <row r="78" spans="7:31" ht="14.5" customHeight="1" x14ac:dyDescent="0.35">
      <c r="G78" s="85"/>
      <c r="H78" s="87"/>
      <c r="K78" s="85"/>
      <c r="M78" s="94"/>
      <c r="N78" s="93"/>
      <c r="O78" s="85"/>
      <c r="Q78" s="94"/>
      <c r="R78" s="93"/>
      <c r="S78" s="85"/>
      <c r="U78" s="94"/>
      <c r="V78" s="93"/>
      <c r="W78" s="85"/>
      <c r="Y78" s="94"/>
      <c r="Z78" s="93"/>
      <c r="AA78" s="85"/>
      <c r="AC78" s="94"/>
      <c r="AD78" s="93"/>
      <c r="AE78" s="85"/>
    </row>
    <row r="79" spans="7:31" ht="14.5" customHeight="1" x14ac:dyDescent="0.35">
      <c r="G79" s="85"/>
      <c r="H79" s="87"/>
      <c r="K79" s="85"/>
      <c r="M79" s="94"/>
      <c r="N79" s="93"/>
      <c r="O79" s="85"/>
      <c r="Q79" s="94"/>
      <c r="R79" s="93"/>
      <c r="S79" s="85"/>
      <c r="U79" s="94"/>
      <c r="V79" s="93"/>
      <c r="W79" s="85"/>
      <c r="Y79" s="94"/>
      <c r="Z79" s="93"/>
      <c r="AA79" s="85"/>
      <c r="AC79" s="94"/>
      <c r="AD79" s="93"/>
      <c r="AE79" s="85"/>
    </row>
    <row r="80" spans="7:31" ht="14.5" customHeight="1" x14ac:dyDescent="0.35">
      <c r="G80" s="85"/>
      <c r="H80" s="87"/>
      <c r="K80" s="85"/>
      <c r="M80" s="94"/>
      <c r="N80" s="93"/>
      <c r="O80" s="85"/>
      <c r="Q80" s="94"/>
      <c r="R80" s="93"/>
      <c r="S80" s="85"/>
      <c r="U80" s="94"/>
      <c r="V80" s="93"/>
      <c r="W80" s="85"/>
      <c r="Y80" s="94"/>
      <c r="Z80" s="93"/>
      <c r="AA80" s="85"/>
      <c r="AC80" s="94"/>
      <c r="AD80" s="93"/>
      <c r="AE80" s="85"/>
    </row>
    <row r="81" spans="7:31" ht="14.5" customHeight="1" x14ac:dyDescent="0.35">
      <c r="G81" s="85"/>
      <c r="H81" s="87"/>
      <c r="K81" s="85"/>
      <c r="M81" s="94"/>
      <c r="N81" s="93"/>
      <c r="O81" s="85"/>
      <c r="Q81" s="94"/>
      <c r="R81" s="93"/>
      <c r="S81" s="85"/>
      <c r="U81" s="94"/>
      <c r="V81" s="93"/>
      <c r="W81" s="85"/>
      <c r="Y81" s="94"/>
      <c r="Z81" s="93"/>
      <c r="AA81" s="85"/>
      <c r="AC81" s="94"/>
      <c r="AD81" s="93"/>
      <c r="AE81" s="85"/>
    </row>
    <row r="82" spans="7:31" ht="14.5" customHeight="1" x14ac:dyDescent="0.35">
      <c r="G82" s="85"/>
      <c r="H82" s="87"/>
      <c r="K82" s="85"/>
      <c r="M82" s="94"/>
      <c r="N82" s="93"/>
      <c r="O82" s="85"/>
      <c r="Q82" s="94"/>
      <c r="R82" s="93"/>
      <c r="S82" s="85"/>
      <c r="U82" s="94"/>
      <c r="V82" s="93"/>
      <c r="W82" s="85"/>
      <c r="Y82" s="94"/>
      <c r="Z82" s="93"/>
      <c r="AA82" s="85"/>
      <c r="AC82" s="94"/>
      <c r="AD82" s="93"/>
      <c r="AE82" s="85"/>
    </row>
    <row r="83" spans="7:31" ht="14.5" customHeight="1" x14ac:dyDescent="0.35">
      <c r="G83" s="85"/>
      <c r="H83" s="87"/>
      <c r="K83" s="85"/>
      <c r="M83" s="94"/>
      <c r="N83" s="93"/>
      <c r="O83" s="85"/>
      <c r="Q83" s="94"/>
      <c r="R83" s="93"/>
      <c r="S83" s="85"/>
      <c r="U83" s="94"/>
      <c r="V83" s="93"/>
      <c r="W83" s="85"/>
      <c r="Y83" s="94"/>
      <c r="Z83" s="93"/>
      <c r="AA83" s="85"/>
      <c r="AC83" s="94"/>
      <c r="AD83" s="93"/>
      <c r="AE83" s="85"/>
    </row>
    <row r="84" spans="7:31" ht="14.5" customHeight="1" x14ac:dyDescent="0.35">
      <c r="G84" s="85"/>
      <c r="H84" s="87"/>
      <c r="K84" s="85"/>
      <c r="M84" s="94"/>
      <c r="N84" s="93"/>
      <c r="O84" s="85"/>
      <c r="Q84" s="94"/>
      <c r="R84" s="93"/>
      <c r="S84" s="85"/>
      <c r="U84" s="94"/>
      <c r="V84" s="93"/>
      <c r="W84" s="85"/>
      <c r="Y84" s="94"/>
      <c r="Z84" s="93"/>
      <c r="AA84" s="85"/>
      <c r="AC84" s="94"/>
      <c r="AD84" s="93"/>
      <c r="AE84" s="85"/>
    </row>
    <row r="85" spans="7:31" ht="14.5" customHeight="1" x14ac:dyDescent="0.35">
      <c r="G85" s="85"/>
      <c r="H85" s="87"/>
      <c r="K85" s="85"/>
      <c r="M85" s="94"/>
      <c r="N85" s="93"/>
      <c r="O85" s="85"/>
      <c r="Q85" s="94"/>
      <c r="R85" s="93"/>
      <c r="S85" s="85"/>
      <c r="U85" s="94"/>
      <c r="V85" s="93"/>
      <c r="W85" s="85"/>
      <c r="Y85" s="94"/>
      <c r="Z85" s="93"/>
      <c r="AA85" s="85"/>
      <c r="AC85" s="94"/>
      <c r="AD85" s="93"/>
      <c r="AE85" s="85"/>
    </row>
    <row r="86" spans="7:31" ht="14.5" customHeight="1" x14ac:dyDescent="0.35">
      <c r="G86" s="85"/>
      <c r="H86" s="87"/>
      <c r="K86" s="85"/>
      <c r="M86" s="94"/>
      <c r="N86" s="93"/>
      <c r="O86" s="85"/>
      <c r="Q86" s="94"/>
      <c r="R86" s="93"/>
      <c r="S86" s="85"/>
      <c r="U86" s="94"/>
      <c r="V86" s="93"/>
      <c r="W86" s="85"/>
      <c r="Y86" s="94"/>
      <c r="Z86" s="93"/>
      <c r="AA86" s="85"/>
      <c r="AC86" s="94"/>
      <c r="AD86" s="93"/>
      <c r="AE86" s="85"/>
    </row>
    <row r="87" spans="7:31" ht="14.5" customHeight="1" x14ac:dyDescent="0.35">
      <c r="G87" s="85"/>
      <c r="H87" s="87"/>
      <c r="K87" s="85"/>
      <c r="M87" s="94"/>
      <c r="N87" s="93"/>
      <c r="O87" s="85"/>
      <c r="Q87" s="94"/>
      <c r="R87" s="93"/>
      <c r="S87" s="85"/>
      <c r="U87" s="94"/>
      <c r="V87" s="93"/>
      <c r="W87" s="85"/>
      <c r="Y87" s="94"/>
      <c r="Z87" s="93"/>
      <c r="AA87" s="85"/>
      <c r="AC87" s="94"/>
      <c r="AD87" s="93"/>
      <c r="AE87" s="85"/>
    </row>
    <row r="88" spans="7:31" ht="14.5" customHeight="1" x14ac:dyDescent="0.35">
      <c r="G88" s="85"/>
      <c r="H88" s="87"/>
      <c r="K88" s="85"/>
      <c r="M88" s="94"/>
      <c r="N88" s="93"/>
      <c r="O88" s="85"/>
      <c r="Q88" s="94"/>
      <c r="R88" s="93"/>
      <c r="S88" s="85"/>
      <c r="U88" s="94"/>
      <c r="V88" s="93"/>
      <c r="W88" s="85"/>
      <c r="Y88" s="94"/>
      <c r="Z88" s="93"/>
      <c r="AA88" s="85"/>
      <c r="AC88" s="94"/>
      <c r="AD88" s="93"/>
      <c r="AE88" s="85"/>
    </row>
    <row r="89" spans="7:31" ht="14.5" customHeight="1" x14ac:dyDescent="0.35">
      <c r="G89" s="85"/>
      <c r="H89" s="87"/>
      <c r="K89" s="85"/>
      <c r="M89" s="94"/>
      <c r="N89" s="93"/>
      <c r="O89" s="85"/>
      <c r="Q89" s="94"/>
      <c r="R89" s="93"/>
      <c r="S89" s="85"/>
      <c r="U89" s="94"/>
      <c r="V89" s="93"/>
      <c r="W89" s="85"/>
      <c r="Y89" s="94"/>
      <c r="Z89" s="93"/>
      <c r="AA89" s="85"/>
      <c r="AC89" s="94"/>
      <c r="AD89" s="93"/>
      <c r="AE89" s="85"/>
    </row>
    <row r="90" spans="7:31" ht="14.5" customHeight="1" x14ac:dyDescent="0.35">
      <c r="G90" s="85"/>
      <c r="H90" s="87"/>
      <c r="K90" s="85"/>
      <c r="M90" s="94"/>
      <c r="N90" s="93"/>
      <c r="O90" s="85"/>
      <c r="Q90" s="94"/>
      <c r="R90" s="93"/>
      <c r="S90" s="85"/>
      <c r="U90" s="94"/>
      <c r="V90" s="93"/>
      <c r="W90" s="85"/>
      <c r="Y90" s="94"/>
      <c r="Z90" s="93"/>
      <c r="AA90" s="85"/>
      <c r="AC90" s="94"/>
      <c r="AD90" s="93"/>
      <c r="AE90" s="85"/>
    </row>
    <row r="91" spans="7:31" ht="14.5" customHeight="1" x14ac:dyDescent="0.35">
      <c r="G91" s="85"/>
      <c r="H91" s="87"/>
      <c r="K91" s="85"/>
      <c r="M91" s="94"/>
      <c r="N91" s="93"/>
      <c r="O91" s="85"/>
      <c r="Q91" s="94"/>
      <c r="R91" s="93"/>
      <c r="S91" s="85"/>
      <c r="U91" s="94"/>
      <c r="V91" s="93"/>
      <c r="W91" s="85"/>
      <c r="Y91" s="94"/>
      <c r="Z91" s="93"/>
      <c r="AA91" s="85"/>
      <c r="AC91" s="94"/>
      <c r="AD91" s="93"/>
      <c r="AE91" s="85"/>
    </row>
    <row r="92" spans="7:31" ht="14.5" customHeight="1" x14ac:dyDescent="0.35">
      <c r="G92" s="85"/>
      <c r="H92" s="87"/>
      <c r="K92" s="85"/>
      <c r="M92" s="94"/>
      <c r="N92" s="93"/>
      <c r="O92" s="85"/>
      <c r="Q92" s="94"/>
      <c r="R92" s="93"/>
      <c r="S92" s="85"/>
      <c r="U92" s="94"/>
      <c r="V92" s="93"/>
      <c r="W92" s="85"/>
      <c r="Y92" s="94"/>
      <c r="Z92" s="93"/>
      <c r="AA92" s="85"/>
      <c r="AC92" s="94"/>
      <c r="AD92" s="93"/>
      <c r="AE92" s="85"/>
    </row>
    <row r="93" spans="7:31" ht="14.5" customHeight="1" x14ac:dyDescent="0.35">
      <c r="G93" s="85"/>
      <c r="H93" s="87"/>
      <c r="K93" s="85"/>
      <c r="M93" s="94"/>
      <c r="N93" s="93"/>
      <c r="O93" s="85"/>
      <c r="Q93" s="94"/>
      <c r="R93" s="93"/>
      <c r="S93" s="85"/>
      <c r="U93" s="94"/>
      <c r="V93" s="93"/>
      <c r="W93" s="85"/>
      <c r="Y93" s="94"/>
      <c r="Z93" s="93"/>
      <c r="AA93" s="85"/>
      <c r="AC93" s="94"/>
      <c r="AD93" s="93"/>
      <c r="AE93" s="85"/>
    </row>
    <row r="94" spans="7:31" ht="14.5" customHeight="1" x14ac:dyDescent="0.35">
      <c r="G94" s="85"/>
      <c r="H94" s="87"/>
      <c r="K94" s="85"/>
      <c r="M94" s="94"/>
      <c r="N94" s="93"/>
      <c r="O94" s="85"/>
      <c r="Q94" s="94"/>
      <c r="R94" s="93"/>
      <c r="S94" s="85"/>
      <c r="U94" s="94"/>
      <c r="V94" s="93"/>
      <c r="W94" s="85"/>
      <c r="Y94" s="94"/>
      <c r="Z94" s="93"/>
      <c r="AA94" s="85"/>
      <c r="AC94" s="94"/>
      <c r="AD94" s="93"/>
      <c r="AE94" s="85"/>
    </row>
    <row r="95" spans="7:31" ht="14.5" customHeight="1" x14ac:dyDescent="0.35">
      <c r="G95" s="85"/>
      <c r="H95" s="87"/>
      <c r="K95" s="85"/>
      <c r="M95" s="94"/>
      <c r="N95" s="93"/>
      <c r="O95" s="85"/>
      <c r="Q95" s="94"/>
      <c r="R95" s="93"/>
      <c r="S95" s="85"/>
      <c r="U95" s="94"/>
      <c r="V95" s="93"/>
      <c r="W95" s="85"/>
      <c r="Y95" s="94"/>
      <c r="Z95" s="93"/>
      <c r="AA95" s="85"/>
      <c r="AC95" s="94"/>
      <c r="AD95" s="93"/>
      <c r="AE95" s="85"/>
    </row>
    <row r="96" spans="7:31" ht="14.5" customHeight="1" x14ac:dyDescent="0.35">
      <c r="G96" s="85"/>
      <c r="H96" s="87"/>
      <c r="K96" s="85"/>
      <c r="M96" s="94"/>
      <c r="N96" s="93"/>
      <c r="O96" s="85"/>
      <c r="Q96" s="94"/>
      <c r="R96" s="93"/>
      <c r="S96" s="85"/>
      <c r="U96" s="94"/>
      <c r="V96" s="93"/>
      <c r="W96" s="85"/>
      <c r="Y96" s="94"/>
      <c r="Z96" s="93"/>
      <c r="AA96" s="85"/>
      <c r="AC96" s="94"/>
      <c r="AD96" s="93"/>
      <c r="AE96" s="85"/>
    </row>
    <row r="97" spans="7:31" ht="14.5" customHeight="1" x14ac:dyDescent="0.35">
      <c r="G97" s="85"/>
      <c r="H97" s="87"/>
      <c r="K97" s="85"/>
      <c r="M97" s="94"/>
      <c r="N97" s="93"/>
      <c r="O97" s="85"/>
      <c r="Q97" s="94"/>
      <c r="R97" s="93"/>
      <c r="S97" s="85"/>
      <c r="U97" s="94"/>
      <c r="V97" s="93"/>
      <c r="W97" s="85"/>
      <c r="Y97" s="94"/>
      <c r="Z97" s="93"/>
      <c r="AA97" s="85"/>
      <c r="AC97" s="94"/>
      <c r="AD97" s="93"/>
      <c r="AE97" s="85"/>
    </row>
    <row r="98" spans="7:31" ht="14.5" customHeight="1" x14ac:dyDescent="0.35">
      <c r="G98" s="85"/>
      <c r="H98" s="87"/>
      <c r="K98" s="85"/>
      <c r="M98" s="94"/>
      <c r="N98" s="93"/>
      <c r="O98" s="85"/>
      <c r="Q98" s="94"/>
      <c r="R98" s="93"/>
      <c r="S98" s="85"/>
      <c r="U98" s="94"/>
      <c r="V98" s="93"/>
      <c r="W98" s="85"/>
      <c r="Y98" s="94"/>
      <c r="Z98" s="93"/>
      <c r="AA98" s="85"/>
      <c r="AC98" s="94"/>
      <c r="AD98" s="93"/>
      <c r="AE98" s="85"/>
    </row>
    <row r="99" spans="7:31" ht="14.5" customHeight="1" x14ac:dyDescent="0.35">
      <c r="G99" s="85"/>
      <c r="H99" s="87"/>
      <c r="K99" s="85"/>
      <c r="M99" s="94"/>
      <c r="N99" s="93"/>
      <c r="O99" s="85"/>
      <c r="Q99" s="94"/>
      <c r="R99" s="93"/>
      <c r="S99" s="85"/>
      <c r="U99" s="94"/>
      <c r="V99" s="93"/>
      <c r="W99" s="85"/>
      <c r="Y99" s="94"/>
      <c r="Z99" s="93"/>
      <c r="AA99" s="85"/>
      <c r="AC99" s="94"/>
      <c r="AD99" s="93"/>
      <c r="AE99" s="85"/>
    </row>
    <row r="100" spans="7:31" ht="14.5" customHeight="1" x14ac:dyDescent="0.35">
      <c r="G100" s="85"/>
      <c r="H100" s="87"/>
      <c r="K100" s="85"/>
      <c r="M100" s="94"/>
      <c r="N100" s="93"/>
      <c r="O100" s="85"/>
      <c r="Q100" s="94"/>
      <c r="R100" s="93"/>
      <c r="S100" s="85"/>
      <c r="U100" s="94"/>
      <c r="V100" s="93"/>
      <c r="W100" s="85"/>
      <c r="Y100" s="94"/>
      <c r="Z100" s="93"/>
      <c r="AA100" s="85"/>
      <c r="AC100" s="94"/>
      <c r="AD100" s="93"/>
      <c r="AE100" s="85"/>
    </row>
    <row r="101" spans="7:31" ht="14.5" customHeight="1" x14ac:dyDescent="0.35">
      <c r="G101" s="85"/>
      <c r="H101" s="87"/>
      <c r="K101" s="85"/>
      <c r="M101" s="94"/>
      <c r="N101" s="93"/>
      <c r="O101" s="85"/>
      <c r="Q101" s="94"/>
      <c r="R101" s="93"/>
      <c r="S101" s="85"/>
      <c r="U101" s="94"/>
      <c r="V101" s="93"/>
      <c r="W101" s="85"/>
      <c r="Y101" s="94"/>
      <c r="Z101" s="93"/>
      <c r="AA101" s="85"/>
      <c r="AC101" s="94"/>
      <c r="AD101" s="93"/>
      <c r="AE101" s="85"/>
    </row>
    <row r="102" spans="7:31" ht="14.5" customHeight="1" x14ac:dyDescent="0.35">
      <c r="G102" s="85"/>
      <c r="H102" s="87"/>
      <c r="K102" s="85"/>
      <c r="M102" s="94"/>
      <c r="N102" s="93"/>
      <c r="O102" s="85"/>
      <c r="Q102" s="94"/>
      <c r="R102" s="93"/>
      <c r="S102" s="85"/>
      <c r="U102" s="94"/>
      <c r="V102" s="93"/>
      <c r="W102" s="85"/>
      <c r="Y102" s="94"/>
      <c r="Z102" s="93"/>
      <c r="AA102" s="85"/>
      <c r="AC102" s="94"/>
      <c r="AD102" s="93"/>
      <c r="AE102" s="85"/>
    </row>
    <row r="103" spans="7:31" ht="14.5" customHeight="1" x14ac:dyDescent="0.35">
      <c r="G103" s="85"/>
      <c r="H103" s="87"/>
      <c r="K103" s="85"/>
      <c r="M103" s="94"/>
      <c r="N103" s="93"/>
      <c r="O103" s="85"/>
      <c r="Q103" s="94"/>
      <c r="R103" s="93"/>
      <c r="S103" s="85"/>
      <c r="U103" s="94"/>
      <c r="V103" s="93"/>
      <c r="W103" s="85"/>
      <c r="Y103" s="94"/>
      <c r="Z103" s="93"/>
      <c r="AA103" s="85"/>
      <c r="AC103" s="94"/>
      <c r="AD103" s="93"/>
      <c r="AE103" s="85"/>
    </row>
    <row r="104" spans="7:31" ht="14.5" customHeight="1" x14ac:dyDescent="0.35">
      <c r="G104" s="85"/>
      <c r="H104" s="87"/>
      <c r="K104" s="85"/>
      <c r="M104" s="94"/>
      <c r="N104" s="93"/>
      <c r="O104" s="85"/>
      <c r="Q104" s="94"/>
      <c r="R104" s="93"/>
      <c r="S104" s="85"/>
      <c r="U104" s="94"/>
      <c r="V104" s="93"/>
      <c r="W104" s="85"/>
      <c r="Y104" s="94"/>
      <c r="Z104" s="93"/>
      <c r="AA104" s="85"/>
      <c r="AC104" s="94"/>
      <c r="AD104" s="93"/>
      <c r="AE104" s="85"/>
    </row>
    <row r="105" spans="7:31" ht="14.5" customHeight="1" x14ac:dyDescent="0.35">
      <c r="G105" s="85"/>
      <c r="H105" s="87"/>
      <c r="K105" s="85"/>
      <c r="M105" s="94"/>
      <c r="N105" s="93"/>
      <c r="O105" s="85"/>
      <c r="Q105" s="94"/>
      <c r="R105" s="93"/>
      <c r="S105" s="85"/>
      <c r="U105" s="94"/>
      <c r="V105" s="93"/>
      <c r="W105" s="85"/>
      <c r="Y105" s="94"/>
      <c r="Z105" s="93"/>
      <c r="AA105" s="85"/>
      <c r="AC105" s="94"/>
      <c r="AD105" s="93"/>
      <c r="AE105" s="85"/>
    </row>
    <row r="106" spans="7:31" ht="14.5" customHeight="1" x14ac:dyDescent="0.35">
      <c r="G106" s="85"/>
      <c r="H106" s="87"/>
      <c r="K106" s="85"/>
      <c r="M106" s="94"/>
      <c r="N106" s="93"/>
      <c r="O106" s="85"/>
      <c r="Q106" s="94"/>
      <c r="R106" s="93"/>
      <c r="S106" s="85"/>
      <c r="U106" s="94"/>
      <c r="V106" s="93"/>
      <c r="W106" s="85"/>
      <c r="Y106" s="94"/>
      <c r="Z106" s="93"/>
      <c r="AA106" s="85"/>
      <c r="AC106" s="94"/>
      <c r="AD106" s="93"/>
      <c r="AE106" s="85"/>
    </row>
    <row r="107" spans="7:31" ht="14.5" customHeight="1" x14ac:dyDescent="0.35">
      <c r="G107" s="85"/>
      <c r="H107" s="87"/>
      <c r="K107" s="85"/>
      <c r="M107" s="94"/>
      <c r="N107" s="93"/>
      <c r="O107" s="85"/>
      <c r="Q107" s="94"/>
      <c r="R107" s="93"/>
      <c r="S107" s="85"/>
      <c r="U107" s="94"/>
      <c r="V107" s="93"/>
      <c r="W107" s="85"/>
      <c r="Y107" s="94"/>
      <c r="Z107" s="93"/>
      <c r="AA107" s="85"/>
      <c r="AC107" s="94"/>
      <c r="AD107" s="93"/>
      <c r="AE107" s="85"/>
    </row>
    <row r="108" spans="7:31" ht="14.5" customHeight="1" x14ac:dyDescent="0.35">
      <c r="G108" s="85"/>
      <c r="H108" s="87"/>
      <c r="K108" s="85"/>
      <c r="M108" s="94"/>
      <c r="N108" s="93"/>
      <c r="O108" s="85"/>
      <c r="Q108" s="94"/>
      <c r="R108" s="93"/>
      <c r="S108" s="85"/>
      <c r="U108" s="94"/>
      <c r="V108" s="93"/>
      <c r="W108" s="85"/>
      <c r="Y108" s="94"/>
      <c r="Z108" s="93"/>
      <c r="AA108" s="85"/>
      <c r="AC108" s="94"/>
      <c r="AD108" s="93"/>
      <c r="AE108" s="85"/>
    </row>
    <row r="109" spans="7:31" ht="14.5" customHeight="1" x14ac:dyDescent="0.35">
      <c r="G109" s="85"/>
      <c r="H109" s="87"/>
      <c r="K109" s="85"/>
      <c r="M109" s="94"/>
      <c r="N109" s="93"/>
      <c r="O109" s="85"/>
      <c r="Q109" s="94"/>
      <c r="R109" s="93"/>
      <c r="S109" s="85"/>
      <c r="U109" s="94"/>
      <c r="V109" s="93"/>
      <c r="W109" s="85"/>
      <c r="Y109" s="94"/>
      <c r="Z109" s="93"/>
      <c r="AA109" s="85"/>
      <c r="AC109" s="94"/>
      <c r="AD109" s="93"/>
      <c r="AE109" s="85"/>
    </row>
    <row r="110" spans="7:31" ht="14.5" customHeight="1" x14ac:dyDescent="0.35">
      <c r="G110" s="85"/>
      <c r="H110" s="87"/>
      <c r="K110" s="85"/>
      <c r="M110" s="94"/>
      <c r="N110" s="93"/>
      <c r="O110" s="85"/>
      <c r="Q110" s="94"/>
      <c r="R110" s="93"/>
      <c r="S110" s="85"/>
      <c r="U110" s="94"/>
      <c r="V110" s="93"/>
      <c r="W110" s="85"/>
      <c r="Y110" s="94"/>
      <c r="Z110" s="93"/>
      <c r="AA110" s="85"/>
      <c r="AC110" s="94"/>
      <c r="AD110" s="93"/>
      <c r="AE110" s="85"/>
    </row>
    <row r="111" spans="7:31" ht="14.5" customHeight="1" x14ac:dyDescent="0.35">
      <c r="G111" s="85"/>
      <c r="H111" s="87"/>
      <c r="K111" s="85"/>
      <c r="M111" s="94"/>
      <c r="N111" s="93"/>
      <c r="O111" s="85"/>
      <c r="Q111" s="94"/>
      <c r="R111" s="93"/>
      <c r="S111" s="85"/>
      <c r="U111" s="94"/>
      <c r="V111" s="93"/>
      <c r="W111" s="85"/>
      <c r="Y111" s="94"/>
      <c r="Z111" s="93"/>
      <c r="AA111" s="85"/>
      <c r="AC111" s="94"/>
      <c r="AD111" s="93"/>
      <c r="AE111" s="85"/>
    </row>
    <row r="112" spans="7:31" ht="14.5" customHeight="1" x14ac:dyDescent="0.35">
      <c r="G112" s="85"/>
      <c r="H112" s="87"/>
      <c r="K112" s="85"/>
      <c r="M112" s="94"/>
      <c r="N112" s="93"/>
      <c r="O112" s="85"/>
      <c r="Q112" s="94"/>
      <c r="R112" s="93"/>
      <c r="S112" s="85"/>
      <c r="U112" s="94"/>
      <c r="V112" s="93"/>
      <c r="W112" s="85"/>
      <c r="Y112" s="94"/>
      <c r="Z112" s="93"/>
      <c r="AA112" s="85"/>
      <c r="AC112" s="94"/>
      <c r="AD112" s="93"/>
      <c r="AE112" s="85"/>
    </row>
    <row r="113" spans="7:31" ht="14.5" customHeight="1" x14ac:dyDescent="0.35">
      <c r="G113" s="85"/>
      <c r="H113" s="87"/>
      <c r="K113" s="85"/>
      <c r="M113" s="94"/>
      <c r="N113" s="93"/>
      <c r="O113" s="85"/>
      <c r="Q113" s="94"/>
      <c r="R113" s="93"/>
      <c r="S113" s="85"/>
      <c r="U113" s="94"/>
      <c r="V113" s="93"/>
      <c r="W113" s="85"/>
      <c r="Y113" s="94"/>
      <c r="Z113" s="93"/>
      <c r="AA113" s="85"/>
      <c r="AC113" s="94"/>
      <c r="AD113" s="93"/>
      <c r="AE113" s="85"/>
    </row>
    <row r="114" spans="7:31" ht="14.5" customHeight="1" x14ac:dyDescent="0.35">
      <c r="G114" s="85"/>
      <c r="H114" s="87"/>
      <c r="K114" s="85"/>
      <c r="M114" s="94"/>
      <c r="N114" s="93"/>
      <c r="O114" s="85"/>
      <c r="Q114" s="94"/>
      <c r="R114" s="93"/>
      <c r="S114" s="85"/>
      <c r="U114" s="94"/>
      <c r="V114" s="93"/>
      <c r="W114" s="85"/>
      <c r="Y114" s="94"/>
      <c r="Z114" s="93"/>
      <c r="AA114" s="85"/>
      <c r="AC114" s="94"/>
      <c r="AD114" s="93"/>
      <c r="AE114" s="85"/>
    </row>
    <row r="115" spans="7:31" ht="14.5" customHeight="1" x14ac:dyDescent="0.35">
      <c r="G115" s="85"/>
      <c r="H115" s="87"/>
      <c r="K115" s="85"/>
      <c r="M115" s="94"/>
      <c r="N115" s="93"/>
      <c r="O115" s="85"/>
      <c r="Q115" s="94"/>
      <c r="R115" s="93"/>
      <c r="S115" s="85"/>
      <c r="U115" s="94"/>
      <c r="V115" s="93"/>
      <c r="W115" s="85"/>
      <c r="Y115" s="94"/>
      <c r="Z115" s="93"/>
      <c r="AA115" s="85"/>
      <c r="AC115" s="94"/>
      <c r="AD115" s="93"/>
      <c r="AE115" s="85"/>
    </row>
    <row r="116" spans="7:31" ht="14.5" customHeight="1" x14ac:dyDescent="0.35">
      <c r="G116" s="85"/>
      <c r="H116" s="87"/>
      <c r="K116" s="85"/>
      <c r="M116" s="94"/>
      <c r="N116" s="93"/>
      <c r="O116" s="85"/>
      <c r="Q116" s="94"/>
      <c r="R116" s="93"/>
      <c r="S116" s="85"/>
      <c r="U116" s="94"/>
      <c r="V116" s="93"/>
      <c r="W116" s="85"/>
      <c r="Y116" s="94"/>
      <c r="Z116" s="93"/>
      <c r="AA116" s="85"/>
      <c r="AC116" s="94"/>
      <c r="AD116" s="93"/>
      <c r="AE116" s="85"/>
    </row>
    <row r="117" spans="7:31" ht="14.5" customHeight="1" x14ac:dyDescent="0.35">
      <c r="G117" s="85"/>
      <c r="H117" s="87"/>
      <c r="K117" s="85"/>
      <c r="M117" s="94"/>
      <c r="N117" s="93"/>
      <c r="O117" s="85"/>
      <c r="Q117" s="94"/>
      <c r="R117" s="93"/>
      <c r="S117" s="85"/>
      <c r="U117" s="94"/>
      <c r="V117" s="93"/>
      <c r="W117" s="85"/>
      <c r="Y117" s="94"/>
      <c r="Z117" s="93"/>
      <c r="AA117" s="85"/>
      <c r="AC117" s="94"/>
      <c r="AD117" s="93"/>
      <c r="AE117" s="85"/>
    </row>
    <row r="118" spans="7:31" ht="14.5" customHeight="1" x14ac:dyDescent="0.35">
      <c r="G118" s="85"/>
      <c r="H118" s="87"/>
      <c r="K118" s="85"/>
      <c r="M118" s="94"/>
      <c r="N118" s="93"/>
      <c r="O118" s="85"/>
      <c r="Q118" s="94"/>
      <c r="R118" s="93"/>
      <c r="S118" s="85"/>
      <c r="U118" s="94"/>
      <c r="V118" s="93"/>
      <c r="W118" s="85"/>
      <c r="Y118" s="94"/>
      <c r="Z118" s="93"/>
      <c r="AA118" s="85"/>
      <c r="AC118" s="94"/>
      <c r="AD118" s="93"/>
      <c r="AE118" s="85"/>
    </row>
    <row r="119" spans="7:31" ht="14.5" customHeight="1" x14ac:dyDescent="0.35">
      <c r="G119" s="85"/>
      <c r="H119" s="87"/>
      <c r="K119" s="85"/>
      <c r="M119" s="94"/>
      <c r="N119" s="93"/>
      <c r="O119" s="85"/>
      <c r="Q119" s="94"/>
      <c r="R119" s="93"/>
      <c r="S119" s="85"/>
      <c r="U119" s="94"/>
      <c r="V119" s="93"/>
      <c r="W119" s="85"/>
      <c r="Y119" s="94"/>
      <c r="Z119" s="93"/>
      <c r="AA119" s="85"/>
      <c r="AC119" s="94"/>
      <c r="AD119" s="93"/>
      <c r="AE119" s="85"/>
    </row>
    <row r="120" spans="7:31" ht="14.5" customHeight="1" x14ac:dyDescent="0.35">
      <c r="G120" s="85"/>
      <c r="H120" s="87"/>
      <c r="K120" s="85"/>
      <c r="M120" s="94"/>
      <c r="N120" s="93"/>
      <c r="O120" s="85"/>
      <c r="Q120" s="94"/>
      <c r="R120" s="93"/>
      <c r="S120" s="85"/>
      <c r="U120" s="94"/>
      <c r="V120" s="93"/>
      <c r="W120" s="85"/>
      <c r="Y120" s="94"/>
      <c r="Z120" s="93"/>
      <c r="AA120" s="85"/>
      <c r="AC120" s="94"/>
      <c r="AD120" s="93"/>
      <c r="AE120" s="85"/>
    </row>
    <row r="121" spans="7:31" ht="14.5" customHeight="1" x14ac:dyDescent="0.35">
      <c r="G121" s="85"/>
      <c r="H121" s="87"/>
      <c r="K121" s="85"/>
      <c r="M121" s="94"/>
      <c r="N121" s="93"/>
      <c r="O121" s="85"/>
      <c r="Q121" s="94"/>
      <c r="R121" s="93"/>
      <c r="S121" s="85"/>
      <c r="U121" s="94"/>
      <c r="V121" s="93"/>
      <c r="W121" s="85"/>
      <c r="Y121" s="94"/>
      <c r="Z121" s="93"/>
      <c r="AA121" s="85"/>
      <c r="AC121" s="94"/>
      <c r="AD121" s="93"/>
      <c r="AE121" s="85"/>
    </row>
    <row r="122" spans="7:31" ht="14.5" customHeight="1" x14ac:dyDescent="0.35">
      <c r="G122" s="85"/>
      <c r="H122" s="87"/>
      <c r="K122" s="85"/>
      <c r="M122" s="94"/>
      <c r="N122" s="93"/>
      <c r="O122" s="85"/>
      <c r="Q122" s="94"/>
      <c r="R122" s="93"/>
      <c r="S122" s="85"/>
      <c r="U122" s="94"/>
      <c r="V122" s="93"/>
      <c r="W122" s="85"/>
      <c r="Y122" s="94"/>
      <c r="Z122" s="93"/>
      <c r="AA122" s="85"/>
      <c r="AC122" s="94"/>
      <c r="AD122" s="93"/>
      <c r="AE122" s="85"/>
    </row>
    <row r="123" spans="7:31" ht="14.5" customHeight="1" x14ac:dyDescent="0.35">
      <c r="G123" s="85"/>
      <c r="H123" s="87"/>
      <c r="K123" s="85"/>
      <c r="M123" s="94"/>
      <c r="N123" s="93"/>
      <c r="O123" s="85"/>
      <c r="Q123" s="94"/>
      <c r="R123" s="93"/>
      <c r="S123" s="85"/>
      <c r="U123" s="94"/>
      <c r="V123" s="93"/>
      <c r="W123" s="85"/>
      <c r="Y123" s="94"/>
      <c r="Z123" s="93"/>
      <c r="AA123" s="85"/>
      <c r="AC123" s="94"/>
      <c r="AD123" s="93"/>
      <c r="AE123" s="85"/>
    </row>
    <row r="124" spans="7:31" ht="14.5" customHeight="1" x14ac:dyDescent="0.35">
      <c r="G124" s="85"/>
      <c r="H124" s="87"/>
      <c r="K124" s="85"/>
      <c r="M124" s="94"/>
      <c r="N124" s="93"/>
      <c r="O124" s="85"/>
      <c r="Q124" s="94"/>
      <c r="R124" s="93"/>
      <c r="S124" s="85"/>
      <c r="U124" s="94"/>
      <c r="V124" s="93"/>
      <c r="W124" s="85"/>
      <c r="Y124" s="94"/>
      <c r="Z124" s="93"/>
      <c r="AA124" s="85"/>
      <c r="AC124" s="94"/>
      <c r="AD124" s="93"/>
      <c r="AE124" s="85"/>
    </row>
    <row r="125" spans="7:31" ht="14.5" customHeight="1" x14ac:dyDescent="0.35">
      <c r="G125" s="85"/>
      <c r="H125" s="87"/>
      <c r="K125" s="85"/>
      <c r="M125" s="94"/>
      <c r="N125" s="93"/>
      <c r="O125" s="85"/>
      <c r="Q125" s="94"/>
      <c r="R125" s="93"/>
      <c r="S125" s="85"/>
      <c r="U125" s="94"/>
      <c r="V125" s="93"/>
      <c r="W125" s="85"/>
      <c r="Y125" s="94"/>
      <c r="Z125" s="93"/>
      <c r="AA125" s="85"/>
      <c r="AC125" s="94"/>
      <c r="AD125" s="93"/>
      <c r="AE125" s="85"/>
    </row>
    <row r="126" spans="7:31" ht="14.5" customHeight="1" x14ac:dyDescent="0.35">
      <c r="G126" s="85"/>
      <c r="H126" s="87"/>
      <c r="K126" s="85"/>
      <c r="M126" s="94"/>
      <c r="N126" s="93"/>
      <c r="O126" s="85"/>
      <c r="Q126" s="94"/>
      <c r="R126" s="93"/>
      <c r="S126" s="85"/>
      <c r="U126" s="94"/>
      <c r="V126" s="93"/>
      <c r="W126" s="85"/>
      <c r="Y126" s="94"/>
      <c r="Z126" s="93"/>
      <c r="AA126" s="85"/>
      <c r="AC126" s="94"/>
      <c r="AD126" s="93"/>
      <c r="AE126" s="85"/>
    </row>
    <row r="127" spans="7:31" ht="14.5" customHeight="1" x14ac:dyDescent="0.35">
      <c r="G127" s="85"/>
      <c r="H127" s="87"/>
      <c r="K127" s="85"/>
      <c r="M127" s="94"/>
      <c r="N127" s="93"/>
      <c r="O127" s="85"/>
      <c r="Q127" s="94"/>
      <c r="R127" s="93"/>
      <c r="S127" s="85"/>
      <c r="U127" s="94"/>
      <c r="V127" s="93"/>
      <c r="W127" s="85"/>
      <c r="Y127" s="94"/>
      <c r="Z127" s="93"/>
      <c r="AA127" s="85"/>
      <c r="AC127" s="94"/>
      <c r="AD127" s="93"/>
      <c r="AE127" s="85"/>
    </row>
    <row r="128" spans="7:31" ht="14.5" customHeight="1" x14ac:dyDescent="0.35">
      <c r="G128" s="85"/>
      <c r="H128" s="87"/>
      <c r="K128" s="85"/>
      <c r="M128" s="94"/>
      <c r="N128" s="93"/>
      <c r="O128" s="85"/>
      <c r="Q128" s="94"/>
      <c r="R128" s="93"/>
      <c r="S128" s="85"/>
      <c r="U128" s="94"/>
      <c r="V128" s="93"/>
      <c r="W128" s="85"/>
      <c r="Y128" s="94"/>
      <c r="Z128" s="93"/>
      <c r="AA128" s="85"/>
      <c r="AC128" s="94"/>
      <c r="AD128" s="93"/>
      <c r="AE128" s="85"/>
    </row>
    <row r="129" spans="7:31" ht="14.5" customHeight="1" x14ac:dyDescent="0.35">
      <c r="G129" s="85"/>
      <c r="H129" s="87"/>
      <c r="K129" s="85"/>
      <c r="M129" s="94"/>
      <c r="N129" s="93"/>
      <c r="O129" s="85"/>
      <c r="Q129" s="94"/>
      <c r="R129" s="93"/>
      <c r="S129" s="85"/>
      <c r="U129" s="94"/>
      <c r="V129" s="93"/>
      <c r="W129" s="85"/>
      <c r="Y129" s="94"/>
      <c r="Z129" s="93"/>
      <c r="AA129" s="85"/>
      <c r="AC129" s="94"/>
      <c r="AD129" s="93"/>
      <c r="AE129" s="85"/>
    </row>
    <row r="130" spans="7:31" ht="14.5" customHeight="1" x14ac:dyDescent="0.35">
      <c r="G130" s="85"/>
      <c r="H130" s="87"/>
      <c r="K130" s="85"/>
      <c r="M130" s="94"/>
      <c r="N130" s="93"/>
      <c r="O130" s="85"/>
      <c r="Q130" s="94"/>
      <c r="R130" s="93"/>
      <c r="S130" s="85"/>
      <c r="U130" s="94"/>
      <c r="V130" s="93"/>
      <c r="W130" s="85"/>
      <c r="Y130" s="94"/>
      <c r="Z130" s="93"/>
      <c r="AA130" s="85"/>
      <c r="AC130" s="94"/>
      <c r="AD130" s="93"/>
      <c r="AE130" s="85"/>
    </row>
    <row r="131" spans="7:31" ht="14.5" customHeight="1" x14ac:dyDescent="0.35">
      <c r="G131" s="85"/>
      <c r="H131" s="87"/>
      <c r="K131" s="85"/>
      <c r="M131" s="94"/>
      <c r="N131" s="93"/>
      <c r="O131" s="85"/>
      <c r="Q131" s="94"/>
      <c r="R131" s="93"/>
      <c r="S131" s="85"/>
      <c r="U131" s="94"/>
      <c r="V131" s="93"/>
      <c r="W131" s="85"/>
      <c r="Y131" s="94"/>
      <c r="Z131" s="93"/>
      <c r="AA131" s="85"/>
      <c r="AC131" s="94"/>
      <c r="AD131" s="93"/>
      <c r="AE131" s="85"/>
    </row>
    <row r="132" spans="7:31" ht="14.5" customHeight="1" x14ac:dyDescent="0.35">
      <c r="G132" s="85"/>
      <c r="H132" s="87"/>
      <c r="K132" s="85"/>
      <c r="M132" s="94"/>
      <c r="N132" s="93"/>
      <c r="O132" s="85"/>
      <c r="Q132" s="94"/>
      <c r="R132" s="93"/>
      <c r="S132" s="85"/>
      <c r="U132" s="94"/>
      <c r="V132" s="93"/>
      <c r="W132" s="85"/>
      <c r="Y132" s="94"/>
      <c r="Z132" s="93"/>
      <c r="AA132" s="85"/>
      <c r="AC132" s="94"/>
      <c r="AD132" s="93"/>
      <c r="AE132" s="85"/>
    </row>
    <row r="133" spans="7:31" ht="14.5" customHeight="1" x14ac:dyDescent="0.35">
      <c r="G133" s="85"/>
      <c r="H133" s="87"/>
      <c r="K133" s="85"/>
      <c r="M133" s="94"/>
      <c r="N133" s="93"/>
      <c r="O133" s="85"/>
      <c r="Q133" s="94"/>
      <c r="R133" s="93"/>
      <c r="S133" s="85"/>
      <c r="U133" s="94"/>
      <c r="V133" s="93"/>
      <c r="W133" s="85"/>
      <c r="Y133" s="94"/>
      <c r="Z133" s="93"/>
      <c r="AA133" s="85"/>
      <c r="AC133" s="94"/>
      <c r="AD133" s="93"/>
      <c r="AE133" s="85"/>
    </row>
    <row r="134" spans="7:31" ht="14.5" customHeight="1" x14ac:dyDescent="0.35">
      <c r="G134" s="85"/>
      <c r="H134" s="87"/>
      <c r="K134" s="85"/>
      <c r="M134" s="94"/>
      <c r="N134" s="93"/>
      <c r="O134" s="85"/>
      <c r="Q134" s="94"/>
      <c r="R134" s="93"/>
      <c r="S134" s="85"/>
      <c r="U134" s="94"/>
      <c r="V134" s="93"/>
      <c r="W134" s="85"/>
      <c r="Y134" s="94"/>
      <c r="Z134" s="93"/>
      <c r="AA134" s="85"/>
      <c r="AC134" s="94"/>
      <c r="AD134" s="93"/>
      <c r="AE134" s="85"/>
    </row>
    <row r="135" spans="7:31" ht="14.5" customHeight="1" x14ac:dyDescent="0.35">
      <c r="G135" s="85"/>
      <c r="H135" s="87"/>
      <c r="K135" s="85"/>
      <c r="M135" s="94"/>
      <c r="N135" s="93"/>
      <c r="O135" s="85"/>
      <c r="Q135" s="94"/>
      <c r="R135" s="93"/>
      <c r="S135" s="85"/>
      <c r="U135" s="94"/>
      <c r="V135" s="93"/>
      <c r="W135" s="85"/>
      <c r="Y135" s="94"/>
      <c r="Z135" s="93"/>
      <c r="AA135" s="85"/>
      <c r="AC135" s="94"/>
      <c r="AD135" s="93"/>
      <c r="AE135" s="85"/>
    </row>
    <row r="136" spans="7:31" ht="14.5" customHeight="1" x14ac:dyDescent="0.35">
      <c r="G136" s="85"/>
      <c r="H136" s="87"/>
      <c r="K136" s="85"/>
      <c r="M136" s="94"/>
      <c r="N136" s="93"/>
      <c r="O136" s="85"/>
      <c r="Q136" s="94"/>
      <c r="R136" s="93"/>
      <c r="S136" s="85"/>
      <c r="U136" s="94"/>
      <c r="V136" s="93"/>
      <c r="W136" s="85"/>
      <c r="Y136" s="94"/>
      <c r="Z136" s="93"/>
      <c r="AA136" s="85"/>
      <c r="AC136" s="94"/>
      <c r="AD136" s="93"/>
      <c r="AE136" s="85"/>
    </row>
    <row r="137" spans="7:31" ht="14.5" customHeight="1" x14ac:dyDescent="0.35">
      <c r="G137" s="85"/>
      <c r="H137" s="87"/>
      <c r="K137" s="85"/>
      <c r="M137" s="94"/>
      <c r="N137" s="93"/>
      <c r="O137" s="85"/>
      <c r="Q137" s="94"/>
      <c r="R137" s="93"/>
      <c r="S137" s="85"/>
      <c r="U137" s="94"/>
      <c r="V137" s="93"/>
      <c r="W137" s="85"/>
      <c r="Y137" s="94"/>
      <c r="Z137" s="93"/>
      <c r="AA137" s="85"/>
      <c r="AC137" s="94"/>
      <c r="AD137" s="93"/>
      <c r="AE137" s="85"/>
    </row>
    <row r="138" spans="7:31" ht="14.5" customHeight="1" x14ac:dyDescent="0.35">
      <c r="G138" s="85"/>
      <c r="H138" s="87"/>
      <c r="K138" s="85"/>
      <c r="M138" s="94"/>
      <c r="N138" s="93"/>
      <c r="O138" s="85"/>
      <c r="Q138" s="94"/>
      <c r="R138" s="93"/>
      <c r="S138" s="85"/>
      <c r="U138" s="94"/>
      <c r="V138" s="93"/>
      <c r="W138" s="85"/>
      <c r="Y138" s="94"/>
      <c r="Z138" s="93"/>
      <c r="AA138" s="85"/>
      <c r="AC138" s="94"/>
      <c r="AD138" s="93"/>
      <c r="AE138" s="85"/>
    </row>
    <row r="139" spans="7:31" ht="14.5" customHeight="1" x14ac:dyDescent="0.35">
      <c r="G139" s="85"/>
      <c r="H139" s="87"/>
      <c r="K139" s="85"/>
      <c r="M139" s="94"/>
      <c r="N139" s="93"/>
      <c r="O139" s="85"/>
      <c r="Q139" s="94"/>
      <c r="R139" s="93"/>
      <c r="S139" s="85"/>
      <c r="U139" s="94"/>
      <c r="V139" s="93"/>
      <c r="W139" s="85"/>
      <c r="Y139" s="94"/>
      <c r="Z139" s="93"/>
      <c r="AA139" s="85"/>
      <c r="AC139" s="94"/>
      <c r="AD139" s="93"/>
      <c r="AE139" s="85"/>
    </row>
    <row r="140" spans="7:31" ht="14.5" customHeight="1" x14ac:dyDescent="0.35">
      <c r="G140" s="85"/>
      <c r="H140" s="87"/>
      <c r="K140" s="85"/>
      <c r="M140" s="94"/>
      <c r="N140" s="93"/>
      <c r="O140" s="85"/>
      <c r="Q140" s="94"/>
      <c r="R140" s="93"/>
      <c r="S140" s="85"/>
      <c r="U140" s="94"/>
      <c r="V140" s="93"/>
      <c r="W140" s="85"/>
      <c r="Y140" s="94"/>
      <c r="Z140" s="93"/>
      <c r="AA140" s="85"/>
      <c r="AC140" s="94"/>
      <c r="AD140" s="93"/>
      <c r="AE140" s="85"/>
    </row>
    <row r="141" spans="7:31" ht="14.5" customHeight="1" x14ac:dyDescent="0.35">
      <c r="G141" s="85"/>
      <c r="H141" s="87"/>
      <c r="K141" s="85"/>
      <c r="M141" s="94"/>
      <c r="N141" s="93"/>
      <c r="O141" s="85"/>
      <c r="Q141" s="94"/>
      <c r="R141" s="93"/>
      <c r="S141" s="85"/>
      <c r="U141" s="94"/>
      <c r="V141" s="93"/>
      <c r="W141" s="85"/>
      <c r="Y141" s="94"/>
      <c r="Z141" s="93"/>
      <c r="AA141" s="85"/>
      <c r="AC141" s="94"/>
      <c r="AD141" s="93"/>
      <c r="AE141" s="85"/>
    </row>
    <row r="142" spans="7:31" ht="14.5" customHeight="1" x14ac:dyDescent="0.35">
      <c r="G142" s="85"/>
      <c r="H142" s="87"/>
      <c r="K142" s="85"/>
      <c r="M142" s="94"/>
      <c r="N142" s="93"/>
      <c r="O142" s="85"/>
      <c r="Q142" s="94"/>
      <c r="R142" s="93"/>
      <c r="S142" s="85"/>
      <c r="U142" s="94"/>
      <c r="V142" s="93"/>
      <c r="W142" s="85"/>
      <c r="Y142" s="94"/>
      <c r="Z142" s="93"/>
      <c r="AA142" s="85"/>
      <c r="AC142" s="94"/>
      <c r="AD142" s="93"/>
      <c r="AE142" s="85"/>
    </row>
    <row r="143" spans="7:31" ht="14.5" customHeight="1" x14ac:dyDescent="0.35">
      <c r="G143" s="85"/>
      <c r="H143" s="87"/>
      <c r="K143" s="85"/>
      <c r="M143" s="94"/>
      <c r="N143" s="93"/>
      <c r="O143" s="85"/>
      <c r="Q143" s="94"/>
      <c r="R143" s="93"/>
      <c r="S143" s="85"/>
      <c r="U143" s="94"/>
      <c r="V143" s="93"/>
      <c r="W143" s="85"/>
      <c r="Y143" s="94"/>
      <c r="Z143" s="93"/>
      <c r="AA143" s="85"/>
      <c r="AC143" s="94"/>
      <c r="AD143" s="93"/>
      <c r="AE143" s="85"/>
    </row>
    <row r="144" spans="7:31" ht="14.5" customHeight="1" x14ac:dyDescent="0.35">
      <c r="G144" s="85"/>
      <c r="H144" s="87"/>
      <c r="K144" s="85"/>
      <c r="M144" s="94"/>
      <c r="N144" s="93"/>
      <c r="O144" s="85"/>
      <c r="Q144" s="94"/>
      <c r="R144" s="93"/>
      <c r="S144" s="85"/>
      <c r="U144" s="94"/>
      <c r="V144" s="93"/>
      <c r="W144" s="85"/>
      <c r="Y144" s="94"/>
      <c r="Z144" s="93"/>
      <c r="AA144" s="85"/>
      <c r="AC144" s="94"/>
      <c r="AD144" s="93"/>
      <c r="AE144" s="85"/>
    </row>
    <row r="145" spans="7:31" ht="14.5" customHeight="1" x14ac:dyDescent="0.35">
      <c r="G145" s="85"/>
      <c r="H145" s="87"/>
      <c r="K145" s="85"/>
      <c r="M145" s="94"/>
      <c r="N145" s="93"/>
      <c r="O145" s="85"/>
      <c r="Q145" s="94"/>
      <c r="R145" s="93"/>
      <c r="S145" s="85"/>
      <c r="U145" s="94"/>
      <c r="V145" s="93"/>
      <c r="W145" s="85"/>
      <c r="Y145" s="94"/>
      <c r="Z145" s="93"/>
      <c r="AA145" s="85"/>
      <c r="AC145" s="94"/>
      <c r="AD145" s="93"/>
      <c r="AE145" s="85"/>
    </row>
    <row r="146" spans="7:31" ht="14.5" customHeight="1" x14ac:dyDescent="0.35">
      <c r="G146" s="85"/>
      <c r="H146" s="87"/>
      <c r="K146" s="85"/>
      <c r="M146" s="94"/>
      <c r="N146" s="93"/>
      <c r="O146" s="85"/>
      <c r="Q146" s="94"/>
      <c r="R146" s="93"/>
      <c r="S146" s="85"/>
      <c r="U146" s="94"/>
      <c r="V146" s="93"/>
      <c r="W146" s="85"/>
      <c r="Y146" s="94"/>
      <c r="Z146" s="93"/>
      <c r="AA146" s="85"/>
      <c r="AC146" s="94"/>
      <c r="AD146" s="93"/>
      <c r="AE146" s="85"/>
    </row>
    <row r="147" spans="7:31" ht="14.5" customHeight="1" x14ac:dyDescent="0.35">
      <c r="G147" s="85"/>
      <c r="H147" s="87"/>
      <c r="K147" s="85"/>
      <c r="M147" s="94"/>
      <c r="N147" s="93"/>
      <c r="O147" s="85"/>
      <c r="Q147" s="94"/>
      <c r="R147" s="93"/>
      <c r="S147" s="85"/>
      <c r="U147" s="94"/>
      <c r="V147" s="93"/>
      <c r="W147" s="85"/>
      <c r="Y147" s="94"/>
      <c r="Z147" s="93"/>
      <c r="AA147" s="85"/>
      <c r="AC147" s="94"/>
      <c r="AD147" s="93"/>
      <c r="AE147" s="85"/>
    </row>
    <row r="148" spans="7:31" ht="14.5" customHeight="1" x14ac:dyDescent="0.35">
      <c r="G148" s="85"/>
      <c r="H148" s="87"/>
      <c r="K148" s="85"/>
      <c r="M148" s="94"/>
      <c r="N148" s="93"/>
      <c r="O148" s="85"/>
      <c r="Q148" s="94"/>
      <c r="R148" s="93"/>
      <c r="S148" s="85"/>
      <c r="U148" s="94"/>
      <c r="V148" s="93"/>
      <c r="W148" s="85"/>
      <c r="Y148" s="94"/>
      <c r="Z148" s="93"/>
      <c r="AA148" s="85"/>
      <c r="AC148" s="94"/>
      <c r="AD148" s="93"/>
      <c r="AE148" s="85"/>
    </row>
    <row r="149" spans="7:31" ht="14.5" customHeight="1" x14ac:dyDescent="0.35">
      <c r="G149" s="85"/>
      <c r="H149" s="87"/>
      <c r="K149" s="85"/>
      <c r="M149" s="94"/>
      <c r="N149" s="93"/>
      <c r="O149" s="85"/>
      <c r="Q149" s="94"/>
      <c r="R149" s="93"/>
      <c r="S149" s="85"/>
      <c r="U149" s="94"/>
      <c r="V149" s="93"/>
      <c r="W149" s="85"/>
      <c r="Y149" s="94"/>
      <c r="Z149" s="93"/>
      <c r="AA149" s="85"/>
      <c r="AC149" s="94"/>
      <c r="AD149" s="93"/>
      <c r="AE149" s="85"/>
    </row>
    <row r="150" spans="7:31" ht="14.5" customHeight="1" x14ac:dyDescent="0.35">
      <c r="G150" s="85"/>
      <c r="H150" s="87"/>
      <c r="K150" s="85"/>
      <c r="M150" s="94"/>
      <c r="N150" s="93"/>
      <c r="O150" s="85"/>
      <c r="Q150" s="94"/>
      <c r="R150" s="93"/>
      <c r="S150" s="85"/>
      <c r="U150" s="94"/>
      <c r="V150" s="93"/>
      <c r="W150" s="85"/>
      <c r="Y150" s="94"/>
      <c r="Z150" s="93"/>
      <c r="AA150" s="85"/>
      <c r="AC150" s="94"/>
      <c r="AD150" s="93"/>
      <c r="AE150" s="85"/>
    </row>
    <row r="151" spans="7:31" ht="14.5" customHeight="1" x14ac:dyDescent="0.35">
      <c r="G151" s="85"/>
      <c r="H151" s="87"/>
      <c r="K151" s="85"/>
      <c r="M151" s="94"/>
      <c r="N151" s="93"/>
      <c r="O151" s="85"/>
      <c r="Q151" s="94"/>
      <c r="R151" s="93"/>
      <c r="S151" s="85"/>
      <c r="U151" s="94"/>
      <c r="V151" s="93"/>
      <c r="W151" s="85"/>
      <c r="Y151" s="94"/>
      <c r="Z151" s="93"/>
      <c r="AA151" s="85"/>
      <c r="AC151" s="94"/>
      <c r="AD151" s="93"/>
      <c r="AE151" s="85"/>
    </row>
    <row r="152" spans="7:31" ht="14.5" customHeight="1" x14ac:dyDescent="0.35">
      <c r="G152" s="85"/>
      <c r="H152" s="87"/>
      <c r="K152" s="85"/>
      <c r="M152" s="94"/>
      <c r="N152" s="93"/>
      <c r="O152" s="85"/>
      <c r="Q152" s="94"/>
      <c r="R152" s="93"/>
      <c r="S152" s="85"/>
      <c r="U152" s="94"/>
      <c r="V152" s="93"/>
      <c r="W152" s="85"/>
      <c r="Y152" s="94"/>
      <c r="Z152" s="93"/>
      <c r="AA152" s="85"/>
      <c r="AC152" s="94"/>
      <c r="AD152" s="93"/>
      <c r="AE152" s="85"/>
    </row>
    <row r="153" spans="7:31" ht="14.5" customHeight="1" x14ac:dyDescent="0.35">
      <c r="G153" s="85"/>
      <c r="H153" s="87"/>
      <c r="K153" s="85"/>
      <c r="M153" s="94"/>
      <c r="N153" s="93"/>
      <c r="O153" s="85"/>
      <c r="Q153" s="94"/>
      <c r="R153" s="93"/>
      <c r="S153" s="85"/>
      <c r="U153" s="94"/>
      <c r="V153" s="93"/>
      <c r="W153" s="85"/>
      <c r="Y153" s="94"/>
      <c r="Z153" s="93"/>
      <c r="AA153" s="85"/>
      <c r="AC153" s="94"/>
      <c r="AD153" s="93"/>
      <c r="AE153" s="85"/>
    </row>
    <row r="154" spans="7:31" ht="14.5" customHeight="1" x14ac:dyDescent="0.35">
      <c r="G154" s="85"/>
      <c r="H154" s="87"/>
      <c r="K154" s="85"/>
      <c r="M154" s="94"/>
      <c r="N154" s="93"/>
      <c r="O154" s="85"/>
      <c r="Q154" s="94"/>
      <c r="R154" s="93"/>
      <c r="S154" s="85"/>
      <c r="U154" s="94"/>
      <c r="V154" s="93"/>
      <c r="W154" s="85"/>
      <c r="Y154" s="94"/>
      <c r="Z154" s="93"/>
      <c r="AA154" s="85"/>
      <c r="AC154" s="94"/>
      <c r="AD154" s="93"/>
      <c r="AE154" s="85"/>
    </row>
    <row r="155" spans="7:31" ht="14.5" customHeight="1" x14ac:dyDescent="0.35">
      <c r="G155" s="85"/>
      <c r="H155" s="87"/>
      <c r="K155" s="85"/>
      <c r="M155" s="94"/>
      <c r="N155" s="93"/>
      <c r="O155" s="85"/>
      <c r="Q155" s="94"/>
      <c r="R155" s="93"/>
      <c r="S155" s="85"/>
      <c r="U155" s="94"/>
      <c r="V155" s="93"/>
      <c r="W155" s="85"/>
      <c r="Y155" s="94"/>
      <c r="Z155" s="93"/>
      <c r="AA155" s="85"/>
      <c r="AC155" s="94"/>
      <c r="AD155" s="93"/>
      <c r="AE155" s="85"/>
    </row>
    <row r="156" spans="7:31" ht="14.5" customHeight="1" x14ac:dyDescent="0.35">
      <c r="G156" s="85"/>
      <c r="H156" s="87"/>
      <c r="K156" s="85"/>
      <c r="M156" s="94"/>
      <c r="N156" s="93"/>
      <c r="O156" s="85"/>
      <c r="Q156" s="94"/>
      <c r="R156" s="93"/>
      <c r="S156" s="85"/>
      <c r="U156" s="94"/>
      <c r="V156" s="93"/>
      <c r="W156" s="85"/>
      <c r="Y156" s="94"/>
      <c r="Z156" s="93"/>
      <c r="AA156" s="85"/>
      <c r="AC156" s="94"/>
      <c r="AD156" s="93"/>
      <c r="AE156" s="85"/>
    </row>
    <row r="157" spans="7:31" ht="14.5" customHeight="1" x14ac:dyDescent="0.35">
      <c r="G157" s="85"/>
      <c r="H157" s="87"/>
      <c r="K157" s="85"/>
      <c r="M157" s="94"/>
      <c r="N157" s="93"/>
      <c r="O157" s="85"/>
      <c r="Q157" s="94"/>
      <c r="R157" s="93"/>
      <c r="S157" s="85"/>
      <c r="U157" s="94"/>
      <c r="V157" s="93"/>
      <c r="W157" s="85"/>
      <c r="Y157" s="94"/>
      <c r="Z157" s="93"/>
      <c r="AA157" s="85"/>
      <c r="AC157" s="94"/>
      <c r="AD157" s="93"/>
      <c r="AE157" s="85"/>
    </row>
    <row r="158" spans="7:31" ht="14.5" customHeight="1" x14ac:dyDescent="0.35">
      <c r="G158" s="85"/>
      <c r="H158" s="87"/>
      <c r="K158" s="85"/>
      <c r="M158" s="94"/>
      <c r="N158" s="93"/>
      <c r="O158" s="85"/>
      <c r="Q158" s="94"/>
      <c r="R158" s="93"/>
      <c r="S158" s="85"/>
      <c r="U158" s="94"/>
      <c r="V158" s="93"/>
      <c r="W158" s="85"/>
      <c r="Y158" s="94"/>
      <c r="Z158" s="93"/>
      <c r="AA158" s="85"/>
      <c r="AC158" s="94"/>
      <c r="AD158" s="93"/>
      <c r="AE158" s="85"/>
    </row>
    <row r="159" spans="7:31" ht="14.5" customHeight="1" x14ac:dyDescent="0.35">
      <c r="G159" s="85"/>
      <c r="H159" s="87"/>
      <c r="K159" s="85"/>
      <c r="M159" s="94"/>
      <c r="N159" s="93"/>
      <c r="O159" s="85"/>
      <c r="Q159" s="94"/>
      <c r="R159" s="93"/>
      <c r="S159" s="85"/>
      <c r="U159" s="94"/>
      <c r="V159" s="93"/>
      <c r="W159" s="85"/>
      <c r="Y159" s="94"/>
      <c r="Z159" s="93"/>
      <c r="AA159" s="85"/>
      <c r="AC159" s="94"/>
      <c r="AD159" s="93"/>
      <c r="AE159" s="85"/>
    </row>
    <row r="160" spans="7:31" ht="14.5" customHeight="1" x14ac:dyDescent="0.35">
      <c r="G160" s="85"/>
      <c r="H160" s="87"/>
      <c r="K160" s="85"/>
      <c r="M160" s="94"/>
      <c r="N160" s="93"/>
      <c r="O160" s="85"/>
      <c r="Q160" s="94"/>
      <c r="R160" s="93"/>
      <c r="S160" s="85"/>
      <c r="U160" s="94"/>
      <c r="V160" s="93"/>
      <c r="W160" s="85"/>
      <c r="Y160" s="94"/>
      <c r="Z160" s="93"/>
      <c r="AA160" s="85"/>
      <c r="AC160" s="94"/>
      <c r="AD160" s="93"/>
      <c r="AE160" s="85"/>
    </row>
    <row r="161" spans="7:31" ht="14.5" customHeight="1" x14ac:dyDescent="0.35">
      <c r="G161" s="85"/>
      <c r="H161" s="87"/>
      <c r="K161" s="85"/>
      <c r="M161" s="94"/>
      <c r="N161" s="93"/>
      <c r="O161" s="85"/>
      <c r="Q161" s="94"/>
      <c r="R161" s="93"/>
      <c r="S161" s="85"/>
      <c r="U161" s="94"/>
      <c r="V161" s="93"/>
      <c r="W161" s="85"/>
      <c r="Y161" s="94"/>
      <c r="Z161" s="93"/>
      <c r="AA161" s="85"/>
      <c r="AC161" s="94"/>
      <c r="AD161" s="93"/>
      <c r="AE161" s="85"/>
    </row>
    <row r="162" spans="7:31" ht="14.5" customHeight="1" x14ac:dyDescent="0.35">
      <c r="G162" s="85"/>
      <c r="H162" s="87"/>
      <c r="K162" s="85"/>
      <c r="M162" s="94"/>
      <c r="N162" s="93"/>
      <c r="O162" s="85"/>
      <c r="Q162" s="94"/>
      <c r="R162" s="93"/>
      <c r="S162" s="85"/>
      <c r="U162" s="94"/>
      <c r="V162" s="93"/>
      <c r="W162" s="85"/>
      <c r="Y162" s="94"/>
      <c r="Z162" s="93"/>
      <c r="AA162" s="85"/>
      <c r="AC162" s="94"/>
      <c r="AD162" s="93"/>
      <c r="AE162" s="85"/>
    </row>
    <row r="163" spans="7:31" ht="14.5" customHeight="1" x14ac:dyDescent="0.35">
      <c r="G163" s="85"/>
      <c r="H163" s="87"/>
      <c r="K163" s="85"/>
      <c r="M163" s="94"/>
      <c r="N163" s="93"/>
      <c r="O163" s="85"/>
      <c r="Q163" s="94"/>
      <c r="R163" s="93"/>
      <c r="S163" s="85"/>
      <c r="U163" s="94"/>
      <c r="V163" s="93"/>
      <c r="W163" s="85"/>
      <c r="Y163" s="94"/>
      <c r="Z163" s="93"/>
      <c r="AA163" s="85"/>
      <c r="AC163" s="94"/>
      <c r="AD163" s="93"/>
      <c r="AE163" s="85"/>
    </row>
    <row r="164" spans="7:31" ht="14.5" customHeight="1" x14ac:dyDescent="0.35">
      <c r="G164" s="85"/>
      <c r="H164" s="87"/>
      <c r="K164" s="85"/>
      <c r="M164" s="94"/>
      <c r="N164" s="93"/>
      <c r="O164" s="85"/>
      <c r="Q164" s="94"/>
      <c r="R164" s="93"/>
      <c r="S164" s="85"/>
      <c r="U164" s="94"/>
      <c r="V164" s="93"/>
      <c r="W164" s="85"/>
      <c r="Y164" s="94"/>
      <c r="Z164" s="93"/>
      <c r="AA164" s="85"/>
      <c r="AC164" s="94"/>
      <c r="AD164" s="93"/>
      <c r="AE164" s="85"/>
    </row>
    <row r="165" spans="7:31" ht="14.5" customHeight="1" x14ac:dyDescent="0.35">
      <c r="G165" s="85"/>
      <c r="H165" s="87"/>
      <c r="K165" s="85"/>
      <c r="M165" s="94"/>
      <c r="N165" s="93"/>
      <c r="O165" s="85"/>
      <c r="Q165" s="94"/>
      <c r="R165" s="93"/>
      <c r="S165" s="85"/>
      <c r="U165" s="94"/>
      <c r="V165" s="93"/>
      <c r="W165" s="85"/>
      <c r="Y165" s="94"/>
      <c r="Z165" s="93"/>
      <c r="AA165" s="85"/>
      <c r="AC165" s="94"/>
      <c r="AD165" s="93"/>
      <c r="AE165" s="85"/>
    </row>
    <row r="166" spans="7:31" ht="14.5" customHeight="1" x14ac:dyDescent="0.35">
      <c r="G166" s="85"/>
      <c r="H166" s="87"/>
      <c r="K166" s="85"/>
      <c r="M166" s="94"/>
      <c r="N166" s="93"/>
      <c r="O166" s="85"/>
      <c r="Q166" s="94"/>
      <c r="R166" s="93"/>
      <c r="S166" s="85"/>
      <c r="U166" s="94"/>
      <c r="V166" s="93"/>
      <c r="W166" s="85"/>
      <c r="Y166" s="94"/>
      <c r="Z166" s="93"/>
      <c r="AA166" s="85"/>
      <c r="AC166" s="94"/>
      <c r="AD166" s="93"/>
      <c r="AE166" s="85"/>
    </row>
    <row r="167" spans="7:31" ht="14.5" customHeight="1" x14ac:dyDescent="0.35">
      <c r="G167" s="85"/>
      <c r="H167" s="87"/>
      <c r="K167" s="85"/>
      <c r="M167" s="94"/>
      <c r="N167" s="93"/>
      <c r="O167" s="85"/>
      <c r="Q167" s="94"/>
      <c r="R167" s="93"/>
      <c r="S167" s="85"/>
      <c r="U167" s="94"/>
      <c r="V167" s="93"/>
      <c r="W167" s="85"/>
      <c r="Y167" s="94"/>
      <c r="Z167" s="93"/>
      <c r="AA167" s="85"/>
      <c r="AC167" s="94"/>
      <c r="AD167" s="93"/>
      <c r="AE167" s="85"/>
    </row>
    <row r="168" spans="7:31" ht="14.5" customHeight="1" x14ac:dyDescent="0.35">
      <c r="G168" s="85"/>
      <c r="H168" s="87"/>
      <c r="K168" s="85"/>
      <c r="M168" s="94"/>
      <c r="N168" s="93"/>
      <c r="O168" s="85"/>
      <c r="Q168" s="94"/>
      <c r="R168" s="93"/>
      <c r="S168" s="85"/>
      <c r="U168" s="94"/>
      <c r="V168" s="93"/>
      <c r="W168" s="85"/>
      <c r="Y168" s="94"/>
      <c r="Z168" s="93"/>
      <c r="AA168" s="85"/>
      <c r="AC168" s="94"/>
      <c r="AD168" s="93"/>
      <c r="AE168" s="85"/>
    </row>
    <row r="169" spans="7:31" ht="14.5" customHeight="1" x14ac:dyDescent="0.35">
      <c r="G169" s="85"/>
      <c r="H169" s="87"/>
      <c r="K169" s="85"/>
      <c r="M169" s="94"/>
      <c r="N169" s="93"/>
      <c r="O169" s="85"/>
      <c r="Q169" s="94"/>
      <c r="R169" s="93"/>
      <c r="S169" s="85"/>
      <c r="U169" s="94"/>
      <c r="V169" s="93"/>
      <c r="W169" s="85"/>
      <c r="Y169" s="94"/>
      <c r="Z169" s="93"/>
      <c r="AA169" s="85"/>
      <c r="AC169" s="94"/>
      <c r="AD169" s="93"/>
      <c r="AE169" s="85"/>
    </row>
    <row r="170" spans="7:31" ht="14.5" customHeight="1" x14ac:dyDescent="0.35">
      <c r="G170" s="85"/>
      <c r="H170" s="87"/>
      <c r="K170" s="85"/>
      <c r="M170" s="94"/>
      <c r="N170" s="93"/>
      <c r="O170" s="85"/>
      <c r="Q170" s="94"/>
      <c r="R170" s="93"/>
      <c r="S170" s="85"/>
      <c r="U170" s="94"/>
      <c r="V170" s="93"/>
      <c r="W170" s="85"/>
      <c r="Y170" s="94"/>
      <c r="Z170" s="93"/>
      <c r="AA170" s="85"/>
      <c r="AC170" s="94"/>
      <c r="AD170" s="93"/>
      <c r="AE170" s="85"/>
    </row>
    <row r="171" spans="7:31" ht="14.5" customHeight="1" x14ac:dyDescent="0.35">
      <c r="G171" s="85"/>
      <c r="H171" s="87"/>
      <c r="K171" s="85"/>
      <c r="M171" s="94"/>
      <c r="N171" s="93"/>
      <c r="O171" s="85"/>
      <c r="Q171" s="94"/>
      <c r="R171" s="93"/>
      <c r="S171" s="85"/>
      <c r="U171" s="94"/>
      <c r="V171" s="93"/>
      <c r="W171" s="85"/>
      <c r="Y171" s="94"/>
      <c r="Z171" s="93"/>
      <c r="AA171" s="85"/>
      <c r="AC171" s="94"/>
      <c r="AD171" s="93"/>
      <c r="AE171" s="85"/>
    </row>
    <row r="172" spans="7:31" ht="14.5" customHeight="1" x14ac:dyDescent="0.35">
      <c r="G172" s="85"/>
      <c r="H172" s="87"/>
      <c r="K172" s="85"/>
      <c r="M172" s="94"/>
      <c r="N172" s="93"/>
      <c r="O172" s="85"/>
      <c r="Q172" s="94"/>
      <c r="R172" s="93"/>
      <c r="S172" s="85"/>
      <c r="U172" s="94"/>
      <c r="V172" s="93"/>
      <c r="W172" s="85"/>
      <c r="Y172" s="94"/>
      <c r="Z172" s="93"/>
      <c r="AA172" s="85"/>
      <c r="AC172" s="94"/>
      <c r="AD172" s="93"/>
      <c r="AE172" s="85"/>
    </row>
    <row r="173" spans="7:31" ht="14.5" customHeight="1" x14ac:dyDescent="0.35">
      <c r="G173" s="85"/>
      <c r="H173" s="87"/>
      <c r="K173" s="85"/>
      <c r="M173" s="94"/>
      <c r="N173" s="93"/>
      <c r="O173" s="85"/>
      <c r="Q173" s="94"/>
      <c r="R173" s="93"/>
      <c r="S173" s="85"/>
      <c r="U173" s="94"/>
      <c r="V173" s="93"/>
      <c r="W173" s="85"/>
      <c r="Y173" s="94"/>
      <c r="Z173" s="93"/>
      <c r="AA173" s="85"/>
      <c r="AC173" s="94"/>
      <c r="AD173" s="93"/>
      <c r="AE173" s="85"/>
    </row>
    <row r="174" spans="7:31" ht="14.5" customHeight="1" x14ac:dyDescent="0.35">
      <c r="G174" s="85"/>
      <c r="H174" s="87"/>
      <c r="K174" s="85"/>
      <c r="M174" s="94"/>
      <c r="N174" s="93"/>
      <c r="O174" s="85"/>
      <c r="Q174" s="94"/>
      <c r="R174" s="93"/>
      <c r="S174" s="85"/>
      <c r="U174" s="94"/>
      <c r="V174" s="93"/>
      <c r="W174" s="85"/>
      <c r="Y174" s="94"/>
      <c r="Z174" s="93"/>
      <c r="AA174" s="85"/>
      <c r="AC174" s="94"/>
      <c r="AD174" s="93"/>
      <c r="AE174" s="85"/>
    </row>
    <row r="175" spans="7:31" ht="14.5" customHeight="1" x14ac:dyDescent="0.35">
      <c r="G175" s="85"/>
      <c r="H175" s="87"/>
      <c r="K175" s="85"/>
      <c r="M175" s="94"/>
      <c r="N175" s="93"/>
      <c r="O175" s="85"/>
      <c r="Q175" s="94"/>
      <c r="R175" s="93"/>
      <c r="S175" s="85"/>
      <c r="U175" s="94"/>
      <c r="V175" s="93"/>
      <c r="W175" s="85"/>
      <c r="Y175" s="94"/>
      <c r="Z175" s="93"/>
      <c r="AA175" s="85"/>
      <c r="AC175" s="94"/>
      <c r="AD175" s="93"/>
      <c r="AE175" s="85"/>
    </row>
    <row r="176" spans="7:31" ht="14.5" customHeight="1" x14ac:dyDescent="0.35">
      <c r="G176" s="85"/>
      <c r="H176" s="87"/>
      <c r="K176" s="85"/>
      <c r="M176" s="94"/>
      <c r="N176" s="93"/>
      <c r="O176" s="85"/>
      <c r="Q176" s="94"/>
      <c r="R176" s="93"/>
      <c r="S176" s="85"/>
      <c r="U176" s="94"/>
      <c r="V176" s="93"/>
      <c r="W176" s="85"/>
      <c r="Y176" s="94"/>
      <c r="Z176" s="93"/>
      <c r="AA176" s="85"/>
      <c r="AC176" s="94"/>
      <c r="AD176" s="93"/>
      <c r="AE176" s="85"/>
    </row>
    <row r="177" spans="7:31" ht="14.5" customHeight="1" x14ac:dyDescent="0.35">
      <c r="G177" s="85"/>
      <c r="H177" s="87"/>
      <c r="K177" s="85"/>
      <c r="M177" s="94"/>
      <c r="N177" s="93"/>
      <c r="O177" s="85"/>
      <c r="Q177" s="94"/>
      <c r="R177" s="93"/>
      <c r="S177" s="85"/>
      <c r="U177" s="94"/>
      <c r="V177" s="93"/>
      <c r="W177" s="85"/>
      <c r="Y177" s="94"/>
      <c r="Z177" s="93"/>
      <c r="AA177" s="85"/>
      <c r="AC177" s="94"/>
      <c r="AD177" s="93"/>
      <c r="AE177" s="85"/>
    </row>
    <row r="178" spans="7:31" ht="14.5" customHeight="1" x14ac:dyDescent="0.35">
      <c r="G178" s="85"/>
      <c r="H178" s="87"/>
      <c r="K178" s="85"/>
      <c r="M178" s="94"/>
      <c r="N178" s="93"/>
      <c r="O178" s="85"/>
      <c r="Q178" s="94"/>
      <c r="R178" s="93"/>
      <c r="S178" s="85"/>
      <c r="U178" s="94"/>
      <c r="V178" s="93"/>
      <c r="W178" s="85"/>
      <c r="Y178" s="94"/>
      <c r="Z178" s="93"/>
      <c r="AA178" s="85"/>
      <c r="AC178" s="94"/>
      <c r="AD178" s="93"/>
      <c r="AE178" s="85"/>
    </row>
    <row r="179" spans="7:31" ht="14.5" customHeight="1" x14ac:dyDescent="0.35">
      <c r="G179" s="85"/>
      <c r="H179" s="87"/>
      <c r="K179" s="85"/>
      <c r="M179" s="94"/>
      <c r="N179" s="93"/>
      <c r="O179" s="85"/>
      <c r="Q179" s="94"/>
      <c r="R179" s="93"/>
      <c r="S179" s="85"/>
      <c r="U179" s="94"/>
      <c r="V179" s="93"/>
      <c r="W179" s="85"/>
      <c r="Y179" s="94"/>
      <c r="Z179" s="93"/>
      <c r="AA179" s="85"/>
      <c r="AC179" s="94"/>
      <c r="AD179" s="93"/>
      <c r="AE179" s="85"/>
    </row>
    <row r="180" spans="7:31" ht="14.5" customHeight="1" x14ac:dyDescent="0.35">
      <c r="G180" s="85"/>
      <c r="H180" s="87"/>
      <c r="K180" s="85"/>
      <c r="M180" s="94"/>
      <c r="N180" s="93"/>
      <c r="O180" s="85"/>
      <c r="Q180" s="94"/>
      <c r="R180" s="93"/>
      <c r="S180" s="85"/>
      <c r="U180" s="94"/>
      <c r="V180" s="93"/>
      <c r="W180" s="85"/>
      <c r="Y180" s="94"/>
      <c r="Z180" s="93"/>
      <c r="AA180" s="85"/>
      <c r="AC180" s="94"/>
      <c r="AD180" s="93"/>
      <c r="AE180" s="85"/>
    </row>
    <row r="181" spans="7:31" ht="14.5" customHeight="1" x14ac:dyDescent="0.35">
      <c r="G181" s="85"/>
      <c r="H181" s="87"/>
      <c r="K181" s="85"/>
      <c r="M181" s="94"/>
      <c r="N181" s="93"/>
      <c r="O181" s="85"/>
      <c r="Q181" s="94"/>
      <c r="R181" s="93"/>
      <c r="S181" s="85"/>
      <c r="U181" s="94"/>
      <c r="V181" s="93"/>
      <c r="W181" s="85"/>
      <c r="Y181" s="94"/>
      <c r="Z181" s="93"/>
      <c r="AA181" s="85"/>
      <c r="AC181" s="94"/>
      <c r="AD181" s="93"/>
      <c r="AE181" s="85"/>
    </row>
    <row r="182" spans="7:31" ht="14.5" customHeight="1" x14ac:dyDescent="0.35">
      <c r="G182" s="85"/>
      <c r="H182" s="87"/>
      <c r="K182" s="85"/>
      <c r="M182" s="94"/>
      <c r="N182" s="93"/>
      <c r="O182" s="85"/>
      <c r="Q182" s="94"/>
      <c r="R182" s="93"/>
      <c r="S182" s="85"/>
      <c r="U182" s="94"/>
      <c r="V182" s="93"/>
      <c r="W182" s="85"/>
      <c r="Y182" s="94"/>
      <c r="Z182" s="93"/>
      <c r="AA182" s="85"/>
      <c r="AC182" s="94"/>
      <c r="AD182" s="93"/>
      <c r="AE182" s="85"/>
    </row>
    <row r="183" spans="7:31" ht="14.5" customHeight="1" x14ac:dyDescent="0.35">
      <c r="G183" s="85"/>
      <c r="H183" s="87"/>
      <c r="K183" s="85"/>
      <c r="M183" s="94"/>
      <c r="N183" s="93"/>
      <c r="O183" s="85"/>
      <c r="Q183" s="94"/>
      <c r="R183" s="93"/>
      <c r="S183" s="85"/>
      <c r="U183" s="94"/>
      <c r="V183" s="93"/>
      <c r="W183" s="85"/>
      <c r="Y183" s="94"/>
      <c r="Z183" s="93"/>
      <c r="AA183" s="85"/>
      <c r="AC183" s="94"/>
      <c r="AD183" s="93"/>
      <c r="AE183" s="85"/>
    </row>
    <row r="184" spans="7:31" ht="14.5" customHeight="1" x14ac:dyDescent="0.35">
      <c r="G184" s="85"/>
      <c r="H184" s="87"/>
      <c r="K184" s="85"/>
      <c r="M184" s="94"/>
      <c r="N184" s="93"/>
      <c r="O184" s="85"/>
      <c r="Q184" s="94"/>
      <c r="R184" s="93"/>
      <c r="S184" s="85"/>
      <c r="U184" s="94"/>
      <c r="V184" s="93"/>
      <c r="W184" s="85"/>
      <c r="Y184" s="94"/>
      <c r="Z184" s="93"/>
      <c r="AA184" s="85"/>
      <c r="AC184" s="94"/>
      <c r="AD184" s="93"/>
      <c r="AE184" s="85"/>
    </row>
    <row r="185" spans="7:31" ht="14.5" customHeight="1" x14ac:dyDescent="0.35">
      <c r="G185" s="85"/>
      <c r="H185" s="87"/>
      <c r="K185" s="85"/>
      <c r="M185" s="94"/>
      <c r="N185" s="93"/>
      <c r="O185" s="85"/>
      <c r="Q185" s="94"/>
      <c r="R185" s="93"/>
      <c r="S185" s="85"/>
      <c r="U185" s="94"/>
      <c r="V185" s="93"/>
      <c r="W185" s="85"/>
      <c r="Y185" s="94"/>
      <c r="Z185" s="93"/>
      <c r="AA185" s="85"/>
      <c r="AC185" s="94"/>
      <c r="AD185" s="93"/>
      <c r="AE185" s="85"/>
    </row>
    <row r="186" spans="7:31" ht="14.5" customHeight="1" x14ac:dyDescent="0.35">
      <c r="G186" s="85"/>
      <c r="H186" s="87"/>
      <c r="K186" s="85"/>
      <c r="M186" s="94"/>
      <c r="N186" s="93"/>
      <c r="O186" s="85"/>
      <c r="Q186" s="94"/>
      <c r="R186" s="93"/>
      <c r="S186" s="85"/>
      <c r="U186" s="94"/>
      <c r="V186" s="93"/>
      <c r="W186" s="85"/>
      <c r="Y186" s="94"/>
      <c r="Z186" s="93"/>
      <c r="AA186" s="85"/>
      <c r="AC186" s="94"/>
      <c r="AD186" s="93"/>
      <c r="AE186" s="85"/>
    </row>
    <row r="187" spans="7:31" ht="14.5" customHeight="1" x14ac:dyDescent="0.35">
      <c r="G187" s="85"/>
      <c r="H187" s="87"/>
      <c r="K187" s="85"/>
      <c r="M187" s="94"/>
      <c r="N187" s="93"/>
      <c r="O187" s="85"/>
      <c r="Q187" s="94"/>
      <c r="R187" s="93"/>
      <c r="S187" s="85"/>
      <c r="U187" s="94"/>
      <c r="V187" s="93"/>
      <c r="W187" s="85"/>
      <c r="Y187" s="94"/>
      <c r="Z187" s="93"/>
      <c r="AA187" s="85"/>
      <c r="AC187" s="94"/>
      <c r="AD187" s="93"/>
      <c r="AE187" s="85"/>
    </row>
    <row r="188" spans="7:31" ht="14.5" customHeight="1" x14ac:dyDescent="0.35">
      <c r="G188" s="85"/>
      <c r="H188" s="87"/>
      <c r="K188" s="85"/>
      <c r="M188" s="94"/>
      <c r="N188" s="93"/>
      <c r="O188" s="85"/>
      <c r="Q188" s="94"/>
      <c r="R188" s="93"/>
      <c r="S188" s="85"/>
      <c r="U188" s="94"/>
      <c r="V188" s="93"/>
      <c r="W188" s="85"/>
      <c r="Y188" s="94"/>
      <c r="Z188" s="93"/>
      <c r="AA188" s="85"/>
      <c r="AC188" s="94"/>
      <c r="AD188" s="93"/>
      <c r="AE188" s="85"/>
    </row>
    <row r="189" spans="7:31" ht="14.5" customHeight="1" x14ac:dyDescent="0.35">
      <c r="G189" s="85"/>
      <c r="H189" s="87"/>
      <c r="K189" s="85"/>
      <c r="M189" s="94"/>
      <c r="N189" s="93"/>
      <c r="O189" s="85"/>
      <c r="Q189" s="94"/>
      <c r="R189" s="93"/>
      <c r="S189" s="85"/>
      <c r="U189" s="94"/>
      <c r="V189" s="93"/>
      <c r="W189" s="85"/>
      <c r="Y189" s="94"/>
      <c r="Z189" s="93"/>
      <c r="AA189" s="85"/>
      <c r="AC189" s="94"/>
      <c r="AD189" s="93"/>
      <c r="AE189" s="85"/>
    </row>
    <row r="190" spans="7:31" ht="14.5" customHeight="1" x14ac:dyDescent="0.35">
      <c r="G190" s="85"/>
      <c r="H190" s="87"/>
      <c r="K190" s="85"/>
      <c r="M190" s="94"/>
      <c r="N190" s="93"/>
      <c r="O190" s="85"/>
      <c r="Q190" s="94"/>
      <c r="R190" s="93"/>
      <c r="S190" s="85"/>
      <c r="U190" s="94"/>
      <c r="V190" s="93"/>
      <c r="W190" s="85"/>
      <c r="Y190" s="94"/>
      <c r="Z190" s="93"/>
      <c r="AA190" s="85"/>
      <c r="AC190" s="94"/>
      <c r="AD190" s="93"/>
      <c r="AE190" s="85"/>
    </row>
    <row r="191" spans="7:31" ht="14.5" customHeight="1" x14ac:dyDescent="0.35">
      <c r="G191" s="85"/>
      <c r="H191" s="87"/>
      <c r="K191" s="85"/>
      <c r="M191" s="94"/>
      <c r="N191" s="93"/>
      <c r="O191" s="85"/>
      <c r="Q191" s="94"/>
      <c r="R191" s="93"/>
      <c r="S191" s="85"/>
      <c r="U191" s="94"/>
      <c r="V191" s="93"/>
      <c r="W191" s="85"/>
      <c r="Y191" s="94"/>
      <c r="Z191" s="93"/>
      <c r="AA191" s="85"/>
      <c r="AC191" s="94"/>
      <c r="AD191" s="93"/>
      <c r="AE191" s="85"/>
    </row>
    <row r="192" spans="7:31" ht="14.5" customHeight="1" x14ac:dyDescent="0.35">
      <c r="G192" s="85"/>
      <c r="H192" s="87"/>
      <c r="K192" s="85"/>
      <c r="M192" s="94"/>
      <c r="N192" s="93"/>
      <c r="O192" s="85"/>
      <c r="Q192" s="94"/>
      <c r="R192" s="93"/>
      <c r="S192" s="85"/>
      <c r="U192" s="94"/>
      <c r="V192" s="93"/>
      <c r="W192" s="85"/>
      <c r="Y192" s="94"/>
      <c r="Z192" s="93"/>
      <c r="AA192" s="85"/>
      <c r="AC192" s="94"/>
      <c r="AD192" s="93"/>
      <c r="AE192" s="85"/>
    </row>
    <row r="193" spans="7:31" ht="14.5" customHeight="1" x14ac:dyDescent="0.35">
      <c r="G193" s="85"/>
      <c r="H193" s="87"/>
      <c r="K193" s="85"/>
      <c r="M193" s="94"/>
      <c r="N193" s="93"/>
      <c r="O193" s="85"/>
      <c r="Q193" s="94"/>
      <c r="R193" s="93"/>
      <c r="S193" s="85"/>
      <c r="U193" s="94"/>
      <c r="V193" s="93"/>
      <c r="W193" s="85"/>
      <c r="Y193" s="94"/>
      <c r="Z193" s="93"/>
      <c r="AA193" s="85"/>
      <c r="AC193" s="94"/>
      <c r="AD193" s="93"/>
      <c r="AE193" s="85"/>
    </row>
    <row r="194" spans="7:31" ht="14.5" customHeight="1" x14ac:dyDescent="0.35">
      <c r="G194" s="85"/>
      <c r="H194" s="87"/>
      <c r="K194" s="85"/>
      <c r="M194" s="94"/>
      <c r="N194" s="93"/>
      <c r="O194" s="85"/>
      <c r="Q194" s="94"/>
      <c r="R194" s="93"/>
      <c r="S194" s="85"/>
      <c r="U194" s="94"/>
      <c r="V194" s="93"/>
      <c r="W194" s="85"/>
      <c r="Y194" s="94"/>
      <c r="Z194" s="93"/>
      <c r="AA194" s="85"/>
      <c r="AC194" s="94"/>
      <c r="AD194" s="93"/>
      <c r="AE194" s="85"/>
    </row>
    <row r="195" spans="7:31" ht="14.5" customHeight="1" x14ac:dyDescent="0.35">
      <c r="G195" s="85"/>
      <c r="H195" s="87"/>
      <c r="K195" s="85"/>
      <c r="M195" s="94"/>
      <c r="N195" s="93"/>
      <c r="O195" s="85"/>
      <c r="Q195" s="94"/>
      <c r="R195" s="93"/>
      <c r="S195" s="85"/>
      <c r="U195" s="94"/>
      <c r="V195" s="93"/>
      <c r="W195" s="85"/>
      <c r="Y195" s="94"/>
      <c r="Z195" s="93"/>
      <c r="AA195" s="85"/>
      <c r="AC195" s="94"/>
      <c r="AD195" s="93"/>
      <c r="AE195" s="85"/>
    </row>
    <row r="196" spans="7:31" ht="14.5" customHeight="1" x14ac:dyDescent="0.35">
      <c r="G196" s="85"/>
      <c r="H196" s="87"/>
      <c r="K196" s="85"/>
      <c r="M196" s="94"/>
      <c r="N196" s="93"/>
      <c r="O196" s="85"/>
      <c r="Q196" s="94"/>
      <c r="R196" s="93"/>
      <c r="S196" s="85"/>
      <c r="U196" s="94"/>
      <c r="V196" s="93"/>
      <c r="W196" s="85"/>
      <c r="Y196" s="94"/>
      <c r="Z196" s="93"/>
      <c r="AA196" s="85"/>
      <c r="AC196" s="94"/>
      <c r="AD196" s="93"/>
      <c r="AE196" s="85"/>
    </row>
    <row r="197" spans="7:31" ht="14.5" customHeight="1" x14ac:dyDescent="0.35">
      <c r="G197" s="85"/>
      <c r="H197" s="87"/>
      <c r="K197" s="85"/>
      <c r="M197" s="94"/>
      <c r="N197" s="93"/>
      <c r="O197" s="85"/>
      <c r="Q197" s="94"/>
      <c r="R197" s="93"/>
      <c r="S197" s="85"/>
      <c r="U197" s="94"/>
      <c r="V197" s="93"/>
      <c r="W197" s="85"/>
      <c r="Y197" s="94"/>
      <c r="Z197" s="93"/>
      <c r="AA197" s="85"/>
      <c r="AC197" s="94"/>
      <c r="AD197" s="93"/>
      <c r="AE197" s="85"/>
    </row>
    <row r="198" spans="7:31" ht="14.5" customHeight="1" x14ac:dyDescent="0.35">
      <c r="G198" s="85"/>
      <c r="H198" s="87"/>
      <c r="K198" s="85"/>
      <c r="M198" s="94"/>
      <c r="N198" s="93"/>
      <c r="O198" s="85"/>
      <c r="Q198" s="94"/>
      <c r="R198" s="93"/>
      <c r="S198" s="85"/>
      <c r="U198" s="94"/>
      <c r="V198" s="93"/>
      <c r="W198" s="85"/>
      <c r="Y198" s="94"/>
      <c r="Z198" s="93"/>
      <c r="AA198" s="85"/>
      <c r="AC198" s="94"/>
      <c r="AD198" s="93"/>
      <c r="AE198" s="85"/>
    </row>
    <row r="199" spans="7:31" ht="14.5" customHeight="1" x14ac:dyDescent="0.35">
      <c r="G199" s="85"/>
      <c r="H199" s="87"/>
      <c r="K199" s="85"/>
      <c r="M199" s="94"/>
      <c r="N199" s="93"/>
      <c r="O199" s="85"/>
      <c r="Q199" s="94"/>
      <c r="R199" s="93"/>
      <c r="S199" s="85"/>
      <c r="U199" s="94"/>
      <c r="V199" s="93"/>
      <c r="W199" s="85"/>
      <c r="Y199" s="94"/>
      <c r="Z199" s="93"/>
      <c r="AA199" s="85"/>
      <c r="AC199" s="94"/>
      <c r="AD199" s="93"/>
      <c r="AE199" s="85"/>
    </row>
    <row r="200" spans="7:31" ht="14.5" customHeight="1" x14ac:dyDescent="0.35">
      <c r="G200" s="85"/>
      <c r="H200" s="87"/>
      <c r="K200" s="85"/>
      <c r="M200" s="94"/>
      <c r="N200" s="93"/>
      <c r="O200" s="85"/>
      <c r="Q200" s="94"/>
      <c r="R200" s="93"/>
      <c r="S200" s="85"/>
      <c r="U200" s="94"/>
      <c r="V200" s="93"/>
      <c r="W200" s="85"/>
      <c r="Y200" s="94"/>
      <c r="Z200" s="93"/>
      <c r="AA200" s="85"/>
      <c r="AC200" s="94"/>
      <c r="AD200" s="93"/>
      <c r="AE200" s="85"/>
    </row>
    <row r="201" spans="7:31" ht="14.5" customHeight="1" x14ac:dyDescent="0.35">
      <c r="G201" s="85"/>
      <c r="H201" s="87"/>
      <c r="K201" s="85"/>
      <c r="M201" s="94"/>
      <c r="N201" s="93"/>
      <c r="O201" s="85"/>
      <c r="Q201" s="94"/>
      <c r="R201" s="93"/>
      <c r="S201" s="85"/>
      <c r="U201" s="94"/>
      <c r="V201" s="93"/>
      <c r="W201" s="85"/>
      <c r="Y201" s="94"/>
      <c r="Z201" s="93"/>
      <c r="AA201" s="85"/>
      <c r="AC201" s="94"/>
      <c r="AD201" s="93"/>
      <c r="AE201" s="85"/>
    </row>
    <row r="202" spans="7:31" ht="14.5" customHeight="1" x14ac:dyDescent="0.35">
      <c r="G202" s="85"/>
      <c r="H202" s="87"/>
      <c r="K202" s="85"/>
      <c r="M202" s="94"/>
      <c r="N202" s="93"/>
      <c r="O202" s="85"/>
      <c r="Q202" s="94"/>
      <c r="R202" s="93"/>
      <c r="S202" s="85"/>
      <c r="U202" s="94"/>
      <c r="V202" s="93"/>
      <c r="W202" s="85"/>
      <c r="Y202" s="94"/>
      <c r="Z202" s="93"/>
      <c r="AA202" s="85"/>
      <c r="AC202" s="94"/>
      <c r="AD202" s="93"/>
      <c r="AE202" s="85"/>
    </row>
    <row r="203" spans="7:31" ht="14.5" customHeight="1" x14ac:dyDescent="0.35">
      <c r="G203" s="85"/>
      <c r="H203" s="87"/>
      <c r="K203" s="85"/>
      <c r="M203" s="94"/>
      <c r="N203" s="93"/>
      <c r="O203" s="85"/>
      <c r="Q203" s="94"/>
      <c r="R203" s="93"/>
      <c r="S203" s="85"/>
      <c r="U203" s="94"/>
      <c r="V203" s="93"/>
      <c r="W203" s="85"/>
      <c r="Y203" s="94"/>
      <c r="Z203" s="93"/>
      <c r="AA203" s="85"/>
      <c r="AC203" s="94"/>
      <c r="AD203" s="93"/>
      <c r="AE203" s="85"/>
    </row>
    <row r="204" spans="7:31" ht="14.5" customHeight="1" x14ac:dyDescent="0.35">
      <c r="G204" s="85"/>
      <c r="H204" s="87"/>
      <c r="K204" s="85"/>
      <c r="M204" s="94"/>
      <c r="N204" s="93"/>
      <c r="O204" s="85"/>
      <c r="Q204" s="94"/>
      <c r="R204" s="93"/>
      <c r="S204" s="85"/>
      <c r="U204" s="94"/>
      <c r="V204" s="93"/>
      <c r="W204" s="85"/>
      <c r="Y204" s="94"/>
      <c r="Z204" s="93"/>
      <c r="AA204" s="85"/>
      <c r="AC204" s="94"/>
      <c r="AD204" s="93"/>
      <c r="AE204" s="85"/>
    </row>
    <row r="205" spans="7:31" ht="14.5" customHeight="1" x14ac:dyDescent="0.35">
      <c r="G205" s="85"/>
      <c r="H205" s="87"/>
      <c r="K205" s="85"/>
      <c r="M205" s="94"/>
      <c r="N205" s="93"/>
      <c r="O205" s="85"/>
      <c r="Q205" s="94"/>
      <c r="R205" s="93"/>
      <c r="S205" s="85"/>
      <c r="U205" s="94"/>
      <c r="V205" s="93"/>
      <c r="W205" s="85"/>
      <c r="Y205" s="94"/>
      <c r="Z205" s="93"/>
      <c r="AA205" s="85"/>
      <c r="AC205" s="94"/>
      <c r="AD205" s="93"/>
      <c r="AE205" s="85"/>
    </row>
    <row r="206" spans="7:31" ht="14.5" customHeight="1" x14ac:dyDescent="0.35">
      <c r="G206" s="85"/>
      <c r="H206" s="87"/>
      <c r="K206" s="85"/>
      <c r="M206" s="94"/>
      <c r="N206" s="93"/>
      <c r="O206" s="85"/>
      <c r="Q206" s="94"/>
      <c r="R206" s="93"/>
      <c r="S206" s="85"/>
      <c r="U206" s="94"/>
      <c r="V206" s="93"/>
      <c r="W206" s="85"/>
      <c r="Y206" s="94"/>
      <c r="Z206" s="93"/>
      <c r="AA206" s="85"/>
      <c r="AC206" s="94"/>
      <c r="AD206" s="93"/>
      <c r="AE206" s="85"/>
    </row>
    <row r="207" spans="7:31" ht="14.5" customHeight="1" x14ac:dyDescent="0.35">
      <c r="G207" s="85"/>
      <c r="H207" s="87"/>
      <c r="K207" s="85"/>
      <c r="M207" s="94"/>
      <c r="N207" s="93"/>
      <c r="O207" s="85"/>
      <c r="Q207" s="94"/>
      <c r="R207" s="93"/>
      <c r="S207" s="85"/>
      <c r="U207" s="94"/>
      <c r="V207" s="93"/>
      <c r="W207" s="85"/>
      <c r="Y207" s="94"/>
      <c r="Z207" s="93"/>
      <c r="AA207" s="85"/>
      <c r="AC207" s="94"/>
      <c r="AD207" s="93"/>
      <c r="AE207" s="85"/>
    </row>
    <row r="208" spans="7:31" ht="14.5" customHeight="1" x14ac:dyDescent="0.35">
      <c r="G208" s="85"/>
      <c r="H208" s="87"/>
      <c r="K208" s="85"/>
      <c r="M208" s="94"/>
      <c r="N208" s="93"/>
      <c r="O208" s="85"/>
      <c r="Q208" s="94"/>
      <c r="R208" s="93"/>
      <c r="S208" s="85"/>
      <c r="U208" s="94"/>
      <c r="V208" s="93"/>
      <c r="W208" s="85"/>
      <c r="Y208" s="94"/>
      <c r="Z208" s="93"/>
      <c r="AA208" s="85"/>
      <c r="AC208" s="94"/>
      <c r="AD208" s="93"/>
      <c r="AE208" s="85"/>
    </row>
    <row r="209" spans="7:31" ht="14.5" customHeight="1" x14ac:dyDescent="0.35">
      <c r="G209" s="85"/>
      <c r="H209" s="87"/>
      <c r="K209" s="85"/>
      <c r="M209" s="94"/>
      <c r="N209" s="93"/>
      <c r="O209" s="85"/>
      <c r="Q209" s="94"/>
      <c r="R209" s="93"/>
      <c r="S209" s="85"/>
      <c r="U209" s="94"/>
      <c r="V209" s="93"/>
      <c r="W209" s="85"/>
      <c r="Y209" s="94"/>
      <c r="Z209" s="93"/>
      <c r="AA209" s="85"/>
      <c r="AC209" s="94"/>
      <c r="AD209" s="93"/>
      <c r="AE209" s="85"/>
    </row>
    <row r="210" spans="7:31" ht="14.5" customHeight="1" x14ac:dyDescent="0.35">
      <c r="G210" s="85"/>
      <c r="H210" s="87"/>
      <c r="K210" s="85"/>
      <c r="M210" s="94"/>
      <c r="N210" s="93"/>
      <c r="O210" s="85"/>
      <c r="Q210" s="94"/>
      <c r="R210" s="93"/>
      <c r="S210" s="85"/>
      <c r="U210" s="94"/>
      <c r="V210" s="93"/>
      <c r="W210" s="85"/>
      <c r="Y210" s="94"/>
      <c r="Z210" s="93"/>
      <c r="AA210" s="85"/>
      <c r="AC210" s="94"/>
      <c r="AD210" s="93"/>
      <c r="AE210" s="85"/>
    </row>
    <row r="211" spans="7:31" ht="14.5" customHeight="1" x14ac:dyDescent="0.35">
      <c r="G211" s="85"/>
      <c r="H211" s="87"/>
      <c r="K211" s="85"/>
      <c r="M211" s="94"/>
      <c r="N211" s="93"/>
      <c r="O211" s="85"/>
      <c r="Q211" s="94"/>
      <c r="R211" s="93"/>
      <c r="S211" s="85"/>
      <c r="U211" s="94"/>
      <c r="V211" s="93"/>
      <c r="W211" s="85"/>
      <c r="Y211" s="94"/>
      <c r="Z211" s="93"/>
      <c r="AA211" s="85"/>
      <c r="AC211" s="94"/>
      <c r="AD211" s="93"/>
      <c r="AE211" s="85"/>
    </row>
    <row r="212" spans="7:31" ht="14.5" customHeight="1" x14ac:dyDescent="0.35">
      <c r="G212" s="85"/>
      <c r="H212" s="87"/>
      <c r="K212" s="85"/>
      <c r="M212" s="94"/>
      <c r="N212" s="93"/>
      <c r="O212" s="85"/>
      <c r="Q212" s="94"/>
      <c r="R212" s="93"/>
      <c r="S212" s="85"/>
      <c r="U212" s="94"/>
      <c r="V212" s="93"/>
      <c r="W212" s="85"/>
      <c r="Y212" s="94"/>
      <c r="Z212" s="93"/>
      <c r="AA212" s="85"/>
      <c r="AC212" s="94"/>
      <c r="AD212" s="93"/>
      <c r="AE212" s="85"/>
    </row>
    <row r="213" spans="7:31" ht="14.5" customHeight="1" x14ac:dyDescent="0.35">
      <c r="G213" s="85"/>
      <c r="H213" s="87"/>
      <c r="K213" s="85"/>
      <c r="M213" s="94"/>
      <c r="N213" s="93"/>
      <c r="O213" s="85"/>
      <c r="Q213" s="94"/>
      <c r="R213" s="93"/>
      <c r="S213" s="85"/>
      <c r="U213" s="94"/>
      <c r="V213" s="93"/>
      <c r="W213" s="85"/>
      <c r="Y213" s="94"/>
      <c r="Z213" s="93"/>
      <c r="AA213" s="85"/>
      <c r="AC213" s="94"/>
      <c r="AD213" s="93"/>
      <c r="AE213" s="85"/>
    </row>
    <row r="214" spans="7:31" ht="14.5" customHeight="1" x14ac:dyDescent="0.35">
      <c r="G214" s="85"/>
      <c r="H214" s="87"/>
      <c r="K214" s="85"/>
      <c r="M214" s="94"/>
      <c r="N214" s="93"/>
      <c r="O214" s="85"/>
      <c r="Q214" s="94"/>
      <c r="R214" s="93"/>
      <c r="S214" s="85"/>
      <c r="U214" s="94"/>
      <c r="V214" s="93"/>
      <c r="W214" s="85"/>
      <c r="Y214" s="94"/>
      <c r="Z214" s="93"/>
      <c r="AA214" s="85"/>
      <c r="AC214" s="94"/>
      <c r="AD214" s="93"/>
      <c r="AE214" s="85"/>
    </row>
    <row r="215" spans="7:31" ht="14.5" customHeight="1" x14ac:dyDescent="0.35">
      <c r="G215" s="85"/>
      <c r="H215" s="87"/>
      <c r="K215" s="85"/>
      <c r="M215" s="94"/>
      <c r="N215" s="93"/>
      <c r="O215" s="85"/>
      <c r="Q215" s="94"/>
      <c r="R215" s="93"/>
      <c r="S215" s="85"/>
      <c r="U215" s="94"/>
      <c r="V215" s="93"/>
      <c r="W215" s="85"/>
      <c r="Y215" s="94"/>
      <c r="Z215" s="93"/>
      <c r="AA215" s="85"/>
      <c r="AC215" s="94"/>
      <c r="AD215" s="93"/>
      <c r="AE215" s="85"/>
    </row>
    <row r="216" spans="7:31" ht="14.5" customHeight="1" x14ac:dyDescent="0.35">
      <c r="G216" s="85"/>
      <c r="H216" s="87"/>
      <c r="K216" s="85"/>
      <c r="M216" s="94"/>
      <c r="N216" s="93"/>
      <c r="O216" s="85"/>
      <c r="Q216" s="94"/>
      <c r="R216" s="93"/>
      <c r="S216" s="85"/>
      <c r="U216" s="94"/>
      <c r="V216" s="93"/>
      <c r="W216" s="85"/>
      <c r="Y216" s="94"/>
      <c r="Z216" s="93"/>
      <c r="AA216" s="85"/>
      <c r="AC216" s="94"/>
      <c r="AD216" s="93"/>
      <c r="AE216" s="85"/>
    </row>
    <row r="217" spans="7:31" ht="14.5" customHeight="1" x14ac:dyDescent="0.35">
      <c r="G217" s="85"/>
      <c r="H217" s="87"/>
      <c r="K217" s="85"/>
      <c r="M217" s="94"/>
      <c r="N217" s="93"/>
      <c r="O217" s="85"/>
      <c r="Q217" s="94"/>
      <c r="R217" s="93"/>
      <c r="S217" s="85"/>
      <c r="U217" s="94"/>
      <c r="V217" s="93"/>
      <c r="W217" s="85"/>
      <c r="Y217" s="94"/>
      <c r="Z217" s="93"/>
      <c r="AA217" s="85"/>
      <c r="AC217" s="94"/>
      <c r="AD217" s="93"/>
      <c r="AE217" s="85"/>
    </row>
    <row r="218" spans="7:31" ht="14.5" customHeight="1" x14ac:dyDescent="0.35">
      <c r="G218" s="85"/>
      <c r="H218" s="87"/>
      <c r="K218" s="85"/>
      <c r="M218" s="94"/>
      <c r="N218" s="93"/>
      <c r="O218" s="85"/>
      <c r="Q218" s="94"/>
      <c r="R218" s="93"/>
      <c r="S218" s="85"/>
      <c r="U218" s="94"/>
      <c r="V218" s="93"/>
      <c r="W218" s="85"/>
      <c r="Y218" s="94"/>
      <c r="Z218" s="93"/>
      <c r="AA218" s="85"/>
      <c r="AC218" s="94"/>
      <c r="AD218" s="93"/>
      <c r="AE218" s="85"/>
    </row>
    <row r="219" spans="7:31" ht="14.5" customHeight="1" x14ac:dyDescent="0.35">
      <c r="G219" s="85"/>
      <c r="H219" s="87"/>
      <c r="K219" s="85"/>
      <c r="M219" s="94"/>
      <c r="N219" s="93"/>
      <c r="O219" s="85"/>
      <c r="Q219" s="94"/>
      <c r="R219" s="93"/>
      <c r="S219" s="85"/>
      <c r="U219" s="94"/>
      <c r="V219" s="93"/>
      <c r="W219" s="85"/>
      <c r="Y219" s="94"/>
      <c r="Z219" s="93"/>
      <c r="AA219" s="85"/>
      <c r="AC219" s="94"/>
      <c r="AD219" s="93"/>
      <c r="AE219" s="85"/>
    </row>
    <row r="220" spans="7:31" ht="14.5" customHeight="1" x14ac:dyDescent="0.35">
      <c r="G220" s="85"/>
      <c r="H220" s="87"/>
      <c r="K220" s="85"/>
      <c r="M220" s="94"/>
      <c r="N220" s="93"/>
      <c r="O220" s="85"/>
      <c r="Q220" s="94"/>
      <c r="R220" s="93"/>
      <c r="S220" s="85"/>
      <c r="U220" s="94"/>
      <c r="V220" s="93"/>
      <c r="W220" s="85"/>
      <c r="Y220" s="94"/>
      <c r="Z220" s="93"/>
      <c r="AA220" s="85"/>
      <c r="AC220" s="94"/>
      <c r="AD220" s="93"/>
      <c r="AE220" s="85"/>
    </row>
    <row r="221" spans="7:31" ht="14.5" customHeight="1" x14ac:dyDescent="0.35">
      <c r="G221" s="85"/>
      <c r="H221" s="87"/>
      <c r="K221" s="85"/>
      <c r="M221" s="94"/>
      <c r="N221" s="93"/>
      <c r="O221" s="85"/>
      <c r="Q221" s="94"/>
      <c r="R221" s="93"/>
      <c r="S221" s="85"/>
      <c r="U221" s="94"/>
      <c r="V221" s="93"/>
      <c r="W221" s="85"/>
      <c r="Y221" s="94"/>
      <c r="Z221" s="93"/>
      <c r="AA221" s="85"/>
      <c r="AC221" s="94"/>
      <c r="AD221" s="93"/>
      <c r="AE221" s="85"/>
    </row>
    <row r="222" spans="7:31" ht="14.5" customHeight="1" x14ac:dyDescent="0.35">
      <c r="G222" s="85"/>
      <c r="H222" s="87"/>
      <c r="K222" s="85"/>
      <c r="M222" s="94"/>
      <c r="N222" s="93"/>
      <c r="O222" s="85"/>
      <c r="Q222" s="94"/>
      <c r="R222" s="93"/>
      <c r="S222" s="85"/>
      <c r="U222" s="94"/>
      <c r="V222" s="93"/>
      <c r="W222" s="85"/>
      <c r="Y222" s="94"/>
      <c r="Z222" s="93"/>
      <c r="AA222" s="85"/>
      <c r="AC222" s="94"/>
      <c r="AD222" s="93"/>
      <c r="AE222" s="85"/>
    </row>
    <row r="223" spans="7:31" ht="14.5" customHeight="1" x14ac:dyDescent="0.35">
      <c r="G223" s="85"/>
      <c r="H223" s="87"/>
      <c r="K223" s="85"/>
      <c r="M223" s="94"/>
      <c r="N223" s="93"/>
      <c r="O223" s="85"/>
      <c r="Q223" s="94"/>
      <c r="R223" s="93"/>
      <c r="S223" s="85"/>
      <c r="U223" s="94"/>
      <c r="V223" s="93"/>
      <c r="W223" s="85"/>
      <c r="Y223" s="94"/>
      <c r="Z223" s="93"/>
      <c r="AA223" s="85"/>
      <c r="AC223" s="94"/>
      <c r="AD223" s="93"/>
      <c r="AE223" s="85"/>
    </row>
    <row r="224" spans="7:31" ht="14.5" customHeight="1" x14ac:dyDescent="0.35">
      <c r="G224" s="85"/>
      <c r="H224" s="87"/>
      <c r="K224" s="85"/>
      <c r="M224" s="94"/>
      <c r="N224" s="93"/>
      <c r="O224" s="85"/>
      <c r="Q224" s="94"/>
      <c r="R224" s="93"/>
      <c r="S224" s="85"/>
      <c r="U224" s="94"/>
      <c r="V224" s="93"/>
      <c r="W224" s="85"/>
      <c r="Y224" s="94"/>
      <c r="Z224" s="93"/>
      <c r="AA224" s="85"/>
      <c r="AC224" s="94"/>
      <c r="AD224" s="93"/>
      <c r="AE224" s="85"/>
    </row>
    <row r="225" spans="7:31" ht="14.5" customHeight="1" x14ac:dyDescent="0.35">
      <c r="G225" s="85"/>
      <c r="H225" s="87"/>
      <c r="K225" s="85"/>
      <c r="M225" s="94"/>
      <c r="N225" s="93"/>
      <c r="O225" s="85"/>
      <c r="Q225" s="94"/>
      <c r="R225" s="93"/>
      <c r="S225" s="85"/>
      <c r="U225" s="94"/>
      <c r="V225" s="93"/>
      <c r="W225" s="85"/>
      <c r="Y225" s="94"/>
      <c r="Z225" s="93"/>
      <c r="AA225" s="85"/>
      <c r="AC225" s="94"/>
      <c r="AD225" s="93"/>
      <c r="AE225" s="85"/>
    </row>
    <row r="226" spans="7:31" ht="14.5" customHeight="1" x14ac:dyDescent="0.35">
      <c r="G226" s="85"/>
      <c r="H226" s="87"/>
      <c r="K226" s="85"/>
      <c r="M226" s="94"/>
      <c r="N226" s="93"/>
      <c r="O226" s="85"/>
      <c r="Q226" s="94"/>
      <c r="R226" s="93"/>
      <c r="S226" s="85"/>
      <c r="U226" s="94"/>
      <c r="V226" s="93"/>
      <c r="W226" s="85"/>
      <c r="Y226" s="94"/>
      <c r="Z226" s="93"/>
      <c r="AA226" s="85"/>
      <c r="AC226" s="94"/>
      <c r="AD226" s="93"/>
      <c r="AE226" s="85"/>
    </row>
    <row r="227" spans="7:31" ht="14.5" customHeight="1" x14ac:dyDescent="0.35">
      <c r="G227" s="85"/>
      <c r="H227" s="87"/>
      <c r="K227" s="85"/>
      <c r="M227" s="94"/>
      <c r="N227" s="93"/>
      <c r="O227" s="85"/>
      <c r="Q227" s="94"/>
      <c r="R227" s="93"/>
      <c r="S227" s="85"/>
      <c r="U227" s="94"/>
      <c r="V227" s="93"/>
      <c r="W227" s="85"/>
      <c r="Y227" s="94"/>
      <c r="Z227" s="93"/>
      <c r="AA227" s="85"/>
      <c r="AC227" s="94"/>
      <c r="AD227" s="93"/>
      <c r="AE227" s="85"/>
    </row>
    <row r="228" spans="7:31" ht="14.5" customHeight="1" x14ac:dyDescent="0.35">
      <c r="G228" s="85"/>
      <c r="H228" s="87"/>
      <c r="K228" s="85"/>
      <c r="M228" s="94"/>
      <c r="N228" s="93"/>
      <c r="O228" s="85"/>
      <c r="Q228" s="94"/>
      <c r="R228" s="93"/>
      <c r="S228" s="85"/>
      <c r="U228" s="94"/>
      <c r="V228" s="93"/>
      <c r="W228" s="85"/>
      <c r="Y228" s="94"/>
      <c r="Z228" s="93"/>
      <c r="AA228" s="85"/>
      <c r="AC228" s="94"/>
      <c r="AD228" s="93"/>
      <c r="AE228" s="85"/>
    </row>
    <row r="229" spans="7:31" ht="14.5" customHeight="1" x14ac:dyDescent="0.35">
      <c r="G229" s="85"/>
      <c r="H229" s="87"/>
      <c r="K229" s="85"/>
      <c r="M229" s="94"/>
      <c r="N229" s="93"/>
      <c r="O229" s="85"/>
      <c r="Q229" s="94"/>
      <c r="R229" s="93"/>
      <c r="S229" s="85"/>
      <c r="U229" s="94"/>
      <c r="V229" s="93"/>
      <c r="W229" s="85"/>
      <c r="Y229" s="94"/>
      <c r="Z229" s="93"/>
      <c r="AA229" s="85"/>
      <c r="AC229" s="94"/>
      <c r="AD229" s="93"/>
      <c r="AE229" s="85"/>
    </row>
    <row r="230" spans="7:31" ht="14.5" customHeight="1" x14ac:dyDescent="0.35">
      <c r="G230" s="85"/>
      <c r="H230" s="87"/>
      <c r="K230" s="85"/>
      <c r="M230" s="94"/>
      <c r="N230" s="93"/>
      <c r="O230" s="85"/>
      <c r="Q230" s="94"/>
      <c r="R230" s="93"/>
      <c r="S230" s="85"/>
      <c r="U230" s="94"/>
      <c r="V230" s="93"/>
      <c r="W230" s="85"/>
      <c r="Y230" s="94"/>
      <c r="Z230" s="93"/>
      <c r="AA230" s="85"/>
      <c r="AC230" s="94"/>
      <c r="AD230" s="93"/>
      <c r="AE230" s="85"/>
    </row>
    <row r="231" spans="7:31" ht="14.5" customHeight="1" x14ac:dyDescent="0.35">
      <c r="G231" s="85"/>
      <c r="H231" s="87"/>
      <c r="K231" s="85"/>
      <c r="M231" s="94"/>
      <c r="N231" s="93"/>
      <c r="O231" s="85"/>
      <c r="Q231" s="94"/>
      <c r="R231" s="93"/>
      <c r="S231" s="85"/>
      <c r="U231" s="94"/>
      <c r="V231" s="93"/>
      <c r="W231" s="85"/>
      <c r="Y231" s="94"/>
      <c r="Z231" s="93"/>
      <c r="AA231" s="85"/>
      <c r="AC231" s="94"/>
      <c r="AD231" s="93"/>
      <c r="AE231" s="85"/>
    </row>
    <row r="232" spans="7:31" ht="14.5" customHeight="1" x14ac:dyDescent="0.35">
      <c r="G232" s="85"/>
      <c r="H232" s="87"/>
      <c r="K232" s="85"/>
      <c r="M232" s="94"/>
      <c r="N232" s="93"/>
      <c r="O232" s="85"/>
      <c r="Q232" s="94"/>
      <c r="R232" s="93"/>
      <c r="S232" s="85"/>
      <c r="U232" s="94"/>
      <c r="V232" s="93"/>
      <c r="W232" s="85"/>
      <c r="Y232" s="94"/>
      <c r="Z232" s="93"/>
      <c r="AA232" s="85"/>
      <c r="AC232" s="94"/>
      <c r="AD232" s="93"/>
      <c r="AE232" s="85"/>
    </row>
    <row r="233" spans="7:31" ht="14.5" customHeight="1" x14ac:dyDescent="0.35">
      <c r="G233" s="85"/>
      <c r="H233" s="87"/>
      <c r="K233" s="85"/>
      <c r="M233" s="94"/>
      <c r="N233" s="93"/>
      <c r="O233" s="85"/>
      <c r="Q233" s="94"/>
      <c r="R233" s="93"/>
      <c r="S233" s="85"/>
      <c r="U233" s="94"/>
      <c r="V233" s="93"/>
      <c r="W233" s="85"/>
      <c r="Y233" s="94"/>
      <c r="Z233" s="93"/>
      <c r="AA233" s="85"/>
      <c r="AC233" s="94"/>
      <c r="AD233" s="93"/>
      <c r="AE233" s="85"/>
    </row>
    <row r="234" spans="7:31" ht="14.5" customHeight="1" x14ac:dyDescent="0.35">
      <c r="G234" s="85"/>
      <c r="H234" s="87"/>
      <c r="K234" s="85"/>
      <c r="M234" s="94"/>
      <c r="N234" s="93"/>
      <c r="O234" s="85"/>
      <c r="Q234" s="94"/>
      <c r="R234" s="93"/>
      <c r="S234" s="85"/>
      <c r="U234" s="94"/>
      <c r="V234" s="93"/>
      <c r="W234" s="85"/>
      <c r="Y234" s="94"/>
      <c r="Z234" s="93"/>
      <c r="AA234" s="85"/>
      <c r="AC234" s="94"/>
      <c r="AD234" s="93"/>
      <c r="AE234" s="85"/>
    </row>
    <row r="235" spans="7:31" ht="14.5" customHeight="1" x14ac:dyDescent="0.35">
      <c r="G235" s="85"/>
      <c r="H235" s="87"/>
      <c r="K235" s="85"/>
      <c r="M235" s="94"/>
      <c r="N235" s="93"/>
      <c r="O235" s="85"/>
      <c r="Q235" s="94"/>
      <c r="R235" s="93"/>
      <c r="S235" s="85"/>
      <c r="U235" s="94"/>
      <c r="V235" s="93"/>
      <c r="W235" s="85"/>
      <c r="Y235" s="94"/>
      <c r="Z235" s="93"/>
      <c r="AA235" s="85"/>
      <c r="AC235" s="94"/>
      <c r="AD235" s="93"/>
      <c r="AE235" s="85"/>
    </row>
    <row r="236" spans="7:31" ht="14.5" customHeight="1" x14ac:dyDescent="0.35">
      <c r="G236" s="85"/>
      <c r="H236" s="87"/>
      <c r="K236" s="85"/>
      <c r="M236" s="94"/>
      <c r="N236" s="93"/>
      <c r="O236" s="85"/>
      <c r="Q236" s="94"/>
      <c r="R236" s="93"/>
      <c r="S236" s="85"/>
      <c r="U236" s="94"/>
      <c r="V236" s="93"/>
      <c r="W236" s="85"/>
      <c r="Y236" s="94"/>
      <c r="Z236" s="93"/>
      <c r="AA236" s="85"/>
      <c r="AC236" s="94"/>
      <c r="AD236" s="93"/>
      <c r="AE236" s="85"/>
    </row>
    <row r="237" spans="7:31" ht="14.5" customHeight="1" x14ac:dyDescent="0.35">
      <c r="G237" s="85"/>
      <c r="H237" s="87"/>
      <c r="K237" s="85"/>
      <c r="M237" s="94"/>
      <c r="N237" s="93"/>
      <c r="O237" s="85"/>
      <c r="Q237" s="94"/>
      <c r="R237" s="93"/>
      <c r="S237" s="85"/>
      <c r="U237" s="94"/>
      <c r="V237" s="93"/>
      <c r="W237" s="85"/>
      <c r="Y237" s="94"/>
      <c r="Z237" s="93"/>
      <c r="AA237" s="85"/>
      <c r="AC237" s="94"/>
      <c r="AD237" s="93"/>
      <c r="AE237" s="85"/>
    </row>
    <row r="238" spans="7:31" ht="14.5" customHeight="1" x14ac:dyDescent="0.35">
      <c r="G238" s="85"/>
      <c r="H238" s="87"/>
      <c r="K238" s="85"/>
      <c r="M238" s="94"/>
      <c r="N238" s="93"/>
      <c r="O238" s="85"/>
      <c r="Q238" s="94"/>
      <c r="R238" s="93"/>
      <c r="S238" s="85"/>
      <c r="U238" s="94"/>
      <c r="V238" s="93"/>
      <c r="W238" s="85"/>
      <c r="Y238" s="94"/>
      <c r="Z238" s="93"/>
      <c r="AA238" s="85"/>
      <c r="AC238" s="94"/>
      <c r="AD238" s="93"/>
      <c r="AE238" s="85"/>
    </row>
    <row r="239" spans="7:31" ht="14.5" customHeight="1" x14ac:dyDescent="0.35">
      <c r="G239" s="85"/>
      <c r="H239" s="87"/>
      <c r="K239" s="85"/>
      <c r="M239" s="94"/>
      <c r="N239" s="93"/>
      <c r="O239" s="85"/>
      <c r="Q239" s="94"/>
      <c r="R239" s="93"/>
      <c r="S239" s="85"/>
      <c r="U239" s="94"/>
      <c r="V239" s="93"/>
      <c r="W239" s="85"/>
      <c r="Y239" s="94"/>
      <c r="Z239" s="93"/>
      <c r="AA239" s="85"/>
      <c r="AC239" s="94"/>
      <c r="AD239" s="93"/>
      <c r="AE239" s="85"/>
    </row>
    <row r="240" spans="7:31" ht="14.5" customHeight="1" x14ac:dyDescent="0.35">
      <c r="G240" s="85"/>
      <c r="H240" s="87"/>
      <c r="K240" s="85"/>
      <c r="M240" s="94"/>
      <c r="N240" s="93"/>
      <c r="O240" s="85"/>
      <c r="Q240" s="94"/>
      <c r="R240" s="93"/>
      <c r="S240" s="85"/>
      <c r="U240" s="94"/>
      <c r="V240" s="93"/>
      <c r="W240" s="85"/>
      <c r="Y240" s="94"/>
      <c r="Z240" s="93"/>
      <c r="AA240" s="85"/>
      <c r="AC240" s="94"/>
      <c r="AD240" s="93"/>
      <c r="AE240" s="85"/>
    </row>
    <row r="241" spans="7:31" ht="14.5" customHeight="1" x14ac:dyDescent="0.35">
      <c r="G241" s="85"/>
      <c r="H241" s="87"/>
      <c r="K241" s="85"/>
      <c r="M241" s="94"/>
      <c r="N241" s="93"/>
      <c r="O241" s="85"/>
      <c r="Q241" s="94"/>
      <c r="R241" s="93"/>
      <c r="S241" s="85"/>
      <c r="U241" s="94"/>
      <c r="V241" s="93"/>
      <c r="W241" s="85"/>
      <c r="Y241" s="94"/>
      <c r="Z241" s="93"/>
      <c r="AA241" s="85"/>
      <c r="AC241" s="94"/>
      <c r="AD241" s="93"/>
      <c r="AE241" s="85"/>
    </row>
    <row r="242" spans="7:31" ht="14.5" customHeight="1" x14ac:dyDescent="0.35">
      <c r="G242" s="85"/>
      <c r="H242" s="87"/>
      <c r="K242" s="85"/>
      <c r="M242" s="94"/>
      <c r="N242" s="93"/>
      <c r="O242" s="85"/>
      <c r="Q242" s="94"/>
      <c r="R242" s="93"/>
      <c r="S242" s="85"/>
      <c r="U242" s="94"/>
      <c r="V242" s="93"/>
      <c r="W242" s="85"/>
      <c r="Y242" s="94"/>
      <c r="Z242" s="93"/>
      <c r="AA242" s="85"/>
      <c r="AC242" s="94"/>
      <c r="AD242" s="93"/>
      <c r="AE242" s="85"/>
    </row>
    <row r="243" spans="7:31" ht="14.5" customHeight="1" x14ac:dyDescent="0.35">
      <c r="G243" s="85"/>
      <c r="H243" s="87"/>
      <c r="K243" s="85"/>
      <c r="M243" s="94"/>
      <c r="N243" s="93"/>
      <c r="O243" s="85"/>
      <c r="Q243" s="94"/>
      <c r="R243" s="93"/>
      <c r="S243" s="85"/>
      <c r="U243" s="94"/>
      <c r="V243" s="93"/>
      <c r="W243" s="85"/>
      <c r="Y243" s="94"/>
      <c r="Z243" s="93"/>
      <c r="AA243" s="85"/>
      <c r="AC243" s="94"/>
      <c r="AD243" s="93"/>
      <c r="AE243" s="85"/>
    </row>
    <row r="244" spans="7:31" ht="14.5" customHeight="1" x14ac:dyDescent="0.35">
      <c r="G244" s="85"/>
      <c r="H244" s="87"/>
      <c r="K244" s="85"/>
      <c r="M244" s="94"/>
      <c r="N244" s="93"/>
      <c r="O244" s="85"/>
      <c r="Q244" s="94"/>
      <c r="R244" s="93"/>
      <c r="S244" s="85"/>
      <c r="U244" s="94"/>
      <c r="V244" s="93"/>
      <c r="W244" s="85"/>
      <c r="Y244" s="94"/>
      <c r="Z244" s="93"/>
      <c r="AA244" s="85"/>
      <c r="AC244" s="94"/>
      <c r="AD244" s="93"/>
      <c r="AE244" s="85"/>
    </row>
    <row r="245" spans="7:31" ht="14.5" customHeight="1" x14ac:dyDescent="0.35">
      <c r="G245" s="85"/>
      <c r="H245" s="87"/>
      <c r="K245" s="85"/>
      <c r="M245" s="94"/>
      <c r="N245" s="93"/>
      <c r="O245" s="85"/>
      <c r="Q245" s="94"/>
      <c r="R245" s="93"/>
      <c r="S245" s="85"/>
      <c r="U245" s="94"/>
      <c r="V245" s="93"/>
      <c r="W245" s="85"/>
      <c r="Y245" s="94"/>
      <c r="Z245" s="93"/>
      <c r="AA245" s="85"/>
      <c r="AC245" s="94"/>
      <c r="AD245" s="93"/>
      <c r="AE245" s="85"/>
    </row>
    <row r="246" spans="7:31" ht="14.5" customHeight="1" x14ac:dyDescent="0.35">
      <c r="G246" s="85"/>
      <c r="H246" s="87"/>
      <c r="K246" s="85"/>
      <c r="M246" s="94"/>
      <c r="N246" s="93"/>
      <c r="O246" s="85"/>
      <c r="Q246" s="94"/>
      <c r="R246" s="93"/>
      <c r="S246" s="85"/>
      <c r="U246" s="94"/>
      <c r="V246" s="93"/>
      <c r="W246" s="85"/>
      <c r="Y246" s="94"/>
      <c r="Z246" s="93"/>
      <c r="AA246" s="85"/>
      <c r="AC246" s="94"/>
      <c r="AD246" s="93"/>
      <c r="AE246" s="85"/>
    </row>
    <row r="247" spans="7:31" ht="14.5" customHeight="1" x14ac:dyDescent="0.35">
      <c r="G247" s="85"/>
      <c r="H247" s="87"/>
      <c r="K247" s="85"/>
      <c r="M247" s="94"/>
      <c r="N247" s="93"/>
      <c r="O247" s="85"/>
      <c r="Q247" s="94"/>
      <c r="R247" s="93"/>
      <c r="S247" s="85"/>
      <c r="U247" s="94"/>
      <c r="V247" s="93"/>
      <c r="W247" s="85"/>
      <c r="Y247" s="94"/>
      <c r="Z247" s="93"/>
      <c r="AA247" s="85"/>
      <c r="AC247" s="94"/>
      <c r="AD247" s="93"/>
      <c r="AE247" s="85"/>
    </row>
    <row r="248" spans="7:31" ht="14.5" customHeight="1" x14ac:dyDescent="0.35">
      <c r="G248" s="85"/>
      <c r="H248" s="87"/>
      <c r="K248" s="85"/>
      <c r="M248" s="94"/>
      <c r="N248" s="93"/>
      <c r="O248" s="85"/>
      <c r="Q248" s="94"/>
      <c r="R248" s="93"/>
      <c r="S248" s="85"/>
      <c r="U248" s="94"/>
      <c r="V248" s="93"/>
      <c r="W248" s="85"/>
      <c r="Y248" s="94"/>
      <c r="Z248" s="93"/>
      <c r="AA248" s="85"/>
      <c r="AC248" s="94"/>
      <c r="AD248" s="93"/>
      <c r="AE248" s="85"/>
    </row>
    <row r="249" spans="7:31" ht="14.5" customHeight="1" x14ac:dyDescent="0.35">
      <c r="G249" s="85"/>
      <c r="H249" s="87"/>
      <c r="K249" s="85"/>
      <c r="M249" s="94"/>
      <c r="N249" s="93"/>
      <c r="O249" s="85"/>
      <c r="Q249" s="94"/>
      <c r="R249" s="93"/>
      <c r="S249" s="85"/>
      <c r="U249" s="94"/>
      <c r="V249" s="93"/>
      <c r="W249" s="85"/>
      <c r="Y249" s="94"/>
      <c r="Z249" s="93"/>
      <c r="AA249" s="85"/>
      <c r="AC249" s="94"/>
      <c r="AD249" s="93"/>
      <c r="AE249" s="85"/>
    </row>
    <row r="250" spans="7:31" ht="14.5" customHeight="1" x14ac:dyDescent="0.35">
      <c r="G250" s="85"/>
      <c r="H250" s="87"/>
      <c r="K250" s="85"/>
      <c r="M250" s="94"/>
      <c r="N250" s="93"/>
      <c r="O250" s="85"/>
      <c r="Q250" s="94"/>
      <c r="R250" s="93"/>
      <c r="S250" s="85"/>
      <c r="U250" s="94"/>
      <c r="V250" s="93"/>
      <c r="W250" s="85"/>
      <c r="Y250" s="94"/>
      <c r="Z250" s="93"/>
      <c r="AA250" s="85"/>
      <c r="AC250" s="94"/>
      <c r="AD250" s="93"/>
      <c r="AE250" s="85"/>
    </row>
    <row r="251" spans="7:31" ht="14.5" customHeight="1" x14ac:dyDescent="0.35">
      <c r="G251" s="85"/>
      <c r="H251" s="87"/>
      <c r="K251" s="85"/>
      <c r="M251" s="94"/>
      <c r="N251" s="93"/>
      <c r="O251" s="85"/>
      <c r="Q251" s="94"/>
      <c r="R251" s="93"/>
      <c r="S251" s="85"/>
      <c r="U251" s="94"/>
      <c r="V251" s="93"/>
      <c r="W251" s="85"/>
      <c r="Y251" s="94"/>
      <c r="Z251" s="93"/>
      <c r="AA251" s="85"/>
      <c r="AC251" s="94"/>
      <c r="AD251" s="93"/>
      <c r="AE251" s="85"/>
    </row>
    <row r="252" spans="7:31" ht="14.5" customHeight="1" x14ac:dyDescent="0.35">
      <c r="G252" s="85"/>
      <c r="H252" s="87"/>
      <c r="K252" s="85"/>
      <c r="M252" s="94"/>
      <c r="N252" s="93"/>
      <c r="O252" s="85"/>
      <c r="Q252" s="94"/>
      <c r="R252" s="93"/>
      <c r="S252" s="85"/>
      <c r="U252" s="94"/>
      <c r="V252" s="93"/>
      <c r="W252" s="85"/>
      <c r="Y252" s="94"/>
      <c r="Z252" s="93"/>
      <c r="AA252" s="85"/>
      <c r="AC252" s="94"/>
      <c r="AD252" s="93"/>
      <c r="AE252" s="85"/>
    </row>
    <row r="253" spans="7:31" ht="14.5" customHeight="1" x14ac:dyDescent="0.35">
      <c r="G253" s="85"/>
      <c r="H253" s="87"/>
      <c r="K253" s="85"/>
      <c r="M253" s="94"/>
      <c r="N253" s="93"/>
      <c r="O253" s="85"/>
      <c r="Q253" s="94"/>
      <c r="R253" s="93"/>
      <c r="S253" s="85"/>
      <c r="U253" s="94"/>
      <c r="V253" s="93"/>
      <c r="W253" s="85"/>
      <c r="Y253" s="94"/>
      <c r="Z253" s="93"/>
      <c r="AA253" s="85"/>
      <c r="AC253" s="94"/>
      <c r="AD253" s="93"/>
      <c r="AE253" s="85"/>
    </row>
    <row r="254" spans="7:31" ht="14.5" customHeight="1" x14ac:dyDescent="0.35">
      <c r="G254" s="85"/>
      <c r="H254" s="87"/>
      <c r="K254" s="85"/>
      <c r="M254" s="94"/>
      <c r="N254" s="93"/>
      <c r="O254" s="85"/>
      <c r="Q254" s="94"/>
      <c r="R254" s="93"/>
      <c r="S254" s="85"/>
      <c r="U254" s="94"/>
      <c r="V254" s="93"/>
      <c r="W254" s="85"/>
      <c r="Y254" s="94"/>
      <c r="Z254" s="93"/>
      <c r="AA254" s="85"/>
      <c r="AC254" s="94"/>
      <c r="AD254" s="93"/>
      <c r="AE254" s="85"/>
    </row>
    <row r="255" spans="7:31" ht="14.5" customHeight="1" x14ac:dyDescent="0.35">
      <c r="G255" s="85"/>
      <c r="H255" s="87"/>
      <c r="K255" s="85"/>
      <c r="M255" s="94"/>
      <c r="N255" s="93"/>
      <c r="O255" s="85"/>
      <c r="Q255" s="94"/>
      <c r="R255" s="93"/>
      <c r="S255" s="85"/>
      <c r="U255" s="94"/>
      <c r="V255" s="93"/>
      <c r="W255" s="85"/>
      <c r="Y255" s="94"/>
      <c r="Z255" s="93"/>
      <c r="AA255" s="85"/>
      <c r="AC255" s="94"/>
      <c r="AD255" s="93"/>
      <c r="AE255" s="85"/>
    </row>
    <row r="256" spans="7:31" ht="14.5" customHeight="1" x14ac:dyDescent="0.35">
      <c r="G256" s="85"/>
      <c r="H256" s="87"/>
      <c r="K256" s="85"/>
      <c r="M256" s="94"/>
      <c r="N256" s="93"/>
      <c r="O256" s="85"/>
      <c r="Q256" s="94"/>
      <c r="R256" s="93"/>
      <c r="S256" s="85"/>
      <c r="U256" s="94"/>
      <c r="V256" s="93"/>
      <c r="W256" s="85"/>
      <c r="Y256" s="94"/>
      <c r="Z256" s="93"/>
      <c r="AA256" s="85"/>
      <c r="AC256" s="94"/>
      <c r="AD256" s="93"/>
      <c r="AE256" s="85"/>
    </row>
    <row r="257" spans="7:31" ht="14.5" customHeight="1" x14ac:dyDescent="0.35">
      <c r="G257" s="85"/>
      <c r="H257" s="87"/>
      <c r="K257" s="85"/>
      <c r="M257" s="94"/>
      <c r="N257" s="93"/>
      <c r="O257" s="85"/>
      <c r="Q257" s="94"/>
      <c r="R257" s="93"/>
      <c r="S257" s="85"/>
      <c r="U257" s="94"/>
      <c r="V257" s="93"/>
      <c r="W257" s="85"/>
      <c r="Y257" s="94"/>
      <c r="Z257" s="93"/>
      <c r="AA257" s="85"/>
      <c r="AC257" s="94"/>
      <c r="AD257" s="93"/>
      <c r="AE257" s="85"/>
    </row>
    <row r="258" spans="7:31" ht="14.5" customHeight="1" x14ac:dyDescent="0.35">
      <c r="G258" s="85"/>
      <c r="H258" s="87"/>
      <c r="K258" s="85"/>
      <c r="M258" s="94"/>
      <c r="N258" s="93"/>
      <c r="O258" s="85"/>
      <c r="Q258" s="94"/>
      <c r="R258" s="93"/>
      <c r="S258" s="85"/>
      <c r="U258" s="94"/>
      <c r="V258" s="93"/>
      <c r="W258" s="85"/>
      <c r="Y258" s="94"/>
      <c r="Z258" s="93"/>
      <c r="AA258" s="85"/>
      <c r="AC258" s="94"/>
      <c r="AD258" s="93"/>
      <c r="AE258" s="85"/>
    </row>
    <row r="259" spans="7:31" ht="14.5" customHeight="1" x14ac:dyDescent="0.35">
      <c r="G259" s="85"/>
      <c r="H259" s="87"/>
      <c r="K259" s="85"/>
      <c r="M259" s="94"/>
      <c r="N259" s="93"/>
      <c r="O259" s="85"/>
      <c r="Q259" s="94"/>
      <c r="R259" s="93"/>
      <c r="S259" s="85"/>
      <c r="U259" s="94"/>
      <c r="V259" s="93"/>
      <c r="W259" s="85"/>
      <c r="Y259" s="94"/>
      <c r="Z259" s="93"/>
      <c r="AA259" s="85"/>
      <c r="AC259" s="94"/>
      <c r="AD259" s="93"/>
      <c r="AE259" s="85"/>
    </row>
    <row r="260" spans="7:31" ht="14.5" customHeight="1" x14ac:dyDescent="0.35">
      <c r="G260" s="85"/>
      <c r="H260" s="87"/>
      <c r="K260" s="85"/>
      <c r="M260" s="94"/>
      <c r="N260" s="93"/>
      <c r="O260" s="85"/>
      <c r="Q260" s="94"/>
      <c r="R260" s="93"/>
      <c r="S260" s="85"/>
      <c r="U260" s="94"/>
      <c r="V260" s="93"/>
      <c r="W260" s="85"/>
      <c r="Y260" s="94"/>
      <c r="Z260" s="93"/>
      <c r="AA260" s="85"/>
      <c r="AC260" s="94"/>
      <c r="AD260" s="93"/>
      <c r="AE260" s="85"/>
    </row>
    <row r="261" spans="7:31" ht="14.5" customHeight="1" x14ac:dyDescent="0.35">
      <c r="G261" s="85"/>
      <c r="H261" s="87"/>
      <c r="K261" s="85"/>
      <c r="M261" s="94"/>
      <c r="N261" s="93"/>
      <c r="O261" s="85"/>
      <c r="Q261" s="94"/>
      <c r="R261" s="93"/>
      <c r="S261" s="85"/>
      <c r="U261" s="94"/>
      <c r="V261" s="93"/>
      <c r="W261" s="85"/>
      <c r="Y261" s="94"/>
      <c r="Z261" s="93"/>
      <c r="AA261" s="85"/>
      <c r="AC261" s="94"/>
      <c r="AD261" s="93"/>
      <c r="AE261" s="85"/>
    </row>
    <row r="262" spans="7:31" ht="14.5" customHeight="1" x14ac:dyDescent="0.35">
      <c r="G262" s="85"/>
      <c r="H262" s="87"/>
      <c r="K262" s="85"/>
      <c r="M262" s="94"/>
      <c r="N262" s="93"/>
      <c r="O262" s="85"/>
      <c r="Q262" s="94"/>
      <c r="R262" s="93"/>
      <c r="S262" s="85"/>
      <c r="U262" s="94"/>
      <c r="V262" s="93"/>
      <c r="W262" s="85"/>
      <c r="Y262" s="94"/>
      <c r="Z262" s="93"/>
      <c r="AA262" s="85"/>
      <c r="AC262" s="94"/>
      <c r="AD262" s="93"/>
      <c r="AE262" s="85"/>
    </row>
    <row r="263" spans="7:31" ht="14.5" customHeight="1" x14ac:dyDescent="0.35">
      <c r="G263" s="85"/>
      <c r="H263" s="87"/>
      <c r="K263" s="85"/>
      <c r="M263" s="94"/>
      <c r="N263" s="93"/>
      <c r="O263" s="85"/>
      <c r="Q263" s="94"/>
      <c r="R263" s="93"/>
      <c r="S263" s="85"/>
      <c r="U263" s="94"/>
      <c r="V263" s="93"/>
      <c r="W263" s="85"/>
      <c r="Y263" s="94"/>
      <c r="Z263" s="93"/>
      <c r="AA263" s="85"/>
      <c r="AC263" s="94"/>
      <c r="AD263" s="93"/>
      <c r="AE263" s="85"/>
    </row>
    <row r="264" spans="7:31" ht="14.5" customHeight="1" x14ac:dyDescent="0.35">
      <c r="G264" s="85"/>
      <c r="H264" s="87"/>
      <c r="K264" s="85"/>
      <c r="M264" s="94"/>
      <c r="N264" s="93"/>
      <c r="O264" s="85"/>
      <c r="Q264" s="94"/>
      <c r="R264" s="93"/>
      <c r="S264" s="85"/>
      <c r="U264" s="94"/>
      <c r="V264" s="93"/>
      <c r="W264" s="85"/>
      <c r="Y264" s="94"/>
      <c r="Z264" s="93"/>
      <c r="AA264" s="85"/>
      <c r="AC264" s="94"/>
      <c r="AD264" s="93"/>
      <c r="AE264" s="85"/>
    </row>
    <row r="265" spans="7:31" ht="14.5" customHeight="1" x14ac:dyDescent="0.35">
      <c r="G265" s="85"/>
      <c r="H265" s="87"/>
      <c r="K265" s="85"/>
      <c r="M265" s="94"/>
      <c r="N265" s="93"/>
      <c r="O265" s="85"/>
      <c r="Q265" s="94"/>
      <c r="R265" s="93"/>
      <c r="S265" s="85"/>
      <c r="U265" s="94"/>
      <c r="V265" s="93"/>
      <c r="W265" s="85"/>
      <c r="Y265" s="94"/>
      <c r="Z265" s="93"/>
      <c r="AA265" s="85"/>
      <c r="AC265" s="94"/>
      <c r="AD265" s="93"/>
      <c r="AE265" s="85"/>
    </row>
    <row r="266" spans="7:31" ht="14.5" customHeight="1" x14ac:dyDescent="0.35">
      <c r="G266" s="85"/>
      <c r="H266" s="87"/>
      <c r="K266" s="85"/>
      <c r="M266" s="94"/>
      <c r="N266" s="93"/>
      <c r="O266" s="85"/>
      <c r="Q266" s="94"/>
      <c r="R266" s="93"/>
      <c r="S266" s="85"/>
      <c r="U266" s="94"/>
      <c r="V266" s="93"/>
      <c r="W266" s="85"/>
      <c r="Y266" s="94"/>
      <c r="Z266" s="93"/>
      <c r="AA266" s="85"/>
      <c r="AC266" s="94"/>
      <c r="AD266" s="93"/>
      <c r="AE266" s="85"/>
    </row>
    <row r="267" spans="7:31" ht="14.5" customHeight="1" x14ac:dyDescent="0.35">
      <c r="G267" s="85"/>
      <c r="H267" s="87"/>
      <c r="K267" s="85"/>
      <c r="M267" s="94"/>
      <c r="N267" s="93"/>
      <c r="O267" s="85"/>
      <c r="Q267" s="94"/>
      <c r="R267" s="93"/>
      <c r="S267" s="85"/>
      <c r="U267" s="94"/>
      <c r="V267" s="93"/>
      <c r="W267" s="85"/>
      <c r="Y267" s="94"/>
      <c r="Z267" s="93"/>
      <c r="AA267" s="85"/>
      <c r="AC267" s="94"/>
      <c r="AD267" s="93"/>
      <c r="AE267" s="85"/>
    </row>
    <row r="268" spans="7:31" ht="14.5" customHeight="1" x14ac:dyDescent="0.35">
      <c r="G268" s="85"/>
      <c r="H268" s="87"/>
      <c r="K268" s="85"/>
      <c r="M268" s="94"/>
      <c r="N268" s="93"/>
      <c r="O268" s="85"/>
      <c r="Q268" s="94"/>
      <c r="R268" s="93"/>
      <c r="S268" s="85"/>
      <c r="U268" s="94"/>
      <c r="V268" s="93"/>
      <c r="W268" s="85"/>
      <c r="Y268" s="94"/>
      <c r="Z268" s="93"/>
      <c r="AA268" s="85"/>
      <c r="AC268" s="94"/>
      <c r="AD268" s="93"/>
      <c r="AE268" s="85"/>
    </row>
    <row r="269" spans="7:31" ht="14.5" customHeight="1" x14ac:dyDescent="0.35">
      <c r="G269" s="85"/>
      <c r="H269" s="87"/>
      <c r="K269" s="85"/>
      <c r="M269" s="94"/>
      <c r="N269" s="93"/>
      <c r="O269" s="85"/>
      <c r="Q269" s="94"/>
      <c r="R269" s="93"/>
      <c r="S269" s="85"/>
      <c r="U269" s="94"/>
      <c r="V269" s="93"/>
      <c r="W269" s="85"/>
      <c r="Y269" s="94"/>
      <c r="Z269" s="93"/>
      <c r="AA269" s="85"/>
      <c r="AC269" s="94"/>
      <c r="AD269" s="93"/>
      <c r="AE269" s="85"/>
    </row>
    <row r="270" spans="7:31" ht="14.5" customHeight="1" x14ac:dyDescent="0.35">
      <c r="G270" s="85"/>
      <c r="H270" s="87"/>
      <c r="K270" s="85"/>
      <c r="M270" s="94"/>
      <c r="N270" s="93"/>
      <c r="O270" s="85"/>
      <c r="Q270" s="94"/>
      <c r="R270" s="93"/>
      <c r="S270" s="85"/>
      <c r="U270" s="94"/>
      <c r="V270" s="93"/>
      <c r="W270" s="85"/>
      <c r="Y270" s="94"/>
      <c r="Z270" s="93"/>
      <c r="AA270" s="85"/>
      <c r="AC270" s="94"/>
      <c r="AD270" s="93"/>
      <c r="AE270" s="85"/>
    </row>
    <row r="271" spans="7:31" ht="14.5" customHeight="1" x14ac:dyDescent="0.35">
      <c r="G271" s="85"/>
      <c r="H271" s="87"/>
      <c r="K271" s="85"/>
      <c r="M271" s="94"/>
      <c r="N271" s="93"/>
      <c r="O271" s="85"/>
      <c r="Q271" s="94"/>
      <c r="R271" s="93"/>
      <c r="S271" s="85"/>
      <c r="U271" s="94"/>
      <c r="V271" s="93"/>
      <c r="W271" s="85"/>
      <c r="Y271" s="94"/>
      <c r="Z271" s="93"/>
      <c r="AA271" s="85"/>
      <c r="AC271" s="94"/>
      <c r="AD271" s="93"/>
      <c r="AE271" s="85"/>
    </row>
    <row r="272" spans="7:31" ht="14.5" customHeight="1" x14ac:dyDescent="0.35">
      <c r="G272" s="85"/>
      <c r="H272" s="87"/>
      <c r="K272" s="85"/>
      <c r="M272" s="94"/>
      <c r="N272" s="93"/>
      <c r="O272" s="85"/>
      <c r="Q272" s="94"/>
      <c r="R272" s="93"/>
      <c r="S272" s="85"/>
      <c r="U272" s="94"/>
      <c r="V272" s="93"/>
      <c r="W272" s="85"/>
      <c r="Y272" s="94"/>
      <c r="Z272" s="93"/>
      <c r="AA272" s="85"/>
      <c r="AC272" s="94"/>
      <c r="AD272" s="93"/>
      <c r="AE272" s="85"/>
    </row>
    <row r="273" spans="7:31" ht="14.5" customHeight="1" x14ac:dyDescent="0.35">
      <c r="G273" s="85"/>
      <c r="H273" s="87"/>
      <c r="K273" s="85"/>
      <c r="M273" s="94"/>
      <c r="N273" s="93"/>
      <c r="O273" s="85"/>
      <c r="Q273" s="94"/>
      <c r="R273" s="93"/>
      <c r="S273" s="85"/>
      <c r="U273" s="94"/>
      <c r="V273" s="93"/>
      <c r="W273" s="85"/>
      <c r="Y273" s="94"/>
      <c r="Z273" s="93"/>
      <c r="AA273" s="85"/>
      <c r="AC273" s="94"/>
      <c r="AD273" s="93"/>
      <c r="AE273" s="85"/>
    </row>
    <row r="274" spans="7:31" ht="14.5" customHeight="1" x14ac:dyDescent="0.35">
      <c r="G274" s="85"/>
      <c r="H274" s="87"/>
      <c r="K274" s="85"/>
      <c r="M274" s="94"/>
      <c r="N274" s="93"/>
      <c r="O274" s="85"/>
      <c r="Q274" s="94"/>
      <c r="R274" s="93"/>
      <c r="S274" s="85"/>
      <c r="U274" s="94"/>
      <c r="V274" s="93"/>
      <c r="W274" s="85"/>
      <c r="Y274" s="94"/>
      <c r="Z274" s="93"/>
      <c r="AA274" s="85"/>
      <c r="AC274" s="94"/>
      <c r="AD274" s="93"/>
      <c r="AE274" s="85"/>
    </row>
    <row r="275" spans="7:31" ht="14.5" customHeight="1" x14ac:dyDescent="0.35">
      <c r="G275" s="85"/>
      <c r="H275" s="87"/>
      <c r="K275" s="85"/>
      <c r="M275" s="94"/>
      <c r="N275" s="93"/>
      <c r="O275" s="85"/>
      <c r="Q275" s="94"/>
      <c r="R275" s="93"/>
      <c r="S275" s="85"/>
      <c r="U275" s="94"/>
      <c r="V275" s="93"/>
      <c r="W275" s="85"/>
      <c r="Y275" s="94"/>
      <c r="Z275" s="93"/>
      <c r="AA275" s="85"/>
      <c r="AC275" s="94"/>
      <c r="AD275" s="93"/>
      <c r="AE275" s="85"/>
    </row>
    <row r="276" spans="7:31" ht="14.5" customHeight="1" x14ac:dyDescent="0.35">
      <c r="G276" s="85"/>
      <c r="H276" s="87"/>
      <c r="K276" s="85"/>
      <c r="M276" s="94"/>
      <c r="N276" s="93"/>
      <c r="O276" s="85"/>
      <c r="Q276" s="94"/>
      <c r="R276" s="93"/>
      <c r="S276" s="85"/>
      <c r="U276" s="94"/>
      <c r="V276" s="93"/>
      <c r="W276" s="85"/>
      <c r="Y276" s="94"/>
      <c r="Z276" s="93"/>
      <c r="AA276" s="85"/>
      <c r="AC276" s="94"/>
      <c r="AD276" s="93"/>
      <c r="AE276" s="85"/>
    </row>
    <row r="277" spans="7:31" ht="14.5" customHeight="1" x14ac:dyDescent="0.35">
      <c r="G277" s="85"/>
      <c r="H277" s="87"/>
      <c r="K277" s="85"/>
      <c r="M277" s="94"/>
      <c r="N277" s="93"/>
      <c r="O277" s="85"/>
      <c r="Q277" s="94"/>
      <c r="R277" s="93"/>
      <c r="S277" s="85"/>
      <c r="U277" s="94"/>
      <c r="V277" s="93"/>
      <c r="W277" s="85"/>
      <c r="Y277" s="94"/>
      <c r="Z277" s="93"/>
      <c r="AA277" s="85"/>
      <c r="AC277" s="94"/>
      <c r="AD277" s="93"/>
      <c r="AE277" s="85"/>
    </row>
    <row r="278" spans="7:31" ht="14.5" customHeight="1" x14ac:dyDescent="0.35">
      <c r="G278" s="85"/>
      <c r="H278" s="87"/>
      <c r="K278" s="85"/>
      <c r="M278" s="94"/>
      <c r="N278" s="93"/>
      <c r="O278" s="85"/>
      <c r="Q278" s="94"/>
      <c r="R278" s="93"/>
      <c r="S278" s="85"/>
      <c r="U278" s="94"/>
      <c r="V278" s="93"/>
      <c r="W278" s="85"/>
      <c r="Y278" s="94"/>
      <c r="Z278" s="93"/>
      <c r="AA278" s="85"/>
      <c r="AC278" s="94"/>
      <c r="AD278" s="93"/>
      <c r="AE278" s="85"/>
    </row>
    <row r="279" spans="7:31" ht="14.5" customHeight="1" x14ac:dyDescent="0.35">
      <c r="G279" s="85"/>
      <c r="H279" s="87"/>
      <c r="K279" s="85"/>
      <c r="M279" s="94"/>
      <c r="N279" s="93"/>
      <c r="O279" s="85"/>
      <c r="Q279" s="94"/>
      <c r="R279" s="93"/>
      <c r="S279" s="85"/>
      <c r="U279" s="94"/>
      <c r="V279" s="93"/>
      <c r="W279" s="85"/>
      <c r="Y279" s="94"/>
      <c r="Z279" s="93"/>
      <c r="AA279" s="85"/>
      <c r="AC279" s="94"/>
      <c r="AD279" s="93"/>
      <c r="AE279" s="85"/>
    </row>
    <row r="280" spans="7:31" ht="14.5" customHeight="1" x14ac:dyDescent="0.35">
      <c r="G280" s="85"/>
      <c r="H280" s="87"/>
      <c r="K280" s="85"/>
      <c r="M280" s="94"/>
      <c r="N280" s="93"/>
      <c r="O280" s="85"/>
      <c r="Q280" s="94"/>
      <c r="R280" s="93"/>
      <c r="S280" s="85"/>
      <c r="U280" s="94"/>
      <c r="V280" s="93"/>
      <c r="W280" s="85"/>
      <c r="Y280" s="94"/>
      <c r="Z280" s="93"/>
      <c r="AA280" s="85"/>
      <c r="AC280" s="94"/>
      <c r="AD280" s="93"/>
      <c r="AE280" s="85"/>
    </row>
    <row r="281" spans="7:31" ht="14.5" customHeight="1" x14ac:dyDescent="0.35">
      <c r="G281" s="85"/>
      <c r="H281" s="87"/>
      <c r="K281" s="85"/>
      <c r="M281" s="94"/>
      <c r="N281" s="93"/>
      <c r="O281" s="85"/>
      <c r="Q281" s="94"/>
      <c r="R281" s="93"/>
      <c r="S281" s="85"/>
      <c r="U281" s="94"/>
      <c r="V281" s="93"/>
      <c r="W281" s="85"/>
      <c r="Y281" s="94"/>
      <c r="Z281" s="93"/>
      <c r="AA281" s="85"/>
      <c r="AC281" s="94"/>
      <c r="AD281" s="93"/>
      <c r="AE281" s="85"/>
    </row>
    <row r="282" spans="7:31" ht="14.5" customHeight="1" x14ac:dyDescent="0.35">
      <c r="G282" s="85"/>
      <c r="H282" s="87"/>
      <c r="K282" s="85"/>
      <c r="M282" s="94"/>
      <c r="N282" s="93"/>
      <c r="O282" s="85"/>
      <c r="Q282" s="94"/>
      <c r="R282" s="93"/>
      <c r="S282" s="85"/>
      <c r="U282" s="94"/>
      <c r="V282" s="93"/>
      <c r="W282" s="85"/>
      <c r="Y282" s="94"/>
      <c r="Z282" s="93"/>
      <c r="AA282" s="85"/>
      <c r="AC282" s="94"/>
      <c r="AD282" s="93"/>
      <c r="AE282" s="85"/>
    </row>
    <row r="283" spans="7:31" ht="14.5" customHeight="1" x14ac:dyDescent="0.35">
      <c r="G283" s="85"/>
      <c r="H283" s="87"/>
      <c r="K283" s="85"/>
      <c r="M283" s="94"/>
      <c r="N283" s="93"/>
      <c r="O283" s="85"/>
      <c r="Q283" s="94"/>
      <c r="R283" s="93"/>
      <c r="S283" s="85"/>
      <c r="U283" s="94"/>
      <c r="V283" s="93"/>
      <c r="W283" s="85"/>
      <c r="Y283" s="94"/>
      <c r="Z283" s="93"/>
      <c r="AA283" s="85"/>
      <c r="AC283" s="94"/>
      <c r="AD283" s="93"/>
      <c r="AE283" s="85"/>
    </row>
    <row r="284" spans="7:31" ht="14.5" customHeight="1" x14ac:dyDescent="0.35">
      <c r="G284" s="85"/>
      <c r="H284" s="87"/>
      <c r="K284" s="85"/>
      <c r="M284" s="94"/>
      <c r="N284" s="93"/>
      <c r="O284" s="85"/>
      <c r="Q284" s="94"/>
      <c r="R284" s="93"/>
      <c r="S284" s="85"/>
      <c r="U284" s="94"/>
      <c r="V284" s="93"/>
      <c r="W284" s="85"/>
      <c r="Y284" s="94"/>
      <c r="Z284" s="93"/>
      <c r="AA284" s="85"/>
      <c r="AC284" s="94"/>
      <c r="AD284" s="93"/>
      <c r="AE284" s="85"/>
    </row>
    <row r="285" spans="7:31" ht="14.5" customHeight="1" x14ac:dyDescent="0.35">
      <c r="G285" s="85"/>
      <c r="H285" s="87"/>
      <c r="K285" s="85"/>
      <c r="M285" s="94"/>
      <c r="N285" s="93"/>
      <c r="O285" s="85"/>
      <c r="Q285" s="94"/>
      <c r="R285" s="93"/>
      <c r="S285" s="85"/>
      <c r="U285" s="94"/>
      <c r="V285" s="93"/>
      <c r="W285" s="85"/>
      <c r="Y285" s="94"/>
      <c r="Z285" s="93"/>
      <c r="AA285" s="85"/>
      <c r="AC285" s="94"/>
      <c r="AD285" s="93"/>
      <c r="AE285" s="85"/>
    </row>
    <row r="286" spans="7:31" ht="14.5" customHeight="1" x14ac:dyDescent="0.35">
      <c r="G286" s="85"/>
      <c r="H286" s="87"/>
      <c r="K286" s="85"/>
      <c r="M286" s="94"/>
      <c r="N286" s="93"/>
      <c r="O286" s="85"/>
      <c r="Q286" s="94"/>
      <c r="R286" s="93"/>
      <c r="S286" s="85"/>
      <c r="U286" s="94"/>
      <c r="V286" s="93"/>
      <c r="W286" s="85"/>
      <c r="Y286" s="94"/>
      <c r="Z286" s="93"/>
      <c r="AA286" s="85"/>
      <c r="AC286" s="94"/>
      <c r="AD286" s="93"/>
      <c r="AE286" s="85"/>
    </row>
    <row r="287" spans="7:31" ht="14.5" customHeight="1" x14ac:dyDescent="0.35">
      <c r="G287" s="85"/>
      <c r="H287" s="87"/>
      <c r="K287" s="85"/>
      <c r="M287" s="94"/>
      <c r="N287" s="93"/>
      <c r="O287" s="85"/>
      <c r="Q287" s="94"/>
      <c r="R287" s="93"/>
      <c r="S287" s="85"/>
      <c r="U287" s="94"/>
      <c r="V287" s="93"/>
      <c r="W287" s="85"/>
      <c r="Y287" s="94"/>
      <c r="Z287" s="93"/>
      <c r="AA287" s="85"/>
      <c r="AC287" s="94"/>
      <c r="AD287" s="93"/>
      <c r="AE287" s="85"/>
    </row>
    <row r="288" spans="7:31" ht="14.5" customHeight="1" x14ac:dyDescent="0.35">
      <c r="G288" s="85"/>
      <c r="H288" s="87"/>
      <c r="K288" s="85"/>
      <c r="M288" s="94"/>
      <c r="N288" s="93"/>
      <c r="O288" s="85"/>
      <c r="Q288" s="94"/>
      <c r="R288" s="93"/>
      <c r="S288" s="85"/>
      <c r="U288" s="94"/>
      <c r="V288" s="93"/>
      <c r="W288" s="85"/>
      <c r="Y288" s="94"/>
      <c r="Z288" s="93"/>
      <c r="AA288" s="85"/>
      <c r="AC288" s="94"/>
      <c r="AD288" s="93"/>
      <c r="AE288" s="85"/>
    </row>
    <row r="289" spans="7:31" ht="14.5" customHeight="1" x14ac:dyDescent="0.35">
      <c r="G289" s="85"/>
      <c r="H289" s="87"/>
      <c r="K289" s="85"/>
      <c r="M289" s="94"/>
      <c r="N289" s="93"/>
      <c r="O289" s="85"/>
      <c r="Q289" s="94"/>
      <c r="R289" s="93"/>
      <c r="S289" s="85"/>
      <c r="U289" s="94"/>
      <c r="V289" s="93"/>
      <c r="W289" s="85"/>
      <c r="Y289" s="94"/>
      <c r="Z289" s="93"/>
      <c r="AA289" s="85"/>
      <c r="AC289" s="94"/>
      <c r="AD289" s="93"/>
      <c r="AE289" s="85"/>
    </row>
    <row r="290" spans="7:31" ht="14.5" customHeight="1" x14ac:dyDescent="0.35">
      <c r="G290" s="85"/>
      <c r="H290" s="87"/>
      <c r="K290" s="85"/>
      <c r="M290" s="94"/>
      <c r="N290" s="93"/>
      <c r="O290" s="85"/>
      <c r="Q290" s="94"/>
      <c r="R290" s="93"/>
      <c r="S290" s="85"/>
      <c r="U290" s="94"/>
      <c r="V290" s="93"/>
      <c r="W290" s="85"/>
      <c r="Y290" s="94"/>
      <c r="Z290" s="93"/>
      <c r="AA290" s="85"/>
      <c r="AC290" s="94"/>
      <c r="AD290" s="93"/>
      <c r="AE290" s="85"/>
    </row>
    <row r="291" spans="7:31" ht="14.5" customHeight="1" x14ac:dyDescent="0.35">
      <c r="G291" s="85"/>
      <c r="H291" s="87"/>
      <c r="K291" s="85"/>
      <c r="M291" s="94"/>
      <c r="N291" s="93"/>
      <c r="O291" s="85"/>
      <c r="Q291" s="94"/>
      <c r="R291" s="93"/>
      <c r="S291" s="85"/>
      <c r="U291" s="94"/>
      <c r="V291" s="93"/>
      <c r="W291" s="85"/>
      <c r="Y291" s="94"/>
      <c r="Z291" s="93"/>
      <c r="AA291" s="85"/>
      <c r="AC291" s="94"/>
      <c r="AD291" s="93"/>
      <c r="AE291" s="85"/>
    </row>
    <row r="292" spans="7:31" ht="14.5" customHeight="1" x14ac:dyDescent="0.35">
      <c r="G292" s="85"/>
      <c r="H292" s="87"/>
      <c r="K292" s="85"/>
      <c r="M292" s="94"/>
      <c r="N292" s="93"/>
      <c r="O292" s="85"/>
      <c r="Q292" s="94"/>
      <c r="R292" s="93"/>
      <c r="S292" s="85"/>
      <c r="U292" s="94"/>
      <c r="V292" s="93"/>
      <c r="W292" s="85"/>
      <c r="Y292" s="94"/>
      <c r="Z292" s="93"/>
      <c r="AA292" s="85"/>
      <c r="AC292" s="94"/>
      <c r="AD292" s="93"/>
      <c r="AE292" s="85"/>
    </row>
    <row r="293" spans="7:31" ht="14.5" customHeight="1" x14ac:dyDescent="0.35">
      <c r="G293" s="85"/>
      <c r="H293" s="87"/>
      <c r="K293" s="85"/>
      <c r="M293" s="94"/>
      <c r="N293" s="93"/>
      <c r="O293" s="85"/>
      <c r="Q293" s="94"/>
      <c r="R293" s="93"/>
      <c r="S293" s="85"/>
      <c r="U293" s="94"/>
      <c r="V293" s="93"/>
      <c r="W293" s="85"/>
      <c r="Y293" s="94"/>
      <c r="Z293" s="93"/>
      <c r="AA293" s="85"/>
      <c r="AC293" s="94"/>
      <c r="AD293" s="93"/>
      <c r="AE293" s="85"/>
    </row>
    <row r="294" spans="7:31" ht="14.5" customHeight="1" x14ac:dyDescent="0.35">
      <c r="G294" s="85"/>
      <c r="H294" s="87"/>
      <c r="K294" s="85"/>
      <c r="M294" s="94"/>
      <c r="N294" s="93"/>
      <c r="O294" s="85"/>
      <c r="Q294" s="94"/>
      <c r="R294" s="93"/>
      <c r="S294" s="85"/>
      <c r="U294" s="94"/>
      <c r="V294" s="93"/>
      <c r="W294" s="85"/>
      <c r="Y294" s="94"/>
      <c r="Z294" s="93"/>
      <c r="AA294" s="85"/>
      <c r="AC294" s="94"/>
      <c r="AD294" s="93"/>
      <c r="AE294" s="85"/>
    </row>
    <row r="295" spans="7:31" ht="14.5" customHeight="1" x14ac:dyDescent="0.35">
      <c r="G295" s="85"/>
      <c r="H295" s="87"/>
      <c r="K295" s="85"/>
      <c r="M295" s="94"/>
      <c r="N295" s="93"/>
      <c r="O295" s="85"/>
      <c r="Q295" s="94"/>
      <c r="R295" s="93"/>
      <c r="S295" s="85"/>
      <c r="U295" s="94"/>
      <c r="V295" s="93"/>
      <c r="W295" s="85"/>
      <c r="Y295" s="94"/>
      <c r="Z295" s="93"/>
      <c r="AA295" s="85"/>
      <c r="AC295" s="94"/>
      <c r="AD295" s="93"/>
      <c r="AE295" s="85"/>
    </row>
    <row r="296" spans="7:31" ht="14.5" customHeight="1" x14ac:dyDescent="0.35">
      <c r="G296" s="85"/>
      <c r="H296" s="87"/>
      <c r="K296" s="85"/>
      <c r="M296" s="94"/>
      <c r="N296" s="93"/>
      <c r="O296" s="85"/>
      <c r="Q296" s="94"/>
      <c r="R296" s="93"/>
      <c r="S296" s="85"/>
      <c r="U296" s="94"/>
      <c r="V296" s="93"/>
      <c r="W296" s="85"/>
      <c r="Y296" s="94"/>
      <c r="Z296" s="93"/>
      <c r="AA296" s="85"/>
      <c r="AC296" s="94"/>
      <c r="AD296" s="93"/>
      <c r="AE296" s="85"/>
    </row>
    <row r="297" spans="7:31" ht="14.5" customHeight="1" x14ac:dyDescent="0.35">
      <c r="G297" s="85"/>
      <c r="H297" s="87"/>
      <c r="K297" s="85"/>
      <c r="M297" s="94"/>
      <c r="N297" s="93"/>
      <c r="O297" s="85"/>
      <c r="Q297" s="94"/>
      <c r="R297" s="93"/>
      <c r="S297" s="85"/>
      <c r="U297" s="94"/>
      <c r="V297" s="93"/>
      <c r="W297" s="85"/>
      <c r="Y297" s="94"/>
      <c r="Z297" s="93"/>
      <c r="AA297" s="85"/>
      <c r="AC297" s="94"/>
      <c r="AD297" s="93"/>
      <c r="AE297" s="85"/>
    </row>
    <row r="298" spans="7:31" ht="14.5" customHeight="1" x14ac:dyDescent="0.35">
      <c r="G298" s="85"/>
      <c r="H298" s="87"/>
      <c r="K298" s="85"/>
      <c r="M298" s="94"/>
      <c r="N298" s="93"/>
      <c r="O298" s="85"/>
      <c r="Q298" s="94"/>
      <c r="R298" s="93"/>
      <c r="S298" s="85"/>
      <c r="U298" s="94"/>
      <c r="V298" s="93"/>
      <c r="W298" s="85"/>
      <c r="Y298" s="94"/>
      <c r="Z298" s="93"/>
      <c r="AA298" s="85"/>
      <c r="AC298" s="94"/>
      <c r="AD298" s="93"/>
      <c r="AE298" s="85"/>
    </row>
    <row r="299" spans="7:31" ht="14.5" customHeight="1" x14ac:dyDescent="0.35">
      <c r="G299" s="85"/>
      <c r="H299" s="87"/>
      <c r="K299" s="85"/>
      <c r="M299" s="94"/>
      <c r="N299" s="93"/>
      <c r="O299" s="85"/>
      <c r="Q299" s="94"/>
      <c r="R299" s="93"/>
      <c r="S299" s="85"/>
      <c r="U299" s="94"/>
      <c r="V299" s="93"/>
      <c r="W299" s="85"/>
      <c r="Y299" s="94"/>
      <c r="Z299" s="93"/>
      <c r="AA299" s="85"/>
      <c r="AC299" s="94"/>
      <c r="AD299" s="93"/>
      <c r="AE299" s="85"/>
    </row>
    <row r="300" spans="7:31" ht="14.5" customHeight="1" x14ac:dyDescent="0.35">
      <c r="G300" s="85"/>
      <c r="H300" s="87"/>
      <c r="K300" s="85"/>
      <c r="M300" s="94"/>
      <c r="N300" s="93"/>
      <c r="O300" s="85"/>
      <c r="Q300" s="94"/>
      <c r="R300" s="93"/>
      <c r="S300" s="85"/>
      <c r="U300" s="94"/>
      <c r="V300" s="93"/>
      <c r="W300" s="85"/>
      <c r="Y300" s="94"/>
      <c r="Z300" s="93"/>
      <c r="AA300" s="85"/>
      <c r="AC300" s="94"/>
      <c r="AD300" s="93"/>
      <c r="AE300" s="85"/>
    </row>
    <row r="301" spans="7:31" ht="14.5" customHeight="1" x14ac:dyDescent="0.35">
      <c r="G301" s="85"/>
      <c r="H301" s="87"/>
      <c r="K301" s="85"/>
      <c r="M301" s="94"/>
      <c r="N301" s="93"/>
      <c r="O301" s="85"/>
      <c r="Q301" s="94"/>
      <c r="R301" s="93"/>
      <c r="S301" s="85"/>
      <c r="U301" s="94"/>
      <c r="V301" s="93"/>
      <c r="W301" s="85"/>
      <c r="Y301" s="94"/>
      <c r="Z301" s="93"/>
      <c r="AA301" s="85"/>
      <c r="AC301" s="94"/>
      <c r="AD301" s="93"/>
      <c r="AE301" s="85"/>
    </row>
    <row r="302" spans="7:31" ht="14.5" customHeight="1" x14ac:dyDescent="0.35">
      <c r="G302" s="85"/>
      <c r="H302" s="87"/>
      <c r="K302" s="85"/>
      <c r="M302" s="94"/>
      <c r="N302" s="93"/>
      <c r="O302" s="85"/>
      <c r="Q302" s="94"/>
      <c r="R302" s="93"/>
      <c r="S302" s="85"/>
      <c r="U302" s="94"/>
      <c r="V302" s="93"/>
      <c r="W302" s="85"/>
      <c r="Y302" s="94"/>
      <c r="Z302" s="93"/>
      <c r="AA302" s="85"/>
      <c r="AC302" s="94"/>
      <c r="AD302" s="93"/>
      <c r="AE302" s="85"/>
    </row>
    <row r="303" spans="7:31" ht="14.5" customHeight="1" x14ac:dyDescent="0.35">
      <c r="G303" s="85"/>
      <c r="H303" s="87"/>
      <c r="K303" s="85"/>
      <c r="M303" s="94"/>
      <c r="N303" s="93"/>
      <c r="O303" s="85"/>
      <c r="Q303" s="94"/>
      <c r="R303" s="93"/>
      <c r="S303" s="85"/>
      <c r="U303" s="94"/>
      <c r="V303" s="93"/>
      <c r="W303" s="85"/>
      <c r="Y303" s="94"/>
      <c r="Z303" s="93"/>
      <c r="AA303" s="85"/>
      <c r="AC303" s="94"/>
      <c r="AD303" s="93"/>
      <c r="AE303" s="85"/>
    </row>
    <row r="304" spans="7:31" ht="14.5" customHeight="1" x14ac:dyDescent="0.35">
      <c r="G304" s="85"/>
      <c r="H304" s="87"/>
      <c r="K304" s="85"/>
      <c r="M304" s="94"/>
      <c r="N304" s="93"/>
      <c r="O304" s="85"/>
      <c r="Q304" s="94"/>
      <c r="R304" s="93"/>
      <c r="S304" s="85"/>
      <c r="U304" s="94"/>
      <c r="V304" s="93"/>
      <c r="W304" s="85"/>
      <c r="Y304" s="94"/>
      <c r="Z304" s="93"/>
      <c r="AA304" s="85"/>
      <c r="AC304" s="94"/>
      <c r="AD304" s="93"/>
      <c r="AE304" s="85"/>
    </row>
    <row r="305" spans="7:31" ht="14.5" customHeight="1" x14ac:dyDescent="0.35">
      <c r="G305" s="85"/>
      <c r="H305" s="87"/>
      <c r="K305" s="85"/>
      <c r="M305" s="94"/>
      <c r="N305" s="93"/>
      <c r="O305" s="85"/>
      <c r="Q305" s="94"/>
      <c r="R305" s="93"/>
      <c r="S305" s="85"/>
      <c r="U305" s="94"/>
      <c r="V305" s="93"/>
      <c r="W305" s="85"/>
      <c r="Y305" s="94"/>
      <c r="Z305" s="93"/>
      <c r="AA305" s="85"/>
      <c r="AC305" s="94"/>
      <c r="AD305" s="93"/>
      <c r="AE305" s="85"/>
    </row>
    <row r="306" spans="7:31" ht="14.5" customHeight="1" x14ac:dyDescent="0.35">
      <c r="G306" s="85"/>
      <c r="H306" s="87"/>
      <c r="K306" s="85"/>
      <c r="M306" s="94"/>
      <c r="N306" s="93"/>
      <c r="O306" s="85"/>
      <c r="Q306" s="94"/>
      <c r="R306" s="93"/>
      <c r="S306" s="85"/>
      <c r="U306" s="94"/>
      <c r="V306" s="93"/>
      <c r="W306" s="85"/>
      <c r="Y306" s="94"/>
      <c r="Z306" s="93"/>
      <c r="AA306" s="85"/>
      <c r="AC306" s="94"/>
      <c r="AD306" s="93"/>
      <c r="AE306" s="85"/>
    </row>
    <row r="307" spans="7:31" ht="14.5" customHeight="1" x14ac:dyDescent="0.35">
      <c r="G307" s="85"/>
      <c r="H307" s="87"/>
      <c r="K307" s="85"/>
      <c r="M307" s="94"/>
      <c r="N307" s="93"/>
      <c r="O307" s="85"/>
      <c r="Q307" s="94"/>
      <c r="R307" s="93"/>
      <c r="S307" s="85"/>
      <c r="U307" s="94"/>
      <c r="V307" s="93"/>
      <c r="W307" s="85"/>
      <c r="Y307" s="94"/>
      <c r="Z307" s="93"/>
      <c r="AA307" s="85"/>
      <c r="AC307" s="94"/>
      <c r="AD307" s="93"/>
      <c r="AE307" s="85"/>
    </row>
    <row r="308" spans="7:31" ht="14.5" customHeight="1" x14ac:dyDescent="0.35">
      <c r="G308" s="85"/>
      <c r="H308" s="87"/>
      <c r="K308" s="85"/>
      <c r="M308" s="94"/>
      <c r="N308" s="93"/>
      <c r="O308" s="85"/>
      <c r="Q308" s="94"/>
      <c r="R308" s="93"/>
      <c r="S308" s="85"/>
      <c r="U308" s="94"/>
      <c r="V308" s="93"/>
      <c r="W308" s="85"/>
      <c r="Y308" s="94"/>
      <c r="Z308" s="93"/>
      <c r="AA308" s="85"/>
      <c r="AC308" s="94"/>
      <c r="AD308" s="93"/>
      <c r="AE308" s="85"/>
    </row>
    <row r="309" spans="7:31" ht="14.5" customHeight="1" x14ac:dyDescent="0.35">
      <c r="G309" s="85"/>
      <c r="H309" s="87"/>
      <c r="K309" s="85"/>
      <c r="M309" s="94"/>
      <c r="N309" s="93"/>
      <c r="O309" s="85"/>
      <c r="Q309" s="94"/>
      <c r="R309" s="93"/>
      <c r="S309" s="85"/>
      <c r="U309" s="94"/>
      <c r="V309" s="93"/>
      <c r="W309" s="85"/>
      <c r="Y309" s="94"/>
      <c r="Z309" s="93"/>
      <c r="AA309" s="85"/>
      <c r="AC309" s="94"/>
      <c r="AD309" s="93"/>
      <c r="AE309" s="85"/>
    </row>
    <row r="310" spans="7:31" ht="14.5" customHeight="1" x14ac:dyDescent="0.35">
      <c r="G310" s="85"/>
      <c r="H310" s="87"/>
      <c r="K310" s="85"/>
      <c r="M310" s="94"/>
      <c r="N310" s="93"/>
      <c r="O310" s="85"/>
      <c r="Q310" s="94"/>
      <c r="R310" s="93"/>
      <c r="S310" s="85"/>
      <c r="U310" s="94"/>
      <c r="V310" s="93"/>
      <c r="W310" s="85"/>
      <c r="Y310" s="94"/>
      <c r="Z310" s="93"/>
      <c r="AA310" s="85"/>
      <c r="AC310" s="94"/>
      <c r="AD310" s="93"/>
      <c r="AE310" s="85"/>
    </row>
    <row r="311" spans="7:31" ht="14.5" customHeight="1" x14ac:dyDescent="0.35">
      <c r="G311" s="85"/>
      <c r="H311" s="87"/>
      <c r="K311" s="85"/>
      <c r="M311" s="94"/>
      <c r="N311" s="93"/>
      <c r="O311" s="85"/>
      <c r="Q311" s="94"/>
      <c r="R311" s="93"/>
      <c r="S311" s="85"/>
      <c r="U311" s="94"/>
      <c r="V311" s="93"/>
      <c r="W311" s="85"/>
      <c r="Y311" s="94"/>
      <c r="Z311" s="93"/>
      <c r="AA311" s="85"/>
      <c r="AC311" s="94"/>
      <c r="AD311" s="93"/>
      <c r="AE311" s="85"/>
    </row>
    <row r="312" spans="7:31" ht="14.5" customHeight="1" x14ac:dyDescent="0.35">
      <c r="G312" s="85"/>
      <c r="H312" s="87"/>
      <c r="K312" s="85"/>
      <c r="M312" s="94"/>
      <c r="N312" s="93"/>
      <c r="O312" s="85"/>
      <c r="Q312" s="94"/>
      <c r="R312" s="93"/>
      <c r="S312" s="85"/>
      <c r="U312" s="94"/>
      <c r="V312" s="93"/>
      <c r="W312" s="85"/>
      <c r="Y312" s="94"/>
      <c r="Z312" s="93"/>
      <c r="AA312" s="85"/>
      <c r="AC312" s="94"/>
      <c r="AD312" s="93"/>
      <c r="AE312" s="85"/>
    </row>
    <row r="313" spans="7:31" ht="14.5" customHeight="1" x14ac:dyDescent="0.35">
      <c r="G313" s="85"/>
      <c r="H313" s="87"/>
      <c r="K313" s="85"/>
      <c r="M313" s="94"/>
      <c r="N313" s="93"/>
      <c r="O313" s="85"/>
      <c r="Q313" s="94"/>
      <c r="R313" s="93"/>
      <c r="S313" s="85"/>
      <c r="U313" s="94"/>
      <c r="V313" s="93"/>
      <c r="W313" s="85"/>
      <c r="Y313" s="94"/>
      <c r="Z313" s="93"/>
      <c r="AA313" s="85"/>
      <c r="AC313" s="94"/>
      <c r="AD313" s="93"/>
      <c r="AE313" s="85"/>
    </row>
    <row r="314" spans="7:31" ht="14.5" customHeight="1" x14ac:dyDescent="0.35">
      <c r="G314" s="85"/>
      <c r="H314" s="87"/>
      <c r="K314" s="85"/>
      <c r="M314" s="94"/>
      <c r="N314" s="93"/>
      <c r="O314" s="85"/>
      <c r="Q314" s="94"/>
      <c r="R314" s="93"/>
      <c r="S314" s="85"/>
      <c r="U314" s="94"/>
      <c r="V314" s="93"/>
      <c r="W314" s="85"/>
      <c r="Y314" s="94"/>
      <c r="Z314" s="93"/>
      <c r="AA314" s="85"/>
      <c r="AC314" s="94"/>
      <c r="AD314" s="93"/>
      <c r="AE314" s="85"/>
    </row>
    <row r="315" spans="7:31" ht="14.5" customHeight="1" x14ac:dyDescent="0.35">
      <c r="G315" s="85"/>
      <c r="H315" s="87"/>
      <c r="K315" s="85"/>
      <c r="M315" s="94"/>
      <c r="N315" s="93"/>
      <c r="O315" s="85"/>
      <c r="Q315" s="94"/>
      <c r="R315" s="93"/>
      <c r="S315" s="85"/>
      <c r="U315" s="94"/>
      <c r="V315" s="93"/>
      <c r="W315" s="85"/>
      <c r="Y315" s="94"/>
      <c r="Z315" s="93"/>
      <c r="AA315" s="85"/>
      <c r="AC315" s="94"/>
      <c r="AD315" s="93"/>
      <c r="AE315" s="85"/>
    </row>
    <row r="316" spans="7:31" ht="14.5" customHeight="1" x14ac:dyDescent="0.35">
      <c r="G316" s="85"/>
      <c r="H316" s="87"/>
      <c r="K316" s="85"/>
      <c r="M316" s="94"/>
      <c r="N316" s="93"/>
      <c r="O316" s="85"/>
      <c r="Q316" s="94"/>
      <c r="R316" s="93"/>
      <c r="S316" s="85"/>
      <c r="U316" s="94"/>
      <c r="V316" s="93"/>
      <c r="W316" s="85"/>
      <c r="Y316" s="94"/>
      <c r="Z316" s="93"/>
      <c r="AA316" s="85"/>
      <c r="AC316" s="94"/>
      <c r="AD316" s="93"/>
      <c r="AE316" s="85"/>
    </row>
    <row r="317" spans="7:31" ht="14.5" customHeight="1" x14ac:dyDescent="0.35">
      <c r="G317" s="85"/>
      <c r="H317" s="87"/>
      <c r="K317" s="85"/>
      <c r="M317" s="94"/>
      <c r="N317" s="93"/>
      <c r="O317" s="85"/>
      <c r="Q317" s="94"/>
      <c r="R317" s="93"/>
      <c r="S317" s="85"/>
      <c r="U317" s="94"/>
      <c r="V317" s="93"/>
      <c r="W317" s="85"/>
      <c r="Y317" s="94"/>
      <c r="Z317" s="93"/>
      <c r="AA317" s="85"/>
      <c r="AC317" s="94"/>
      <c r="AD317" s="93"/>
      <c r="AE317" s="85"/>
    </row>
    <row r="318" spans="7:31" ht="14.5" customHeight="1" x14ac:dyDescent="0.35">
      <c r="G318" s="85"/>
      <c r="H318" s="87"/>
      <c r="K318" s="85"/>
      <c r="M318" s="94"/>
      <c r="N318" s="93"/>
      <c r="O318" s="85"/>
      <c r="Q318" s="94"/>
      <c r="R318" s="93"/>
      <c r="S318" s="85"/>
      <c r="U318" s="94"/>
      <c r="V318" s="93"/>
      <c r="W318" s="85"/>
      <c r="Y318" s="94"/>
      <c r="Z318" s="93"/>
      <c r="AA318" s="85"/>
      <c r="AC318" s="94"/>
      <c r="AD318" s="93"/>
      <c r="AE318" s="85"/>
    </row>
    <row r="319" spans="7:31" ht="14.5" customHeight="1" x14ac:dyDescent="0.35">
      <c r="G319" s="85"/>
      <c r="H319" s="87"/>
      <c r="K319" s="85"/>
      <c r="M319" s="94"/>
      <c r="N319" s="93"/>
      <c r="O319" s="85"/>
      <c r="Q319" s="94"/>
      <c r="R319" s="93"/>
      <c r="S319" s="85"/>
      <c r="U319" s="94"/>
      <c r="V319" s="93"/>
      <c r="W319" s="85"/>
      <c r="Y319" s="94"/>
      <c r="Z319" s="93"/>
      <c r="AA319" s="85"/>
      <c r="AC319" s="94"/>
      <c r="AD319" s="93"/>
      <c r="AE319" s="85"/>
    </row>
    <row r="320" spans="7:31" ht="14.5" customHeight="1" x14ac:dyDescent="0.35">
      <c r="G320" s="85"/>
      <c r="H320" s="87"/>
      <c r="K320" s="85"/>
      <c r="M320" s="94"/>
      <c r="N320" s="93"/>
      <c r="O320" s="85"/>
      <c r="Q320" s="94"/>
      <c r="R320" s="93"/>
      <c r="S320" s="85"/>
      <c r="U320" s="94"/>
      <c r="V320" s="93"/>
      <c r="W320" s="85"/>
      <c r="Y320" s="94"/>
      <c r="Z320" s="93"/>
      <c r="AA320" s="85"/>
      <c r="AC320" s="94"/>
      <c r="AD320" s="93"/>
      <c r="AE320" s="85"/>
    </row>
    <row r="321" spans="7:31" ht="14.5" customHeight="1" x14ac:dyDescent="0.35">
      <c r="G321" s="85"/>
      <c r="H321" s="87"/>
      <c r="K321" s="85"/>
      <c r="M321" s="94"/>
      <c r="N321" s="93"/>
      <c r="O321" s="85"/>
      <c r="Q321" s="94"/>
      <c r="R321" s="93"/>
      <c r="S321" s="85"/>
      <c r="U321" s="94"/>
      <c r="V321" s="93"/>
      <c r="W321" s="85"/>
      <c r="Y321" s="94"/>
      <c r="Z321" s="93"/>
      <c r="AA321" s="85"/>
      <c r="AC321" s="94"/>
      <c r="AD321" s="93"/>
      <c r="AE321" s="85"/>
    </row>
    <row r="322" spans="7:31" ht="14.5" customHeight="1" x14ac:dyDescent="0.35">
      <c r="G322" s="85"/>
      <c r="H322" s="87"/>
      <c r="K322" s="85"/>
      <c r="M322" s="94"/>
      <c r="N322" s="93"/>
      <c r="O322" s="85"/>
      <c r="Q322" s="94"/>
      <c r="R322" s="93"/>
      <c r="S322" s="85"/>
      <c r="U322" s="94"/>
      <c r="V322" s="93"/>
      <c r="W322" s="85"/>
      <c r="Y322" s="94"/>
      <c r="Z322" s="93"/>
      <c r="AA322" s="85"/>
      <c r="AC322" s="94"/>
      <c r="AD322" s="93"/>
      <c r="AE322" s="85"/>
    </row>
    <row r="323" spans="7:31" ht="14.5" customHeight="1" x14ac:dyDescent="0.35">
      <c r="G323" s="85"/>
      <c r="H323" s="87"/>
      <c r="K323" s="85"/>
      <c r="M323" s="94"/>
      <c r="N323" s="93"/>
      <c r="O323" s="85"/>
      <c r="Q323" s="94"/>
      <c r="R323" s="93"/>
      <c r="S323" s="85"/>
      <c r="U323" s="94"/>
      <c r="V323" s="93"/>
      <c r="W323" s="85"/>
      <c r="Y323" s="94"/>
      <c r="Z323" s="93"/>
      <c r="AA323" s="85"/>
      <c r="AC323" s="94"/>
      <c r="AD323" s="93"/>
      <c r="AE323" s="85"/>
    </row>
    <row r="324" spans="7:31" ht="14.5" customHeight="1" x14ac:dyDescent="0.35">
      <c r="G324" s="85"/>
      <c r="H324" s="87"/>
      <c r="K324" s="85"/>
      <c r="M324" s="94"/>
      <c r="N324" s="93"/>
      <c r="O324" s="85"/>
      <c r="Q324" s="94"/>
      <c r="R324" s="93"/>
      <c r="S324" s="85"/>
      <c r="U324" s="94"/>
      <c r="V324" s="93"/>
      <c r="W324" s="85"/>
      <c r="Y324" s="94"/>
      <c r="Z324" s="93"/>
      <c r="AA324" s="85"/>
      <c r="AC324" s="94"/>
      <c r="AD324" s="93"/>
      <c r="AE324" s="85"/>
    </row>
    <row r="325" spans="7:31" ht="14.5" customHeight="1" x14ac:dyDescent="0.35">
      <c r="G325" s="85"/>
      <c r="H325" s="87"/>
      <c r="K325" s="85"/>
      <c r="M325" s="94"/>
      <c r="N325" s="93"/>
      <c r="O325" s="85"/>
      <c r="Q325" s="94"/>
      <c r="R325" s="93"/>
      <c r="S325" s="85"/>
      <c r="U325" s="94"/>
      <c r="V325" s="93"/>
      <c r="W325" s="85"/>
      <c r="Y325" s="94"/>
      <c r="Z325" s="93"/>
      <c r="AA325" s="85"/>
      <c r="AC325" s="94"/>
      <c r="AD325" s="93"/>
      <c r="AE325" s="85"/>
    </row>
    <row r="326" spans="7:31" ht="14.5" customHeight="1" x14ac:dyDescent="0.35">
      <c r="G326" s="85"/>
      <c r="H326" s="87"/>
      <c r="K326" s="85"/>
      <c r="M326" s="94"/>
      <c r="N326" s="93"/>
      <c r="O326" s="85"/>
      <c r="Q326" s="94"/>
      <c r="R326" s="93"/>
      <c r="S326" s="85"/>
      <c r="U326" s="94"/>
      <c r="V326" s="93"/>
      <c r="W326" s="85"/>
      <c r="Y326" s="94"/>
      <c r="Z326" s="93"/>
      <c r="AA326" s="85"/>
      <c r="AC326" s="94"/>
      <c r="AD326" s="93"/>
      <c r="AE326" s="85"/>
    </row>
    <row r="327" spans="7:31" ht="14.5" customHeight="1" x14ac:dyDescent="0.35">
      <c r="G327" s="85"/>
      <c r="H327" s="87"/>
      <c r="K327" s="85"/>
      <c r="M327" s="94"/>
      <c r="N327" s="93"/>
      <c r="O327" s="85"/>
      <c r="Q327" s="94"/>
      <c r="R327" s="93"/>
      <c r="S327" s="85"/>
      <c r="U327" s="94"/>
      <c r="V327" s="93"/>
      <c r="W327" s="85"/>
      <c r="Y327" s="94"/>
      <c r="Z327" s="93"/>
      <c r="AA327" s="85"/>
      <c r="AC327" s="94"/>
      <c r="AD327" s="93"/>
      <c r="AE327" s="85"/>
    </row>
    <row r="328" spans="7:31" ht="14.5" customHeight="1" x14ac:dyDescent="0.35">
      <c r="G328" s="85"/>
      <c r="H328" s="87"/>
      <c r="K328" s="85"/>
      <c r="M328" s="94"/>
      <c r="N328" s="93"/>
      <c r="O328" s="85"/>
      <c r="Q328" s="94"/>
      <c r="R328" s="93"/>
      <c r="S328" s="85"/>
      <c r="U328" s="94"/>
      <c r="V328" s="93"/>
      <c r="W328" s="85"/>
      <c r="Y328" s="94"/>
      <c r="Z328" s="93"/>
      <c r="AA328" s="85"/>
      <c r="AC328" s="94"/>
      <c r="AD328" s="93"/>
      <c r="AE328" s="85"/>
    </row>
    <row r="329" spans="7:31" ht="14.5" customHeight="1" x14ac:dyDescent="0.35">
      <c r="G329" s="85"/>
      <c r="H329" s="87"/>
      <c r="K329" s="85"/>
      <c r="M329" s="94"/>
      <c r="N329" s="93"/>
      <c r="O329" s="85"/>
      <c r="Q329" s="94"/>
      <c r="R329" s="93"/>
      <c r="S329" s="85"/>
      <c r="U329" s="94"/>
      <c r="V329" s="93"/>
      <c r="W329" s="85"/>
      <c r="Y329" s="94"/>
      <c r="Z329" s="93"/>
      <c r="AA329" s="85"/>
      <c r="AC329" s="94"/>
      <c r="AD329" s="93"/>
      <c r="AE329" s="85"/>
    </row>
    <row r="330" spans="7:31" ht="14.5" customHeight="1" x14ac:dyDescent="0.35">
      <c r="G330" s="85"/>
      <c r="H330" s="87"/>
      <c r="K330" s="85"/>
      <c r="M330" s="94"/>
      <c r="N330" s="93"/>
      <c r="O330" s="85"/>
      <c r="Q330" s="94"/>
      <c r="R330" s="93"/>
      <c r="S330" s="85"/>
      <c r="U330" s="94"/>
      <c r="V330" s="93"/>
      <c r="W330" s="85"/>
      <c r="Y330" s="94"/>
      <c r="Z330" s="93"/>
      <c r="AA330" s="85"/>
      <c r="AC330" s="94"/>
      <c r="AD330" s="93"/>
      <c r="AE330" s="85"/>
    </row>
    <row r="331" spans="7:31" ht="14.5" customHeight="1" x14ac:dyDescent="0.35">
      <c r="G331" s="85"/>
      <c r="H331" s="87"/>
      <c r="K331" s="85"/>
      <c r="M331" s="94"/>
      <c r="N331" s="93"/>
      <c r="O331" s="85"/>
      <c r="Q331" s="94"/>
      <c r="R331" s="93"/>
      <c r="S331" s="85"/>
      <c r="U331" s="94"/>
      <c r="V331" s="93"/>
      <c r="W331" s="85"/>
      <c r="Y331" s="94"/>
      <c r="Z331" s="93"/>
      <c r="AA331" s="85"/>
      <c r="AC331" s="94"/>
      <c r="AD331" s="93"/>
      <c r="AE331" s="85"/>
    </row>
    <row r="332" spans="7:31" ht="14.5" customHeight="1" x14ac:dyDescent="0.35">
      <c r="G332" s="85"/>
      <c r="H332" s="87"/>
      <c r="K332" s="85"/>
      <c r="M332" s="94"/>
      <c r="N332" s="93"/>
      <c r="O332" s="85"/>
      <c r="Q332" s="94"/>
      <c r="R332" s="93"/>
      <c r="S332" s="85"/>
      <c r="U332" s="94"/>
      <c r="V332" s="93"/>
      <c r="W332" s="85"/>
      <c r="Y332" s="94"/>
      <c r="Z332" s="93"/>
      <c r="AA332" s="85"/>
      <c r="AC332" s="94"/>
      <c r="AD332" s="93"/>
      <c r="AE332" s="85"/>
    </row>
    <row r="333" spans="7:31" ht="14.5" customHeight="1" x14ac:dyDescent="0.35">
      <c r="G333" s="85"/>
      <c r="H333" s="87"/>
      <c r="K333" s="85"/>
      <c r="M333" s="94"/>
      <c r="N333" s="93"/>
      <c r="O333" s="85"/>
      <c r="Q333" s="94"/>
      <c r="R333" s="93"/>
      <c r="S333" s="85"/>
      <c r="U333" s="94"/>
      <c r="V333" s="93"/>
      <c r="W333" s="85"/>
      <c r="Y333" s="94"/>
      <c r="Z333" s="93"/>
      <c r="AA333" s="85"/>
      <c r="AC333" s="94"/>
      <c r="AD333" s="93"/>
      <c r="AE333" s="85"/>
    </row>
    <row r="334" spans="7:31" ht="14.5" customHeight="1" x14ac:dyDescent="0.35">
      <c r="G334" s="85"/>
      <c r="H334" s="87"/>
      <c r="K334" s="85"/>
      <c r="M334" s="94"/>
      <c r="N334" s="93"/>
      <c r="O334" s="85"/>
      <c r="Q334" s="94"/>
      <c r="R334" s="93"/>
      <c r="S334" s="85"/>
      <c r="U334" s="94"/>
      <c r="V334" s="93"/>
      <c r="W334" s="85"/>
      <c r="Y334" s="94"/>
      <c r="Z334" s="93"/>
      <c r="AA334" s="85"/>
      <c r="AC334" s="94"/>
      <c r="AD334" s="93"/>
      <c r="AE334" s="85"/>
    </row>
    <row r="335" spans="7:31" ht="14.5" customHeight="1" x14ac:dyDescent="0.35">
      <c r="G335" s="85"/>
      <c r="H335" s="87"/>
      <c r="K335" s="85"/>
      <c r="M335" s="94"/>
      <c r="N335" s="93"/>
      <c r="O335" s="85"/>
      <c r="Q335" s="94"/>
      <c r="R335" s="93"/>
      <c r="S335" s="85"/>
      <c r="U335" s="94"/>
      <c r="V335" s="93"/>
      <c r="W335" s="85"/>
      <c r="Y335" s="94"/>
      <c r="Z335" s="93"/>
      <c r="AA335" s="85"/>
      <c r="AC335" s="94"/>
      <c r="AD335" s="93"/>
      <c r="AE335" s="85"/>
    </row>
    <row r="336" spans="7:31" ht="14.5" customHeight="1" x14ac:dyDescent="0.35">
      <c r="G336" s="85"/>
      <c r="H336" s="87"/>
      <c r="K336" s="85"/>
      <c r="M336" s="94"/>
      <c r="N336" s="93"/>
      <c r="O336" s="85"/>
      <c r="Q336" s="94"/>
      <c r="R336" s="93"/>
      <c r="S336" s="85"/>
      <c r="U336" s="94"/>
      <c r="V336" s="93"/>
      <c r="W336" s="85"/>
      <c r="Y336" s="94"/>
      <c r="Z336" s="93"/>
      <c r="AA336" s="85"/>
      <c r="AC336" s="94"/>
      <c r="AD336" s="93"/>
      <c r="AE336" s="85"/>
    </row>
    <row r="337" spans="7:31" ht="14.5" customHeight="1" x14ac:dyDescent="0.35">
      <c r="G337" s="85"/>
      <c r="H337" s="87"/>
      <c r="K337" s="85"/>
      <c r="M337" s="94"/>
      <c r="N337" s="93"/>
      <c r="O337" s="85"/>
      <c r="Q337" s="94"/>
      <c r="R337" s="93"/>
      <c r="S337" s="85"/>
      <c r="U337" s="94"/>
      <c r="V337" s="93"/>
      <c r="W337" s="85"/>
      <c r="Y337" s="94"/>
      <c r="Z337" s="93"/>
      <c r="AA337" s="85"/>
      <c r="AC337" s="94"/>
      <c r="AD337" s="93"/>
      <c r="AE337" s="85"/>
    </row>
    <row r="338" spans="7:31" ht="14.5" customHeight="1" x14ac:dyDescent="0.35">
      <c r="G338" s="85"/>
      <c r="H338" s="87"/>
      <c r="K338" s="85"/>
      <c r="M338" s="94"/>
      <c r="N338" s="93"/>
      <c r="O338" s="85"/>
      <c r="Q338" s="94"/>
      <c r="R338" s="93"/>
      <c r="S338" s="85"/>
      <c r="U338" s="94"/>
      <c r="V338" s="93"/>
      <c r="W338" s="85"/>
      <c r="Y338" s="94"/>
      <c r="Z338" s="93"/>
      <c r="AA338" s="85"/>
      <c r="AC338" s="94"/>
      <c r="AD338" s="93"/>
      <c r="AE338" s="85"/>
    </row>
    <row r="339" spans="7:31" ht="14.5" customHeight="1" x14ac:dyDescent="0.35">
      <c r="G339" s="85"/>
      <c r="H339" s="87"/>
      <c r="K339" s="85"/>
      <c r="M339" s="94"/>
      <c r="N339" s="93"/>
      <c r="O339" s="85"/>
      <c r="Q339" s="94"/>
      <c r="R339" s="93"/>
      <c r="S339" s="85"/>
      <c r="U339" s="94"/>
      <c r="V339" s="93"/>
      <c r="W339" s="85"/>
      <c r="Y339" s="94"/>
      <c r="Z339" s="93"/>
      <c r="AA339" s="85"/>
      <c r="AC339" s="94"/>
      <c r="AD339" s="93"/>
      <c r="AE339" s="85"/>
    </row>
    <row r="340" spans="7:31" ht="14.5" customHeight="1" x14ac:dyDescent="0.35">
      <c r="G340" s="85"/>
      <c r="H340" s="87"/>
      <c r="K340" s="85"/>
      <c r="M340" s="94"/>
      <c r="N340" s="93"/>
      <c r="O340" s="85"/>
      <c r="Q340" s="94"/>
      <c r="R340" s="93"/>
      <c r="S340" s="85"/>
      <c r="U340" s="94"/>
      <c r="V340" s="93"/>
      <c r="W340" s="85"/>
      <c r="Y340" s="94"/>
      <c r="Z340" s="93"/>
      <c r="AA340" s="85"/>
      <c r="AC340" s="94"/>
      <c r="AD340" s="93"/>
      <c r="AE340" s="85"/>
    </row>
    <row r="341" spans="7:31" ht="14.5" customHeight="1" x14ac:dyDescent="0.35">
      <c r="G341" s="85"/>
      <c r="H341" s="87"/>
      <c r="K341" s="85"/>
      <c r="M341" s="94"/>
      <c r="N341" s="93"/>
      <c r="O341" s="85"/>
      <c r="Q341" s="94"/>
      <c r="R341" s="93"/>
      <c r="S341" s="85"/>
      <c r="U341" s="94"/>
      <c r="V341" s="93"/>
      <c r="W341" s="85"/>
      <c r="Y341" s="94"/>
      <c r="Z341" s="93"/>
      <c r="AA341" s="85"/>
      <c r="AC341" s="94"/>
      <c r="AD341" s="93"/>
      <c r="AE341" s="85"/>
    </row>
    <row r="342" spans="7:31" ht="14.5" customHeight="1" x14ac:dyDescent="0.35">
      <c r="G342" s="85"/>
      <c r="H342" s="87"/>
      <c r="K342" s="85"/>
      <c r="M342" s="94"/>
      <c r="N342" s="93"/>
      <c r="O342" s="85"/>
      <c r="Q342" s="94"/>
      <c r="R342" s="93"/>
      <c r="S342" s="85"/>
      <c r="U342" s="94"/>
      <c r="V342" s="93"/>
      <c r="W342" s="85"/>
      <c r="Y342" s="94"/>
      <c r="Z342" s="93"/>
      <c r="AA342" s="85"/>
      <c r="AC342" s="94"/>
      <c r="AD342" s="93"/>
      <c r="AE342" s="85"/>
    </row>
    <row r="343" spans="7:31" ht="14.5" customHeight="1" x14ac:dyDescent="0.35">
      <c r="G343" s="85"/>
      <c r="H343" s="87"/>
      <c r="K343" s="85"/>
      <c r="M343" s="94"/>
      <c r="N343" s="93"/>
      <c r="O343" s="85"/>
      <c r="Q343" s="94"/>
      <c r="R343" s="93"/>
      <c r="S343" s="85"/>
      <c r="U343" s="94"/>
      <c r="V343" s="93"/>
      <c r="W343" s="85"/>
      <c r="Y343" s="94"/>
      <c r="Z343" s="93"/>
      <c r="AA343" s="85"/>
      <c r="AC343" s="94"/>
      <c r="AD343" s="93"/>
      <c r="AE343" s="85"/>
    </row>
    <row r="344" spans="7:31" ht="14.5" customHeight="1" x14ac:dyDescent="0.35">
      <c r="G344" s="85"/>
      <c r="H344" s="87"/>
      <c r="K344" s="85"/>
      <c r="M344" s="94"/>
      <c r="N344" s="93"/>
      <c r="O344" s="85"/>
      <c r="Q344" s="94"/>
      <c r="R344" s="93"/>
      <c r="S344" s="85"/>
      <c r="U344" s="94"/>
      <c r="V344" s="93"/>
      <c r="W344" s="85"/>
      <c r="Y344" s="94"/>
      <c r="Z344" s="93"/>
      <c r="AA344" s="85"/>
      <c r="AC344" s="94"/>
      <c r="AD344" s="93"/>
      <c r="AE344" s="85"/>
    </row>
    <row r="345" spans="7:31" ht="14.5" customHeight="1" x14ac:dyDescent="0.35">
      <c r="G345" s="85"/>
      <c r="H345" s="87"/>
      <c r="K345" s="85"/>
      <c r="M345" s="94"/>
      <c r="N345" s="93"/>
      <c r="O345" s="85"/>
      <c r="Q345" s="94"/>
      <c r="R345" s="93"/>
      <c r="S345" s="85"/>
      <c r="U345" s="94"/>
      <c r="V345" s="93"/>
      <c r="W345" s="85"/>
      <c r="Y345" s="94"/>
      <c r="Z345" s="93"/>
      <c r="AA345" s="85"/>
      <c r="AC345" s="94"/>
      <c r="AD345" s="93"/>
      <c r="AE345" s="85"/>
    </row>
    <row r="346" spans="7:31" ht="14.5" customHeight="1" x14ac:dyDescent="0.35">
      <c r="G346" s="85"/>
      <c r="H346" s="87"/>
      <c r="K346" s="85"/>
      <c r="M346" s="94"/>
      <c r="N346" s="93"/>
      <c r="O346" s="85"/>
      <c r="Q346" s="94"/>
      <c r="R346" s="93"/>
      <c r="S346" s="85"/>
      <c r="U346" s="94"/>
      <c r="V346" s="93"/>
      <c r="W346" s="85"/>
      <c r="Y346" s="94"/>
      <c r="Z346" s="93"/>
      <c r="AA346" s="85"/>
      <c r="AC346" s="94"/>
      <c r="AD346" s="93"/>
      <c r="AE346" s="85"/>
    </row>
    <row r="347" spans="7:31" ht="14.5" customHeight="1" x14ac:dyDescent="0.35">
      <c r="G347" s="85"/>
      <c r="H347" s="87"/>
      <c r="K347" s="85"/>
      <c r="M347" s="94"/>
      <c r="N347" s="93"/>
      <c r="O347" s="85"/>
      <c r="Q347" s="94"/>
      <c r="R347" s="93"/>
      <c r="S347" s="85"/>
      <c r="U347" s="94"/>
      <c r="V347" s="93"/>
      <c r="W347" s="85"/>
      <c r="Y347" s="94"/>
      <c r="Z347" s="93"/>
      <c r="AA347" s="85"/>
      <c r="AC347" s="94"/>
      <c r="AD347" s="93"/>
      <c r="AE347" s="85"/>
    </row>
    <row r="348" spans="7:31" ht="14.5" customHeight="1" x14ac:dyDescent="0.35">
      <c r="G348" s="85"/>
      <c r="H348" s="87"/>
      <c r="K348" s="85"/>
      <c r="M348" s="94"/>
      <c r="N348" s="93"/>
      <c r="O348" s="85"/>
      <c r="Q348" s="94"/>
      <c r="R348" s="93"/>
      <c r="S348" s="85"/>
      <c r="U348" s="94"/>
      <c r="V348" s="93"/>
      <c r="W348" s="85"/>
      <c r="Y348" s="94"/>
      <c r="Z348" s="93"/>
      <c r="AA348" s="85"/>
      <c r="AC348" s="94"/>
      <c r="AD348" s="93"/>
      <c r="AE348" s="85"/>
    </row>
    <row r="349" spans="7:31" ht="14.5" customHeight="1" x14ac:dyDescent="0.35">
      <c r="G349" s="85"/>
      <c r="H349" s="87"/>
      <c r="K349" s="85"/>
      <c r="M349" s="94"/>
      <c r="N349" s="93"/>
      <c r="O349" s="85"/>
      <c r="Q349" s="94"/>
      <c r="R349" s="93"/>
      <c r="S349" s="85"/>
      <c r="U349" s="94"/>
      <c r="V349" s="93"/>
      <c r="W349" s="85"/>
      <c r="Y349" s="94"/>
      <c r="Z349" s="93"/>
      <c r="AA349" s="85"/>
      <c r="AC349" s="94"/>
      <c r="AD349" s="93"/>
      <c r="AE349" s="85"/>
    </row>
    <row r="350" spans="7:31" ht="14.5" customHeight="1" x14ac:dyDescent="0.35">
      <c r="G350" s="85"/>
      <c r="H350" s="87"/>
      <c r="K350" s="85"/>
      <c r="M350" s="94"/>
      <c r="N350" s="93"/>
      <c r="O350" s="85"/>
      <c r="Q350" s="94"/>
      <c r="R350" s="93"/>
      <c r="S350" s="85"/>
      <c r="U350" s="94"/>
      <c r="V350" s="93"/>
      <c r="W350" s="85"/>
      <c r="Y350" s="94"/>
      <c r="Z350" s="93"/>
      <c r="AA350" s="85"/>
      <c r="AC350" s="94"/>
      <c r="AD350" s="93"/>
      <c r="AE350" s="85"/>
    </row>
    <row r="351" spans="7:31" ht="14.5" customHeight="1" x14ac:dyDescent="0.35">
      <c r="G351" s="85"/>
      <c r="H351" s="87"/>
      <c r="K351" s="85"/>
      <c r="M351" s="94"/>
      <c r="N351" s="93"/>
      <c r="O351" s="85"/>
      <c r="Q351" s="94"/>
      <c r="R351" s="93"/>
      <c r="S351" s="85"/>
      <c r="U351" s="94"/>
      <c r="V351" s="93"/>
      <c r="W351" s="85"/>
      <c r="Y351" s="94"/>
      <c r="Z351" s="93"/>
      <c r="AA351" s="85"/>
      <c r="AC351" s="94"/>
      <c r="AD351" s="93"/>
      <c r="AE351" s="85"/>
    </row>
    <row r="352" spans="7:31" ht="14.5" customHeight="1" x14ac:dyDescent="0.35">
      <c r="G352" s="85"/>
      <c r="H352" s="87"/>
      <c r="K352" s="85"/>
      <c r="M352" s="94"/>
      <c r="N352" s="93"/>
      <c r="O352" s="85"/>
      <c r="Q352" s="94"/>
      <c r="R352" s="93"/>
      <c r="S352" s="85"/>
      <c r="U352" s="94"/>
      <c r="V352" s="93"/>
      <c r="W352" s="85"/>
      <c r="Y352" s="94"/>
      <c r="Z352" s="93"/>
      <c r="AA352" s="85"/>
      <c r="AC352" s="94"/>
      <c r="AD352" s="93"/>
      <c r="AE352" s="85"/>
    </row>
    <row r="353" spans="7:31" ht="14.5" customHeight="1" x14ac:dyDescent="0.35">
      <c r="G353" s="85"/>
      <c r="H353" s="87"/>
      <c r="K353" s="85"/>
      <c r="M353" s="94"/>
      <c r="N353" s="93"/>
      <c r="O353" s="85"/>
      <c r="Q353" s="94"/>
      <c r="R353" s="93"/>
      <c r="S353" s="85"/>
      <c r="U353" s="94"/>
      <c r="V353" s="93"/>
      <c r="W353" s="85"/>
      <c r="Y353" s="94"/>
      <c r="Z353" s="93"/>
      <c r="AA353" s="85"/>
      <c r="AC353" s="94"/>
      <c r="AD353" s="93"/>
      <c r="AE353" s="85"/>
    </row>
    <row r="354" spans="7:31" ht="14.5" customHeight="1" x14ac:dyDescent="0.35">
      <c r="G354" s="85"/>
      <c r="H354" s="87"/>
      <c r="K354" s="85"/>
      <c r="M354" s="94"/>
      <c r="N354" s="93"/>
      <c r="O354" s="85"/>
      <c r="Q354" s="94"/>
      <c r="R354" s="93"/>
      <c r="S354" s="85"/>
      <c r="U354" s="94"/>
      <c r="V354" s="93"/>
      <c r="W354" s="85"/>
      <c r="Y354" s="94"/>
      <c r="Z354" s="93"/>
      <c r="AA354" s="85"/>
      <c r="AC354" s="94"/>
      <c r="AD354" s="93"/>
      <c r="AE354" s="85"/>
    </row>
    <row r="355" spans="7:31" ht="14.5" customHeight="1" x14ac:dyDescent="0.35">
      <c r="G355" s="85"/>
      <c r="H355" s="87"/>
      <c r="K355" s="85"/>
      <c r="M355" s="94"/>
      <c r="N355" s="93"/>
      <c r="O355" s="85"/>
      <c r="Q355" s="94"/>
      <c r="R355" s="93"/>
      <c r="S355" s="85"/>
      <c r="U355" s="94"/>
      <c r="V355" s="93"/>
      <c r="W355" s="85"/>
      <c r="Y355" s="94"/>
      <c r="Z355" s="93"/>
      <c r="AA355" s="85"/>
      <c r="AC355" s="94"/>
      <c r="AD355" s="93"/>
      <c r="AE355" s="85"/>
    </row>
    <row r="356" spans="7:31" ht="14.5" customHeight="1" x14ac:dyDescent="0.35">
      <c r="G356" s="85"/>
      <c r="H356" s="87"/>
      <c r="K356" s="85"/>
      <c r="M356" s="94"/>
      <c r="N356" s="93"/>
      <c r="O356" s="85"/>
      <c r="Q356" s="94"/>
      <c r="R356" s="93"/>
      <c r="S356" s="85"/>
      <c r="U356" s="94"/>
      <c r="V356" s="93"/>
      <c r="W356" s="85"/>
      <c r="Y356" s="94"/>
      <c r="Z356" s="93"/>
      <c r="AA356" s="85"/>
      <c r="AC356" s="94"/>
      <c r="AD356" s="93"/>
      <c r="AE356" s="85"/>
    </row>
    <row r="357" spans="7:31" ht="14.5" customHeight="1" x14ac:dyDescent="0.35">
      <c r="G357" s="85"/>
      <c r="H357" s="87"/>
      <c r="K357" s="85"/>
      <c r="M357" s="94"/>
      <c r="N357" s="93"/>
      <c r="O357" s="85"/>
      <c r="Q357" s="94"/>
      <c r="R357" s="93"/>
      <c r="S357" s="85"/>
      <c r="U357" s="94"/>
      <c r="V357" s="93"/>
      <c r="W357" s="85"/>
      <c r="Y357" s="94"/>
      <c r="Z357" s="93"/>
      <c r="AA357" s="85"/>
      <c r="AC357" s="94"/>
      <c r="AD357" s="93"/>
      <c r="AE357" s="85"/>
    </row>
    <row r="358" spans="7:31" ht="14.5" customHeight="1" x14ac:dyDescent="0.35">
      <c r="G358" s="85"/>
      <c r="H358" s="87"/>
      <c r="K358" s="85"/>
      <c r="M358" s="94"/>
      <c r="N358" s="93"/>
      <c r="O358" s="85"/>
      <c r="Q358" s="94"/>
      <c r="R358" s="93"/>
      <c r="S358" s="85"/>
      <c r="U358" s="94"/>
      <c r="V358" s="93"/>
      <c r="W358" s="85"/>
      <c r="Y358" s="94"/>
      <c r="Z358" s="93"/>
      <c r="AA358" s="85"/>
      <c r="AC358" s="94"/>
      <c r="AD358" s="93"/>
      <c r="AE358" s="85"/>
    </row>
    <row r="359" spans="7:31" ht="14.5" customHeight="1" x14ac:dyDescent="0.35">
      <c r="G359" s="85"/>
      <c r="H359" s="87"/>
      <c r="K359" s="85"/>
      <c r="M359" s="94"/>
      <c r="N359" s="93"/>
      <c r="O359" s="85"/>
      <c r="Q359" s="94"/>
      <c r="R359" s="93"/>
      <c r="S359" s="85"/>
      <c r="U359" s="94"/>
      <c r="V359" s="93"/>
      <c r="W359" s="85"/>
      <c r="Y359" s="94"/>
      <c r="Z359" s="93"/>
      <c r="AA359" s="85"/>
      <c r="AC359" s="94"/>
      <c r="AD359" s="93"/>
      <c r="AE359" s="85"/>
    </row>
    <row r="360" spans="7:31" ht="14.5" customHeight="1" x14ac:dyDescent="0.35">
      <c r="G360" s="85"/>
      <c r="H360" s="87"/>
      <c r="K360" s="85"/>
      <c r="M360" s="94"/>
      <c r="N360" s="93"/>
      <c r="O360" s="85"/>
      <c r="Q360" s="94"/>
      <c r="R360" s="93"/>
      <c r="S360" s="85"/>
      <c r="U360" s="94"/>
      <c r="V360" s="93"/>
      <c r="W360" s="85"/>
      <c r="Y360" s="94"/>
      <c r="Z360" s="93"/>
      <c r="AA360" s="85"/>
      <c r="AC360" s="94"/>
      <c r="AD360" s="93"/>
      <c r="AE360" s="85"/>
    </row>
    <row r="361" spans="7:31" ht="14.5" customHeight="1" x14ac:dyDescent="0.35">
      <c r="G361" s="85"/>
      <c r="H361" s="87"/>
      <c r="K361" s="85"/>
      <c r="M361" s="94"/>
      <c r="N361" s="93"/>
      <c r="O361" s="85"/>
      <c r="Q361" s="94"/>
      <c r="R361" s="93"/>
      <c r="S361" s="85"/>
      <c r="U361" s="94"/>
      <c r="V361" s="93"/>
      <c r="W361" s="85"/>
      <c r="Y361" s="94"/>
      <c r="Z361" s="93"/>
      <c r="AA361" s="85"/>
      <c r="AC361" s="94"/>
      <c r="AD361" s="93"/>
      <c r="AE361" s="85"/>
    </row>
    <row r="362" spans="7:31" ht="14.5" customHeight="1" x14ac:dyDescent="0.35">
      <c r="G362" s="85"/>
      <c r="H362" s="87"/>
      <c r="K362" s="85"/>
      <c r="M362" s="94"/>
      <c r="N362" s="93"/>
      <c r="O362" s="85"/>
      <c r="Q362" s="94"/>
      <c r="R362" s="93"/>
      <c r="S362" s="85"/>
      <c r="U362" s="94"/>
      <c r="V362" s="93"/>
      <c r="W362" s="85"/>
      <c r="Y362" s="94"/>
      <c r="Z362" s="93"/>
      <c r="AA362" s="85"/>
      <c r="AC362" s="94"/>
      <c r="AD362" s="93"/>
      <c r="AE362" s="85"/>
    </row>
    <row r="363" spans="7:31" ht="14.5" customHeight="1" x14ac:dyDescent="0.35">
      <c r="G363" s="85"/>
      <c r="H363" s="87"/>
      <c r="K363" s="85"/>
      <c r="M363" s="94"/>
      <c r="N363" s="93"/>
      <c r="O363" s="85"/>
      <c r="Q363" s="94"/>
      <c r="R363" s="93"/>
      <c r="S363" s="85"/>
      <c r="U363" s="94"/>
      <c r="V363" s="93"/>
      <c r="W363" s="85"/>
      <c r="Y363" s="94"/>
      <c r="Z363" s="93"/>
      <c r="AA363" s="85"/>
      <c r="AC363" s="94"/>
      <c r="AD363" s="93"/>
      <c r="AE363" s="85"/>
    </row>
    <row r="364" spans="7:31" ht="14.5" customHeight="1" x14ac:dyDescent="0.35">
      <c r="G364" s="85"/>
      <c r="H364" s="87"/>
      <c r="K364" s="85"/>
      <c r="M364" s="94"/>
      <c r="N364" s="93"/>
      <c r="O364" s="85"/>
      <c r="Q364" s="94"/>
      <c r="R364" s="93"/>
      <c r="S364" s="85"/>
      <c r="U364" s="94"/>
      <c r="V364" s="93"/>
      <c r="W364" s="85"/>
      <c r="Y364" s="94"/>
      <c r="Z364" s="93"/>
      <c r="AA364" s="85"/>
      <c r="AC364" s="94"/>
      <c r="AD364" s="93"/>
      <c r="AE364" s="85"/>
    </row>
    <row r="365" spans="7:31" ht="14.5" customHeight="1" x14ac:dyDescent="0.35">
      <c r="G365" s="85"/>
      <c r="H365" s="87"/>
      <c r="K365" s="85"/>
      <c r="M365" s="94"/>
      <c r="N365" s="93"/>
      <c r="O365" s="85"/>
      <c r="Q365" s="94"/>
      <c r="R365" s="93"/>
      <c r="S365" s="85"/>
      <c r="U365" s="94"/>
      <c r="V365" s="93"/>
      <c r="W365" s="85"/>
      <c r="Y365" s="94"/>
      <c r="Z365" s="93"/>
      <c r="AA365" s="85"/>
      <c r="AC365" s="94"/>
      <c r="AD365" s="93"/>
      <c r="AE365" s="85"/>
    </row>
    <row r="366" spans="7:31" ht="14.5" customHeight="1" x14ac:dyDescent="0.35">
      <c r="G366" s="85"/>
      <c r="H366" s="87"/>
      <c r="K366" s="85"/>
      <c r="M366" s="94"/>
      <c r="N366" s="93"/>
      <c r="O366" s="85"/>
      <c r="Q366" s="94"/>
      <c r="R366" s="93"/>
      <c r="S366" s="85"/>
      <c r="U366" s="94"/>
      <c r="V366" s="93"/>
      <c r="W366" s="85"/>
      <c r="Y366" s="94"/>
      <c r="Z366" s="93"/>
      <c r="AA366" s="85"/>
      <c r="AC366" s="94"/>
      <c r="AD366" s="93"/>
      <c r="AE366" s="85"/>
    </row>
    <row r="367" spans="7:31" ht="14.5" customHeight="1" x14ac:dyDescent="0.35">
      <c r="G367" s="85"/>
      <c r="H367" s="87"/>
      <c r="K367" s="85"/>
      <c r="M367" s="94"/>
      <c r="N367" s="93"/>
      <c r="O367" s="85"/>
      <c r="Q367" s="94"/>
      <c r="R367" s="93"/>
      <c r="S367" s="85"/>
      <c r="U367" s="94"/>
      <c r="V367" s="93"/>
      <c r="W367" s="85"/>
      <c r="Y367" s="94"/>
      <c r="Z367" s="93"/>
      <c r="AA367" s="85"/>
      <c r="AC367" s="94"/>
      <c r="AD367" s="93"/>
      <c r="AE367" s="85"/>
    </row>
    <row r="368" spans="7:31" ht="14.5" customHeight="1" x14ac:dyDescent="0.35">
      <c r="G368" s="85"/>
      <c r="H368" s="87"/>
      <c r="K368" s="85"/>
      <c r="M368" s="94"/>
      <c r="N368" s="93"/>
      <c r="O368" s="85"/>
      <c r="Q368" s="94"/>
      <c r="R368" s="93"/>
      <c r="S368" s="85"/>
      <c r="U368" s="94"/>
      <c r="V368" s="93"/>
      <c r="W368" s="85"/>
      <c r="Y368" s="94"/>
      <c r="Z368" s="93"/>
      <c r="AA368" s="85"/>
      <c r="AC368" s="94"/>
      <c r="AD368" s="93"/>
      <c r="AE368" s="85"/>
    </row>
    <row r="369" spans="7:31" ht="14.5" customHeight="1" x14ac:dyDescent="0.35">
      <c r="G369" s="85"/>
      <c r="H369" s="87"/>
      <c r="K369" s="85"/>
      <c r="M369" s="94"/>
      <c r="N369" s="93"/>
      <c r="O369" s="85"/>
      <c r="Q369" s="94"/>
      <c r="R369" s="93"/>
      <c r="S369" s="85"/>
      <c r="U369" s="94"/>
      <c r="V369" s="93"/>
      <c r="W369" s="85"/>
      <c r="Y369" s="94"/>
      <c r="Z369" s="93"/>
      <c r="AA369" s="85"/>
      <c r="AC369" s="94"/>
      <c r="AD369" s="93"/>
      <c r="AE369" s="85"/>
    </row>
    <row r="370" spans="7:31" ht="14.5" customHeight="1" x14ac:dyDescent="0.35">
      <c r="G370" s="85"/>
      <c r="H370" s="87"/>
      <c r="K370" s="85"/>
      <c r="M370" s="94"/>
      <c r="N370" s="93"/>
      <c r="O370" s="85"/>
      <c r="Q370" s="94"/>
      <c r="R370" s="93"/>
      <c r="S370" s="85"/>
      <c r="U370" s="94"/>
      <c r="V370" s="93"/>
      <c r="W370" s="85"/>
      <c r="Y370" s="94"/>
      <c r="Z370" s="93"/>
      <c r="AA370" s="85"/>
      <c r="AC370" s="94"/>
      <c r="AD370" s="93"/>
      <c r="AE370" s="85"/>
    </row>
    <row r="371" spans="7:31" ht="14.5" customHeight="1" x14ac:dyDescent="0.35">
      <c r="G371" s="85"/>
      <c r="H371" s="87"/>
      <c r="K371" s="85"/>
      <c r="M371" s="94"/>
      <c r="N371" s="93"/>
      <c r="O371" s="85"/>
      <c r="Q371" s="94"/>
      <c r="R371" s="93"/>
      <c r="S371" s="85"/>
      <c r="U371" s="94"/>
      <c r="V371" s="93"/>
      <c r="W371" s="85"/>
      <c r="Y371" s="94"/>
      <c r="Z371" s="93"/>
      <c r="AA371" s="85"/>
      <c r="AC371" s="94"/>
      <c r="AD371" s="93"/>
      <c r="AE371" s="85"/>
    </row>
    <row r="372" spans="7:31" ht="14.5" customHeight="1" x14ac:dyDescent="0.35">
      <c r="G372" s="85"/>
      <c r="H372" s="87"/>
      <c r="K372" s="85"/>
      <c r="M372" s="94"/>
      <c r="N372" s="93"/>
      <c r="O372" s="85"/>
      <c r="Q372" s="94"/>
      <c r="R372" s="93"/>
      <c r="S372" s="85"/>
      <c r="U372" s="94"/>
      <c r="V372" s="93"/>
      <c r="W372" s="85"/>
      <c r="Y372" s="94"/>
      <c r="Z372" s="93"/>
      <c r="AA372" s="85"/>
      <c r="AC372" s="94"/>
      <c r="AD372" s="93"/>
      <c r="AE372" s="85"/>
    </row>
    <row r="373" spans="7:31" ht="14.5" customHeight="1" x14ac:dyDescent="0.35">
      <c r="G373" s="85"/>
      <c r="H373" s="87"/>
      <c r="K373" s="85"/>
      <c r="M373" s="94"/>
      <c r="N373" s="93"/>
      <c r="O373" s="85"/>
      <c r="Q373" s="94"/>
      <c r="R373" s="93"/>
      <c r="S373" s="85"/>
      <c r="U373" s="94"/>
      <c r="V373" s="93"/>
      <c r="W373" s="85"/>
      <c r="Y373" s="94"/>
      <c r="Z373" s="93"/>
      <c r="AA373" s="85"/>
      <c r="AC373" s="94"/>
      <c r="AD373" s="93"/>
      <c r="AE373" s="85"/>
    </row>
    <row r="374" spans="7:31" ht="14.5" customHeight="1" x14ac:dyDescent="0.35">
      <c r="G374" s="85"/>
      <c r="H374" s="87"/>
      <c r="K374" s="85"/>
      <c r="M374" s="94"/>
      <c r="N374" s="93"/>
      <c r="O374" s="85"/>
      <c r="Q374" s="94"/>
      <c r="R374" s="93"/>
      <c r="S374" s="85"/>
      <c r="U374" s="94"/>
      <c r="V374" s="93"/>
      <c r="W374" s="85"/>
      <c r="Y374" s="94"/>
      <c r="Z374" s="93"/>
      <c r="AA374" s="85"/>
      <c r="AC374" s="94"/>
      <c r="AD374" s="93"/>
      <c r="AE374" s="85"/>
    </row>
    <row r="375" spans="7:31" ht="14.5" customHeight="1" x14ac:dyDescent="0.35">
      <c r="G375" s="85"/>
      <c r="H375" s="87"/>
      <c r="K375" s="85"/>
      <c r="M375" s="94"/>
      <c r="N375" s="93"/>
      <c r="O375" s="85"/>
      <c r="Q375" s="94"/>
      <c r="R375" s="93"/>
      <c r="S375" s="85"/>
      <c r="U375" s="94"/>
      <c r="V375" s="93"/>
      <c r="W375" s="85"/>
      <c r="Y375" s="94"/>
      <c r="Z375" s="93"/>
      <c r="AA375" s="85"/>
      <c r="AC375" s="94"/>
      <c r="AD375" s="93"/>
      <c r="AE375" s="85"/>
    </row>
    <row r="376" spans="7:31" ht="14.5" customHeight="1" x14ac:dyDescent="0.35">
      <c r="G376" s="85"/>
      <c r="H376" s="87"/>
      <c r="K376" s="85"/>
      <c r="M376" s="94"/>
      <c r="N376" s="93"/>
      <c r="O376" s="85"/>
      <c r="Q376" s="94"/>
      <c r="R376" s="93"/>
      <c r="S376" s="85"/>
      <c r="U376" s="94"/>
      <c r="V376" s="93"/>
      <c r="W376" s="85"/>
      <c r="Y376" s="94"/>
      <c r="Z376" s="93"/>
      <c r="AA376" s="85"/>
      <c r="AC376" s="94"/>
      <c r="AD376" s="93"/>
      <c r="AE376" s="85"/>
    </row>
    <row r="377" spans="7:31" ht="14.5" customHeight="1" x14ac:dyDescent="0.35">
      <c r="G377" s="85"/>
      <c r="H377" s="87"/>
      <c r="K377" s="85"/>
      <c r="M377" s="94"/>
      <c r="N377" s="93"/>
      <c r="O377" s="85"/>
      <c r="Q377" s="94"/>
      <c r="R377" s="93"/>
      <c r="S377" s="85"/>
      <c r="U377" s="94"/>
      <c r="V377" s="93"/>
      <c r="W377" s="85"/>
      <c r="Y377" s="94"/>
      <c r="Z377" s="93"/>
      <c r="AA377" s="85"/>
      <c r="AC377" s="94"/>
      <c r="AD377" s="93"/>
      <c r="AE377" s="85"/>
    </row>
    <row r="378" spans="7:31" ht="14.5" customHeight="1" x14ac:dyDescent="0.35">
      <c r="G378" s="85"/>
      <c r="H378" s="87"/>
      <c r="K378" s="85"/>
      <c r="M378" s="94"/>
      <c r="N378" s="93"/>
      <c r="O378" s="85"/>
      <c r="Q378" s="94"/>
      <c r="R378" s="93"/>
      <c r="S378" s="85"/>
      <c r="U378" s="94"/>
      <c r="V378" s="93"/>
      <c r="W378" s="85"/>
      <c r="Y378" s="94"/>
      <c r="Z378" s="93"/>
      <c r="AA378" s="85"/>
      <c r="AC378" s="94"/>
      <c r="AD378" s="93"/>
      <c r="AE378" s="85"/>
    </row>
    <row r="379" spans="7:31" ht="14.5" customHeight="1" x14ac:dyDescent="0.35">
      <c r="G379" s="85"/>
      <c r="H379" s="87"/>
      <c r="K379" s="85"/>
      <c r="M379" s="94"/>
      <c r="N379" s="93"/>
      <c r="O379" s="85"/>
      <c r="Q379" s="94"/>
      <c r="R379" s="93"/>
      <c r="S379" s="85"/>
      <c r="U379" s="94"/>
      <c r="V379" s="93"/>
      <c r="W379" s="85"/>
      <c r="Y379" s="94"/>
      <c r="Z379" s="93"/>
      <c r="AA379" s="85"/>
      <c r="AC379" s="94"/>
      <c r="AD379" s="93"/>
      <c r="AE379" s="85"/>
    </row>
    <row r="380" spans="7:31" ht="14.5" customHeight="1" x14ac:dyDescent="0.35">
      <c r="G380" s="85"/>
      <c r="H380" s="87"/>
      <c r="K380" s="85"/>
      <c r="M380" s="94"/>
      <c r="N380" s="93"/>
      <c r="O380" s="85"/>
      <c r="Q380" s="94"/>
      <c r="R380" s="93"/>
      <c r="S380" s="85"/>
      <c r="U380" s="94"/>
      <c r="V380" s="93"/>
      <c r="W380" s="85"/>
      <c r="Y380" s="94"/>
      <c r="Z380" s="93"/>
      <c r="AA380" s="85"/>
      <c r="AC380" s="94"/>
      <c r="AD380" s="93"/>
      <c r="AE380" s="85"/>
    </row>
    <row r="381" spans="7:31" ht="14.5" customHeight="1" x14ac:dyDescent="0.35">
      <c r="G381" s="85"/>
      <c r="H381" s="87"/>
      <c r="K381" s="85"/>
      <c r="M381" s="94"/>
      <c r="N381" s="93"/>
      <c r="O381" s="85"/>
      <c r="Q381" s="94"/>
      <c r="R381" s="93"/>
      <c r="S381" s="85"/>
      <c r="U381" s="94"/>
      <c r="V381" s="93"/>
      <c r="W381" s="85"/>
      <c r="Y381" s="94"/>
      <c r="Z381" s="93"/>
      <c r="AA381" s="85"/>
      <c r="AC381" s="94"/>
      <c r="AD381" s="93"/>
      <c r="AE381" s="85"/>
    </row>
    <row r="382" spans="7:31" ht="14.5" customHeight="1" x14ac:dyDescent="0.35">
      <c r="G382" s="85"/>
      <c r="H382" s="87"/>
      <c r="K382" s="85"/>
      <c r="M382" s="94"/>
      <c r="N382" s="93"/>
      <c r="O382" s="85"/>
      <c r="Q382" s="94"/>
      <c r="R382" s="93"/>
      <c r="S382" s="85"/>
      <c r="U382" s="94"/>
      <c r="V382" s="93"/>
      <c r="W382" s="85"/>
      <c r="Y382" s="94"/>
      <c r="Z382" s="93"/>
      <c r="AA382" s="85"/>
      <c r="AC382" s="94"/>
      <c r="AD382" s="93"/>
      <c r="AE382" s="85"/>
    </row>
    <row r="383" spans="7:31" ht="14.5" customHeight="1" x14ac:dyDescent="0.35">
      <c r="G383" s="85"/>
      <c r="H383" s="87"/>
      <c r="K383" s="85"/>
      <c r="M383" s="94"/>
      <c r="N383" s="93"/>
      <c r="O383" s="85"/>
      <c r="Q383" s="94"/>
      <c r="R383" s="93"/>
      <c r="S383" s="85"/>
      <c r="U383" s="94"/>
      <c r="V383" s="93"/>
      <c r="W383" s="85"/>
      <c r="Y383" s="94"/>
      <c r="Z383" s="93"/>
      <c r="AA383" s="85"/>
      <c r="AC383" s="94"/>
      <c r="AD383" s="93"/>
      <c r="AE383" s="85"/>
    </row>
    <row r="384" spans="7:31" ht="14.5" customHeight="1" x14ac:dyDescent="0.35">
      <c r="G384" s="85"/>
      <c r="H384" s="87"/>
      <c r="K384" s="85"/>
      <c r="M384" s="94"/>
      <c r="N384" s="93"/>
      <c r="O384" s="85"/>
      <c r="Q384" s="94"/>
      <c r="R384" s="93"/>
      <c r="S384" s="85"/>
      <c r="U384" s="94"/>
      <c r="V384" s="93"/>
      <c r="W384" s="85"/>
      <c r="Y384" s="94"/>
      <c r="Z384" s="93"/>
      <c r="AA384" s="85"/>
      <c r="AC384" s="94"/>
      <c r="AD384" s="93"/>
      <c r="AE384" s="85"/>
    </row>
    <row r="385" spans="7:31" ht="14.5" customHeight="1" x14ac:dyDescent="0.35">
      <c r="G385" s="85"/>
      <c r="H385" s="87"/>
      <c r="K385" s="85"/>
      <c r="M385" s="94"/>
      <c r="N385" s="93"/>
      <c r="O385" s="85"/>
      <c r="Q385" s="94"/>
      <c r="R385" s="93"/>
      <c r="S385" s="85"/>
      <c r="U385" s="94"/>
      <c r="V385" s="93"/>
      <c r="W385" s="85"/>
      <c r="Y385" s="94"/>
      <c r="Z385" s="93"/>
      <c r="AA385" s="85"/>
      <c r="AC385" s="94"/>
      <c r="AD385" s="93"/>
      <c r="AE385" s="85"/>
    </row>
    <row r="386" spans="7:31" ht="14.5" customHeight="1" x14ac:dyDescent="0.35">
      <c r="G386" s="85"/>
      <c r="H386" s="87"/>
      <c r="K386" s="85"/>
      <c r="M386" s="94"/>
      <c r="N386" s="93"/>
      <c r="O386" s="85"/>
      <c r="Q386" s="94"/>
      <c r="R386" s="93"/>
      <c r="S386" s="85"/>
      <c r="U386" s="94"/>
      <c r="V386" s="93"/>
      <c r="W386" s="85"/>
      <c r="Y386" s="94"/>
      <c r="Z386" s="93"/>
      <c r="AA386" s="85"/>
      <c r="AC386" s="94"/>
      <c r="AD386" s="93"/>
      <c r="AE386" s="85"/>
    </row>
    <row r="387" spans="7:31" ht="14.5" customHeight="1" x14ac:dyDescent="0.35">
      <c r="G387" s="85"/>
      <c r="H387" s="87"/>
      <c r="K387" s="85"/>
      <c r="M387" s="94"/>
      <c r="N387" s="93"/>
      <c r="O387" s="85"/>
      <c r="Q387" s="94"/>
      <c r="R387" s="93"/>
      <c r="S387" s="85"/>
      <c r="U387" s="94"/>
      <c r="V387" s="93"/>
      <c r="W387" s="85"/>
      <c r="Y387" s="94"/>
      <c r="Z387" s="93"/>
      <c r="AA387" s="85"/>
      <c r="AC387" s="94"/>
      <c r="AD387" s="93"/>
      <c r="AE387" s="85"/>
    </row>
    <row r="388" spans="7:31" ht="14.5" customHeight="1" x14ac:dyDescent="0.35">
      <c r="G388" s="85"/>
      <c r="H388" s="87"/>
      <c r="K388" s="85"/>
      <c r="M388" s="94"/>
      <c r="N388" s="93"/>
      <c r="O388" s="85"/>
      <c r="Q388" s="94"/>
      <c r="R388" s="93"/>
      <c r="S388" s="85"/>
      <c r="U388" s="94"/>
      <c r="V388" s="93"/>
      <c r="W388" s="85"/>
      <c r="Y388" s="94"/>
      <c r="Z388" s="93"/>
      <c r="AA388" s="85"/>
      <c r="AC388" s="94"/>
      <c r="AD388" s="93"/>
      <c r="AE388" s="85"/>
    </row>
    <row r="389" spans="7:31" ht="14.5" customHeight="1" x14ac:dyDescent="0.35">
      <c r="G389" s="85"/>
      <c r="H389" s="87"/>
      <c r="K389" s="85"/>
      <c r="M389" s="94"/>
      <c r="N389" s="93"/>
      <c r="O389" s="85"/>
      <c r="Q389" s="94"/>
      <c r="R389" s="93"/>
      <c r="S389" s="85"/>
      <c r="U389" s="94"/>
      <c r="V389" s="93"/>
      <c r="W389" s="85"/>
      <c r="Y389" s="94"/>
      <c r="Z389" s="93"/>
      <c r="AA389" s="85"/>
      <c r="AC389" s="94"/>
      <c r="AD389" s="93"/>
      <c r="AE389" s="85"/>
    </row>
    <row r="390" spans="7:31" ht="14.5" customHeight="1" x14ac:dyDescent="0.35">
      <c r="G390" s="85"/>
      <c r="H390" s="87"/>
      <c r="K390" s="85"/>
      <c r="M390" s="94"/>
      <c r="N390" s="93"/>
      <c r="O390" s="85"/>
      <c r="Q390" s="94"/>
      <c r="R390" s="93"/>
      <c r="S390" s="85"/>
      <c r="U390" s="94"/>
      <c r="V390" s="93"/>
      <c r="W390" s="85"/>
      <c r="Y390" s="94"/>
      <c r="Z390" s="93"/>
      <c r="AA390" s="85"/>
      <c r="AC390" s="94"/>
      <c r="AD390" s="93"/>
      <c r="AE390" s="85"/>
    </row>
    <row r="391" spans="7:31" ht="14.5" customHeight="1" x14ac:dyDescent="0.35">
      <c r="G391" s="85"/>
      <c r="H391" s="87"/>
      <c r="K391" s="85"/>
      <c r="M391" s="94"/>
      <c r="N391" s="93"/>
      <c r="O391" s="85"/>
      <c r="Q391" s="94"/>
      <c r="R391" s="93"/>
      <c r="S391" s="85"/>
      <c r="U391" s="94"/>
      <c r="V391" s="93"/>
      <c r="W391" s="85"/>
      <c r="Y391" s="94"/>
      <c r="Z391" s="93"/>
      <c r="AA391" s="85"/>
      <c r="AC391" s="94"/>
      <c r="AD391" s="93"/>
      <c r="AE391" s="85"/>
    </row>
    <row r="392" spans="7:31" ht="14.5" customHeight="1" x14ac:dyDescent="0.35">
      <c r="G392" s="85"/>
      <c r="H392" s="87"/>
      <c r="K392" s="85"/>
      <c r="M392" s="94"/>
      <c r="N392" s="93"/>
      <c r="O392" s="85"/>
      <c r="Q392" s="94"/>
      <c r="R392" s="93"/>
      <c r="S392" s="85"/>
      <c r="U392" s="94"/>
      <c r="V392" s="93"/>
      <c r="W392" s="85"/>
      <c r="Y392" s="94"/>
      <c r="Z392" s="93"/>
      <c r="AA392" s="85"/>
      <c r="AC392" s="94"/>
      <c r="AD392" s="93"/>
      <c r="AE392" s="85"/>
    </row>
    <row r="393" spans="7:31" ht="14.5" customHeight="1" x14ac:dyDescent="0.35">
      <c r="G393" s="85"/>
      <c r="H393" s="87"/>
      <c r="K393" s="85"/>
      <c r="M393" s="94"/>
      <c r="N393" s="93"/>
      <c r="O393" s="85"/>
      <c r="Q393" s="94"/>
      <c r="R393" s="93"/>
      <c r="S393" s="85"/>
      <c r="U393" s="94"/>
      <c r="V393" s="93"/>
      <c r="W393" s="85"/>
      <c r="Y393" s="94"/>
      <c r="Z393" s="93"/>
      <c r="AA393" s="85"/>
      <c r="AC393" s="94"/>
      <c r="AD393" s="93"/>
      <c r="AE393" s="85"/>
    </row>
    <row r="394" spans="7:31" ht="14.5" customHeight="1" x14ac:dyDescent="0.35">
      <c r="G394" s="85"/>
      <c r="H394" s="87"/>
      <c r="K394" s="85"/>
      <c r="M394" s="94"/>
      <c r="N394" s="93"/>
      <c r="O394" s="85"/>
      <c r="Q394" s="94"/>
      <c r="R394" s="93"/>
      <c r="S394" s="85"/>
      <c r="U394" s="94"/>
      <c r="V394" s="93"/>
      <c r="W394" s="85"/>
      <c r="Y394" s="94"/>
      <c r="Z394" s="93"/>
      <c r="AA394" s="85"/>
      <c r="AC394" s="94"/>
      <c r="AD394" s="93"/>
      <c r="AE394" s="85"/>
    </row>
    <row r="395" spans="7:31" ht="14.5" customHeight="1" x14ac:dyDescent="0.35">
      <c r="G395" s="85"/>
      <c r="H395" s="87"/>
      <c r="K395" s="85"/>
      <c r="M395" s="94"/>
      <c r="N395" s="93"/>
      <c r="O395" s="85"/>
      <c r="Q395" s="94"/>
      <c r="R395" s="93"/>
      <c r="S395" s="85"/>
      <c r="U395" s="94"/>
      <c r="V395" s="93"/>
      <c r="W395" s="85"/>
      <c r="Y395" s="94"/>
      <c r="Z395" s="93"/>
      <c r="AA395" s="85"/>
      <c r="AC395" s="94"/>
      <c r="AD395" s="93"/>
      <c r="AE395" s="85"/>
    </row>
    <row r="396" spans="7:31" ht="14.5" customHeight="1" x14ac:dyDescent="0.35">
      <c r="G396" s="85"/>
      <c r="H396" s="87"/>
      <c r="K396" s="85"/>
      <c r="M396" s="94"/>
      <c r="N396" s="93"/>
      <c r="O396" s="85"/>
      <c r="Q396" s="94"/>
      <c r="R396" s="93"/>
      <c r="S396" s="85"/>
      <c r="U396" s="94"/>
      <c r="V396" s="93"/>
      <c r="W396" s="85"/>
      <c r="Y396" s="94"/>
      <c r="Z396" s="93"/>
      <c r="AA396" s="85"/>
      <c r="AC396" s="94"/>
      <c r="AD396" s="93"/>
      <c r="AE396" s="85"/>
    </row>
    <row r="397" spans="7:31" ht="14.5" customHeight="1" x14ac:dyDescent="0.35">
      <c r="G397" s="85"/>
      <c r="H397" s="87"/>
      <c r="K397" s="85"/>
      <c r="M397" s="94"/>
      <c r="N397" s="93"/>
      <c r="O397" s="85"/>
      <c r="Q397" s="94"/>
      <c r="R397" s="93"/>
      <c r="S397" s="85"/>
      <c r="U397" s="94"/>
      <c r="V397" s="93"/>
      <c r="W397" s="85"/>
      <c r="Y397" s="94"/>
      <c r="Z397" s="93"/>
      <c r="AA397" s="85"/>
      <c r="AC397" s="94"/>
      <c r="AD397" s="93"/>
      <c r="AE397" s="85"/>
    </row>
    <row r="398" spans="7:31" ht="14.5" customHeight="1" x14ac:dyDescent="0.35">
      <c r="G398" s="85"/>
      <c r="H398" s="87"/>
      <c r="K398" s="85"/>
      <c r="M398" s="94"/>
      <c r="N398" s="93"/>
      <c r="O398" s="85"/>
      <c r="Q398" s="94"/>
      <c r="R398" s="93"/>
      <c r="S398" s="85"/>
      <c r="U398" s="94"/>
      <c r="V398" s="93"/>
      <c r="W398" s="85"/>
      <c r="Y398" s="94"/>
      <c r="Z398" s="93"/>
      <c r="AA398" s="85"/>
      <c r="AC398" s="94"/>
      <c r="AD398" s="93"/>
      <c r="AE398" s="85"/>
    </row>
    <row r="399" spans="7:31" ht="14.5" customHeight="1" x14ac:dyDescent="0.35">
      <c r="G399" s="85"/>
      <c r="H399" s="87"/>
      <c r="K399" s="85"/>
      <c r="M399" s="94"/>
      <c r="N399" s="93"/>
      <c r="O399" s="85"/>
      <c r="Q399" s="94"/>
      <c r="R399" s="93"/>
      <c r="S399" s="85"/>
      <c r="U399" s="94"/>
      <c r="V399" s="93"/>
      <c r="W399" s="85"/>
      <c r="Y399" s="94"/>
      <c r="Z399" s="93"/>
      <c r="AA399" s="85"/>
      <c r="AC399" s="94"/>
      <c r="AD399" s="93"/>
      <c r="AE399" s="85"/>
    </row>
    <row r="400" spans="7:31" ht="14.5" customHeight="1" x14ac:dyDescent="0.35">
      <c r="G400" s="85"/>
      <c r="H400" s="87"/>
      <c r="K400" s="85"/>
      <c r="M400" s="94"/>
      <c r="N400" s="93"/>
      <c r="O400" s="85"/>
      <c r="Q400" s="94"/>
      <c r="R400" s="93"/>
      <c r="S400" s="85"/>
      <c r="U400" s="94"/>
      <c r="V400" s="93"/>
      <c r="W400" s="85"/>
      <c r="Y400" s="94"/>
      <c r="Z400" s="93"/>
      <c r="AA400" s="85"/>
      <c r="AC400" s="94"/>
      <c r="AD400" s="93"/>
      <c r="AE400" s="85"/>
    </row>
    <row r="401" spans="7:31" ht="14.5" customHeight="1" x14ac:dyDescent="0.35">
      <c r="G401" s="85"/>
      <c r="H401" s="87"/>
      <c r="K401" s="85"/>
      <c r="M401" s="94"/>
      <c r="N401" s="93"/>
      <c r="O401" s="85"/>
      <c r="Q401" s="94"/>
      <c r="R401" s="93"/>
      <c r="S401" s="85"/>
      <c r="U401" s="94"/>
      <c r="V401" s="93"/>
      <c r="W401" s="85"/>
      <c r="Y401" s="94"/>
      <c r="Z401" s="93"/>
      <c r="AA401" s="85"/>
      <c r="AC401" s="94"/>
      <c r="AD401" s="93"/>
      <c r="AE401" s="85"/>
    </row>
    <row r="402" spans="7:31" ht="14.5" customHeight="1" x14ac:dyDescent="0.35">
      <c r="G402" s="85"/>
      <c r="H402" s="87"/>
      <c r="K402" s="85"/>
      <c r="M402" s="94"/>
      <c r="N402" s="93"/>
      <c r="O402" s="85"/>
      <c r="Q402" s="94"/>
      <c r="R402" s="93"/>
      <c r="S402" s="85"/>
      <c r="U402" s="94"/>
      <c r="V402" s="93"/>
      <c r="W402" s="85"/>
      <c r="Y402" s="94"/>
      <c r="Z402" s="93"/>
      <c r="AA402" s="85"/>
      <c r="AC402" s="94"/>
      <c r="AD402" s="93"/>
      <c r="AE402" s="85"/>
    </row>
    <row r="403" spans="7:31" ht="14.5" customHeight="1" x14ac:dyDescent="0.35">
      <c r="G403" s="85"/>
      <c r="H403" s="87"/>
      <c r="K403" s="85"/>
      <c r="M403" s="94"/>
      <c r="N403" s="93"/>
      <c r="O403" s="85"/>
      <c r="Q403" s="94"/>
      <c r="R403" s="93"/>
      <c r="S403" s="85"/>
      <c r="U403" s="94"/>
      <c r="V403" s="93"/>
      <c r="W403" s="85"/>
      <c r="Y403" s="94"/>
      <c r="Z403" s="93"/>
      <c r="AA403" s="85"/>
      <c r="AC403" s="94"/>
      <c r="AD403" s="93"/>
      <c r="AE403" s="85"/>
    </row>
    <row r="404" spans="7:31" ht="14.5" customHeight="1" x14ac:dyDescent="0.35">
      <c r="G404" s="85"/>
      <c r="H404" s="87"/>
      <c r="K404" s="85"/>
      <c r="M404" s="94"/>
      <c r="N404" s="93"/>
      <c r="O404" s="85"/>
      <c r="Q404" s="94"/>
      <c r="R404" s="93"/>
      <c r="S404" s="85"/>
      <c r="U404" s="94"/>
      <c r="V404" s="93"/>
      <c r="W404" s="85"/>
      <c r="Y404" s="94"/>
      <c r="Z404" s="93"/>
      <c r="AA404" s="85"/>
      <c r="AC404" s="94"/>
      <c r="AD404" s="93"/>
      <c r="AE404" s="85"/>
    </row>
    <row r="405" spans="7:31" ht="14.5" customHeight="1" x14ac:dyDescent="0.35">
      <c r="G405" s="85"/>
      <c r="H405" s="87"/>
      <c r="K405" s="85"/>
      <c r="M405" s="94"/>
      <c r="N405" s="93"/>
      <c r="O405" s="85"/>
      <c r="Q405" s="94"/>
      <c r="R405" s="93"/>
      <c r="S405" s="85"/>
      <c r="U405" s="94"/>
      <c r="V405" s="93"/>
      <c r="W405" s="85"/>
      <c r="Y405" s="94"/>
      <c r="Z405" s="93"/>
      <c r="AA405" s="85"/>
      <c r="AC405" s="94"/>
      <c r="AD405" s="93"/>
      <c r="AE405" s="85"/>
    </row>
    <row r="406" spans="7:31" ht="14.5" customHeight="1" x14ac:dyDescent="0.35">
      <c r="G406" s="85"/>
      <c r="H406" s="87"/>
      <c r="K406" s="85"/>
      <c r="M406" s="94"/>
      <c r="N406" s="93"/>
      <c r="O406" s="85"/>
      <c r="Q406" s="94"/>
      <c r="R406" s="93"/>
      <c r="S406" s="85"/>
      <c r="U406" s="94"/>
      <c r="V406" s="93"/>
      <c r="W406" s="85"/>
      <c r="Y406" s="94"/>
      <c r="Z406" s="93"/>
      <c r="AA406" s="85"/>
      <c r="AC406" s="94"/>
      <c r="AD406" s="93"/>
      <c r="AE406" s="85"/>
    </row>
    <row r="407" spans="7:31" ht="14.5" customHeight="1" x14ac:dyDescent="0.35">
      <c r="G407" s="85"/>
      <c r="H407" s="87"/>
      <c r="K407" s="85"/>
      <c r="M407" s="94"/>
      <c r="N407" s="93"/>
      <c r="O407" s="85"/>
      <c r="Q407" s="94"/>
      <c r="R407" s="93"/>
      <c r="S407" s="85"/>
      <c r="U407" s="94"/>
      <c r="V407" s="93"/>
      <c r="W407" s="85"/>
      <c r="Y407" s="94"/>
      <c r="Z407" s="93"/>
      <c r="AA407" s="85"/>
      <c r="AC407" s="94"/>
      <c r="AD407" s="93"/>
      <c r="AE407" s="85"/>
    </row>
    <row r="408" spans="7:31" ht="14.5" customHeight="1" x14ac:dyDescent="0.35">
      <c r="G408" s="85"/>
      <c r="H408" s="87"/>
      <c r="K408" s="85"/>
      <c r="M408" s="94"/>
      <c r="N408" s="93"/>
      <c r="O408" s="85"/>
      <c r="Q408" s="94"/>
      <c r="R408" s="93"/>
      <c r="S408" s="85"/>
      <c r="U408" s="94"/>
      <c r="V408" s="93"/>
      <c r="W408" s="85"/>
      <c r="Y408" s="94"/>
      <c r="Z408" s="93"/>
      <c r="AA408" s="85"/>
      <c r="AC408" s="94"/>
      <c r="AD408" s="93"/>
      <c r="AE408" s="85"/>
    </row>
    <row r="409" spans="7:31" ht="14.5" customHeight="1" x14ac:dyDescent="0.35">
      <c r="G409" s="85"/>
      <c r="H409" s="87"/>
      <c r="K409" s="85"/>
      <c r="M409" s="94"/>
      <c r="N409" s="93"/>
      <c r="O409" s="85"/>
      <c r="Q409" s="94"/>
      <c r="R409" s="93"/>
      <c r="S409" s="85"/>
      <c r="U409" s="94"/>
      <c r="V409" s="93"/>
      <c r="W409" s="85"/>
      <c r="Y409" s="94"/>
      <c r="Z409" s="93"/>
      <c r="AA409" s="85"/>
      <c r="AC409" s="94"/>
      <c r="AD409" s="93"/>
      <c r="AE409" s="85"/>
    </row>
    <row r="410" spans="7:31" ht="14.5" customHeight="1" x14ac:dyDescent="0.35">
      <c r="G410" s="85"/>
      <c r="H410" s="87"/>
      <c r="K410" s="85"/>
      <c r="M410" s="94"/>
      <c r="N410" s="93"/>
      <c r="O410" s="85"/>
      <c r="Q410" s="94"/>
      <c r="R410" s="93"/>
      <c r="S410" s="85"/>
      <c r="U410" s="94"/>
      <c r="V410" s="93"/>
      <c r="W410" s="85"/>
      <c r="Y410" s="94"/>
      <c r="Z410" s="93"/>
      <c r="AA410" s="85"/>
      <c r="AC410" s="94"/>
      <c r="AD410" s="93"/>
      <c r="AE410" s="85"/>
    </row>
    <row r="411" spans="7:31" ht="14.5" customHeight="1" x14ac:dyDescent="0.35">
      <c r="G411" s="85"/>
      <c r="H411" s="87"/>
      <c r="K411" s="85"/>
      <c r="M411" s="94"/>
      <c r="N411" s="93"/>
      <c r="O411" s="85"/>
      <c r="Q411" s="94"/>
      <c r="R411" s="93"/>
      <c r="S411" s="85"/>
      <c r="U411" s="94"/>
      <c r="V411" s="93"/>
      <c r="W411" s="85"/>
      <c r="Y411" s="94"/>
      <c r="Z411" s="93"/>
      <c r="AA411" s="85"/>
      <c r="AC411" s="94"/>
      <c r="AD411" s="93"/>
      <c r="AE411" s="85"/>
    </row>
    <row r="412" spans="7:31" ht="14.5" customHeight="1" x14ac:dyDescent="0.35">
      <c r="G412" s="85"/>
      <c r="H412" s="87"/>
      <c r="K412" s="85"/>
      <c r="M412" s="94"/>
      <c r="N412" s="93"/>
      <c r="O412" s="85"/>
      <c r="Q412" s="94"/>
      <c r="R412" s="93"/>
      <c r="S412" s="85"/>
      <c r="U412" s="94"/>
      <c r="V412" s="93"/>
      <c r="W412" s="85"/>
      <c r="Y412" s="94"/>
      <c r="Z412" s="93"/>
      <c r="AA412" s="85"/>
      <c r="AC412" s="94"/>
      <c r="AD412" s="93"/>
      <c r="AE412" s="85"/>
    </row>
    <row r="413" spans="7:31" ht="14.5" customHeight="1" x14ac:dyDescent="0.35">
      <c r="G413" s="85"/>
      <c r="H413" s="87"/>
      <c r="K413" s="85"/>
      <c r="M413" s="94"/>
      <c r="N413" s="93"/>
      <c r="O413" s="85"/>
      <c r="Q413" s="94"/>
      <c r="R413" s="93"/>
      <c r="S413" s="85"/>
      <c r="U413" s="94"/>
      <c r="V413" s="93"/>
      <c r="W413" s="85"/>
      <c r="Y413" s="94"/>
      <c r="Z413" s="93"/>
      <c r="AA413" s="85"/>
      <c r="AC413" s="94"/>
      <c r="AD413" s="93"/>
      <c r="AE413" s="85"/>
    </row>
    <row r="414" spans="7:31" ht="14.5" customHeight="1" x14ac:dyDescent="0.35">
      <c r="G414" s="85"/>
      <c r="H414" s="87"/>
      <c r="K414" s="85"/>
      <c r="M414" s="94"/>
      <c r="N414" s="93"/>
      <c r="O414" s="85"/>
      <c r="Q414" s="94"/>
      <c r="R414" s="93"/>
      <c r="S414" s="85"/>
      <c r="U414" s="94"/>
      <c r="V414" s="93"/>
      <c r="W414" s="85"/>
      <c r="Y414" s="94"/>
      <c r="Z414" s="93"/>
      <c r="AA414" s="85"/>
      <c r="AC414" s="94"/>
      <c r="AD414" s="93"/>
      <c r="AE414" s="85"/>
    </row>
    <row r="415" spans="7:31" ht="14.5" customHeight="1" x14ac:dyDescent="0.35">
      <c r="G415" s="85"/>
      <c r="H415" s="87"/>
      <c r="K415" s="85"/>
      <c r="M415" s="94"/>
      <c r="N415" s="93"/>
      <c r="O415" s="85"/>
      <c r="Q415" s="94"/>
      <c r="R415" s="93"/>
      <c r="S415" s="85"/>
      <c r="U415" s="94"/>
      <c r="V415" s="93"/>
      <c r="W415" s="85"/>
      <c r="Y415" s="94"/>
      <c r="Z415" s="93"/>
      <c r="AA415" s="85"/>
      <c r="AC415" s="94"/>
      <c r="AD415" s="93"/>
      <c r="AE415" s="85"/>
    </row>
    <row r="416" spans="7:31" ht="14.5" customHeight="1" x14ac:dyDescent="0.35">
      <c r="G416" s="85"/>
      <c r="H416" s="87"/>
      <c r="K416" s="85"/>
      <c r="M416" s="94"/>
      <c r="N416" s="93"/>
      <c r="O416" s="85"/>
      <c r="Q416" s="94"/>
      <c r="R416" s="93"/>
      <c r="S416" s="85"/>
      <c r="U416" s="94"/>
      <c r="V416" s="93"/>
      <c r="W416" s="85"/>
      <c r="Y416" s="94"/>
      <c r="Z416" s="93"/>
      <c r="AA416" s="85"/>
      <c r="AC416" s="94"/>
      <c r="AD416" s="93"/>
      <c r="AE416" s="85"/>
    </row>
    <row r="417" spans="7:31" ht="14.5" customHeight="1" x14ac:dyDescent="0.35">
      <c r="G417" s="85"/>
      <c r="H417" s="87"/>
      <c r="K417" s="85"/>
      <c r="M417" s="94"/>
      <c r="N417" s="93"/>
      <c r="O417" s="85"/>
      <c r="Q417" s="94"/>
      <c r="R417" s="93"/>
      <c r="S417" s="85"/>
      <c r="U417" s="94"/>
      <c r="V417" s="93"/>
      <c r="W417" s="85"/>
      <c r="Y417" s="94"/>
      <c r="Z417" s="93"/>
      <c r="AA417" s="85"/>
      <c r="AC417" s="94"/>
      <c r="AD417" s="93"/>
      <c r="AE417" s="85"/>
    </row>
    <row r="418" spans="7:31" ht="14.5" customHeight="1" x14ac:dyDescent="0.35">
      <c r="G418" s="85"/>
      <c r="H418" s="87"/>
      <c r="K418" s="85"/>
      <c r="M418" s="94"/>
      <c r="N418" s="93"/>
      <c r="O418" s="85"/>
      <c r="Q418" s="94"/>
      <c r="R418" s="93"/>
      <c r="S418" s="85"/>
      <c r="U418" s="94"/>
      <c r="V418" s="93"/>
      <c r="W418" s="85"/>
      <c r="Y418" s="94"/>
      <c r="Z418" s="93"/>
      <c r="AA418" s="85"/>
      <c r="AC418" s="94"/>
      <c r="AD418" s="93"/>
      <c r="AE418" s="85"/>
    </row>
    <row r="419" spans="7:31" ht="14.5" customHeight="1" x14ac:dyDescent="0.35">
      <c r="G419" s="85"/>
      <c r="H419" s="87"/>
      <c r="K419" s="85"/>
      <c r="M419" s="94"/>
      <c r="N419" s="93"/>
      <c r="O419" s="85"/>
      <c r="Q419" s="94"/>
      <c r="R419" s="93"/>
      <c r="S419" s="85"/>
      <c r="U419" s="94"/>
      <c r="V419" s="93"/>
      <c r="W419" s="85"/>
      <c r="Y419" s="94"/>
      <c r="Z419" s="93"/>
      <c r="AA419" s="85"/>
      <c r="AC419" s="94"/>
      <c r="AD419" s="93"/>
      <c r="AE419" s="85"/>
    </row>
    <row r="420" spans="7:31" ht="14.5" customHeight="1" x14ac:dyDescent="0.35">
      <c r="G420" s="85"/>
      <c r="H420" s="87"/>
      <c r="K420" s="85"/>
      <c r="M420" s="94"/>
      <c r="N420" s="93"/>
      <c r="O420" s="85"/>
      <c r="Q420" s="94"/>
      <c r="R420" s="93"/>
      <c r="S420" s="85"/>
      <c r="U420" s="94"/>
      <c r="V420" s="93"/>
      <c r="W420" s="85"/>
      <c r="Y420" s="94"/>
      <c r="Z420" s="93"/>
      <c r="AA420" s="85"/>
      <c r="AC420" s="94"/>
      <c r="AD420" s="93"/>
      <c r="AE420" s="85"/>
    </row>
    <row r="421" spans="7:31" ht="14.5" customHeight="1" x14ac:dyDescent="0.35">
      <c r="G421" s="85"/>
      <c r="H421" s="87"/>
      <c r="K421" s="85"/>
      <c r="M421" s="94"/>
      <c r="N421" s="93"/>
      <c r="O421" s="85"/>
      <c r="Q421" s="94"/>
      <c r="R421" s="93"/>
      <c r="S421" s="85"/>
      <c r="U421" s="94"/>
      <c r="V421" s="93"/>
      <c r="W421" s="85"/>
      <c r="Y421" s="94"/>
      <c r="Z421" s="93"/>
      <c r="AA421" s="85"/>
      <c r="AC421" s="94"/>
      <c r="AD421" s="93"/>
      <c r="AE421" s="85"/>
    </row>
    <row r="422" spans="7:31" ht="14.5" customHeight="1" x14ac:dyDescent="0.35">
      <c r="G422" s="85"/>
      <c r="H422" s="87"/>
      <c r="K422" s="85"/>
      <c r="M422" s="94"/>
      <c r="N422" s="93"/>
      <c r="O422" s="85"/>
      <c r="Q422" s="94"/>
      <c r="R422" s="93"/>
      <c r="S422" s="85"/>
      <c r="U422" s="94"/>
      <c r="V422" s="93"/>
      <c r="W422" s="85"/>
      <c r="Y422" s="94"/>
      <c r="Z422" s="93"/>
      <c r="AA422" s="85"/>
      <c r="AC422" s="94"/>
      <c r="AD422" s="93"/>
      <c r="AE422" s="85"/>
    </row>
    <row r="423" spans="7:31" ht="14.5" customHeight="1" x14ac:dyDescent="0.35">
      <c r="G423" s="85"/>
      <c r="H423" s="87"/>
      <c r="K423" s="85"/>
      <c r="M423" s="94"/>
      <c r="N423" s="93"/>
      <c r="O423" s="85"/>
      <c r="Q423" s="94"/>
      <c r="R423" s="93"/>
      <c r="S423" s="85"/>
      <c r="U423" s="94"/>
      <c r="V423" s="93"/>
      <c r="W423" s="85"/>
      <c r="Y423" s="94"/>
      <c r="Z423" s="93"/>
      <c r="AA423" s="85"/>
      <c r="AC423" s="94"/>
      <c r="AD423" s="93"/>
      <c r="AE423" s="85"/>
    </row>
    <row r="424" spans="7:31" ht="14.5" customHeight="1" x14ac:dyDescent="0.35">
      <c r="G424" s="85"/>
      <c r="H424" s="87"/>
      <c r="K424" s="85"/>
      <c r="M424" s="94"/>
      <c r="N424" s="93"/>
      <c r="O424" s="85"/>
      <c r="Q424" s="94"/>
      <c r="R424" s="93"/>
      <c r="S424" s="85"/>
      <c r="U424" s="94"/>
      <c r="V424" s="93"/>
      <c r="W424" s="85"/>
      <c r="Y424" s="94"/>
      <c r="Z424" s="93"/>
      <c r="AA424" s="85"/>
      <c r="AC424" s="94"/>
      <c r="AD424" s="93"/>
      <c r="AE424" s="85"/>
    </row>
    <row r="425" spans="7:31" ht="14.5" customHeight="1" x14ac:dyDescent="0.35">
      <c r="G425" s="85"/>
      <c r="H425" s="87"/>
      <c r="K425" s="85"/>
      <c r="M425" s="94"/>
      <c r="N425" s="93"/>
      <c r="O425" s="85"/>
      <c r="Q425" s="94"/>
      <c r="R425" s="93"/>
      <c r="S425" s="85"/>
      <c r="U425" s="94"/>
      <c r="V425" s="93"/>
      <c r="W425" s="85"/>
      <c r="Y425" s="94"/>
      <c r="Z425" s="93"/>
      <c r="AA425" s="85"/>
      <c r="AC425" s="94"/>
      <c r="AD425" s="93"/>
      <c r="AE425" s="85"/>
    </row>
    <row r="426" spans="7:31" ht="14.5" customHeight="1" x14ac:dyDescent="0.35">
      <c r="G426" s="85"/>
      <c r="H426" s="87"/>
      <c r="K426" s="85"/>
      <c r="M426" s="94"/>
      <c r="N426" s="93"/>
      <c r="O426" s="85"/>
      <c r="Q426" s="94"/>
      <c r="R426" s="93"/>
      <c r="S426" s="85"/>
      <c r="U426" s="94"/>
      <c r="V426" s="93"/>
      <c r="W426" s="85"/>
      <c r="Y426" s="94"/>
      <c r="Z426" s="93"/>
      <c r="AA426" s="85"/>
      <c r="AC426" s="94"/>
      <c r="AD426" s="93"/>
      <c r="AE426" s="85"/>
    </row>
    <row r="427" spans="7:31" ht="14.5" customHeight="1" x14ac:dyDescent="0.35">
      <c r="G427" s="85"/>
      <c r="H427" s="87"/>
      <c r="K427" s="85"/>
      <c r="M427" s="94"/>
      <c r="N427" s="93"/>
      <c r="O427" s="85"/>
      <c r="Q427" s="94"/>
      <c r="R427" s="93"/>
      <c r="S427" s="85"/>
      <c r="U427" s="94"/>
      <c r="V427" s="93"/>
      <c r="W427" s="85"/>
      <c r="Y427" s="94"/>
      <c r="Z427" s="93"/>
      <c r="AA427" s="85"/>
      <c r="AC427" s="94"/>
      <c r="AD427" s="93"/>
      <c r="AE427" s="85"/>
    </row>
    <row r="428" spans="7:31" ht="14.5" customHeight="1" x14ac:dyDescent="0.35">
      <c r="G428" s="85"/>
      <c r="H428" s="87"/>
      <c r="K428" s="85"/>
      <c r="M428" s="94"/>
      <c r="N428" s="93"/>
      <c r="O428" s="85"/>
      <c r="Q428" s="94"/>
      <c r="R428" s="93"/>
      <c r="S428" s="85"/>
      <c r="U428" s="94"/>
      <c r="V428" s="93"/>
      <c r="W428" s="85"/>
      <c r="Y428" s="94"/>
      <c r="Z428" s="93"/>
      <c r="AA428" s="85"/>
      <c r="AC428" s="94"/>
      <c r="AD428" s="93"/>
      <c r="AE428" s="85"/>
    </row>
    <row r="429" spans="7:31" ht="14.5" customHeight="1" x14ac:dyDescent="0.35">
      <c r="G429" s="85"/>
      <c r="H429" s="87"/>
      <c r="K429" s="85"/>
      <c r="M429" s="94"/>
      <c r="N429" s="93"/>
      <c r="O429" s="85"/>
      <c r="Q429" s="94"/>
      <c r="R429" s="93"/>
      <c r="S429" s="85"/>
      <c r="U429" s="94"/>
      <c r="V429" s="93"/>
      <c r="W429" s="85"/>
      <c r="Y429" s="94"/>
      <c r="Z429" s="93"/>
      <c r="AA429" s="85"/>
      <c r="AC429" s="94"/>
      <c r="AD429" s="93"/>
      <c r="AE429" s="85"/>
    </row>
    <row r="430" spans="7:31" ht="14.5" customHeight="1" x14ac:dyDescent="0.35">
      <c r="G430" s="85"/>
      <c r="H430" s="87"/>
      <c r="K430" s="85"/>
      <c r="M430" s="94"/>
      <c r="N430" s="93"/>
      <c r="O430" s="85"/>
      <c r="Q430" s="94"/>
      <c r="R430" s="93"/>
      <c r="S430" s="85"/>
      <c r="U430" s="94"/>
      <c r="V430" s="93"/>
      <c r="W430" s="85"/>
      <c r="Y430" s="94"/>
      <c r="Z430" s="93"/>
      <c r="AA430" s="85"/>
      <c r="AC430" s="94"/>
      <c r="AD430" s="93"/>
      <c r="AE430" s="85"/>
    </row>
    <row r="431" spans="7:31" ht="14.5" customHeight="1" x14ac:dyDescent="0.35">
      <c r="G431" s="85"/>
      <c r="H431" s="87"/>
      <c r="K431" s="85"/>
      <c r="M431" s="94"/>
      <c r="N431" s="93"/>
      <c r="O431" s="85"/>
      <c r="Q431" s="94"/>
      <c r="R431" s="93"/>
      <c r="S431" s="85"/>
      <c r="U431" s="94"/>
      <c r="V431" s="93"/>
      <c r="W431" s="85"/>
      <c r="Y431" s="94"/>
      <c r="Z431" s="93"/>
      <c r="AA431" s="85"/>
      <c r="AC431" s="94"/>
      <c r="AD431" s="93"/>
      <c r="AE431" s="85"/>
    </row>
    <row r="432" spans="7:31" ht="14.5" customHeight="1" x14ac:dyDescent="0.35">
      <c r="G432" s="85"/>
      <c r="H432" s="87"/>
      <c r="K432" s="85"/>
      <c r="M432" s="94"/>
      <c r="N432" s="93"/>
      <c r="O432" s="85"/>
      <c r="Q432" s="94"/>
      <c r="R432" s="93"/>
      <c r="S432" s="85"/>
      <c r="U432" s="94"/>
      <c r="V432" s="93"/>
      <c r="W432" s="85"/>
      <c r="Y432" s="94"/>
      <c r="Z432" s="93"/>
      <c r="AA432" s="85"/>
      <c r="AC432" s="94"/>
      <c r="AD432" s="93"/>
      <c r="AE432" s="85"/>
    </row>
    <row r="433" spans="7:31" ht="14.5" customHeight="1" x14ac:dyDescent="0.35">
      <c r="G433" s="85"/>
      <c r="H433" s="87"/>
      <c r="K433" s="85"/>
      <c r="M433" s="94"/>
      <c r="N433" s="93"/>
      <c r="O433" s="85"/>
      <c r="Q433" s="94"/>
      <c r="R433" s="93"/>
      <c r="S433" s="85"/>
      <c r="U433" s="94"/>
      <c r="V433" s="93"/>
      <c r="W433" s="85"/>
      <c r="Y433" s="94"/>
      <c r="Z433" s="93"/>
      <c r="AA433" s="85"/>
      <c r="AC433" s="94"/>
      <c r="AD433" s="93"/>
      <c r="AE433" s="85"/>
    </row>
    <row r="434" spans="7:31" ht="14.5" customHeight="1" x14ac:dyDescent="0.35">
      <c r="G434" s="85"/>
      <c r="H434" s="87"/>
      <c r="K434" s="85"/>
      <c r="M434" s="94"/>
      <c r="N434" s="93"/>
      <c r="O434" s="85"/>
      <c r="Q434" s="94"/>
      <c r="R434" s="93"/>
      <c r="S434" s="85"/>
      <c r="U434" s="94"/>
      <c r="V434" s="93"/>
      <c r="W434" s="85"/>
      <c r="Y434" s="94"/>
      <c r="Z434" s="93"/>
      <c r="AA434" s="85"/>
      <c r="AC434" s="94"/>
      <c r="AD434" s="93"/>
      <c r="AE434" s="85"/>
    </row>
    <row r="435" spans="7:31" ht="14.5" customHeight="1" x14ac:dyDescent="0.35">
      <c r="G435" s="85"/>
      <c r="H435" s="87"/>
      <c r="K435" s="85"/>
      <c r="M435" s="94"/>
      <c r="N435" s="93"/>
      <c r="O435" s="85"/>
      <c r="Q435" s="94"/>
      <c r="R435" s="93"/>
      <c r="S435" s="85"/>
      <c r="U435" s="94"/>
      <c r="V435" s="93"/>
      <c r="W435" s="85"/>
      <c r="Y435" s="94"/>
      <c r="Z435" s="93"/>
      <c r="AA435" s="85"/>
      <c r="AC435" s="94"/>
      <c r="AD435" s="93"/>
      <c r="AE435" s="85"/>
    </row>
    <row r="436" spans="7:31" ht="14.5" customHeight="1" x14ac:dyDescent="0.35">
      <c r="G436" s="85"/>
      <c r="H436" s="87"/>
      <c r="K436" s="85"/>
      <c r="M436" s="94"/>
      <c r="N436" s="93"/>
      <c r="O436" s="85"/>
      <c r="Q436" s="94"/>
      <c r="R436" s="93"/>
      <c r="S436" s="85"/>
      <c r="U436" s="94"/>
      <c r="V436" s="93"/>
      <c r="W436" s="85"/>
      <c r="Y436" s="94"/>
      <c r="Z436" s="93"/>
      <c r="AA436" s="85"/>
      <c r="AC436" s="94"/>
      <c r="AD436" s="93"/>
      <c r="AE436" s="85"/>
    </row>
    <row r="437" spans="7:31" ht="14.5" customHeight="1" x14ac:dyDescent="0.35">
      <c r="G437" s="85"/>
      <c r="H437" s="87"/>
      <c r="K437" s="85"/>
      <c r="M437" s="94"/>
      <c r="N437" s="93"/>
      <c r="O437" s="85"/>
      <c r="Q437" s="94"/>
      <c r="R437" s="93"/>
      <c r="S437" s="85"/>
      <c r="U437" s="94"/>
      <c r="V437" s="93"/>
      <c r="W437" s="85"/>
      <c r="Y437" s="94"/>
      <c r="Z437" s="93"/>
      <c r="AA437" s="85"/>
      <c r="AC437" s="94"/>
      <c r="AD437" s="93"/>
      <c r="AE437" s="85"/>
    </row>
    <row r="438" spans="7:31" ht="14.5" customHeight="1" x14ac:dyDescent="0.35">
      <c r="G438" s="85"/>
      <c r="H438" s="87"/>
      <c r="K438" s="85"/>
      <c r="M438" s="94"/>
      <c r="N438" s="93"/>
      <c r="O438" s="85"/>
      <c r="Q438" s="94"/>
      <c r="R438" s="93"/>
      <c r="S438" s="85"/>
      <c r="U438" s="94"/>
      <c r="V438" s="93"/>
      <c r="W438" s="85"/>
      <c r="Y438" s="94"/>
      <c r="Z438" s="93"/>
      <c r="AA438" s="85"/>
      <c r="AC438" s="94"/>
      <c r="AD438" s="93"/>
      <c r="AE438" s="85"/>
    </row>
    <row r="439" spans="7:31" ht="14.5" customHeight="1" x14ac:dyDescent="0.35">
      <c r="G439" s="85"/>
      <c r="H439" s="87"/>
      <c r="K439" s="85"/>
      <c r="M439" s="94"/>
      <c r="N439" s="93"/>
      <c r="O439" s="85"/>
      <c r="Q439" s="94"/>
      <c r="R439" s="93"/>
      <c r="S439" s="85"/>
      <c r="U439" s="94"/>
      <c r="V439" s="93"/>
      <c r="W439" s="85"/>
      <c r="Y439" s="94"/>
      <c r="Z439" s="93"/>
      <c r="AA439" s="85"/>
      <c r="AC439" s="94"/>
      <c r="AD439" s="93"/>
      <c r="AE439" s="85"/>
    </row>
    <row r="440" spans="7:31" ht="14.5" customHeight="1" x14ac:dyDescent="0.35">
      <c r="G440" s="85"/>
      <c r="H440" s="87"/>
      <c r="K440" s="85"/>
      <c r="M440" s="94"/>
      <c r="N440" s="93"/>
      <c r="O440" s="85"/>
      <c r="Q440" s="94"/>
      <c r="R440" s="93"/>
      <c r="S440" s="85"/>
      <c r="U440" s="94"/>
      <c r="V440" s="93"/>
      <c r="W440" s="85"/>
      <c r="Y440" s="94"/>
      <c r="Z440" s="93"/>
      <c r="AA440" s="85"/>
      <c r="AC440" s="94"/>
      <c r="AD440" s="93"/>
      <c r="AE440" s="85"/>
    </row>
    <row r="441" spans="7:31" ht="14.5" customHeight="1" x14ac:dyDescent="0.35">
      <c r="G441" s="85"/>
      <c r="H441" s="87"/>
      <c r="K441" s="85"/>
      <c r="M441" s="94"/>
      <c r="N441" s="93"/>
      <c r="O441" s="85"/>
      <c r="Q441" s="94"/>
      <c r="R441" s="93"/>
      <c r="S441" s="85"/>
      <c r="U441" s="94"/>
      <c r="V441" s="93"/>
      <c r="W441" s="85"/>
      <c r="Y441" s="94"/>
      <c r="Z441" s="93"/>
      <c r="AA441" s="85"/>
      <c r="AC441" s="94"/>
      <c r="AD441" s="93"/>
      <c r="AE441" s="85"/>
    </row>
    <row r="442" spans="7:31" ht="14.5" customHeight="1" x14ac:dyDescent="0.35">
      <c r="G442" s="85"/>
      <c r="H442" s="87"/>
      <c r="K442" s="85"/>
      <c r="M442" s="94"/>
      <c r="N442" s="93"/>
      <c r="O442" s="85"/>
      <c r="Q442" s="94"/>
      <c r="R442" s="93"/>
      <c r="S442" s="85"/>
      <c r="U442" s="94"/>
      <c r="V442" s="93"/>
      <c r="W442" s="85"/>
      <c r="Y442" s="94"/>
      <c r="Z442" s="93"/>
      <c r="AA442" s="85"/>
      <c r="AC442" s="94"/>
      <c r="AD442" s="93"/>
      <c r="AE442" s="85"/>
    </row>
    <row r="443" spans="7:31" ht="14.5" customHeight="1" x14ac:dyDescent="0.35">
      <c r="G443" s="85"/>
      <c r="H443" s="87"/>
      <c r="K443" s="85"/>
      <c r="M443" s="94"/>
      <c r="N443" s="93"/>
      <c r="O443" s="85"/>
      <c r="Q443" s="94"/>
      <c r="R443" s="93"/>
      <c r="S443" s="85"/>
      <c r="U443" s="94"/>
      <c r="V443" s="93"/>
      <c r="W443" s="85"/>
      <c r="Y443" s="94"/>
      <c r="Z443" s="93"/>
      <c r="AA443" s="85"/>
      <c r="AC443" s="94"/>
      <c r="AD443" s="93"/>
      <c r="AE443" s="85"/>
    </row>
    <row r="444" spans="7:31" ht="14.5" customHeight="1" x14ac:dyDescent="0.35">
      <c r="G444" s="85"/>
      <c r="H444" s="87"/>
      <c r="K444" s="85"/>
      <c r="M444" s="94"/>
      <c r="N444" s="93"/>
      <c r="O444" s="85"/>
      <c r="Q444" s="94"/>
      <c r="R444" s="93"/>
      <c r="S444" s="85"/>
      <c r="U444" s="94"/>
      <c r="V444" s="93"/>
      <c r="W444" s="85"/>
      <c r="Y444" s="94"/>
      <c r="Z444" s="93"/>
      <c r="AA444" s="85"/>
      <c r="AC444" s="94"/>
      <c r="AD444" s="93"/>
      <c r="AE444" s="85"/>
    </row>
    <row r="445" spans="7:31" ht="14.5" customHeight="1" x14ac:dyDescent="0.35">
      <c r="G445" s="85"/>
      <c r="H445" s="87"/>
      <c r="K445" s="85"/>
      <c r="M445" s="94"/>
      <c r="N445" s="93"/>
      <c r="O445" s="85"/>
      <c r="Q445" s="94"/>
      <c r="R445" s="93"/>
      <c r="S445" s="85"/>
      <c r="U445" s="94"/>
      <c r="V445" s="93"/>
      <c r="W445" s="85"/>
      <c r="Y445" s="94"/>
      <c r="Z445" s="93"/>
      <c r="AA445" s="85"/>
      <c r="AC445" s="94"/>
      <c r="AD445" s="93"/>
      <c r="AE445" s="85"/>
    </row>
    <row r="446" spans="7:31" ht="14.5" customHeight="1" x14ac:dyDescent="0.35">
      <c r="G446" s="85"/>
      <c r="H446" s="87"/>
      <c r="K446" s="85"/>
      <c r="M446" s="94"/>
      <c r="N446" s="93"/>
      <c r="O446" s="85"/>
      <c r="Q446" s="94"/>
      <c r="R446" s="93"/>
      <c r="S446" s="85"/>
      <c r="U446" s="94"/>
      <c r="V446" s="93"/>
      <c r="W446" s="85"/>
      <c r="Y446" s="94"/>
      <c r="Z446" s="93"/>
      <c r="AA446" s="85"/>
      <c r="AC446" s="94"/>
      <c r="AD446" s="93"/>
      <c r="AE446" s="85"/>
    </row>
    <row r="447" spans="7:31" ht="14.5" customHeight="1" x14ac:dyDescent="0.35">
      <c r="G447" s="85"/>
      <c r="H447" s="87"/>
      <c r="K447" s="85"/>
      <c r="M447" s="94"/>
      <c r="N447" s="93"/>
      <c r="O447" s="85"/>
      <c r="Q447" s="94"/>
      <c r="R447" s="93"/>
      <c r="S447" s="85"/>
      <c r="U447" s="94"/>
      <c r="V447" s="93"/>
      <c r="W447" s="85"/>
      <c r="Y447" s="94"/>
      <c r="Z447" s="93"/>
      <c r="AA447" s="85"/>
      <c r="AC447" s="94"/>
      <c r="AD447" s="93"/>
      <c r="AE447" s="85"/>
    </row>
    <row r="448" spans="7:31" ht="14.5" customHeight="1" x14ac:dyDescent="0.35">
      <c r="G448" s="85"/>
      <c r="H448" s="87"/>
      <c r="K448" s="85"/>
      <c r="M448" s="94"/>
      <c r="N448" s="93"/>
      <c r="O448" s="85"/>
      <c r="Q448" s="94"/>
      <c r="R448" s="93"/>
      <c r="S448" s="85"/>
      <c r="U448" s="94"/>
      <c r="V448" s="93"/>
      <c r="W448" s="85"/>
      <c r="Y448" s="94"/>
      <c r="Z448" s="93"/>
      <c r="AA448" s="85"/>
      <c r="AC448" s="94"/>
      <c r="AD448" s="93"/>
      <c r="AE448" s="85"/>
    </row>
    <row r="449" spans="7:31" ht="14.5" customHeight="1" x14ac:dyDescent="0.35">
      <c r="G449" s="85"/>
      <c r="H449" s="87"/>
      <c r="K449" s="85"/>
      <c r="M449" s="94"/>
      <c r="N449" s="93"/>
      <c r="O449" s="85"/>
      <c r="Q449" s="94"/>
      <c r="R449" s="93"/>
      <c r="S449" s="85"/>
      <c r="U449" s="94"/>
      <c r="V449" s="93"/>
      <c r="W449" s="85"/>
      <c r="Y449" s="94"/>
      <c r="Z449" s="93"/>
      <c r="AA449" s="85"/>
      <c r="AC449" s="94"/>
      <c r="AD449" s="93"/>
      <c r="AE449" s="85"/>
    </row>
    <row r="450" spans="7:31" ht="14.5" customHeight="1" x14ac:dyDescent="0.35">
      <c r="G450" s="85"/>
      <c r="H450" s="87"/>
      <c r="K450" s="85"/>
      <c r="M450" s="94"/>
      <c r="N450" s="93"/>
      <c r="O450" s="85"/>
      <c r="Q450" s="94"/>
      <c r="R450" s="93"/>
      <c r="S450" s="85"/>
      <c r="U450" s="94"/>
      <c r="V450" s="93"/>
      <c r="W450" s="85"/>
      <c r="Y450" s="94"/>
      <c r="Z450" s="93"/>
      <c r="AA450" s="85"/>
      <c r="AC450" s="94"/>
      <c r="AD450" s="93"/>
      <c r="AE450" s="85"/>
    </row>
    <row r="451" spans="7:31" ht="14.5" customHeight="1" x14ac:dyDescent="0.35">
      <c r="G451" s="85"/>
      <c r="H451" s="87"/>
      <c r="K451" s="85"/>
      <c r="M451" s="94"/>
      <c r="N451" s="93"/>
      <c r="O451" s="85"/>
      <c r="Q451" s="94"/>
      <c r="R451" s="93"/>
      <c r="S451" s="85"/>
      <c r="U451" s="94"/>
      <c r="V451" s="93"/>
      <c r="W451" s="85"/>
      <c r="Y451" s="94"/>
      <c r="Z451" s="93"/>
      <c r="AA451" s="85"/>
      <c r="AC451" s="94"/>
      <c r="AD451" s="93"/>
      <c r="AE451" s="85"/>
    </row>
    <row r="452" spans="7:31" ht="14.5" customHeight="1" x14ac:dyDescent="0.35">
      <c r="G452" s="85"/>
      <c r="H452" s="87"/>
      <c r="K452" s="85"/>
      <c r="M452" s="94"/>
      <c r="N452" s="93"/>
      <c r="O452" s="85"/>
      <c r="Q452" s="94"/>
      <c r="R452" s="93"/>
      <c r="S452" s="85"/>
      <c r="U452" s="94"/>
      <c r="V452" s="93"/>
      <c r="W452" s="85"/>
      <c r="Y452" s="94"/>
      <c r="Z452" s="93"/>
      <c r="AA452" s="85"/>
      <c r="AC452" s="94"/>
      <c r="AD452" s="93"/>
      <c r="AE452" s="85"/>
    </row>
    <row r="453" spans="7:31" ht="14.5" customHeight="1" x14ac:dyDescent="0.35">
      <c r="G453" s="85"/>
      <c r="H453" s="87"/>
      <c r="K453" s="85"/>
      <c r="M453" s="94"/>
      <c r="N453" s="93"/>
      <c r="O453" s="85"/>
      <c r="Q453" s="94"/>
      <c r="R453" s="93"/>
      <c r="S453" s="85"/>
      <c r="U453" s="94"/>
      <c r="V453" s="93"/>
      <c r="W453" s="85"/>
      <c r="Y453" s="94"/>
      <c r="Z453" s="93"/>
      <c r="AA453" s="85"/>
      <c r="AC453" s="94"/>
      <c r="AD453" s="93"/>
      <c r="AE453" s="85"/>
    </row>
    <row r="454" spans="7:31" ht="14.5" customHeight="1" x14ac:dyDescent="0.35">
      <c r="G454" s="85"/>
      <c r="H454" s="87"/>
      <c r="K454" s="85"/>
      <c r="M454" s="94"/>
      <c r="N454" s="93"/>
      <c r="O454" s="85"/>
      <c r="Q454" s="94"/>
      <c r="R454" s="93"/>
      <c r="S454" s="85"/>
      <c r="U454" s="94"/>
      <c r="V454" s="93"/>
      <c r="W454" s="85"/>
      <c r="Y454" s="94"/>
      <c r="Z454" s="93"/>
      <c r="AA454" s="85"/>
      <c r="AC454" s="94"/>
      <c r="AD454" s="93"/>
      <c r="AE454" s="85"/>
    </row>
    <row r="455" spans="7:31" ht="14.5" customHeight="1" x14ac:dyDescent="0.35">
      <c r="G455" s="85"/>
      <c r="H455" s="87"/>
      <c r="K455" s="85"/>
      <c r="M455" s="94"/>
      <c r="N455" s="93"/>
      <c r="O455" s="85"/>
      <c r="Q455" s="94"/>
      <c r="R455" s="93"/>
      <c r="S455" s="85"/>
      <c r="U455" s="94"/>
      <c r="V455" s="93"/>
      <c r="W455" s="85"/>
      <c r="Y455" s="94"/>
      <c r="Z455" s="93"/>
      <c r="AA455" s="85"/>
      <c r="AC455" s="94"/>
      <c r="AD455" s="93"/>
      <c r="AE455" s="85"/>
    </row>
    <row r="456" spans="7:31" ht="14.5" customHeight="1" x14ac:dyDescent="0.35">
      <c r="G456" s="85"/>
      <c r="H456" s="87"/>
      <c r="K456" s="85"/>
      <c r="M456" s="94"/>
      <c r="N456" s="93"/>
      <c r="O456" s="85"/>
      <c r="Q456" s="94"/>
      <c r="R456" s="93"/>
      <c r="S456" s="85"/>
      <c r="U456" s="94"/>
      <c r="V456" s="93"/>
      <c r="W456" s="85"/>
      <c r="Y456" s="94"/>
      <c r="Z456" s="93"/>
      <c r="AA456" s="85"/>
      <c r="AC456" s="94"/>
      <c r="AD456" s="93"/>
      <c r="AE456" s="85"/>
    </row>
    <row r="457" spans="7:31" ht="14.5" customHeight="1" x14ac:dyDescent="0.35">
      <c r="G457" s="85"/>
      <c r="H457" s="87"/>
      <c r="K457" s="85"/>
      <c r="M457" s="94"/>
      <c r="N457" s="93"/>
      <c r="O457" s="85"/>
      <c r="Q457" s="94"/>
      <c r="R457" s="93"/>
      <c r="S457" s="85"/>
      <c r="U457" s="94"/>
      <c r="V457" s="93"/>
      <c r="W457" s="85"/>
      <c r="Y457" s="94"/>
      <c r="Z457" s="93"/>
      <c r="AA457" s="85"/>
      <c r="AC457" s="94"/>
      <c r="AD457" s="93"/>
      <c r="AE457" s="85"/>
    </row>
    <row r="458" spans="7:31" ht="14.5" customHeight="1" x14ac:dyDescent="0.35">
      <c r="G458" s="85"/>
      <c r="H458" s="87"/>
      <c r="K458" s="85"/>
      <c r="M458" s="94"/>
      <c r="N458" s="93"/>
      <c r="O458" s="85"/>
      <c r="Q458" s="94"/>
      <c r="R458" s="93"/>
      <c r="S458" s="85"/>
      <c r="U458" s="94"/>
      <c r="V458" s="93"/>
      <c r="W458" s="85"/>
      <c r="Y458" s="94"/>
      <c r="Z458" s="93"/>
      <c r="AA458" s="85"/>
      <c r="AC458" s="94"/>
      <c r="AD458" s="93"/>
      <c r="AE458" s="85"/>
    </row>
    <row r="459" spans="7:31" ht="14.5" customHeight="1" x14ac:dyDescent="0.35">
      <c r="G459" s="85"/>
      <c r="H459" s="87"/>
      <c r="K459" s="85"/>
      <c r="M459" s="94"/>
      <c r="N459" s="93"/>
      <c r="O459" s="85"/>
      <c r="Q459" s="94"/>
      <c r="R459" s="93"/>
      <c r="S459" s="85"/>
      <c r="U459" s="94"/>
      <c r="V459" s="93"/>
      <c r="W459" s="85"/>
      <c r="Y459" s="94"/>
      <c r="Z459" s="93"/>
      <c r="AA459" s="85"/>
      <c r="AC459" s="94"/>
      <c r="AD459" s="93"/>
      <c r="AE459" s="85"/>
    </row>
    <row r="460" spans="7:31" ht="14.5" customHeight="1" x14ac:dyDescent="0.35">
      <c r="G460" s="85"/>
      <c r="H460" s="87"/>
      <c r="K460" s="85"/>
      <c r="M460" s="94"/>
      <c r="N460" s="93"/>
      <c r="O460" s="85"/>
      <c r="Q460" s="94"/>
      <c r="R460" s="93"/>
      <c r="S460" s="85"/>
      <c r="U460" s="94"/>
      <c r="V460" s="93"/>
      <c r="W460" s="85"/>
      <c r="Y460" s="94"/>
      <c r="Z460" s="93"/>
      <c r="AA460" s="85"/>
      <c r="AC460" s="94"/>
      <c r="AD460" s="93"/>
      <c r="AE460" s="85"/>
    </row>
    <row r="461" spans="7:31" ht="14.5" customHeight="1" x14ac:dyDescent="0.35">
      <c r="G461" s="85"/>
      <c r="H461" s="87"/>
      <c r="K461" s="85"/>
      <c r="M461" s="94"/>
      <c r="N461" s="93"/>
      <c r="O461" s="85"/>
      <c r="Q461" s="94"/>
      <c r="R461" s="93"/>
      <c r="S461" s="85"/>
      <c r="U461" s="94"/>
      <c r="V461" s="93"/>
      <c r="W461" s="85"/>
      <c r="Y461" s="94"/>
      <c r="Z461" s="93"/>
      <c r="AA461" s="85"/>
      <c r="AC461" s="94"/>
      <c r="AD461" s="93"/>
      <c r="AE461" s="85"/>
    </row>
    <row r="462" spans="7:31" ht="14.5" customHeight="1" x14ac:dyDescent="0.35">
      <c r="G462" s="85"/>
      <c r="H462" s="87"/>
      <c r="K462" s="85"/>
      <c r="M462" s="94"/>
      <c r="N462" s="93"/>
      <c r="O462" s="85"/>
      <c r="Q462" s="94"/>
      <c r="R462" s="93"/>
      <c r="S462" s="85"/>
      <c r="U462" s="94"/>
      <c r="V462" s="93"/>
      <c r="W462" s="85"/>
      <c r="Y462" s="94"/>
      <c r="Z462" s="93"/>
      <c r="AA462" s="85"/>
      <c r="AC462" s="94"/>
      <c r="AD462" s="93"/>
      <c r="AE462" s="85"/>
    </row>
    <row r="463" spans="7:31" ht="14.5" customHeight="1" x14ac:dyDescent="0.35">
      <c r="G463" s="85"/>
      <c r="H463" s="87"/>
      <c r="K463" s="85"/>
      <c r="M463" s="94"/>
      <c r="N463" s="93"/>
      <c r="O463" s="85"/>
      <c r="Q463" s="94"/>
      <c r="R463" s="93"/>
      <c r="S463" s="85"/>
      <c r="U463" s="94"/>
      <c r="V463" s="93"/>
      <c r="W463" s="85"/>
      <c r="Y463" s="94"/>
      <c r="Z463" s="93"/>
      <c r="AA463" s="85"/>
      <c r="AC463" s="94"/>
      <c r="AD463" s="93"/>
      <c r="AE463" s="85"/>
    </row>
    <row r="464" spans="7:31" ht="14.5" customHeight="1" x14ac:dyDescent="0.35">
      <c r="G464" s="85"/>
      <c r="H464" s="87"/>
      <c r="K464" s="85"/>
      <c r="M464" s="94"/>
      <c r="N464" s="93"/>
      <c r="O464" s="85"/>
      <c r="Q464" s="94"/>
      <c r="R464" s="93"/>
      <c r="S464" s="85"/>
      <c r="U464" s="94"/>
      <c r="V464" s="93"/>
      <c r="W464" s="85"/>
      <c r="Y464" s="94"/>
      <c r="Z464" s="93"/>
      <c r="AA464" s="85"/>
      <c r="AC464" s="94"/>
      <c r="AD464" s="93"/>
      <c r="AE464" s="85"/>
    </row>
    <row r="465" spans="7:31" ht="14.5" customHeight="1" x14ac:dyDescent="0.35">
      <c r="G465" s="85"/>
      <c r="H465" s="87"/>
      <c r="K465" s="85"/>
      <c r="M465" s="94"/>
      <c r="N465" s="93"/>
      <c r="O465" s="85"/>
      <c r="Q465" s="94"/>
      <c r="R465" s="93"/>
      <c r="S465" s="85"/>
      <c r="U465" s="94"/>
      <c r="V465" s="93"/>
      <c r="W465" s="85"/>
      <c r="Y465" s="94"/>
      <c r="Z465" s="93"/>
      <c r="AA465" s="85"/>
      <c r="AC465" s="94"/>
      <c r="AD465" s="93"/>
      <c r="AE465" s="85"/>
    </row>
    <row r="466" spans="7:31" ht="14.5" customHeight="1" x14ac:dyDescent="0.35">
      <c r="G466" s="85"/>
      <c r="H466" s="87"/>
      <c r="K466" s="85"/>
      <c r="M466" s="94"/>
      <c r="N466" s="93"/>
      <c r="O466" s="85"/>
      <c r="Q466" s="94"/>
      <c r="R466" s="93"/>
      <c r="S466" s="85"/>
      <c r="U466" s="94"/>
      <c r="V466" s="93"/>
      <c r="W466" s="85"/>
      <c r="Y466" s="94"/>
      <c r="Z466" s="93"/>
      <c r="AA466" s="85"/>
      <c r="AC466" s="94"/>
      <c r="AD466" s="93"/>
      <c r="AE466" s="85"/>
    </row>
    <row r="467" spans="7:31" ht="14.5" customHeight="1" x14ac:dyDescent="0.35">
      <c r="G467" s="85"/>
      <c r="H467" s="87"/>
      <c r="K467" s="85"/>
      <c r="M467" s="94"/>
      <c r="N467" s="93"/>
      <c r="O467" s="85"/>
      <c r="Q467" s="94"/>
      <c r="R467" s="93"/>
      <c r="S467" s="85"/>
      <c r="U467" s="94"/>
      <c r="V467" s="93"/>
      <c r="W467" s="85"/>
      <c r="Y467" s="94"/>
      <c r="Z467" s="93"/>
      <c r="AA467" s="85"/>
      <c r="AC467" s="94"/>
      <c r="AD467" s="93"/>
      <c r="AE467" s="85"/>
    </row>
    <row r="468" spans="7:31" ht="14.5" customHeight="1" x14ac:dyDescent="0.35">
      <c r="G468" s="85"/>
      <c r="H468" s="87"/>
      <c r="K468" s="85"/>
      <c r="M468" s="94"/>
      <c r="N468" s="93"/>
      <c r="O468" s="85"/>
      <c r="Q468" s="94"/>
      <c r="R468" s="93"/>
      <c r="S468" s="85"/>
      <c r="U468" s="94"/>
      <c r="V468" s="93"/>
      <c r="W468" s="85"/>
      <c r="Y468" s="94"/>
      <c r="Z468" s="93"/>
      <c r="AA468" s="85"/>
      <c r="AC468" s="94"/>
      <c r="AD468" s="93"/>
      <c r="AE468" s="85"/>
    </row>
    <row r="469" spans="7:31" ht="14.5" customHeight="1" x14ac:dyDescent="0.35">
      <c r="G469" s="85"/>
      <c r="H469" s="87"/>
      <c r="K469" s="85"/>
      <c r="M469" s="94"/>
      <c r="N469" s="93"/>
      <c r="O469" s="85"/>
      <c r="Q469" s="94"/>
      <c r="R469" s="93"/>
      <c r="S469" s="85"/>
      <c r="U469" s="94"/>
      <c r="V469" s="93"/>
      <c r="W469" s="85"/>
      <c r="Y469" s="94"/>
      <c r="Z469" s="93"/>
      <c r="AA469" s="85"/>
      <c r="AC469" s="94"/>
      <c r="AD469" s="93"/>
      <c r="AE469" s="85"/>
    </row>
    <row r="470" spans="7:31" ht="14.5" customHeight="1" x14ac:dyDescent="0.35">
      <c r="G470" s="85"/>
      <c r="H470" s="87"/>
      <c r="K470" s="85"/>
      <c r="M470" s="94"/>
      <c r="N470" s="93"/>
      <c r="O470" s="85"/>
      <c r="Q470" s="94"/>
      <c r="R470" s="93"/>
      <c r="S470" s="85"/>
      <c r="U470" s="94"/>
      <c r="V470" s="93"/>
      <c r="W470" s="85"/>
      <c r="Y470" s="94"/>
      <c r="Z470" s="93"/>
      <c r="AA470" s="85"/>
      <c r="AC470" s="94"/>
      <c r="AD470" s="93"/>
      <c r="AE470" s="85"/>
    </row>
    <row r="471" spans="7:31" ht="14.5" customHeight="1" x14ac:dyDescent="0.35">
      <c r="G471" s="85"/>
      <c r="H471" s="87"/>
      <c r="K471" s="85"/>
      <c r="M471" s="94"/>
      <c r="N471" s="93"/>
      <c r="O471" s="85"/>
      <c r="Q471" s="94"/>
      <c r="R471" s="93"/>
      <c r="S471" s="85"/>
      <c r="U471" s="94"/>
      <c r="V471" s="93"/>
      <c r="W471" s="85"/>
      <c r="Y471" s="94"/>
      <c r="Z471" s="93"/>
      <c r="AA471" s="85"/>
      <c r="AC471" s="94"/>
      <c r="AD471" s="93"/>
      <c r="AE471" s="85"/>
    </row>
    <row r="472" spans="7:31" ht="14.5" customHeight="1" x14ac:dyDescent="0.35">
      <c r="G472" s="85"/>
      <c r="H472" s="87"/>
      <c r="K472" s="85"/>
      <c r="M472" s="94"/>
      <c r="N472" s="93"/>
      <c r="O472" s="85"/>
      <c r="Q472" s="94"/>
      <c r="R472" s="93"/>
      <c r="S472" s="85"/>
      <c r="U472" s="94"/>
      <c r="V472" s="93"/>
      <c r="W472" s="85"/>
      <c r="Y472" s="94"/>
      <c r="Z472" s="93"/>
      <c r="AA472" s="85"/>
      <c r="AC472" s="94"/>
      <c r="AD472" s="93"/>
      <c r="AE472" s="85"/>
    </row>
    <row r="473" spans="7:31" ht="14.5" customHeight="1" x14ac:dyDescent="0.35">
      <c r="G473" s="85"/>
      <c r="H473" s="87"/>
      <c r="K473" s="85"/>
      <c r="M473" s="94"/>
      <c r="N473" s="93"/>
      <c r="O473" s="85"/>
      <c r="Q473" s="94"/>
      <c r="R473" s="93"/>
      <c r="S473" s="85"/>
      <c r="U473" s="94"/>
      <c r="V473" s="93"/>
      <c r="W473" s="85"/>
      <c r="Y473" s="94"/>
      <c r="Z473" s="93"/>
      <c r="AA473" s="85"/>
      <c r="AC473" s="94"/>
      <c r="AD473" s="93"/>
      <c r="AE473" s="85"/>
    </row>
    <row r="474" spans="7:31" ht="14.5" customHeight="1" x14ac:dyDescent="0.35">
      <c r="G474" s="85"/>
      <c r="H474" s="87"/>
      <c r="K474" s="85"/>
      <c r="M474" s="94"/>
      <c r="N474" s="93"/>
      <c r="O474" s="85"/>
      <c r="Q474" s="94"/>
      <c r="R474" s="93"/>
      <c r="S474" s="85"/>
      <c r="U474" s="94"/>
      <c r="V474" s="93"/>
      <c r="W474" s="85"/>
      <c r="Y474" s="94"/>
      <c r="Z474" s="93"/>
      <c r="AA474" s="85"/>
      <c r="AC474" s="94"/>
      <c r="AD474" s="93"/>
      <c r="AE474" s="85"/>
    </row>
    <row r="475" spans="7:31" ht="14.5" customHeight="1" x14ac:dyDescent="0.35">
      <c r="G475" s="85"/>
      <c r="H475" s="87"/>
      <c r="K475" s="85"/>
      <c r="M475" s="94"/>
      <c r="N475" s="93"/>
      <c r="O475" s="85"/>
      <c r="Q475" s="94"/>
      <c r="R475" s="93"/>
      <c r="S475" s="85"/>
      <c r="U475" s="94"/>
      <c r="V475" s="93"/>
      <c r="W475" s="85"/>
      <c r="Y475" s="94"/>
      <c r="Z475" s="93"/>
      <c r="AA475" s="85"/>
      <c r="AC475" s="94"/>
      <c r="AD475" s="93"/>
      <c r="AE475" s="85"/>
    </row>
    <row r="476" spans="7:31" ht="14.5" customHeight="1" x14ac:dyDescent="0.35">
      <c r="G476" s="85"/>
      <c r="H476" s="87"/>
      <c r="K476" s="85"/>
      <c r="M476" s="94"/>
      <c r="N476" s="93"/>
      <c r="O476" s="85"/>
      <c r="Q476" s="94"/>
      <c r="R476" s="93"/>
      <c r="S476" s="85"/>
      <c r="U476" s="94"/>
      <c r="V476" s="93"/>
      <c r="W476" s="85"/>
      <c r="Y476" s="94"/>
      <c r="Z476" s="93"/>
      <c r="AA476" s="85"/>
      <c r="AC476" s="94"/>
      <c r="AD476" s="93"/>
      <c r="AE476" s="85"/>
    </row>
    <row r="477" spans="7:31" ht="14.5" customHeight="1" x14ac:dyDescent="0.35">
      <c r="G477" s="85"/>
      <c r="H477" s="87"/>
      <c r="K477" s="85"/>
      <c r="M477" s="94"/>
      <c r="N477" s="93"/>
      <c r="O477" s="85"/>
      <c r="Q477" s="94"/>
      <c r="R477" s="93"/>
      <c r="S477" s="85"/>
      <c r="U477" s="94"/>
      <c r="V477" s="93"/>
      <c r="W477" s="85"/>
      <c r="Y477" s="94"/>
      <c r="Z477" s="93"/>
      <c r="AA477" s="85"/>
      <c r="AC477" s="94"/>
      <c r="AD477" s="93"/>
      <c r="AE477" s="85"/>
    </row>
    <row r="478" spans="7:31" ht="14.5" customHeight="1" x14ac:dyDescent="0.35">
      <c r="G478" s="85"/>
      <c r="H478" s="87"/>
      <c r="K478" s="85"/>
      <c r="M478" s="94"/>
      <c r="N478" s="93"/>
      <c r="O478" s="85"/>
      <c r="Q478" s="94"/>
      <c r="R478" s="93"/>
      <c r="S478" s="85"/>
      <c r="U478" s="94"/>
      <c r="V478" s="93"/>
      <c r="W478" s="85"/>
      <c r="Y478" s="94"/>
      <c r="Z478" s="93"/>
      <c r="AA478" s="85"/>
      <c r="AC478" s="94"/>
      <c r="AD478" s="93"/>
      <c r="AE478" s="85"/>
    </row>
    <row r="479" spans="7:31" ht="14.5" customHeight="1" x14ac:dyDescent="0.35">
      <c r="G479" s="85"/>
      <c r="H479" s="87"/>
      <c r="K479" s="85"/>
      <c r="M479" s="94"/>
      <c r="N479" s="93"/>
      <c r="O479" s="85"/>
      <c r="Q479" s="94"/>
      <c r="R479" s="93"/>
      <c r="S479" s="85"/>
      <c r="U479" s="94"/>
      <c r="V479" s="93"/>
      <c r="W479" s="85"/>
      <c r="Y479" s="94"/>
      <c r="Z479" s="93"/>
      <c r="AA479" s="85"/>
      <c r="AC479" s="94"/>
      <c r="AD479" s="93"/>
      <c r="AE479" s="85"/>
    </row>
    <row r="480" spans="7:31" ht="14.5" customHeight="1" x14ac:dyDescent="0.35">
      <c r="G480" s="85"/>
      <c r="H480" s="87"/>
      <c r="K480" s="85"/>
      <c r="M480" s="94"/>
      <c r="N480" s="93"/>
      <c r="O480" s="85"/>
      <c r="Q480" s="94"/>
      <c r="R480" s="93"/>
      <c r="S480" s="85"/>
      <c r="U480" s="94"/>
      <c r="V480" s="93"/>
      <c r="W480" s="85"/>
      <c r="Y480" s="94"/>
      <c r="Z480" s="93"/>
      <c r="AA480" s="85"/>
      <c r="AC480" s="94"/>
      <c r="AD480" s="93"/>
      <c r="AE480" s="85"/>
    </row>
    <row r="481" spans="7:31" ht="14.5" customHeight="1" x14ac:dyDescent="0.35">
      <c r="G481" s="85"/>
      <c r="H481" s="87"/>
      <c r="K481" s="85"/>
      <c r="M481" s="94"/>
      <c r="N481" s="93"/>
      <c r="O481" s="85"/>
      <c r="Q481" s="94"/>
      <c r="R481" s="93"/>
      <c r="S481" s="85"/>
      <c r="U481" s="94"/>
      <c r="V481" s="93"/>
      <c r="W481" s="85"/>
      <c r="Y481" s="94"/>
      <c r="Z481" s="93"/>
      <c r="AA481" s="85"/>
      <c r="AC481" s="94"/>
      <c r="AD481" s="93"/>
      <c r="AE481" s="85"/>
    </row>
    <row r="482" spans="7:31" ht="14.5" customHeight="1" x14ac:dyDescent="0.35">
      <c r="G482" s="85"/>
      <c r="H482" s="87"/>
      <c r="K482" s="85"/>
      <c r="M482" s="94"/>
      <c r="N482" s="93"/>
      <c r="O482" s="85"/>
      <c r="Q482" s="94"/>
      <c r="R482" s="93"/>
      <c r="S482" s="85"/>
      <c r="U482" s="94"/>
      <c r="V482" s="93"/>
      <c r="W482" s="85"/>
      <c r="Y482" s="94"/>
      <c r="Z482" s="93"/>
      <c r="AA482" s="85"/>
      <c r="AC482" s="94"/>
      <c r="AD482" s="93"/>
      <c r="AE482" s="85"/>
    </row>
    <row r="483" spans="7:31" ht="14.5" customHeight="1" x14ac:dyDescent="0.35">
      <c r="G483" s="85"/>
      <c r="H483" s="87"/>
      <c r="K483" s="85"/>
      <c r="M483" s="94"/>
      <c r="N483" s="93"/>
      <c r="O483" s="85"/>
      <c r="Q483" s="94"/>
      <c r="R483" s="93"/>
      <c r="S483" s="85"/>
      <c r="U483" s="94"/>
      <c r="V483" s="93"/>
      <c r="W483" s="85"/>
      <c r="Y483" s="94"/>
      <c r="Z483" s="93"/>
      <c r="AA483" s="85"/>
      <c r="AC483" s="94"/>
      <c r="AD483" s="93"/>
      <c r="AE483" s="85"/>
    </row>
    <row r="484" spans="7:31" ht="14.5" customHeight="1" x14ac:dyDescent="0.35">
      <c r="G484" s="85"/>
      <c r="H484" s="87"/>
      <c r="K484" s="85"/>
      <c r="M484" s="94"/>
      <c r="N484" s="93"/>
      <c r="O484" s="85"/>
      <c r="Q484" s="94"/>
      <c r="R484" s="93"/>
      <c r="S484" s="85"/>
      <c r="U484" s="94"/>
      <c r="V484" s="93"/>
      <c r="W484" s="85"/>
      <c r="Y484" s="94"/>
      <c r="Z484" s="93"/>
      <c r="AA484" s="85"/>
      <c r="AC484" s="94"/>
      <c r="AD484" s="93"/>
      <c r="AE484" s="85"/>
    </row>
    <row r="485" spans="7:31" ht="14.5" customHeight="1" x14ac:dyDescent="0.35">
      <c r="G485" s="85"/>
      <c r="H485" s="87"/>
      <c r="K485" s="85"/>
      <c r="M485" s="94"/>
      <c r="N485" s="93"/>
      <c r="O485" s="85"/>
      <c r="Q485" s="94"/>
      <c r="R485" s="93"/>
      <c r="S485" s="85"/>
      <c r="U485" s="94"/>
      <c r="V485" s="93"/>
      <c r="W485" s="85"/>
      <c r="Y485" s="94"/>
      <c r="Z485" s="93"/>
      <c r="AA485" s="85"/>
      <c r="AC485" s="94"/>
      <c r="AD485" s="93"/>
      <c r="AE485" s="85"/>
    </row>
    <row r="486" spans="7:31" ht="14.5" customHeight="1" x14ac:dyDescent="0.35">
      <c r="G486" s="85"/>
      <c r="H486" s="87"/>
      <c r="K486" s="85"/>
      <c r="M486" s="94"/>
      <c r="N486" s="93"/>
      <c r="O486" s="85"/>
      <c r="Q486" s="94"/>
      <c r="R486" s="93"/>
      <c r="S486" s="85"/>
      <c r="U486" s="94"/>
      <c r="V486" s="93"/>
      <c r="W486" s="85"/>
      <c r="Y486" s="94"/>
      <c r="Z486" s="93"/>
      <c r="AA486" s="85"/>
      <c r="AC486" s="94"/>
      <c r="AD486" s="93"/>
      <c r="AE486" s="85"/>
    </row>
    <row r="487" spans="7:31" ht="14.5" customHeight="1" x14ac:dyDescent="0.35">
      <c r="G487" s="85"/>
      <c r="H487" s="87"/>
      <c r="K487" s="85"/>
      <c r="M487" s="94"/>
      <c r="N487" s="93"/>
      <c r="O487" s="85"/>
      <c r="Q487" s="94"/>
      <c r="R487" s="93"/>
      <c r="S487" s="85"/>
      <c r="U487" s="94"/>
      <c r="V487" s="93"/>
      <c r="W487" s="85"/>
      <c r="Y487" s="94"/>
      <c r="Z487" s="93"/>
      <c r="AA487" s="85"/>
      <c r="AC487" s="94"/>
      <c r="AD487" s="93"/>
      <c r="AE487" s="85"/>
    </row>
    <row r="488" spans="7:31" ht="14.5" customHeight="1" x14ac:dyDescent="0.35">
      <c r="G488" s="85"/>
      <c r="H488" s="87"/>
      <c r="K488" s="85"/>
      <c r="M488" s="94"/>
      <c r="N488" s="93"/>
      <c r="O488" s="85"/>
      <c r="Q488" s="94"/>
      <c r="R488" s="93"/>
      <c r="S488" s="85"/>
      <c r="U488" s="94"/>
      <c r="V488" s="93"/>
      <c r="W488" s="85"/>
      <c r="Y488" s="94"/>
      <c r="Z488" s="93"/>
      <c r="AA488" s="85"/>
      <c r="AC488" s="94"/>
      <c r="AD488" s="93"/>
      <c r="AE488" s="85"/>
    </row>
    <row r="489" spans="7:31" ht="14.5" customHeight="1" x14ac:dyDescent="0.35">
      <c r="G489" s="85"/>
      <c r="H489" s="87"/>
      <c r="K489" s="85"/>
      <c r="M489" s="94"/>
      <c r="N489" s="93"/>
      <c r="O489" s="85"/>
      <c r="Q489" s="94"/>
      <c r="R489" s="93"/>
      <c r="S489" s="85"/>
      <c r="U489" s="94"/>
      <c r="V489" s="93"/>
      <c r="W489" s="85"/>
      <c r="Y489" s="94"/>
      <c r="Z489" s="93"/>
      <c r="AA489" s="85"/>
      <c r="AC489" s="94"/>
      <c r="AD489" s="93"/>
      <c r="AE489" s="85"/>
    </row>
    <row r="490" spans="7:31" ht="14.5" customHeight="1" x14ac:dyDescent="0.35">
      <c r="G490" s="85"/>
      <c r="H490" s="87"/>
      <c r="K490" s="85"/>
      <c r="M490" s="94"/>
      <c r="N490" s="93"/>
      <c r="O490" s="85"/>
      <c r="Q490" s="94"/>
      <c r="R490" s="93"/>
      <c r="S490" s="85"/>
      <c r="U490" s="94"/>
      <c r="V490" s="93"/>
      <c r="W490" s="85"/>
      <c r="Y490" s="94"/>
      <c r="Z490" s="93"/>
      <c r="AA490" s="85"/>
      <c r="AC490" s="94"/>
      <c r="AD490" s="93"/>
      <c r="AE490" s="85"/>
    </row>
    <row r="491" spans="7:31" ht="14.5" customHeight="1" x14ac:dyDescent="0.35">
      <c r="G491" s="85"/>
      <c r="H491" s="87"/>
      <c r="K491" s="85"/>
      <c r="M491" s="94"/>
      <c r="N491" s="93"/>
      <c r="O491" s="85"/>
      <c r="Q491" s="94"/>
      <c r="R491" s="93"/>
      <c r="S491" s="85"/>
      <c r="U491" s="94"/>
      <c r="V491" s="93"/>
      <c r="W491" s="85"/>
      <c r="Y491" s="94"/>
      <c r="Z491" s="93"/>
      <c r="AA491" s="85"/>
      <c r="AC491" s="94"/>
      <c r="AD491" s="93"/>
      <c r="AE491" s="85"/>
    </row>
    <row r="492" spans="7:31" ht="14.5" customHeight="1" x14ac:dyDescent="0.35">
      <c r="G492" s="85"/>
      <c r="H492" s="87"/>
      <c r="K492" s="85"/>
      <c r="M492" s="94"/>
      <c r="N492" s="93"/>
      <c r="O492" s="85"/>
      <c r="Q492" s="94"/>
      <c r="R492" s="93"/>
      <c r="S492" s="85"/>
      <c r="U492" s="94"/>
      <c r="V492" s="93"/>
      <c r="W492" s="85"/>
      <c r="Y492" s="94"/>
      <c r="Z492" s="93"/>
      <c r="AA492" s="85"/>
      <c r="AC492" s="94"/>
      <c r="AD492" s="93"/>
      <c r="AE492" s="85"/>
    </row>
    <row r="493" spans="7:31" ht="14.5" customHeight="1" x14ac:dyDescent="0.35">
      <c r="G493" s="85"/>
      <c r="H493" s="87"/>
      <c r="K493" s="85"/>
      <c r="M493" s="94"/>
      <c r="N493" s="93"/>
      <c r="O493" s="85"/>
      <c r="Q493" s="94"/>
      <c r="R493" s="93"/>
      <c r="S493" s="85"/>
      <c r="U493" s="94"/>
      <c r="V493" s="93"/>
      <c r="W493" s="85"/>
      <c r="Y493" s="94"/>
      <c r="Z493" s="93"/>
      <c r="AA493" s="85"/>
      <c r="AC493" s="94"/>
      <c r="AD493" s="93"/>
      <c r="AE493" s="85"/>
    </row>
    <row r="494" spans="7:31" ht="14.5" customHeight="1" x14ac:dyDescent="0.35">
      <c r="G494" s="85"/>
      <c r="H494" s="87"/>
      <c r="K494" s="85"/>
      <c r="M494" s="94"/>
      <c r="N494" s="93"/>
      <c r="O494" s="85"/>
      <c r="Q494" s="94"/>
      <c r="R494" s="93"/>
      <c r="S494" s="85"/>
      <c r="U494" s="94"/>
      <c r="V494" s="93"/>
      <c r="W494" s="85"/>
      <c r="Y494" s="94"/>
      <c r="Z494" s="93"/>
      <c r="AA494" s="85"/>
      <c r="AC494" s="94"/>
      <c r="AD494" s="93"/>
      <c r="AE494" s="85"/>
    </row>
    <row r="495" spans="7:31" ht="14.5" customHeight="1" x14ac:dyDescent="0.35">
      <c r="G495" s="85"/>
      <c r="H495" s="87"/>
      <c r="K495" s="85"/>
      <c r="M495" s="94"/>
      <c r="N495" s="93"/>
      <c r="O495" s="85"/>
      <c r="Q495" s="94"/>
      <c r="R495" s="93"/>
      <c r="S495" s="85"/>
      <c r="U495" s="94"/>
      <c r="V495" s="93"/>
      <c r="W495" s="85"/>
      <c r="Y495" s="94"/>
      <c r="Z495" s="93"/>
      <c r="AA495" s="85"/>
      <c r="AC495" s="94"/>
      <c r="AD495" s="93"/>
      <c r="AE495" s="85"/>
    </row>
    <row r="496" spans="7:31" ht="14.5" customHeight="1" x14ac:dyDescent="0.35">
      <c r="G496" s="85"/>
      <c r="H496" s="87"/>
      <c r="K496" s="85"/>
      <c r="M496" s="94"/>
      <c r="N496" s="93"/>
      <c r="O496" s="85"/>
      <c r="Q496" s="94"/>
      <c r="R496" s="93"/>
      <c r="S496" s="85"/>
      <c r="U496" s="94"/>
      <c r="V496" s="93"/>
      <c r="W496" s="85"/>
      <c r="Y496" s="94"/>
      <c r="Z496" s="93"/>
      <c r="AA496" s="85"/>
      <c r="AC496" s="94"/>
      <c r="AD496" s="93"/>
      <c r="AE496" s="85"/>
    </row>
    <row r="497" spans="7:31" ht="14.5" customHeight="1" x14ac:dyDescent="0.35">
      <c r="G497" s="85"/>
      <c r="H497" s="87"/>
      <c r="K497" s="85"/>
      <c r="M497" s="94"/>
      <c r="N497" s="93"/>
      <c r="O497" s="85"/>
      <c r="Q497" s="94"/>
      <c r="R497" s="93"/>
      <c r="S497" s="85"/>
      <c r="U497" s="94"/>
      <c r="V497" s="93"/>
      <c r="W497" s="85"/>
      <c r="Y497" s="94"/>
      <c r="Z497" s="93"/>
      <c r="AA497" s="85"/>
      <c r="AC497" s="94"/>
      <c r="AD497" s="93"/>
      <c r="AE497" s="85"/>
    </row>
    <row r="498" spans="7:31" ht="14.5" customHeight="1" x14ac:dyDescent="0.35">
      <c r="G498" s="85"/>
      <c r="H498" s="87"/>
      <c r="K498" s="85"/>
      <c r="M498" s="94"/>
      <c r="N498" s="93"/>
      <c r="O498" s="85"/>
      <c r="Q498" s="94"/>
      <c r="R498" s="93"/>
      <c r="S498" s="85"/>
      <c r="U498" s="94"/>
      <c r="V498" s="93"/>
      <c r="W498" s="85"/>
      <c r="Y498" s="94"/>
      <c r="Z498" s="93"/>
      <c r="AA498" s="85"/>
      <c r="AC498" s="94"/>
      <c r="AD498" s="93"/>
      <c r="AE498" s="85"/>
    </row>
    <row r="499" spans="7:31" ht="14.5" customHeight="1" x14ac:dyDescent="0.35">
      <c r="G499" s="85"/>
      <c r="H499" s="87"/>
      <c r="K499" s="85"/>
      <c r="M499" s="94"/>
      <c r="N499" s="93"/>
      <c r="O499" s="85"/>
      <c r="Q499" s="94"/>
      <c r="R499" s="93"/>
      <c r="S499" s="85"/>
      <c r="U499" s="94"/>
      <c r="V499" s="93"/>
      <c r="W499" s="85"/>
      <c r="Y499" s="94"/>
      <c r="Z499" s="93"/>
      <c r="AA499" s="85"/>
      <c r="AC499" s="94"/>
      <c r="AD499" s="93"/>
      <c r="AE499" s="85"/>
    </row>
    <row r="500" spans="7:31" ht="14.5" customHeight="1" x14ac:dyDescent="0.35">
      <c r="G500" s="85"/>
      <c r="H500" s="87"/>
      <c r="K500" s="85"/>
      <c r="M500" s="94"/>
      <c r="N500" s="93"/>
      <c r="O500" s="85"/>
      <c r="Q500" s="94"/>
      <c r="R500" s="93"/>
      <c r="S500" s="85"/>
      <c r="U500" s="94"/>
      <c r="V500" s="93"/>
      <c r="W500" s="85"/>
      <c r="Y500" s="94"/>
      <c r="Z500" s="93"/>
      <c r="AA500" s="85"/>
      <c r="AC500" s="94"/>
      <c r="AD500" s="93"/>
      <c r="AE500" s="85"/>
    </row>
    <row r="501" spans="7:31" ht="14.5" customHeight="1" x14ac:dyDescent="0.35">
      <c r="G501" s="85"/>
      <c r="H501" s="87"/>
      <c r="K501" s="85"/>
      <c r="M501" s="94"/>
      <c r="N501" s="93"/>
      <c r="O501" s="85"/>
      <c r="Q501" s="94"/>
      <c r="R501" s="93"/>
      <c r="S501" s="85"/>
      <c r="U501" s="94"/>
      <c r="V501" s="93"/>
      <c r="W501" s="85"/>
      <c r="Y501" s="94"/>
      <c r="Z501" s="93"/>
      <c r="AA501" s="85"/>
      <c r="AC501" s="94"/>
      <c r="AD501" s="93"/>
      <c r="AE501" s="85"/>
    </row>
    <row r="502" spans="7:31" ht="14.5" customHeight="1" x14ac:dyDescent="0.35">
      <c r="G502" s="85"/>
      <c r="H502" s="87"/>
      <c r="K502" s="85"/>
      <c r="M502" s="94"/>
      <c r="N502" s="93"/>
      <c r="O502" s="85"/>
      <c r="Q502" s="94"/>
      <c r="R502" s="93"/>
      <c r="S502" s="85"/>
      <c r="U502" s="94"/>
      <c r="V502" s="93"/>
      <c r="W502" s="85"/>
      <c r="Y502" s="94"/>
      <c r="Z502" s="93"/>
      <c r="AA502" s="85"/>
      <c r="AC502" s="94"/>
      <c r="AD502" s="93"/>
      <c r="AE502" s="85"/>
    </row>
    <row r="503" spans="7:31" ht="14.5" customHeight="1" x14ac:dyDescent="0.35">
      <c r="G503" s="85"/>
      <c r="H503" s="87"/>
      <c r="K503" s="85"/>
      <c r="M503" s="94"/>
      <c r="N503" s="93"/>
      <c r="O503" s="85"/>
      <c r="Q503" s="94"/>
      <c r="R503" s="93"/>
      <c r="S503" s="85"/>
      <c r="U503" s="94"/>
      <c r="V503" s="93"/>
      <c r="W503" s="85"/>
      <c r="Y503" s="94"/>
      <c r="Z503" s="93"/>
      <c r="AA503" s="85"/>
      <c r="AC503" s="94"/>
      <c r="AD503" s="93"/>
      <c r="AE503" s="85"/>
    </row>
    <row r="504" spans="7:31" ht="14.5" customHeight="1" x14ac:dyDescent="0.35">
      <c r="G504" s="85"/>
      <c r="H504" s="87"/>
      <c r="K504" s="85"/>
      <c r="M504" s="94"/>
      <c r="N504" s="93"/>
      <c r="O504" s="85"/>
      <c r="Q504" s="94"/>
      <c r="R504" s="93"/>
      <c r="S504" s="85"/>
      <c r="U504" s="94"/>
      <c r="V504" s="93"/>
      <c r="W504" s="85"/>
      <c r="Y504" s="94"/>
      <c r="Z504" s="93"/>
      <c r="AA504" s="85"/>
      <c r="AC504" s="94"/>
      <c r="AD504" s="93"/>
      <c r="AE504" s="85"/>
    </row>
    <row r="505" spans="7:31" ht="14.5" customHeight="1" x14ac:dyDescent="0.35">
      <c r="G505" s="85"/>
      <c r="H505" s="87"/>
      <c r="K505" s="85"/>
      <c r="M505" s="94"/>
      <c r="N505" s="93"/>
      <c r="O505" s="85"/>
      <c r="Q505" s="94"/>
      <c r="R505" s="93"/>
      <c r="S505" s="85"/>
      <c r="U505" s="94"/>
      <c r="V505" s="93"/>
      <c r="W505" s="85"/>
      <c r="Y505" s="94"/>
      <c r="Z505" s="93"/>
      <c r="AA505" s="85"/>
      <c r="AC505" s="94"/>
      <c r="AD505" s="93"/>
      <c r="AE505" s="85"/>
    </row>
    <row r="506" spans="7:31" ht="14.5" customHeight="1" x14ac:dyDescent="0.35">
      <c r="G506" s="85"/>
      <c r="H506" s="87"/>
      <c r="K506" s="85"/>
      <c r="M506" s="94"/>
      <c r="N506" s="93"/>
      <c r="O506" s="85"/>
      <c r="Q506" s="94"/>
      <c r="R506" s="93"/>
      <c r="S506" s="85"/>
      <c r="U506" s="94"/>
      <c r="V506" s="93"/>
      <c r="W506" s="85"/>
      <c r="Y506" s="94"/>
      <c r="Z506" s="93"/>
      <c r="AA506" s="85"/>
      <c r="AC506" s="94"/>
      <c r="AD506" s="93"/>
      <c r="AE506" s="85"/>
    </row>
    <row r="507" spans="7:31" ht="14.5" customHeight="1" x14ac:dyDescent="0.35">
      <c r="G507" s="85"/>
      <c r="H507" s="87"/>
      <c r="K507" s="85"/>
      <c r="M507" s="94"/>
      <c r="N507" s="93"/>
      <c r="O507" s="85"/>
      <c r="Q507" s="94"/>
      <c r="R507" s="93"/>
      <c r="S507" s="85"/>
      <c r="U507" s="94"/>
      <c r="V507" s="93"/>
      <c r="W507" s="85"/>
      <c r="Y507" s="94"/>
      <c r="Z507" s="93"/>
      <c r="AA507" s="85"/>
      <c r="AC507" s="94"/>
      <c r="AD507" s="93"/>
      <c r="AE507" s="85"/>
    </row>
    <row r="508" spans="7:31" ht="14.5" customHeight="1" x14ac:dyDescent="0.35">
      <c r="G508" s="85"/>
      <c r="H508" s="87"/>
      <c r="K508" s="85"/>
      <c r="M508" s="94"/>
      <c r="N508" s="93"/>
      <c r="O508" s="85"/>
      <c r="Q508" s="94"/>
      <c r="R508" s="93"/>
      <c r="S508" s="85"/>
      <c r="U508" s="94"/>
      <c r="V508" s="93"/>
      <c r="W508" s="85"/>
      <c r="Y508" s="94"/>
      <c r="Z508" s="93"/>
      <c r="AA508" s="85"/>
      <c r="AC508" s="94"/>
      <c r="AD508" s="93"/>
      <c r="AE508" s="85"/>
    </row>
    <row r="509" spans="7:31" ht="14.5" customHeight="1" x14ac:dyDescent="0.35">
      <c r="G509" s="85"/>
      <c r="H509" s="87"/>
      <c r="K509" s="85"/>
      <c r="M509" s="94"/>
      <c r="N509" s="93"/>
      <c r="O509" s="85"/>
      <c r="Q509" s="94"/>
      <c r="R509" s="93"/>
      <c r="S509" s="85"/>
      <c r="U509" s="94"/>
      <c r="V509" s="93"/>
      <c r="W509" s="85"/>
      <c r="Y509" s="94"/>
      <c r="Z509" s="93"/>
      <c r="AA509" s="85"/>
      <c r="AC509" s="94"/>
      <c r="AD509" s="93"/>
      <c r="AE509" s="85"/>
    </row>
    <row r="510" spans="7:31" ht="14.5" customHeight="1" x14ac:dyDescent="0.35">
      <c r="G510" s="85"/>
      <c r="H510" s="87"/>
      <c r="K510" s="85"/>
      <c r="M510" s="94"/>
      <c r="N510" s="93"/>
      <c r="O510" s="85"/>
      <c r="Q510" s="94"/>
      <c r="R510" s="93"/>
      <c r="S510" s="85"/>
      <c r="U510" s="94"/>
      <c r="V510" s="93"/>
      <c r="W510" s="85"/>
      <c r="Y510" s="94"/>
      <c r="Z510" s="93"/>
      <c r="AA510" s="85"/>
      <c r="AC510" s="94"/>
      <c r="AD510" s="93"/>
      <c r="AE510" s="85"/>
    </row>
    <row r="511" spans="7:31" ht="14.5" customHeight="1" x14ac:dyDescent="0.35">
      <c r="G511" s="85"/>
      <c r="H511" s="87"/>
      <c r="K511" s="85"/>
      <c r="M511" s="94"/>
      <c r="N511" s="93"/>
      <c r="O511" s="85"/>
      <c r="Q511" s="94"/>
      <c r="R511" s="93"/>
      <c r="S511" s="85"/>
      <c r="U511" s="94"/>
      <c r="V511" s="93"/>
      <c r="W511" s="85"/>
      <c r="Y511" s="94"/>
      <c r="Z511" s="93"/>
      <c r="AA511" s="85"/>
      <c r="AC511" s="94"/>
      <c r="AD511" s="93"/>
      <c r="AE511" s="85"/>
    </row>
    <row r="512" spans="7:31" ht="14.5" customHeight="1" x14ac:dyDescent="0.35">
      <c r="G512" s="85"/>
      <c r="H512" s="87"/>
      <c r="K512" s="85"/>
      <c r="M512" s="94"/>
      <c r="N512" s="93"/>
      <c r="O512" s="85"/>
      <c r="Q512" s="94"/>
      <c r="R512" s="93"/>
      <c r="S512" s="85"/>
      <c r="U512" s="94"/>
      <c r="V512" s="93"/>
      <c r="W512" s="85"/>
      <c r="Y512" s="94"/>
      <c r="Z512" s="93"/>
      <c r="AA512" s="85"/>
      <c r="AC512" s="94"/>
      <c r="AD512" s="93"/>
      <c r="AE512" s="85"/>
    </row>
    <row r="513" spans="7:31" ht="14.5" customHeight="1" x14ac:dyDescent="0.35">
      <c r="G513" s="85"/>
      <c r="H513" s="87"/>
      <c r="K513" s="85"/>
      <c r="M513" s="94"/>
      <c r="N513" s="93"/>
      <c r="O513" s="85"/>
      <c r="Q513" s="94"/>
      <c r="R513" s="93"/>
      <c r="S513" s="85"/>
      <c r="U513" s="94"/>
      <c r="V513" s="93"/>
      <c r="W513" s="85"/>
      <c r="Y513" s="94"/>
      <c r="Z513" s="93"/>
      <c r="AA513" s="85"/>
      <c r="AC513" s="94"/>
      <c r="AD513" s="93"/>
      <c r="AE513" s="85"/>
    </row>
    <row r="514" spans="7:31" ht="14.5" customHeight="1" x14ac:dyDescent="0.35">
      <c r="G514" s="85"/>
      <c r="H514" s="87"/>
      <c r="K514" s="85"/>
      <c r="M514" s="94"/>
      <c r="N514" s="93"/>
      <c r="O514" s="85"/>
      <c r="Q514" s="94"/>
      <c r="R514" s="93"/>
      <c r="S514" s="85"/>
      <c r="U514" s="94"/>
      <c r="V514" s="93"/>
      <c r="W514" s="85"/>
      <c r="Y514" s="94"/>
      <c r="Z514" s="93"/>
      <c r="AA514" s="85"/>
      <c r="AC514" s="94"/>
      <c r="AD514" s="93"/>
      <c r="AE514" s="85"/>
    </row>
    <row r="515" spans="7:31" ht="14.5" customHeight="1" x14ac:dyDescent="0.35">
      <c r="G515" s="85"/>
      <c r="H515" s="87"/>
      <c r="K515" s="85"/>
      <c r="M515" s="94"/>
      <c r="N515" s="93"/>
      <c r="O515" s="85"/>
      <c r="Q515" s="94"/>
      <c r="R515" s="93"/>
      <c r="S515" s="85"/>
      <c r="U515" s="94"/>
      <c r="V515" s="93"/>
      <c r="W515" s="85"/>
      <c r="Y515" s="94"/>
      <c r="Z515" s="93"/>
      <c r="AA515" s="85"/>
      <c r="AC515" s="94"/>
      <c r="AD515" s="93"/>
      <c r="AE515" s="85"/>
    </row>
    <row r="516" spans="7:31" ht="14.5" customHeight="1" x14ac:dyDescent="0.35">
      <c r="G516" s="85"/>
      <c r="H516" s="87"/>
      <c r="K516" s="85"/>
      <c r="M516" s="94"/>
      <c r="N516" s="93"/>
      <c r="O516" s="85"/>
      <c r="Q516" s="94"/>
      <c r="R516" s="93"/>
      <c r="S516" s="85"/>
      <c r="U516" s="94"/>
      <c r="V516" s="93"/>
      <c r="W516" s="85"/>
      <c r="Y516" s="94"/>
      <c r="Z516" s="93"/>
      <c r="AA516" s="85"/>
      <c r="AC516" s="94"/>
      <c r="AD516" s="93"/>
      <c r="AE516" s="85"/>
    </row>
    <row r="517" spans="7:31" ht="14.5" customHeight="1" x14ac:dyDescent="0.35">
      <c r="G517" s="85"/>
      <c r="H517" s="87"/>
      <c r="K517" s="85"/>
      <c r="M517" s="94"/>
      <c r="N517" s="93"/>
      <c r="O517" s="85"/>
      <c r="Q517" s="94"/>
      <c r="R517" s="93"/>
      <c r="S517" s="85"/>
      <c r="U517" s="94"/>
      <c r="V517" s="93"/>
      <c r="W517" s="85"/>
      <c r="Y517" s="94"/>
      <c r="Z517" s="93"/>
      <c r="AA517" s="85"/>
      <c r="AC517" s="94"/>
      <c r="AD517" s="93"/>
      <c r="AE517" s="85"/>
    </row>
    <row r="518" spans="7:31" ht="14.5" customHeight="1" x14ac:dyDescent="0.35">
      <c r="G518" s="85"/>
      <c r="H518" s="87"/>
      <c r="K518" s="85"/>
      <c r="M518" s="94"/>
      <c r="N518" s="93"/>
      <c r="O518" s="85"/>
      <c r="Q518" s="94"/>
      <c r="R518" s="93"/>
      <c r="S518" s="85"/>
      <c r="U518" s="94"/>
      <c r="V518" s="93"/>
      <c r="W518" s="85"/>
      <c r="Y518" s="94"/>
      <c r="Z518" s="93"/>
      <c r="AA518" s="85"/>
      <c r="AC518" s="94"/>
      <c r="AD518" s="93"/>
      <c r="AE518" s="85"/>
    </row>
    <row r="519" spans="7:31" ht="14.5" customHeight="1" x14ac:dyDescent="0.35">
      <c r="G519" s="85"/>
      <c r="H519" s="87"/>
      <c r="K519" s="85"/>
      <c r="M519" s="94"/>
      <c r="N519" s="93"/>
      <c r="O519" s="85"/>
      <c r="Q519" s="94"/>
      <c r="R519" s="93"/>
      <c r="S519" s="85"/>
      <c r="U519" s="94"/>
      <c r="V519" s="93"/>
      <c r="W519" s="85"/>
      <c r="Y519" s="94"/>
      <c r="Z519" s="93"/>
      <c r="AA519" s="85"/>
      <c r="AC519" s="94"/>
      <c r="AD519" s="93"/>
      <c r="AE519" s="85"/>
    </row>
    <row r="520" spans="7:31" ht="14.5" customHeight="1" x14ac:dyDescent="0.35">
      <c r="G520" s="85"/>
      <c r="H520" s="87"/>
      <c r="K520" s="85"/>
      <c r="M520" s="94"/>
      <c r="N520" s="93"/>
      <c r="O520" s="85"/>
      <c r="Q520" s="94"/>
      <c r="R520" s="93"/>
      <c r="S520" s="85"/>
      <c r="U520" s="94"/>
      <c r="V520" s="93"/>
      <c r="W520" s="85"/>
      <c r="Y520" s="94"/>
      <c r="Z520" s="93"/>
      <c r="AA520" s="85"/>
      <c r="AC520" s="94"/>
      <c r="AD520" s="93"/>
      <c r="AE520" s="85"/>
    </row>
    <row r="521" spans="7:31" ht="14.5" customHeight="1" x14ac:dyDescent="0.35">
      <c r="G521" s="85"/>
      <c r="H521" s="87"/>
      <c r="K521" s="85"/>
      <c r="M521" s="94"/>
      <c r="N521" s="93"/>
      <c r="O521" s="85"/>
      <c r="Q521" s="94"/>
      <c r="R521" s="93"/>
      <c r="S521" s="85"/>
      <c r="U521" s="94"/>
      <c r="V521" s="93"/>
      <c r="W521" s="85"/>
      <c r="Y521" s="94"/>
      <c r="Z521" s="93"/>
      <c r="AA521" s="85"/>
      <c r="AC521" s="94"/>
      <c r="AD521" s="93"/>
      <c r="AE521" s="85"/>
    </row>
    <row r="522" spans="7:31" ht="14.5" customHeight="1" x14ac:dyDescent="0.35">
      <c r="G522" s="85"/>
      <c r="H522" s="87"/>
      <c r="K522" s="85"/>
      <c r="M522" s="94"/>
      <c r="N522" s="93"/>
      <c r="O522" s="85"/>
      <c r="Q522" s="94"/>
      <c r="R522" s="93"/>
      <c r="S522" s="85"/>
      <c r="U522" s="94"/>
      <c r="V522" s="93"/>
      <c r="W522" s="85"/>
      <c r="Y522" s="94"/>
      <c r="Z522" s="93"/>
      <c r="AA522" s="85"/>
      <c r="AC522" s="94"/>
      <c r="AD522" s="93"/>
      <c r="AE522" s="85"/>
    </row>
    <row r="523" spans="7:31" ht="14.5" customHeight="1" x14ac:dyDescent="0.35">
      <c r="G523" s="85"/>
      <c r="H523" s="87"/>
      <c r="K523" s="85"/>
      <c r="M523" s="94"/>
      <c r="N523" s="93"/>
      <c r="O523" s="85"/>
      <c r="Q523" s="94"/>
      <c r="R523" s="93"/>
      <c r="S523" s="85"/>
      <c r="U523" s="94"/>
      <c r="V523" s="93"/>
      <c r="W523" s="85"/>
      <c r="Y523" s="94"/>
      <c r="Z523" s="93"/>
      <c r="AA523" s="85"/>
      <c r="AC523" s="94"/>
      <c r="AD523" s="93"/>
      <c r="AE523" s="85"/>
    </row>
    <row r="524" spans="7:31" ht="14.5" customHeight="1" x14ac:dyDescent="0.35">
      <c r="G524" s="85"/>
      <c r="H524" s="87"/>
      <c r="K524" s="85"/>
      <c r="M524" s="94"/>
      <c r="N524" s="93"/>
      <c r="O524" s="85"/>
      <c r="Q524" s="94"/>
      <c r="R524" s="93"/>
      <c r="S524" s="85"/>
      <c r="U524" s="94"/>
      <c r="V524" s="93"/>
      <c r="W524" s="85"/>
      <c r="Y524" s="94"/>
      <c r="Z524" s="93"/>
      <c r="AA524" s="85"/>
      <c r="AC524" s="94"/>
      <c r="AD524" s="93"/>
      <c r="AE524" s="85"/>
    </row>
    <row r="525" spans="7:31" ht="14.5" customHeight="1" x14ac:dyDescent="0.35">
      <c r="G525" s="85"/>
      <c r="H525" s="87"/>
      <c r="K525" s="85"/>
      <c r="M525" s="94"/>
      <c r="N525" s="93"/>
      <c r="O525" s="85"/>
      <c r="Q525" s="94"/>
      <c r="R525" s="93"/>
      <c r="S525" s="85"/>
      <c r="U525" s="94"/>
      <c r="V525" s="93"/>
      <c r="W525" s="85"/>
      <c r="Y525" s="94"/>
      <c r="Z525" s="93"/>
      <c r="AA525" s="85"/>
      <c r="AC525" s="94"/>
      <c r="AD525" s="93"/>
      <c r="AE525" s="85"/>
    </row>
    <row r="526" spans="7:31" ht="14.5" customHeight="1" x14ac:dyDescent="0.35">
      <c r="G526" s="85"/>
      <c r="H526" s="87"/>
      <c r="K526" s="85"/>
      <c r="M526" s="94"/>
      <c r="N526" s="93"/>
      <c r="O526" s="85"/>
      <c r="Q526" s="94"/>
      <c r="R526" s="93"/>
      <c r="S526" s="85"/>
      <c r="U526" s="94"/>
      <c r="V526" s="93"/>
      <c r="W526" s="85"/>
      <c r="Y526" s="94"/>
      <c r="Z526" s="93"/>
      <c r="AA526" s="85"/>
      <c r="AC526" s="94"/>
      <c r="AD526" s="93"/>
      <c r="AE526" s="85"/>
    </row>
    <row r="527" spans="7:31" ht="14.5" customHeight="1" x14ac:dyDescent="0.35">
      <c r="G527" s="85"/>
      <c r="H527" s="87"/>
      <c r="K527" s="85"/>
      <c r="M527" s="94"/>
      <c r="N527" s="93"/>
      <c r="O527" s="85"/>
      <c r="Q527" s="94"/>
      <c r="R527" s="93"/>
      <c r="S527" s="85"/>
      <c r="U527" s="94"/>
      <c r="V527" s="93"/>
      <c r="W527" s="85"/>
      <c r="Y527" s="94"/>
      <c r="Z527" s="93"/>
      <c r="AA527" s="85"/>
      <c r="AC527" s="94"/>
      <c r="AD527" s="93"/>
      <c r="AE527" s="85"/>
    </row>
    <row r="528" spans="7:31" ht="14.5" customHeight="1" x14ac:dyDescent="0.35">
      <c r="G528" s="85"/>
      <c r="H528" s="87"/>
      <c r="K528" s="85"/>
      <c r="M528" s="94"/>
      <c r="N528" s="93"/>
      <c r="O528" s="85"/>
      <c r="Q528" s="94"/>
      <c r="R528" s="93"/>
      <c r="S528" s="85"/>
      <c r="U528" s="94"/>
      <c r="V528" s="93"/>
      <c r="W528" s="85"/>
      <c r="Y528" s="94"/>
      <c r="Z528" s="93"/>
      <c r="AA528" s="85"/>
      <c r="AC528" s="94"/>
      <c r="AD528" s="93"/>
      <c r="AE528" s="85"/>
    </row>
    <row r="529" spans="7:31" ht="14.5" customHeight="1" x14ac:dyDescent="0.35">
      <c r="G529" s="85"/>
      <c r="H529" s="87"/>
      <c r="K529" s="85"/>
      <c r="M529" s="94"/>
      <c r="N529" s="93"/>
      <c r="O529" s="85"/>
      <c r="Q529" s="94"/>
      <c r="R529" s="93"/>
      <c r="S529" s="85"/>
      <c r="U529" s="94"/>
      <c r="V529" s="93"/>
      <c r="W529" s="85"/>
      <c r="Y529" s="94"/>
      <c r="Z529" s="93"/>
      <c r="AA529" s="85"/>
      <c r="AC529" s="94"/>
      <c r="AD529" s="93"/>
      <c r="AE529" s="85"/>
    </row>
    <row r="530" spans="7:31" ht="14.5" customHeight="1" x14ac:dyDescent="0.35">
      <c r="G530" s="85"/>
      <c r="H530" s="87"/>
      <c r="K530" s="85"/>
      <c r="M530" s="94"/>
      <c r="N530" s="93"/>
      <c r="O530" s="85"/>
      <c r="Q530" s="94"/>
      <c r="R530" s="93"/>
      <c r="S530" s="85"/>
      <c r="U530" s="94"/>
      <c r="V530" s="93"/>
      <c r="W530" s="85"/>
      <c r="Y530" s="94"/>
      <c r="Z530" s="93"/>
      <c r="AA530" s="85"/>
      <c r="AC530" s="94"/>
      <c r="AD530" s="93"/>
      <c r="AE530" s="85"/>
    </row>
    <row r="531" spans="7:31" ht="14.5" customHeight="1" x14ac:dyDescent="0.35">
      <c r="G531" s="85"/>
      <c r="H531" s="87"/>
      <c r="K531" s="85"/>
      <c r="M531" s="94"/>
      <c r="N531" s="93"/>
      <c r="O531" s="85"/>
      <c r="Q531" s="94"/>
      <c r="R531" s="93"/>
      <c r="S531" s="85"/>
      <c r="U531" s="94"/>
      <c r="V531" s="93"/>
      <c r="W531" s="85"/>
      <c r="Y531" s="94"/>
      <c r="Z531" s="93"/>
      <c r="AA531" s="85"/>
      <c r="AC531" s="94"/>
      <c r="AD531" s="93"/>
      <c r="AE531" s="85"/>
    </row>
    <row r="532" spans="7:31" ht="14.5" customHeight="1" x14ac:dyDescent="0.35">
      <c r="G532" s="85"/>
      <c r="H532" s="87"/>
      <c r="K532" s="85"/>
      <c r="M532" s="94"/>
      <c r="N532" s="93"/>
      <c r="O532" s="85"/>
      <c r="Q532" s="94"/>
      <c r="R532" s="93"/>
      <c r="S532" s="85"/>
      <c r="U532" s="94"/>
      <c r="V532" s="93"/>
      <c r="W532" s="85"/>
      <c r="Y532" s="94"/>
      <c r="Z532" s="93"/>
      <c r="AA532" s="85"/>
      <c r="AC532" s="94"/>
      <c r="AD532" s="93"/>
      <c r="AE532" s="85"/>
    </row>
    <row r="533" spans="7:31" ht="14.5" customHeight="1" x14ac:dyDescent="0.35">
      <c r="G533" s="85"/>
      <c r="H533" s="87"/>
      <c r="K533" s="85"/>
      <c r="M533" s="94"/>
      <c r="N533" s="93"/>
      <c r="O533" s="85"/>
      <c r="Q533" s="94"/>
      <c r="R533" s="93"/>
      <c r="S533" s="85"/>
      <c r="U533" s="94"/>
      <c r="V533" s="93"/>
      <c r="W533" s="85"/>
      <c r="Y533" s="94"/>
      <c r="Z533" s="93"/>
      <c r="AA533" s="85"/>
      <c r="AC533" s="94"/>
      <c r="AD533" s="93"/>
      <c r="AE533" s="85"/>
    </row>
    <row r="534" spans="7:31" ht="14.5" customHeight="1" x14ac:dyDescent="0.35">
      <c r="G534" s="85"/>
      <c r="H534" s="87"/>
      <c r="K534" s="85"/>
      <c r="M534" s="94"/>
      <c r="N534" s="93"/>
      <c r="O534" s="85"/>
      <c r="Q534" s="94"/>
      <c r="R534" s="93"/>
      <c r="S534" s="85"/>
      <c r="U534" s="94"/>
      <c r="V534" s="93"/>
      <c r="W534" s="85"/>
      <c r="Y534" s="94"/>
      <c r="Z534" s="93"/>
      <c r="AA534" s="85"/>
      <c r="AC534" s="94"/>
      <c r="AD534" s="93"/>
      <c r="AE534" s="85"/>
    </row>
    <row r="535" spans="7:31" ht="14.5" customHeight="1" x14ac:dyDescent="0.35">
      <c r="G535" s="85"/>
      <c r="H535" s="87"/>
      <c r="K535" s="85"/>
      <c r="M535" s="94"/>
      <c r="N535" s="93"/>
      <c r="O535" s="85"/>
      <c r="Q535" s="94"/>
      <c r="R535" s="93"/>
      <c r="S535" s="85"/>
      <c r="U535" s="94"/>
      <c r="V535" s="93"/>
      <c r="W535" s="85"/>
      <c r="Y535" s="94"/>
      <c r="Z535" s="93"/>
      <c r="AA535" s="85"/>
      <c r="AC535" s="94"/>
      <c r="AD535" s="93"/>
      <c r="AE535" s="85"/>
    </row>
    <row r="536" spans="7:31" ht="14.5" customHeight="1" x14ac:dyDescent="0.35">
      <c r="G536" s="85"/>
      <c r="H536" s="87"/>
      <c r="K536" s="85"/>
      <c r="M536" s="94"/>
      <c r="N536" s="93"/>
      <c r="O536" s="85"/>
      <c r="Q536" s="94"/>
      <c r="R536" s="93"/>
      <c r="S536" s="85"/>
      <c r="U536" s="94"/>
      <c r="V536" s="93"/>
      <c r="W536" s="85"/>
      <c r="Y536" s="94"/>
      <c r="Z536" s="93"/>
      <c r="AA536" s="85"/>
      <c r="AC536" s="94"/>
      <c r="AD536" s="93"/>
      <c r="AE536" s="85"/>
    </row>
    <row r="537" spans="7:31" ht="14.5" customHeight="1" x14ac:dyDescent="0.35">
      <c r="G537" s="85"/>
      <c r="H537" s="87"/>
      <c r="K537" s="85"/>
      <c r="M537" s="94"/>
      <c r="N537" s="93"/>
      <c r="O537" s="85"/>
      <c r="Q537" s="94"/>
      <c r="R537" s="93"/>
      <c r="S537" s="85"/>
      <c r="U537" s="94"/>
      <c r="V537" s="93"/>
      <c r="W537" s="85"/>
      <c r="Y537" s="94"/>
      <c r="Z537" s="93"/>
      <c r="AA537" s="85"/>
      <c r="AC537" s="94"/>
      <c r="AD537" s="93"/>
      <c r="AE537" s="85"/>
    </row>
    <row r="538" spans="7:31" ht="14.5" customHeight="1" x14ac:dyDescent="0.35">
      <c r="G538" s="85"/>
      <c r="H538" s="87"/>
      <c r="K538" s="85"/>
      <c r="M538" s="94"/>
      <c r="N538" s="93"/>
      <c r="O538" s="85"/>
      <c r="Q538" s="94"/>
      <c r="R538" s="93"/>
      <c r="S538" s="85"/>
      <c r="U538" s="94"/>
      <c r="V538" s="93"/>
      <c r="W538" s="85"/>
      <c r="Y538" s="94"/>
      <c r="Z538" s="93"/>
      <c r="AA538" s="85"/>
      <c r="AC538" s="94"/>
      <c r="AD538" s="93"/>
      <c r="AE538" s="85"/>
    </row>
    <row r="539" spans="7:31" ht="14.5" customHeight="1" x14ac:dyDescent="0.35">
      <c r="G539" s="85"/>
      <c r="H539" s="87"/>
      <c r="K539" s="85"/>
      <c r="M539" s="94"/>
      <c r="N539" s="93"/>
      <c r="O539" s="85"/>
      <c r="Q539" s="94"/>
      <c r="R539" s="93"/>
      <c r="S539" s="85"/>
      <c r="U539" s="94"/>
      <c r="V539" s="93"/>
      <c r="W539" s="85"/>
      <c r="Y539" s="94"/>
      <c r="Z539" s="93"/>
      <c r="AA539" s="85"/>
      <c r="AC539" s="94"/>
      <c r="AD539" s="93"/>
      <c r="AE539" s="85"/>
    </row>
    <row r="540" spans="7:31" ht="14.5" customHeight="1" x14ac:dyDescent="0.35">
      <c r="G540" s="85"/>
      <c r="H540" s="87"/>
      <c r="K540" s="85"/>
      <c r="M540" s="94"/>
      <c r="N540" s="93"/>
      <c r="O540" s="85"/>
      <c r="Q540" s="94"/>
      <c r="R540" s="93"/>
      <c r="S540" s="85"/>
      <c r="U540" s="94"/>
      <c r="V540" s="93"/>
      <c r="W540" s="85"/>
      <c r="Y540" s="94"/>
      <c r="Z540" s="93"/>
      <c r="AA540" s="85"/>
      <c r="AC540" s="94"/>
      <c r="AD540" s="93"/>
      <c r="AE540" s="85"/>
    </row>
    <row r="541" spans="7:31" ht="14.5" customHeight="1" x14ac:dyDescent="0.35">
      <c r="G541" s="85"/>
      <c r="H541" s="87"/>
      <c r="K541" s="85"/>
      <c r="M541" s="94"/>
      <c r="N541" s="93"/>
      <c r="O541" s="85"/>
      <c r="Q541" s="94"/>
      <c r="R541" s="93"/>
      <c r="S541" s="85"/>
      <c r="U541" s="94"/>
      <c r="V541" s="93"/>
      <c r="W541" s="85"/>
      <c r="Y541" s="94"/>
      <c r="Z541" s="93"/>
      <c r="AA541" s="85"/>
      <c r="AC541" s="94"/>
      <c r="AD541" s="93"/>
      <c r="AE541" s="85"/>
    </row>
    <row r="542" spans="7:31" ht="14.5" customHeight="1" x14ac:dyDescent="0.35">
      <c r="G542" s="85"/>
      <c r="H542" s="87"/>
      <c r="K542" s="85"/>
      <c r="M542" s="94"/>
      <c r="N542" s="93"/>
      <c r="O542" s="85"/>
      <c r="Q542" s="94"/>
      <c r="R542" s="93"/>
      <c r="S542" s="85"/>
      <c r="U542" s="94"/>
      <c r="V542" s="93"/>
      <c r="W542" s="85"/>
      <c r="Y542" s="94"/>
      <c r="Z542" s="93"/>
      <c r="AA542" s="85"/>
      <c r="AC542" s="94"/>
      <c r="AD542" s="93"/>
      <c r="AE542" s="85"/>
    </row>
    <row r="543" spans="7:31" ht="14.5" customHeight="1" x14ac:dyDescent="0.35">
      <c r="G543" s="85"/>
      <c r="H543" s="87"/>
      <c r="K543" s="85"/>
      <c r="M543" s="94"/>
      <c r="N543" s="93"/>
      <c r="O543" s="85"/>
      <c r="Q543" s="94"/>
      <c r="R543" s="93"/>
      <c r="S543" s="85"/>
      <c r="U543" s="94"/>
      <c r="V543" s="93"/>
      <c r="W543" s="85"/>
      <c r="Y543" s="94"/>
      <c r="Z543" s="93"/>
      <c r="AA543" s="85"/>
      <c r="AC543" s="94"/>
      <c r="AD543" s="93"/>
      <c r="AE543" s="85"/>
    </row>
    <row r="544" spans="7:31" ht="14.5" customHeight="1" x14ac:dyDescent="0.35">
      <c r="G544" s="85"/>
      <c r="H544" s="87"/>
      <c r="K544" s="85"/>
      <c r="M544" s="94"/>
      <c r="N544" s="93"/>
      <c r="O544" s="85"/>
      <c r="Q544" s="94"/>
      <c r="R544" s="93"/>
      <c r="S544" s="85"/>
      <c r="U544" s="94"/>
      <c r="V544" s="93"/>
      <c r="W544" s="85"/>
      <c r="Y544" s="94"/>
      <c r="Z544" s="93"/>
      <c r="AA544" s="85"/>
      <c r="AC544" s="94"/>
      <c r="AD544" s="93"/>
      <c r="AE544" s="85"/>
    </row>
    <row r="545" spans="7:31" ht="14.5" customHeight="1" x14ac:dyDescent="0.35">
      <c r="G545" s="85"/>
      <c r="H545" s="87"/>
      <c r="K545" s="85"/>
      <c r="M545" s="94"/>
      <c r="N545" s="93"/>
      <c r="O545" s="85"/>
      <c r="Q545" s="94"/>
      <c r="R545" s="93"/>
      <c r="S545" s="85"/>
      <c r="U545" s="94"/>
      <c r="V545" s="93"/>
      <c r="W545" s="85"/>
      <c r="Y545" s="94"/>
      <c r="Z545" s="93"/>
      <c r="AA545" s="85"/>
      <c r="AC545" s="94"/>
      <c r="AD545" s="93"/>
      <c r="AE545" s="85"/>
    </row>
    <row r="546" spans="7:31" ht="14.5" customHeight="1" x14ac:dyDescent="0.35">
      <c r="G546" s="85"/>
      <c r="H546" s="87"/>
      <c r="K546" s="85"/>
      <c r="M546" s="94"/>
      <c r="N546" s="93"/>
      <c r="O546" s="85"/>
      <c r="Q546" s="94"/>
      <c r="R546" s="93"/>
      <c r="S546" s="85"/>
      <c r="U546" s="94"/>
      <c r="V546" s="93"/>
      <c r="W546" s="85"/>
      <c r="Y546" s="94"/>
      <c r="Z546" s="93"/>
      <c r="AA546" s="85"/>
      <c r="AC546" s="94"/>
      <c r="AD546" s="93"/>
      <c r="AE546" s="85"/>
    </row>
    <row r="547" spans="7:31" ht="14.5" customHeight="1" x14ac:dyDescent="0.35">
      <c r="G547" s="85"/>
      <c r="H547" s="87"/>
      <c r="K547" s="85"/>
      <c r="M547" s="94"/>
      <c r="N547" s="93"/>
      <c r="O547" s="85"/>
      <c r="Q547" s="94"/>
      <c r="R547" s="93"/>
      <c r="S547" s="85"/>
      <c r="U547" s="94"/>
      <c r="V547" s="93"/>
      <c r="W547" s="85"/>
      <c r="Y547" s="94"/>
      <c r="Z547" s="93"/>
      <c r="AA547" s="85"/>
      <c r="AC547" s="94"/>
      <c r="AD547" s="93"/>
      <c r="AE547" s="85"/>
    </row>
    <row r="548" spans="7:31" ht="14.5" customHeight="1" x14ac:dyDescent="0.35">
      <c r="G548" s="85"/>
      <c r="H548" s="87"/>
      <c r="K548" s="85"/>
      <c r="M548" s="94"/>
      <c r="N548" s="93"/>
      <c r="O548" s="85"/>
      <c r="Q548" s="94"/>
      <c r="R548" s="93"/>
      <c r="S548" s="85"/>
      <c r="U548" s="94"/>
      <c r="V548" s="93"/>
      <c r="W548" s="85"/>
      <c r="Y548" s="94"/>
      <c r="Z548" s="93"/>
      <c r="AA548" s="85"/>
      <c r="AC548" s="94"/>
      <c r="AD548" s="93"/>
      <c r="AE548" s="85"/>
    </row>
    <row r="549" spans="7:31" ht="14.5" customHeight="1" x14ac:dyDescent="0.35">
      <c r="G549" s="85"/>
      <c r="H549" s="87"/>
      <c r="K549" s="85"/>
      <c r="M549" s="94"/>
      <c r="N549" s="93"/>
      <c r="O549" s="85"/>
      <c r="Q549" s="94"/>
      <c r="R549" s="93"/>
      <c r="S549" s="85"/>
      <c r="U549" s="94"/>
      <c r="V549" s="93"/>
      <c r="W549" s="85"/>
      <c r="Y549" s="94"/>
      <c r="Z549" s="93"/>
      <c r="AA549" s="85"/>
      <c r="AC549" s="94"/>
      <c r="AD549" s="93"/>
      <c r="AE549" s="85"/>
    </row>
    <row r="550" spans="7:31" ht="14.5" customHeight="1" x14ac:dyDescent="0.35">
      <c r="G550" s="85"/>
      <c r="H550" s="87"/>
      <c r="K550" s="85"/>
      <c r="M550" s="94"/>
      <c r="N550" s="93"/>
      <c r="O550" s="85"/>
      <c r="Q550" s="94"/>
      <c r="R550" s="93"/>
      <c r="S550" s="85"/>
      <c r="U550" s="94"/>
      <c r="V550" s="93"/>
      <c r="W550" s="85"/>
      <c r="Y550" s="94"/>
      <c r="Z550" s="93"/>
      <c r="AA550" s="85"/>
      <c r="AC550" s="94"/>
      <c r="AD550" s="93"/>
      <c r="AE550" s="85"/>
    </row>
    <row r="551" spans="7:31" ht="14.5" customHeight="1" x14ac:dyDescent="0.35">
      <c r="G551" s="85"/>
      <c r="H551" s="87"/>
      <c r="K551" s="85"/>
      <c r="M551" s="94"/>
      <c r="N551" s="93"/>
      <c r="O551" s="85"/>
      <c r="Q551" s="94"/>
      <c r="R551" s="93"/>
      <c r="S551" s="85"/>
      <c r="U551" s="94"/>
      <c r="V551" s="93"/>
      <c r="W551" s="85"/>
      <c r="Y551" s="94"/>
      <c r="Z551" s="93"/>
      <c r="AA551" s="85"/>
      <c r="AC551" s="94"/>
      <c r="AD551" s="93"/>
      <c r="AE551" s="85"/>
    </row>
    <row r="552" spans="7:31" ht="14.5" customHeight="1" x14ac:dyDescent="0.35">
      <c r="G552" s="85"/>
      <c r="H552" s="87"/>
      <c r="K552" s="85"/>
      <c r="M552" s="94"/>
      <c r="N552" s="93"/>
      <c r="O552" s="85"/>
      <c r="Q552" s="94"/>
      <c r="R552" s="93"/>
      <c r="S552" s="85"/>
      <c r="U552" s="94"/>
      <c r="V552" s="93"/>
      <c r="W552" s="85"/>
      <c r="Y552" s="94"/>
      <c r="Z552" s="93"/>
      <c r="AA552" s="85"/>
      <c r="AC552" s="94"/>
      <c r="AD552" s="93"/>
      <c r="AE552" s="85"/>
    </row>
    <row r="553" spans="7:31" ht="14.5" customHeight="1" x14ac:dyDescent="0.35">
      <c r="G553" s="85"/>
      <c r="H553" s="87"/>
      <c r="K553" s="85"/>
      <c r="M553" s="94"/>
      <c r="N553" s="93"/>
      <c r="O553" s="85"/>
      <c r="Q553" s="94"/>
      <c r="R553" s="93"/>
      <c r="S553" s="85"/>
      <c r="U553" s="94"/>
      <c r="V553" s="93"/>
      <c r="W553" s="85"/>
      <c r="Y553" s="94"/>
      <c r="Z553" s="93"/>
      <c r="AA553" s="85"/>
      <c r="AC553" s="94"/>
      <c r="AD553" s="93"/>
      <c r="AE553" s="85"/>
    </row>
    <row r="554" spans="7:31" ht="14.5" customHeight="1" x14ac:dyDescent="0.35">
      <c r="G554" s="85"/>
      <c r="H554" s="87"/>
      <c r="K554" s="85"/>
      <c r="M554" s="94"/>
      <c r="N554" s="93"/>
      <c r="O554" s="85"/>
      <c r="Q554" s="94"/>
      <c r="R554" s="93"/>
      <c r="S554" s="85"/>
      <c r="U554" s="94"/>
      <c r="V554" s="93"/>
      <c r="W554" s="85"/>
      <c r="Y554" s="94"/>
      <c r="Z554" s="93"/>
      <c r="AA554" s="85"/>
      <c r="AC554" s="94"/>
      <c r="AD554" s="93"/>
      <c r="AE554" s="85"/>
    </row>
    <row r="555" spans="7:31" ht="14.5" customHeight="1" x14ac:dyDescent="0.35">
      <c r="G555" s="85"/>
      <c r="H555" s="87"/>
      <c r="K555" s="85"/>
      <c r="M555" s="94"/>
      <c r="N555" s="93"/>
      <c r="O555" s="85"/>
      <c r="Q555" s="94"/>
      <c r="R555" s="93"/>
      <c r="S555" s="85"/>
      <c r="U555" s="94"/>
      <c r="V555" s="93"/>
      <c r="W555" s="85"/>
      <c r="Y555" s="94"/>
      <c r="Z555" s="93"/>
      <c r="AA555" s="85"/>
      <c r="AC555" s="94"/>
      <c r="AD555" s="93"/>
      <c r="AE555" s="85"/>
    </row>
    <row r="556" spans="7:31" ht="14.5" customHeight="1" x14ac:dyDescent="0.35">
      <c r="G556" s="85"/>
      <c r="H556" s="87"/>
      <c r="K556" s="85"/>
      <c r="M556" s="94"/>
      <c r="N556" s="93"/>
      <c r="O556" s="85"/>
      <c r="Q556" s="94"/>
      <c r="R556" s="93"/>
      <c r="S556" s="85"/>
      <c r="U556" s="94"/>
      <c r="V556" s="93"/>
      <c r="W556" s="85"/>
      <c r="Y556" s="94"/>
      <c r="Z556" s="93"/>
      <c r="AA556" s="85"/>
      <c r="AC556" s="94"/>
      <c r="AD556" s="93"/>
      <c r="AE556" s="85"/>
    </row>
    <row r="557" spans="7:31" ht="14.5" customHeight="1" x14ac:dyDescent="0.35">
      <c r="G557" s="85"/>
      <c r="H557" s="87"/>
      <c r="K557" s="85"/>
      <c r="M557" s="94"/>
      <c r="N557" s="93"/>
      <c r="O557" s="85"/>
      <c r="Q557" s="94"/>
      <c r="R557" s="93"/>
      <c r="S557" s="85"/>
      <c r="U557" s="94"/>
      <c r="V557" s="93"/>
      <c r="W557" s="85"/>
      <c r="Y557" s="94"/>
      <c r="Z557" s="93"/>
      <c r="AA557" s="85"/>
      <c r="AC557" s="94"/>
      <c r="AD557" s="93"/>
      <c r="AE557" s="85"/>
    </row>
    <row r="558" spans="7:31" ht="14.5" customHeight="1" x14ac:dyDescent="0.35">
      <c r="G558" s="85"/>
      <c r="H558" s="87"/>
      <c r="K558" s="85"/>
      <c r="M558" s="94"/>
      <c r="N558" s="93"/>
      <c r="O558" s="85"/>
      <c r="Q558" s="94"/>
      <c r="R558" s="93"/>
      <c r="S558" s="85"/>
      <c r="U558" s="94"/>
      <c r="V558" s="93"/>
      <c r="W558" s="85"/>
      <c r="Y558" s="94"/>
      <c r="Z558" s="93"/>
      <c r="AA558" s="85"/>
      <c r="AC558" s="94"/>
      <c r="AD558" s="93"/>
      <c r="AE558" s="85"/>
    </row>
    <row r="559" spans="7:31" ht="14.5" customHeight="1" x14ac:dyDescent="0.35">
      <c r="G559" s="85"/>
      <c r="H559" s="87"/>
      <c r="K559" s="85"/>
      <c r="M559" s="94"/>
      <c r="N559" s="93"/>
      <c r="O559" s="85"/>
      <c r="Q559" s="94"/>
      <c r="R559" s="93"/>
      <c r="S559" s="85"/>
      <c r="U559" s="94"/>
      <c r="V559" s="93"/>
      <c r="W559" s="85"/>
      <c r="Y559" s="94"/>
      <c r="Z559" s="93"/>
      <c r="AA559" s="85"/>
      <c r="AC559" s="94"/>
      <c r="AD559" s="93"/>
      <c r="AE559" s="85"/>
    </row>
    <row r="560" spans="7:31" ht="14.5" customHeight="1" x14ac:dyDescent="0.35">
      <c r="G560" s="85"/>
      <c r="H560" s="87"/>
      <c r="K560" s="85"/>
      <c r="M560" s="94"/>
      <c r="N560" s="93"/>
      <c r="O560" s="85"/>
      <c r="Q560" s="94"/>
      <c r="R560" s="93"/>
      <c r="S560" s="85"/>
      <c r="U560" s="94"/>
      <c r="V560" s="93"/>
      <c r="W560" s="85"/>
      <c r="Y560" s="94"/>
      <c r="Z560" s="93"/>
      <c r="AA560" s="85"/>
      <c r="AC560" s="94"/>
      <c r="AD560" s="93"/>
      <c r="AE560" s="85"/>
    </row>
    <row r="561" spans="7:31" ht="14.5" customHeight="1" x14ac:dyDescent="0.35">
      <c r="G561" s="85"/>
      <c r="H561" s="87"/>
      <c r="K561" s="85"/>
      <c r="M561" s="94"/>
      <c r="N561" s="93"/>
      <c r="O561" s="85"/>
      <c r="Q561" s="94"/>
      <c r="R561" s="93"/>
      <c r="S561" s="85"/>
      <c r="U561" s="94"/>
      <c r="V561" s="93"/>
      <c r="W561" s="85"/>
      <c r="Y561" s="94"/>
      <c r="Z561" s="93"/>
      <c r="AA561" s="85"/>
      <c r="AC561" s="94"/>
      <c r="AD561" s="93"/>
      <c r="AE561" s="85"/>
    </row>
    <row r="562" spans="7:31" ht="14.5" customHeight="1" x14ac:dyDescent="0.35">
      <c r="G562" s="85"/>
      <c r="H562" s="87"/>
      <c r="K562" s="85"/>
      <c r="M562" s="94"/>
      <c r="N562" s="93"/>
      <c r="O562" s="85"/>
      <c r="Q562" s="94"/>
      <c r="R562" s="93"/>
      <c r="S562" s="85"/>
      <c r="U562" s="94"/>
      <c r="V562" s="93"/>
      <c r="W562" s="85"/>
      <c r="Y562" s="94"/>
      <c r="Z562" s="93"/>
      <c r="AA562" s="85"/>
      <c r="AC562" s="94"/>
      <c r="AD562" s="93"/>
      <c r="AE562" s="85"/>
    </row>
    <row r="563" spans="7:31" ht="14.5" customHeight="1" x14ac:dyDescent="0.35">
      <c r="G563" s="85"/>
      <c r="H563" s="87"/>
      <c r="K563" s="85"/>
      <c r="M563" s="94"/>
      <c r="N563" s="93"/>
      <c r="O563" s="85"/>
      <c r="Q563" s="94"/>
      <c r="R563" s="93"/>
      <c r="S563" s="85"/>
      <c r="U563" s="94"/>
      <c r="V563" s="93"/>
      <c r="W563" s="85"/>
      <c r="Y563" s="94"/>
      <c r="Z563" s="93"/>
      <c r="AA563" s="85"/>
      <c r="AC563" s="94"/>
      <c r="AD563" s="93"/>
      <c r="AE563" s="85"/>
    </row>
    <row r="564" spans="7:31" ht="14.5" customHeight="1" x14ac:dyDescent="0.35">
      <c r="G564" s="85"/>
      <c r="H564" s="87"/>
      <c r="K564" s="85"/>
      <c r="M564" s="94"/>
      <c r="N564" s="93"/>
      <c r="O564" s="85"/>
      <c r="Q564" s="94"/>
      <c r="R564" s="93"/>
      <c r="S564" s="85"/>
      <c r="U564" s="94"/>
      <c r="V564" s="93"/>
      <c r="W564" s="85"/>
      <c r="Y564" s="94"/>
      <c r="Z564" s="93"/>
      <c r="AA564" s="85"/>
      <c r="AC564" s="94"/>
      <c r="AD564" s="93"/>
      <c r="AE564" s="85"/>
    </row>
    <row r="565" spans="7:31" ht="14.5" customHeight="1" x14ac:dyDescent="0.35">
      <c r="G565" s="85"/>
      <c r="H565" s="87"/>
      <c r="K565" s="85"/>
      <c r="M565" s="94"/>
      <c r="N565" s="93"/>
      <c r="O565" s="85"/>
      <c r="Q565" s="94"/>
      <c r="R565" s="93"/>
      <c r="S565" s="85"/>
      <c r="U565" s="94"/>
      <c r="V565" s="93"/>
      <c r="W565" s="85"/>
      <c r="Y565" s="94"/>
      <c r="Z565" s="93"/>
      <c r="AA565" s="85"/>
      <c r="AC565" s="94"/>
      <c r="AD565" s="93"/>
      <c r="AE565" s="85"/>
    </row>
    <row r="566" spans="7:31" ht="14.5" customHeight="1" x14ac:dyDescent="0.35">
      <c r="G566" s="85"/>
      <c r="H566" s="87"/>
      <c r="K566" s="85"/>
      <c r="M566" s="94"/>
      <c r="N566" s="93"/>
      <c r="O566" s="85"/>
      <c r="Q566" s="94"/>
      <c r="R566" s="93"/>
      <c r="S566" s="85"/>
      <c r="U566" s="94"/>
      <c r="V566" s="93"/>
      <c r="W566" s="85"/>
      <c r="Y566" s="94"/>
      <c r="Z566" s="93"/>
      <c r="AA566" s="85"/>
      <c r="AC566" s="94"/>
      <c r="AD566" s="93"/>
      <c r="AE566" s="85"/>
    </row>
    <row r="567" spans="7:31" ht="14.5" customHeight="1" x14ac:dyDescent="0.35">
      <c r="G567" s="85"/>
      <c r="H567" s="87"/>
      <c r="K567" s="85"/>
      <c r="M567" s="94"/>
      <c r="N567" s="93"/>
      <c r="O567" s="85"/>
      <c r="Q567" s="94"/>
      <c r="R567" s="93"/>
      <c r="S567" s="85"/>
      <c r="U567" s="94"/>
      <c r="V567" s="93"/>
      <c r="W567" s="85"/>
      <c r="Y567" s="94"/>
      <c r="Z567" s="93"/>
      <c r="AA567" s="85"/>
      <c r="AC567" s="94"/>
      <c r="AD567" s="93"/>
      <c r="AE567" s="85"/>
    </row>
    <row r="568" spans="7:31" ht="14.5" customHeight="1" x14ac:dyDescent="0.35">
      <c r="G568" s="85"/>
      <c r="H568" s="87"/>
      <c r="K568" s="85"/>
      <c r="M568" s="94"/>
      <c r="N568" s="93"/>
      <c r="O568" s="85"/>
      <c r="Q568" s="94"/>
      <c r="R568" s="93"/>
      <c r="S568" s="85"/>
      <c r="U568" s="94"/>
      <c r="V568" s="93"/>
      <c r="W568" s="85"/>
      <c r="Y568" s="94"/>
      <c r="Z568" s="93"/>
      <c r="AA568" s="85"/>
      <c r="AC568" s="94"/>
      <c r="AD568" s="93"/>
      <c r="AE568" s="85"/>
    </row>
    <row r="569" spans="7:31" ht="14.5" customHeight="1" x14ac:dyDescent="0.35">
      <c r="G569" s="85"/>
      <c r="H569" s="87"/>
      <c r="K569" s="85"/>
      <c r="M569" s="94"/>
      <c r="N569" s="93"/>
      <c r="O569" s="85"/>
      <c r="Q569" s="94"/>
      <c r="R569" s="93"/>
      <c r="S569" s="85"/>
      <c r="U569" s="94"/>
      <c r="V569" s="93"/>
      <c r="W569" s="85"/>
      <c r="Y569" s="94"/>
      <c r="Z569" s="93"/>
      <c r="AA569" s="85"/>
      <c r="AC569" s="94"/>
      <c r="AD569" s="93"/>
      <c r="AE569" s="85"/>
    </row>
    <row r="570" spans="7:31" ht="14.5" customHeight="1" x14ac:dyDescent="0.35">
      <c r="G570" s="85"/>
      <c r="H570" s="87"/>
      <c r="K570" s="85"/>
      <c r="M570" s="94"/>
      <c r="N570" s="93"/>
      <c r="O570" s="85"/>
      <c r="Q570" s="94"/>
      <c r="R570" s="93"/>
      <c r="S570" s="85"/>
      <c r="U570" s="94"/>
      <c r="V570" s="93"/>
      <c r="W570" s="85"/>
      <c r="Y570" s="94"/>
      <c r="Z570" s="93"/>
      <c r="AA570" s="85"/>
      <c r="AC570" s="94"/>
      <c r="AD570" s="93"/>
      <c r="AE570" s="85"/>
    </row>
    <row r="571" spans="7:31" ht="14.5" customHeight="1" x14ac:dyDescent="0.35">
      <c r="G571" s="85"/>
      <c r="H571" s="87"/>
      <c r="K571" s="85"/>
      <c r="M571" s="94"/>
      <c r="N571" s="93"/>
      <c r="O571" s="85"/>
      <c r="Q571" s="94"/>
      <c r="R571" s="93"/>
      <c r="S571" s="85"/>
      <c r="U571" s="94"/>
      <c r="V571" s="93"/>
      <c r="W571" s="85"/>
      <c r="Y571" s="94"/>
      <c r="Z571" s="93"/>
      <c r="AA571" s="85"/>
      <c r="AC571" s="94"/>
      <c r="AD571" s="93"/>
      <c r="AE571" s="85"/>
    </row>
    <row r="572" spans="7:31" ht="14.5" customHeight="1" x14ac:dyDescent="0.35">
      <c r="G572" s="85"/>
      <c r="H572" s="87"/>
      <c r="K572" s="85"/>
      <c r="M572" s="94"/>
      <c r="N572" s="93"/>
      <c r="O572" s="85"/>
      <c r="Q572" s="94"/>
      <c r="R572" s="93"/>
      <c r="S572" s="85"/>
      <c r="U572" s="94"/>
      <c r="V572" s="93"/>
      <c r="W572" s="85"/>
      <c r="Y572" s="94"/>
      <c r="Z572" s="93"/>
      <c r="AA572" s="85"/>
      <c r="AC572" s="94"/>
      <c r="AD572" s="93"/>
      <c r="AE572" s="85"/>
    </row>
    <row r="573" spans="7:31" ht="14.5" customHeight="1" x14ac:dyDescent="0.35">
      <c r="G573" s="85"/>
      <c r="H573" s="87"/>
      <c r="K573" s="85"/>
      <c r="M573" s="94"/>
      <c r="N573" s="93"/>
      <c r="O573" s="85"/>
      <c r="Q573" s="94"/>
      <c r="R573" s="93"/>
      <c r="S573" s="85"/>
      <c r="U573" s="94"/>
      <c r="V573" s="93"/>
      <c r="W573" s="85"/>
      <c r="Y573" s="94"/>
      <c r="Z573" s="93"/>
      <c r="AA573" s="85"/>
      <c r="AC573" s="94"/>
      <c r="AD573" s="93"/>
      <c r="AE573" s="85"/>
    </row>
    <row r="574" spans="7:31" ht="14.5" customHeight="1" x14ac:dyDescent="0.35">
      <c r="G574" s="85"/>
      <c r="H574" s="87"/>
      <c r="K574" s="85"/>
      <c r="M574" s="94"/>
      <c r="N574" s="93"/>
      <c r="O574" s="85"/>
      <c r="Q574" s="94"/>
      <c r="R574" s="93"/>
      <c r="S574" s="85"/>
      <c r="U574" s="94"/>
      <c r="V574" s="93"/>
      <c r="W574" s="85"/>
      <c r="Y574" s="94"/>
      <c r="Z574" s="93"/>
      <c r="AA574" s="85"/>
      <c r="AC574" s="94"/>
      <c r="AD574" s="93"/>
      <c r="AE574" s="85"/>
    </row>
    <row r="575" spans="7:31" ht="14.5" customHeight="1" x14ac:dyDescent="0.35">
      <c r="G575" s="85"/>
      <c r="H575" s="87"/>
      <c r="K575" s="85"/>
      <c r="M575" s="94"/>
      <c r="N575" s="93"/>
      <c r="O575" s="85"/>
      <c r="Q575" s="94"/>
      <c r="R575" s="93"/>
      <c r="S575" s="85"/>
      <c r="U575" s="94"/>
      <c r="V575" s="93"/>
      <c r="W575" s="85"/>
      <c r="Y575" s="94"/>
      <c r="Z575" s="93"/>
      <c r="AA575" s="85"/>
      <c r="AC575" s="94"/>
      <c r="AD575" s="93"/>
      <c r="AE575" s="85"/>
    </row>
    <row r="576" spans="7:31" ht="14.5" customHeight="1" x14ac:dyDescent="0.35">
      <c r="G576" s="85"/>
      <c r="H576" s="87"/>
      <c r="K576" s="85"/>
      <c r="M576" s="94"/>
      <c r="N576" s="93"/>
      <c r="O576" s="85"/>
      <c r="Q576" s="94"/>
      <c r="R576" s="93"/>
      <c r="S576" s="85"/>
      <c r="U576" s="94"/>
      <c r="V576" s="93"/>
      <c r="W576" s="85"/>
      <c r="Y576" s="94"/>
      <c r="Z576" s="93"/>
      <c r="AA576" s="85"/>
      <c r="AC576" s="94"/>
      <c r="AD576" s="93"/>
      <c r="AE576" s="85"/>
    </row>
    <row r="577" spans="7:31" ht="14.5" customHeight="1" x14ac:dyDescent="0.35">
      <c r="G577" s="85"/>
      <c r="H577" s="87"/>
      <c r="K577" s="85"/>
      <c r="M577" s="94"/>
      <c r="N577" s="93"/>
      <c r="O577" s="85"/>
      <c r="Q577" s="94"/>
      <c r="R577" s="93"/>
      <c r="S577" s="85"/>
      <c r="U577" s="94"/>
      <c r="V577" s="93"/>
      <c r="W577" s="85"/>
      <c r="Y577" s="94"/>
      <c r="Z577" s="93"/>
      <c r="AA577" s="85"/>
      <c r="AC577" s="94"/>
      <c r="AD577" s="93"/>
      <c r="AE577" s="85"/>
    </row>
    <row r="578" spans="7:31" ht="14.5" customHeight="1" x14ac:dyDescent="0.35">
      <c r="G578" s="85"/>
      <c r="H578" s="87"/>
      <c r="K578" s="85"/>
      <c r="M578" s="94"/>
      <c r="N578" s="93"/>
      <c r="O578" s="85"/>
      <c r="Q578" s="94"/>
      <c r="R578" s="93"/>
      <c r="S578" s="85"/>
      <c r="U578" s="94"/>
      <c r="V578" s="93"/>
      <c r="W578" s="85"/>
      <c r="Y578" s="94"/>
      <c r="Z578" s="93"/>
      <c r="AA578" s="85"/>
      <c r="AC578" s="94"/>
      <c r="AD578" s="93"/>
      <c r="AE578" s="85"/>
    </row>
    <row r="579" spans="7:31" ht="14.5" customHeight="1" x14ac:dyDescent="0.35">
      <c r="G579" s="85"/>
      <c r="H579" s="87"/>
      <c r="K579" s="85"/>
      <c r="M579" s="94"/>
      <c r="N579" s="93"/>
      <c r="O579" s="85"/>
      <c r="Q579" s="94"/>
      <c r="R579" s="93"/>
      <c r="S579" s="85"/>
      <c r="U579" s="94"/>
      <c r="V579" s="93"/>
      <c r="W579" s="85"/>
      <c r="Y579" s="94"/>
      <c r="Z579" s="93"/>
      <c r="AA579" s="85"/>
      <c r="AC579" s="94"/>
      <c r="AD579" s="93"/>
      <c r="AE579" s="85"/>
    </row>
    <row r="580" spans="7:31" ht="14.5" customHeight="1" x14ac:dyDescent="0.35">
      <c r="G580" s="85"/>
      <c r="H580" s="87"/>
      <c r="K580" s="85"/>
      <c r="M580" s="94"/>
      <c r="N580" s="93"/>
      <c r="O580" s="85"/>
      <c r="Q580" s="94"/>
      <c r="R580" s="93"/>
      <c r="S580" s="85"/>
      <c r="U580" s="94"/>
      <c r="V580" s="93"/>
      <c r="W580" s="85"/>
      <c r="Y580" s="94"/>
      <c r="Z580" s="93"/>
      <c r="AA580" s="85"/>
      <c r="AC580" s="94"/>
      <c r="AD580" s="93"/>
      <c r="AE580" s="85"/>
    </row>
    <row r="581" spans="7:31" ht="14.5" customHeight="1" x14ac:dyDescent="0.35">
      <c r="G581" s="85"/>
      <c r="H581" s="87"/>
      <c r="K581" s="85"/>
      <c r="M581" s="94"/>
      <c r="N581" s="93"/>
      <c r="O581" s="85"/>
      <c r="Q581" s="94"/>
      <c r="R581" s="93"/>
      <c r="S581" s="85"/>
      <c r="U581" s="94"/>
      <c r="V581" s="93"/>
      <c r="W581" s="85"/>
      <c r="Y581" s="94"/>
      <c r="Z581" s="93"/>
      <c r="AA581" s="85"/>
      <c r="AC581" s="94"/>
      <c r="AD581" s="93"/>
      <c r="AE581" s="85"/>
    </row>
    <row r="582" spans="7:31" ht="14.5" customHeight="1" x14ac:dyDescent="0.35">
      <c r="G582" s="85"/>
      <c r="H582" s="87"/>
      <c r="K582" s="85"/>
      <c r="M582" s="94"/>
      <c r="N582" s="93"/>
      <c r="O582" s="85"/>
      <c r="Q582" s="94"/>
      <c r="R582" s="93"/>
      <c r="S582" s="85"/>
      <c r="U582" s="94"/>
      <c r="V582" s="93"/>
      <c r="W582" s="85"/>
      <c r="Y582" s="94"/>
      <c r="Z582" s="93"/>
      <c r="AA582" s="85"/>
      <c r="AC582" s="94"/>
      <c r="AD582" s="93"/>
      <c r="AE582" s="85"/>
    </row>
    <row r="583" spans="7:31" ht="14.5" customHeight="1" x14ac:dyDescent="0.35">
      <c r="G583" s="85"/>
      <c r="H583" s="87"/>
      <c r="K583" s="85"/>
      <c r="M583" s="94"/>
      <c r="N583" s="93"/>
      <c r="O583" s="85"/>
      <c r="Q583" s="94"/>
      <c r="R583" s="93"/>
      <c r="S583" s="85"/>
      <c r="U583" s="94"/>
      <c r="V583" s="93"/>
      <c r="W583" s="85"/>
      <c r="Y583" s="94"/>
      <c r="Z583" s="93"/>
      <c r="AA583" s="85"/>
      <c r="AC583" s="94"/>
      <c r="AD583" s="93"/>
      <c r="AE583" s="85"/>
    </row>
    <row r="584" spans="7:31" ht="14.5" customHeight="1" x14ac:dyDescent="0.35">
      <c r="G584" s="85"/>
      <c r="H584" s="87"/>
      <c r="K584" s="85"/>
      <c r="M584" s="94"/>
      <c r="N584" s="93"/>
      <c r="O584" s="85"/>
      <c r="Q584" s="94"/>
      <c r="R584" s="93"/>
      <c r="S584" s="85"/>
      <c r="U584" s="94"/>
      <c r="V584" s="93"/>
      <c r="W584" s="85"/>
      <c r="Y584" s="94"/>
      <c r="Z584" s="93"/>
      <c r="AA584" s="85"/>
      <c r="AC584" s="94"/>
      <c r="AD584" s="93"/>
      <c r="AE584" s="85"/>
    </row>
    <row r="585" spans="7:31" ht="14.5" customHeight="1" x14ac:dyDescent="0.35">
      <c r="G585" s="85"/>
      <c r="H585" s="87"/>
      <c r="K585" s="85"/>
      <c r="M585" s="94"/>
      <c r="N585" s="93"/>
      <c r="O585" s="85"/>
      <c r="Q585" s="94"/>
      <c r="R585" s="93"/>
      <c r="S585" s="85"/>
      <c r="U585" s="94"/>
      <c r="V585" s="93"/>
      <c r="W585" s="85"/>
      <c r="Y585" s="94"/>
      <c r="Z585" s="93"/>
      <c r="AA585" s="85"/>
      <c r="AC585" s="94"/>
      <c r="AD585" s="93"/>
      <c r="AE585" s="85"/>
    </row>
    <row r="586" spans="7:31" ht="14.5" customHeight="1" x14ac:dyDescent="0.35">
      <c r="G586" s="85"/>
      <c r="H586" s="87"/>
      <c r="K586" s="85"/>
      <c r="M586" s="94"/>
      <c r="N586" s="93"/>
      <c r="O586" s="85"/>
      <c r="Q586" s="94"/>
      <c r="R586" s="93"/>
      <c r="S586" s="85"/>
      <c r="U586" s="94"/>
      <c r="V586" s="93"/>
      <c r="W586" s="85"/>
      <c r="Y586" s="94"/>
      <c r="Z586" s="93"/>
      <c r="AA586" s="85"/>
      <c r="AC586" s="94"/>
      <c r="AD586" s="93"/>
      <c r="AE586" s="85"/>
    </row>
    <row r="587" spans="7:31" ht="14.5" customHeight="1" x14ac:dyDescent="0.35">
      <c r="G587" s="85"/>
      <c r="H587" s="87"/>
      <c r="K587" s="85"/>
      <c r="M587" s="94"/>
      <c r="N587" s="93"/>
      <c r="O587" s="85"/>
      <c r="Q587" s="94"/>
      <c r="R587" s="93"/>
      <c r="S587" s="85"/>
      <c r="U587" s="94"/>
      <c r="V587" s="93"/>
      <c r="W587" s="85"/>
      <c r="Y587" s="94"/>
      <c r="Z587" s="93"/>
      <c r="AA587" s="85"/>
      <c r="AC587" s="94"/>
      <c r="AD587" s="93"/>
      <c r="AE587" s="85"/>
    </row>
    <row r="588" spans="7:31" ht="14.5" customHeight="1" x14ac:dyDescent="0.35">
      <c r="G588" s="85"/>
      <c r="H588" s="87"/>
      <c r="K588" s="85"/>
      <c r="M588" s="94"/>
      <c r="N588" s="93"/>
      <c r="O588" s="85"/>
      <c r="Q588" s="94"/>
      <c r="R588" s="93"/>
      <c r="S588" s="85"/>
      <c r="U588" s="94"/>
      <c r="V588" s="93"/>
      <c r="W588" s="85"/>
      <c r="Y588" s="94"/>
      <c r="Z588" s="93"/>
      <c r="AA588" s="85"/>
      <c r="AC588" s="94"/>
      <c r="AD588" s="93"/>
      <c r="AE588" s="85"/>
    </row>
    <row r="589" spans="7:31" ht="14.5" customHeight="1" x14ac:dyDescent="0.35">
      <c r="G589" s="85"/>
      <c r="H589" s="87"/>
      <c r="K589" s="85"/>
      <c r="M589" s="94"/>
      <c r="N589" s="93"/>
      <c r="O589" s="85"/>
      <c r="Q589" s="94"/>
      <c r="R589" s="93"/>
      <c r="S589" s="85"/>
      <c r="U589" s="94"/>
      <c r="V589" s="93"/>
      <c r="W589" s="85"/>
      <c r="Y589" s="94"/>
      <c r="Z589" s="93"/>
      <c r="AA589" s="85"/>
      <c r="AC589" s="94"/>
      <c r="AD589" s="93"/>
      <c r="AE589" s="85"/>
    </row>
    <row r="590" spans="7:31" ht="14.5" customHeight="1" x14ac:dyDescent="0.35">
      <c r="G590" s="85"/>
      <c r="H590" s="87"/>
      <c r="K590" s="85"/>
      <c r="M590" s="94"/>
      <c r="N590" s="93"/>
      <c r="O590" s="85"/>
      <c r="Q590" s="94"/>
      <c r="R590" s="93"/>
      <c r="S590" s="85"/>
      <c r="U590" s="94"/>
      <c r="V590" s="93"/>
      <c r="W590" s="85"/>
      <c r="Y590" s="94"/>
      <c r="Z590" s="93"/>
      <c r="AA590" s="85"/>
      <c r="AC590" s="94"/>
      <c r="AD590" s="93"/>
      <c r="AE590" s="85"/>
    </row>
    <row r="591" spans="7:31" ht="14.5" customHeight="1" x14ac:dyDescent="0.35">
      <c r="G591" s="85"/>
      <c r="H591" s="87"/>
      <c r="K591" s="85"/>
      <c r="M591" s="94"/>
      <c r="N591" s="93"/>
      <c r="O591" s="85"/>
      <c r="Q591" s="94"/>
      <c r="R591" s="93"/>
      <c r="S591" s="85"/>
      <c r="U591" s="94"/>
      <c r="V591" s="93"/>
      <c r="W591" s="85"/>
      <c r="Y591" s="94"/>
      <c r="Z591" s="93"/>
      <c r="AA591" s="85"/>
      <c r="AC591" s="94"/>
      <c r="AD591" s="93"/>
      <c r="AE591" s="85"/>
    </row>
    <row r="592" spans="7:31" ht="14.5" customHeight="1" x14ac:dyDescent="0.35">
      <c r="G592" s="85"/>
      <c r="H592" s="87"/>
      <c r="K592" s="85"/>
      <c r="M592" s="94"/>
      <c r="N592" s="93"/>
      <c r="O592" s="85"/>
      <c r="Q592" s="94"/>
      <c r="R592" s="93"/>
      <c r="S592" s="85"/>
      <c r="U592" s="94"/>
      <c r="V592" s="93"/>
      <c r="W592" s="85"/>
      <c r="Y592" s="94"/>
      <c r="Z592" s="93"/>
      <c r="AA592" s="85"/>
      <c r="AC592" s="94"/>
      <c r="AD592" s="93"/>
      <c r="AE592" s="85"/>
    </row>
    <row r="593" spans="7:31" ht="14.5" customHeight="1" x14ac:dyDescent="0.35">
      <c r="G593" s="85"/>
      <c r="H593" s="87"/>
      <c r="K593" s="85"/>
      <c r="M593" s="94"/>
      <c r="N593" s="93"/>
      <c r="O593" s="85"/>
      <c r="Q593" s="94"/>
      <c r="R593" s="93"/>
      <c r="S593" s="85"/>
      <c r="U593" s="94"/>
      <c r="V593" s="93"/>
      <c r="W593" s="85"/>
      <c r="Y593" s="94"/>
      <c r="Z593" s="93"/>
      <c r="AA593" s="85"/>
      <c r="AC593" s="94"/>
      <c r="AD593" s="93"/>
      <c r="AE593" s="85"/>
    </row>
    <row r="594" spans="7:31" ht="14.5" customHeight="1" x14ac:dyDescent="0.35">
      <c r="G594" s="85"/>
      <c r="H594" s="87"/>
      <c r="K594" s="85"/>
      <c r="M594" s="94"/>
      <c r="N594" s="93"/>
      <c r="O594" s="85"/>
      <c r="Q594" s="94"/>
      <c r="R594" s="93"/>
      <c r="S594" s="85"/>
      <c r="U594" s="94"/>
      <c r="V594" s="93"/>
      <c r="W594" s="85"/>
      <c r="Y594" s="94"/>
      <c r="Z594" s="93"/>
      <c r="AA594" s="85"/>
      <c r="AC594" s="94"/>
      <c r="AD594" s="93"/>
      <c r="AE594" s="85"/>
    </row>
    <row r="595" spans="7:31" ht="14.5" customHeight="1" x14ac:dyDescent="0.35">
      <c r="G595" s="85"/>
      <c r="H595" s="87"/>
      <c r="K595" s="85"/>
      <c r="M595" s="94"/>
      <c r="N595" s="93"/>
      <c r="O595" s="85"/>
      <c r="Q595" s="94"/>
      <c r="R595" s="93"/>
      <c r="S595" s="85"/>
      <c r="U595" s="94"/>
      <c r="V595" s="93"/>
      <c r="W595" s="85"/>
      <c r="Y595" s="94"/>
      <c r="Z595" s="93"/>
      <c r="AA595" s="85"/>
      <c r="AC595" s="94"/>
      <c r="AD595" s="93"/>
      <c r="AE595" s="85"/>
    </row>
    <row r="596" spans="7:31" ht="14.5" customHeight="1" x14ac:dyDescent="0.35">
      <c r="G596" s="85"/>
      <c r="H596" s="87"/>
      <c r="K596" s="85"/>
      <c r="M596" s="94"/>
      <c r="N596" s="93"/>
      <c r="O596" s="85"/>
      <c r="Q596" s="94"/>
      <c r="R596" s="93"/>
      <c r="S596" s="85"/>
      <c r="U596" s="94"/>
      <c r="V596" s="93"/>
      <c r="W596" s="85"/>
      <c r="Y596" s="94"/>
      <c r="Z596" s="93"/>
      <c r="AA596" s="85"/>
      <c r="AC596" s="94"/>
      <c r="AD596" s="93"/>
      <c r="AE596" s="85"/>
    </row>
    <row r="597" spans="7:31" ht="14.5" customHeight="1" x14ac:dyDescent="0.35">
      <c r="G597" s="85"/>
      <c r="H597" s="87"/>
      <c r="K597" s="85"/>
      <c r="M597" s="94"/>
      <c r="N597" s="93"/>
      <c r="O597" s="85"/>
      <c r="Q597" s="94"/>
      <c r="R597" s="93"/>
      <c r="S597" s="85"/>
      <c r="U597" s="94"/>
      <c r="V597" s="93"/>
      <c r="W597" s="85"/>
      <c r="Y597" s="94"/>
      <c r="Z597" s="93"/>
      <c r="AA597" s="85"/>
      <c r="AC597" s="94"/>
      <c r="AD597" s="93"/>
      <c r="AE597" s="85"/>
    </row>
    <row r="598" spans="7:31" ht="14.5" customHeight="1" x14ac:dyDescent="0.35">
      <c r="G598" s="85"/>
      <c r="H598" s="87"/>
      <c r="K598" s="85"/>
      <c r="M598" s="94"/>
      <c r="N598" s="93"/>
      <c r="O598" s="85"/>
      <c r="Q598" s="94"/>
      <c r="R598" s="93"/>
      <c r="S598" s="85"/>
      <c r="U598" s="94"/>
      <c r="V598" s="93"/>
      <c r="W598" s="85"/>
      <c r="Y598" s="94"/>
      <c r="Z598" s="93"/>
      <c r="AA598" s="85"/>
      <c r="AC598" s="94"/>
      <c r="AD598" s="93"/>
      <c r="AE598" s="85"/>
    </row>
    <row r="599" spans="7:31" ht="14.5" customHeight="1" x14ac:dyDescent="0.35">
      <c r="G599" s="85"/>
      <c r="H599" s="87"/>
      <c r="K599" s="85"/>
      <c r="M599" s="94"/>
      <c r="N599" s="93"/>
      <c r="O599" s="85"/>
      <c r="Q599" s="94"/>
      <c r="R599" s="93"/>
      <c r="S599" s="85"/>
      <c r="U599" s="94"/>
      <c r="V599" s="93"/>
      <c r="W599" s="85"/>
      <c r="Y599" s="94"/>
      <c r="Z599" s="93"/>
      <c r="AA599" s="85"/>
      <c r="AC599" s="94"/>
      <c r="AD599" s="93"/>
      <c r="AE599" s="85"/>
    </row>
    <row r="600" spans="7:31" ht="14.5" customHeight="1" x14ac:dyDescent="0.35">
      <c r="G600" s="85"/>
      <c r="H600" s="87"/>
      <c r="K600" s="85"/>
      <c r="M600" s="94"/>
      <c r="N600" s="93"/>
      <c r="O600" s="85"/>
      <c r="Q600" s="94"/>
      <c r="R600" s="93"/>
      <c r="S600" s="85"/>
      <c r="U600" s="94"/>
      <c r="V600" s="93"/>
      <c r="W600" s="85"/>
      <c r="Y600" s="94"/>
      <c r="Z600" s="93"/>
      <c r="AA600" s="85"/>
      <c r="AC600" s="94"/>
      <c r="AD600" s="93"/>
      <c r="AE600" s="85"/>
    </row>
    <row r="601" spans="7:31" ht="14.5" customHeight="1" x14ac:dyDescent="0.35">
      <c r="G601" s="85"/>
      <c r="H601" s="87"/>
      <c r="K601" s="85"/>
      <c r="M601" s="94"/>
      <c r="N601" s="93"/>
      <c r="O601" s="85"/>
      <c r="Q601" s="94"/>
      <c r="R601" s="93"/>
      <c r="S601" s="85"/>
      <c r="U601" s="94"/>
      <c r="V601" s="93"/>
      <c r="W601" s="85"/>
      <c r="Y601" s="94"/>
      <c r="Z601" s="93"/>
      <c r="AA601" s="85"/>
      <c r="AC601" s="94"/>
      <c r="AD601" s="93"/>
      <c r="AE601" s="85"/>
    </row>
    <row r="602" spans="7:31" ht="14.5" customHeight="1" x14ac:dyDescent="0.35">
      <c r="G602" s="85"/>
      <c r="H602" s="87"/>
      <c r="K602" s="85"/>
      <c r="M602" s="94"/>
      <c r="N602" s="93"/>
      <c r="O602" s="85"/>
      <c r="Q602" s="94"/>
      <c r="R602" s="93"/>
      <c r="S602" s="85"/>
      <c r="U602" s="94"/>
      <c r="V602" s="93"/>
      <c r="W602" s="85"/>
      <c r="Y602" s="94"/>
      <c r="Z602" s="93"/>
      <c r="AA602" s="85"/>
      <c r="AC602" s="94"/>
      <c r="AD602" s="93"/>
      <c r="AE602" s="85"/>
    </row>
    <row r="603" spans="7:31" ht="14.5" customHeight="1" x14ac:dyDescent="0.35">
      <c r="G603" s="85"/>
      <c r="H603" s="87"/>
      <c r="K603" s="85"/>
      <c r="M603" s="94"/>
      <c r="N603" s="93"/>
      <c r="O603" s="85"/>
      <c r="Q603" s="94"/>
      <c r="R603" s="93"/>
      <c r="S603" s="85"/>
      <c r="U603" s="94"/>
      <c r="V603" s="93"/>
      <c r="W603" s="85"/>
      <c r="Y603" s="94"/>
      <c r="Z603" s="93"/>
      <c r="AA603" s="85"/>
      <c r="AC603" s="94"/>
      <c r="AD603" s="93"/>
      <c r="AE603" s="85"/>
    </row>
    <row r="604" spans="7:31" ht="14.5" customHeight="1" x14ac:dyDescent="0.35">
      <c r="G604" s="85"/>
      <c r="H604" s="87"/>
      <c r="K604" s="85"/>
      <c r="M604" s="94"/>
      <c r="N604" s="93"/>
      <c r="O604" s="85"/>
      <c r="Q604" s="94"/>
      <c r="R604" s="93"/>
      <c r="S604" s="85"/>
      <c r="U604" s="94"/>
      <c r="V604" s="93"/>
      <c r="W604" s="85"/>
      <c r="Y604" s="94"/>
      <c r="Z604" s="93"/>
      <c r="AA604" s="85"/>
      <c r="AC604" s="94"/>
      <c r="AD604" s="93"/>
      <c r="AE604" s="85"/>
    </row>
    <row r="605" spans="7:31" ht="14.5" customHeight="1" x14ac:dyDescent="0.35">
      <c r="G605" s="85"/>
      <c r="H605" s="87"/>
      <c r="K605" s="85"/>
      <c r="M605" s="94"/>
      <c r="N605" s="93"/>
      <c r="O605" s="85"/>
      <c r="Q605" s="94"/>
      <c r="R605" s="93"/>
      <c r="S605" s="85"/>
      <c r="U605" s="94"/>
      <c r="V605" s="93"/>
      <c r="W605" s="85"/>
      <c r="Y605" s="94"/>
      <c r="Z605" s="93"/>
      <c r="AA605" s="85"/>
      <c r="AC605" s="94"/>
      <c r="AD605" s="93"/>
      <c r="AE605" s="85"/>
    </row>
    <row r="606" spans="7:31" ht="14.5" customHeight="1" x14ac:dyDescent="0.35">
      <c r="G606" s="85"/>
      <c r="H606" s="87"/>
      <c r="K606" s="85"/>
      <c r="M606" s="94"/>
      <c r="N606" s="93"/>
      <c r="O606" s="85"/>
      <c r="Q606" s="94"/>
      <c r="R606" s="93"/>
      <c r="S606" s="85"/>
      <c r="U606" s="94"/>
      <c r="V606" s="93"/>
      <c r="W606" s="85"/>
      <c r="Y606" s="94"/>
      <c r="Z606" s="93"/>
      <c r="AA606" s="85"/>
      <c r="AC606" s="94"/>
      <c r="AD606" s="93"/>
      <c r="AE606" s="85"/>
    </row>
    <row r="607" spans="7:31" ht="14.5" customHeight="1" x14ac:dyDescent="0.35">
      <c r="G607" s="85"/>
      <c r="H607" s="87"/>
      <c r="K607" s="85"/>
      <c r="M607" s="94"/>
      <c r="N607" s="93"/>
      <c r="O607" s="85"/>
      <c r="Q607" s="94"/>
      <c r="R607" s="93"/>
      <c r="S607" s="85"/>
      <c r="U607" s="94"/>
      <c r="V607" s="93"/>
      <c r="W607" s="85"/>
      <c r="Y607" s="94"/>
      <c r="Z607" s="93"/>
      <c r="AA607" s="85"/>
      <c r="AC607" s="94"/>
      <c r="AD607" s="93"/>
      <c r="AE607" s="85"/>
    </row>
    <row r="608" spans="7:31" ht="14.5" customHeight="1" x14ac:dyDescent="0.35">
      <c r="G608" s="85"/>
      <c r="H608" s="87"/>
      <c r="K608" s="85"/>
      <c r="M608" s="94"/>
      <c r="N608" s="93"/>
      <c r="O608" s="85"/>
      <c r="Q608" s="94"/>
      <c r="R608" s="93"/>
      <c r="S608" s="85"/>
      <c r="U608" s="94"/>
      <c r="V608" s="93"/>
      <c r="W608" s="85"/>
      <c r="Y608" s="94"/>
      <c r="Z608" s="93"/>
      <c r="AA608" s="85"/>
      <c r="AC608" s="94"/>
      <c r="AD608" s="93"/>
      <c r="AE608" s="85"/>
    </row>
    <row r="609" spans="7:31" ht="14.5" customHeight="1" x14ac:dyDescent="0.35">
      <c r="G609" s="85"/>
      <c r="H609" s="87"/>
      <c r="K609" s="85"/>
      <c r="M609" s="94"/>
      <c r="N609" s="93"/>
      <c r="O609" s="85"/>
      <c r="Q609" s="94"/>
      <c r="R609" s="93"/>
      <c r="S609" s="85"/>
      <c r="U609" s="94"/>
      <c r="V609" s="93"/>
      <c r="W609" s="85"/>
      <c r="Y609" s="94"/>
      <c r="Z609" s="93"/>
      <c r="AA609" s="85"/>
      <c r="AC609" s="94"/>
      <c r="AD609" s="93"/>
      <c r="AE609" s="85"/>
    </row>
    <row r="610" spans="7:31" ht="14.5" customHeight="1" x14ac:dyDescent="0.35">
      <c r="G610" s="85"/>
      <c r="H610" s="87"/>
      <c r="K610" s="85"/>
      <c r="M610" s="94"/>
      <c r="N610" s="93"/>
      <c r="O610" s="85"/>
      <c r="Q610" s="94"/>
      <c r="R610" s="93"/>
      <c r="S610" s="85"/>
      <c r="U610" s="94"/>
      <c r="V610" s="93"/>
      <c r="W610" s="85"/>
      <c r="Y610" s="94"/>
      <c r="Z610" s="93"/>
      <c r="AA610" s="85"/>
      <c r="AC610" s="94"/>
      <c r="AD610" s="93"/>
      <c r="AE610" s="85"/>
    </row>
    <row r="611" spans="7:31" ht="14.5" customHeight="1" x14ac:dyDescent="0.35">
      <c r="G611" s="85"/>
      <c r="H611" s="87"/>
      <c r="K611" s="85"/>
      <c r="M611" s="94"/>
      <c r="N611" s="93"/>
      <c r="O611" s="85"/>
      <c r="Q611" s="94"/>
      <c r="R611" s="93"/>
      <c r="S611" s="85"/>
      <c r="U611" s="94"/>
      <c r="V611" s="93"/>
      <c r="W611" s="85"/>
      <c r="Y611" s="94"/>
      <c r="Z611" s="93"/>
      <c r="AA611" s="85"/>
      <c r="AC611" s="94"/>
      <c r="AD611" s="93"/>
      <c r="AE611" s="85"/>
    </row>
    <row r="612" spans="7:31" ht="14.5" customHeight="1" x14ac:dyDescent="0.35">
      <c r="G612" s="85"/>
      <c r="H612" s="87"/>
      <c r="K612" s="85"/>
      <c r="M612" s="94"/>
      <c r="N612" s="93"/>
      <c r="O612" s="85"/>
      <c r="Q612" s="94"/>
      <c r="R612" s="93"/>
      <c r="S612" s="85"/>
      <c r="U612" s="94"/>
      <c r="V612" s="93"/>
      <c r="W612" s="85"/>
      <c r="Y612" s="94"/>
      <c r="Z612" s="93"/>
      <c r="AA612" s="85"/>
      <c r="AC612" s="94"/>
      <c r="AD612" s="93"/>
      <c r="AE612" s="85"/>
    </row>
    <row r="613" spans="7:31" ht="14.5" customHeight="1" x14ac:dyDescent="0.35">
      <c r="G613" s="85"/>
      <c r="H613" s="87"/>
      <c r="K613" s="85"/>
      <c r="M613" s="94"/>
      <c r="N613" s="93"/>
      <c r="O613" s="85"/>
      <c r="Q613" s="94"/>
      <c r="R613" s="93"/>
      <c r="S613" s="85"/>
      <c r="U613" s="94"/>
      <c r="V613" s="93"/>
      <c r="W613" s="85"/>
      <c r="Y613" s="94"/>
      <c r="Z613" s="93"/>
      <c r="AA613" s="85"/>
      <c r="AC613" s="94"/>
      <c r="AD613" s="93"/>
      <c r="AE613" s="85"/>
    </row>
    <row r="614" spans="7:31" ht="14.5" customHeight="1" x14ac:dyDescent="0.35">
      <c r="G614" s="85"/>
      <c r="H614" s="87"/>
      <c r="K614" s="85"/>
      <c r="M614" s="94"/>
      <c r="N614" s="93"/>
      <c r="O614" s="85"/>
      <c r="Q614" s="94"/>
      <c r="R614" s="93"/>
      <c r="S614" s="85"/>
      <c r="U614" s="94"/>
      <c r="V614" s="93"/>
      <c r="W614" s="85"/>
      <c r="Y614" s="94"/>
      <c r="Z614" s="93"/>
      <c r="AA614" s="85"/>
      <c r="AC614" s="94"/>
      <c r="AD614" s="93"/>
      <c r="AE614" s="85"/>
    </row>
    <row r="615" spans="7:31" ht="14.5" customHeight="1" x14ac:dyDescent="0.35">
      <c r="G615" s="85"/>
      <c r="H615" s="87"/>
      <c r="K615" s="85"/>
      <c r="M615" s="94"/>
      <c r="N615" s="93"/>
      <c r="O615" s="85"/>
      <c r="Q615" s="94"/>
      <c r="R615" s="93"/>
      <c r="S615" s="85"/>
      <c r="U615" s="94"/>
      <c r="V615" s="93"/>
      <c r="W615" s="85"/>
      <c r="Y615" s="94"/>
      <c r="Z615" s="93"/>
      <c r="AA615" s="85"/>
      <c r="AC615" s="94"/>
      <c r="AD615" s="93"/>
      <c r="AE615" s="85"/>
    </row>
    <row r="616" spans="7:31" ht="14.5" customHeight="1" x14ac:dyDescent="0.35">
      <c r="G616" s="85"/>
      <c r="H616" s="87"/>
      <c r="K616" s="85"/>
      <c r="M616" s="94"/>
      <c r="N616" s="93"/>
      <c r="O616" s="85"/>
      <c r="Q616" s="94"/>
      <c r="R616" s="93"/>
      <c r="S616" s="85"/>
      <c r="U616" s="94"/>
      <c r="V616" s="93"/>
      <c r="W616" s="85"/>
      <c r="Y616" s="94"/>
      <c r="Z616" s="93"/>
      <c r="AA616" s="85"/>
      <c r="AC616" s="94"/>
      <c r="AD616" s="93"/>
      <c r="AE616" s="85"/>
    </row>
    <row r="617" spans="7:31" ht="14.5" customHeight="1" x14ac:dyDescent="0.35">
      <c r="G617" s="85"/>
      <c r="H617" s="87"/>
      <c r="K617" s="85"/>
      <c r="M617" s="94"/>
      <c r="N617" s="93"/>
      <c r="O617" s="85"/>
      <c r="Q617" s="94"/>
      <c r="R617" s="93"/>
      <c r="S617" s="85"/>
      <c r="U617" s="94"/>
      <c r="V617" s="93"/>
      <c r="W617" s="85"/>
      <c r="Y617" s="94"/>
      <c r="Z617" s="93"/>
      <c r="AA617" s="85"/>
      <c r="AC617" s="94"/>
      <c r="AD617" s="93"/>
      <c r="AE617" s="85"/>
    </row>
    <row r="618" spans="7:31" ht="14.5" customHeight="1" x14ac:dyDescent="0.35">
      <c r="G618" s="85"/>
      <c r="H618" s="87"/>
      <c r="K618" s="85"/>
      <c r="M618" s="94"/>
      <c r="N618" s="93"/>
      <c r="O618" s="85"/>
      <c r="Q618" s="94"/>
      <c r="R618" s="93"/>
      <c r="S618" s="85"/>
      <c r="U618" s="94"/>
      <c r="V618" s="93"/>
      <c r="W618" s="85"/>
      <c r="Y618" s="94"/>
      <c r="Z618" s="93"/>
      <c r="AA618" s="85"/>
      <c r="AC618" s="94"/>
      <c r="AD618" s="93"/>
      <c r="AE618" s="85"/>
    </row>
    <row r="619" spans="7:31" ht="14.5" customHeight="1" x14ac:dyDescent="0.35">
      <c r="G619" s="85"/>
      <c r="H619" s="87"/>
      <c r="K619" s="85"/>
      <c r="M619" s="94"/>
      <c r="N619" s="93"/>
      <c r="O619" s="85"/>
      <c r="Q619" s="94"/>
      <c r="R619" s="93"/>
      <c r="S619" s="85"/>
      <c r="U619" s="94"/>
      <c r="V619" s="93"/>
      <c r="W619" s="85"/>
      <c r="Y619" s="94"/>
      <c r="Z619" s="93"/>
      <c r="AA619" s="85"/>
      <c r="AC619" s="94"/>
      <c r="AD619" s="93"/>
      <c r="AE619" s="85"/>
    </row>
    <row r="620" spans="7:31" ht="14.5" customHeight="1" x14ac:dyDescent="0.35">
      <c r="G620" s="85"/>
      <c r="H620" s="87"/>
      <c r="K620" s="85"/>
      <c r="M620" s="94"/>
      <c r="N620" s="93"/>
      <c r="O620" s="85"/>
      <c r="Q620" s="94"/>
      <c r="R620" s="93"/>
      <c r="S620" s="85"/>
      <c r="U620" s="94"/>
      <c r="V620" s="93"/>
      <c r="W620" s="85"/>
      <c r="Y620" s="94"/>
      <c r="Z620" s="93"/>
      <c r="AA620" s="85"/>
      <c r="AC620" s="94"/>
      <c r="AD620" s="93"/>
      <c r="AE620" s="85"/>
    </row>
    <row r="621" spans="7:31" ht="14.5" customHeight="1" x14ac:dyDescent="0.35">
      <c r="G621" s="85"/>
      <c r="H621" s="87"/>
      <c r="K621" s="85"/>
      <c r="M621" s="94"/>
      <c r="N621" s="93"/>
      <c r="O621" s="85"/>
      <c r="Q621" s="94"/>
      <c r="R621" s="93"/>
      <c r="S621" s="85"/>
      <c r="U621" s="94"/>
      <c r="V621" s="93"/>
      <c r="W621" s="85"/>
      <c r="Y621" s="94"/>
      <c r="Z621" s="93"/>
      <c r="AA621" s="85"/>
      <c r="AC621" s="94"/>
      <c r="AD621" s="93"/>
      <c r="AE621" s="85"/>
    </row>
    <row r="622" spans="7:31" ht="14.5" customHeight="1" x14ac:dyDescent="0.35">
      <c r="G622" s="85"/>
      <c r="H622" s="87"/>
      <c r="K622" s="85"/>
      <c r="M622" s="94"/>
      <c r="N622" s="93"/>
      <c r="O622" s="85"/>
      <c r="Q622" s="94"/>
      <c r="R622" s="93"/>
      <c r="S622" s="85"/>
      <c r="U622" s="94"/>
      <c r="V622" s="93"/>
      <c r="W622" s="85"/>
      <c r="Y622" s="94"/>
      <c r="Z622" s="93"/>
      <c r="AA622" s="85"/>
      <c r="AC622" s="94"/>
      <c r="AD622" s="93"/>
      <c r="AE622" s="85"/>
    </row>
    <row r="623" spans="7:31" ht="14.5" customHeight="1" x14ac:dyDescent="0.35">
      <c r="G623" s="85"/>
      <c r="H623" s="87"/>
      <c r="K623" s="85"/>
      <c r="M623" s="94"/>
      <c r="N623" s="93"/>
      <c r="O623" s="85"/>
      <c r="Q623" s="94"/>
      <c r="R623" s="93"/>
      <c r="S623" s="85"/>
      <c r="U623" s="94"/>
      <c r="V623" s="93"/>
      <c r="W623" s="85"/>
      <c r="Y623" s="94"/>
      <c r="Z623" s="93"/>
      <c r="AA623" s="85"/>
      <c r="AC623" s="94"/>
      <c r="AD623" s="93"/>
      <c r="AE623" s="85"/>
    </row>
    <row r="624" spans="7:31" ht="14.5" customHeight="1" x14ac:dyDescent="0.35">
      <c r="G624" s="85"/>
      <c r="H624" s="87"/>
      <c r="K624" s="85"/>
      <c r="M624" s="94"/>
      <c r="N624" s="93"/>
      <c r="O624" s="85"/>
      <c r="Q624" s="94"/>
      <c r="R624" s="93"/>
      <c r="S624" s="85"/>
      <c r="U624" s="94"/>
      <c r="V624" s="93"/>
      <c r="W624" s="85"/>
      <c r="Y624" s="94"/>
      <c r="Z624" s="93"/>
      <c r="AA624" s="85"/>
      <c r="AC624" s="94"/>
      <c r="AD624" s="93"/>
      <c r="AE624" s="85"/>
    </row>
    <row r="625" spans="7:31" ht="14.5" customHeight="1" x14ac:dyDescent="0.35">
      <c r="G625" s="85"/>
      <c r="H625" s="87"/>
      <c r="K625" s="85"/>
      <c r="M625" s="94"/>
      <c r="N625" s="93"/>
      <c r="O625" s="85"/>
      <c r="Q625" s="94"/>
      <c r="R625" s="93"/>
      <c r="S625" s="85"/>
      <c r="U625" s="94"/>
      <c r="V625" s="93"/>
      <c r="W625" s="85"/>
      <c r="Y625" s="94"/>
      <c r="Z625" s="93"/>
      <c r="AA625" s="85"/>
      <c r="AC625" s="94"/>
      <c r="AD625" s="93"/>
      <c r="AE625" s="85"/>
    </row>
    <row r="626" spans="7:31" ht="14.5" customHeight="1" x14ac:dyDescent="0.35">
      <c r="G626" s="85"/>
      <c r="H626" s="87"/>
      <c r="K626" s="85"/>
      <c r="M626" s="94"/>
      <c r="N626" s="93"/>
      <c r="O626" s="85"/>
      <c r="Q626" s="94"/>
      <c r="R626" s="93"/>
      <c r="S626" s="85"/>
      <c r="U626" s="94"/>
      <c r="V626" s="93"/>
      <c r="W626" s="85"/>
      <c r="Y626" s="94"/>
      <c r="Z626" s="93"/>
      <c r="AA626" s="85"/>
      <c r="AC626" s="94"/>
      <c r="AD626" s="93"/>
      <c r="AE626" s="85"/>
    </row>
    <row r="627" spans="7:31" ht="14.5" customHeight="1" x14ac:dyDescent="0.35">
      <c r="G627" s="85"/>
      <c r="H627" s="87"/>
      <c r="K627" s="85"/>
      <c r="M627" s="94"/>
      <c r="N627" s="93"/>
      <c r="O627" s="85"/>
      <c r="Q627" s="94"/>
      <c r="R627" s="93"/>
      <c r="S627" s="85"/>
      <c r="U627" s="94"/>
      <c r="V627" s="93"/>
      <c r="W627" s="85"/>
      <c r="Y627" s="94"/>
      <c r="Z627" s="93"/>
      <c r="AA627" s="85"/>
      <c r="AC627" s="94"/>
      <c r="AD627" s="93"/>
      <c r="AE627" s="85"/>
    </row>
    <row r="628" spans="7:31" ht="14.5" customHeight="1" x14ac:dyDescent="0.35">
      <c r="G628" s="85"/>
      <c r="H628" s="87"/>
      <c r="K628" s="85"/>
      <c r="M628" s="94"/>
      <c r="N628" s="93"/>
      <c r="O628" s="85"/>
      <c r="Q628" s="94"/>
      <c r="R628" s="93"/>
      <c r="S628" s="85"/>
      <c r="U628" s="94"/>
      <c r="V628" s="93"/>
      <c r="W628" s="85"/>
      <c r="Y628" s="94"/>
      <c r="Z628" s="93"/>
      <c r="AA628" s="85"/>
      <c r="AC628" s="94"/>
      <c r="AD628" s="93"/>
      <c r="AE628" s="85"/>
    </row>
    <row r="629" spans="7:31" ht="14.5" customHeight="1" x14ac:dyDescent="0.35">
      <c r="G629" s="85"/>
      <c r="H629" s="87"/>
      <c r="K629" s="85"/>
      <c r="M629" s="94"/>
      <c r="N629" s="93"/>
      <c r="O629" s="85"/>
      <c r="Q629" s="94"/>
      <c r="R629" s="93"/>
      <c r="S629" s="85"/>
      <c r="U629" s="94"/>
      <c r="V629" s="93"/>
      <c r="W629" s="85"/>
      <c r="Y629" s="94"/>
      <c r="Z629" s="93"/>
      <c r="AA629" s="85"/>
      <c r="AC629" s="94"/>
      <c r="AD629" s="93"/>
      <c r="AE629" s="85"/>
    </row>
    <row r="630" spans="7:31" ht="14.5" customHeight="1" x14ac:dyDescent="0.35">
      <c r="G630" s="85"/>
      <c r="H630" s="87"/>
      <c r="K630" s="85"/>
      <c r="M630" s="94"/>
      <c r="N630" s="93"/>
      <c r="O630" s="85"/>
      <c r="Q630" s="94"/>
      <c r="R630" s="93"/>
      <c r="S630" s="85"/>
      <c r="U630" s="94"/>
      <c r="V630" s="93"/>
      <c r="W630" s="85"/>
      <c r="Y630" s="94"/>
      <c r="Z630" s="93"/>
      <c r="AA630" s="85"/>
      <c r="AC630" s="94"/>
      <c r="AD630" s="93"/>
      <c r="AE630" s="85"/>
    </row>
    <row r="631" spans="7:31" ht="14.5" customHeight="1" x14ac:dyDescent="0.35">
      <c r="G631" s="85"/>
      <c r="H631" s="87"/>
      <c r="K631" s="85"/>
      <c r="M631" s="94"/>
      <c r="N631" s="93"/>
      <c r="O631" s="85"/>
      <c r="Q631" s="94"/>
      <c r="R631" s="93"/>
      <c r="S631" s="85"/>
      <c r="U631" s="94"/>
      <c r="V631" s="93"/>
      <c r="W631" s="85"/>
      <c r="Y631" s="94"/>
      <c r="Z631" s="93"/>
      <c r="AA631" s="85"/>
      <c r="AC631" s="94"/>
      <c r="AD631" s="93"/>
      <c r="AE631" s="85"/>
    </row>
    <row r="632" spans="7:31" ht="14.5" customHeight="1" x14ac:dyDescent="0.35">
      <c r="G632" s="85"/>
      <c r="H632" s="87"/>
      <c r="K632" s="85"/>
      <c r="M632" s="94"/>
      <c r="N632" s="93"/>
      <c r="O632" s="85"/>
      <c r="Q632" s="94"/>
      <c r="R632" s="93"/>
      <c r="S632" s="85"/>
      <c r="U632" s="94"/>
      <c r="V632" s="93"/>
      <c r="W632" s="85"/>
      <c r="Y632" s="94"/>
      <c r="Z632" s="93"/>
      <c r="AA632" s="85"/>
      <c r="AC632" s="94"/>
      <c r="AD632" s="93"/>
      <c r="AE632" s="85"/>
    </row>
    <row r="633" spans="7:31" ht="14.5" customHeight="1" x14ac:dyDescent="0.35">
      <c r="G633" s="85"/>
      <c r="H633" s="87"/>
      <c r="K633" s="85"/>
      <c r="M633" s="94"/>
      <c r="N633" s="93"/>
      <c r="O633" s="85"/>
      <c r="Q633" s="94"/>
      <c r="R633" s="93"/>
      <c r="S633" s="85"/>
      <c r="U633" s="94"/>
      <c r="V633" s="93"/>
      <c r="W633" s="85"/>
      <c r="Y633" s="94"/>
      <c r="Z633" s="93"/>
      <c r="AA633" s="85"/>
      <c r="AC633" s="94"/>
      <c r="AD633" s="93"/>
      <c r="AE633" s="85"/>
    </row>
    <row r="634" spans="7:31" ht="14.5" customHeight="1" x14ac:dyDescent="0.35">
      <c r="G634" s="85"/>
      <c r="H634" s="87"/>
      <c r="K634" s="85"/>
      <c r="M634" s="94"/>
      <c r="N634" s="93"/>
      <c r="O634" s="85"/>
      <c r="Q634" s="94"/>
      <c r="R634" s="93"/>
      <c r="S634" s="85"/>
      <c r="U634" s="94"/>
      <c r="V634" s="93"/>
      <c r="W634" s="85"/>
      <c r="Y634" s="94"/>
      <c r="Z634" s="93"/>
      <c r="AA634" s="85"/>
      <c r="AC634" s="94"/>
      <c r="AD634" s="93"/>
      <c r="AE634" s="85"/>
    </row>
    <row r="635" spans="7:31" ht="14.5" customHeight="1" x14ac:dyDescent="0.35">
      <c r="G635" s="85"/>
      <c r="H635" s="87"/>
      <c r="K635" s="85"/>
      <c r="M635" s="94"/>
      <c r="N635" s="93"/>
      <c r="O635" s="85"/>
      <c r="Q635" s="94"/>
      <c r="R635" s="93"/>
      <c r="S635" s="85"/>
      <c r="U635" s="94"/>
      <c r="V635" s="93"/>
      <c r="W635" s="85"/>
      <c r="Y635" s="94"/>
      <c r="Z635" s="93"/>
      <c r="AA635" s="85"/>
      <c r="AC635" s="94"/>
      <c r="AD635" s="93"/>
      <c r="AE635" s="85"/>
    </row>
    <row r="636" spans="7:31" ht="14.5" customHeight="1" x14ac:dyDescent="0.35">
      <c r="G636" s="85"/>
      <c r="H636" s="87"/>
      <c r="K636" s="85"/>
      <c r="M636" s="94"/>
      <c r="N636" s="93"/>
      <c r="O636" s="85"/>
      <c r="Q636" s="94"/>
      <c r="R636" s="93"/>
      <c r="S636" s="85"/>
      <c r="U636" s="94"/>
      <c r="V636" s="93"/>
      <c r="W636" s="85"/>
      <c r="Y636" s="94"/>
      <c r="Z636" s="93"/>
      <c r="AA636" s="85"/>
      <c r="AC636" s="94"/>
      <c r="AD636" s="93"/>
      <c r="AE636" s="85"/>
    </row>
    <row r="637" spans="7:31" ht="14.5" customHeight="1" x14ac:dyDescent="0.35">
      <c r="G637" s="85"/>
      <c r="H637" s="87"/>
      <c r="K637" s="85"/>
      <c r="M637" s="94"/>
      <c r="N637" s="93"/>
      <c r="O637" s="85"/>
      <c r="Q637" s="94"/>
      <c r="R637" s="93"/>
      <c r="S637" s="85"/>
      <c r="U637" s="94"/>
      <c r="V637" s="93"/>
      <c r="W637" s="85"/>
      <c r="Y637" s="94"/>
      <c r="Z637" s="93"/>
      <c r="AA637" s="85"/>
      <c r="AC637" s="94"/>
      <c r="AD637" s="93"/>
      <c r="AE637" s="85"/>
    </row>
    <row r="638" spans="7:31" ht="14.5" customHeight="1" x14ac:dyDescent="0.35">
      <c r="G638" s="85"/>
      <c r="H638" s="87"/>
      <c r="K638" s="85"/>
      <c r="M638" s="94"/>
      <c r="N638" s="93"/>
      <c r="O638" s="85"/>
      <c r="Q638" s="94"/>
      <c r="R638" s="93"/>
      <c r="S638" s="85"/>
      <c r="U638" s="94"/>
      <c r="V638" s="93"/>
      <c r="W638" s="85"/>
      <c r="Y638" s="94"/>
      <c r="Z638" s="93"/>
      <c r="AA638" s="85"/>
      <c r="AC638" s="94"/>
      <c r="AD638" s="93"/>
      <c r="AE638" s="85"/>
    </row>
    <row r="639" spans="7:31" ht="14.5" customHeight="1" x14ac:dyDescent="0.35">
      <c r="G639" s="85"/>
      <c r="H639" s="87"/>
      <c r="K639" s="85"/>
      <c r="M639" s="94"/>
      <c r="N639" s="93"/>
      <c r="O639" s="85"/>
      <c r="Q639" s="94"/>
      <c r="R639" s="93"/>
      <c r="S639" s="85"/>
      <c r="U639" s="94"/>
      <c r="V639" s="93"/>
      <c r="W639" s="85"/>
      <c r="Y639" s="94"/>
      <c r="Z639" s="93"/>
      <c r="AA639" s="85"/>
      <c r="AC639" s="94"/>
      <c r="AD639" s="93"/>
      <c r="AE639" s="85"/>
    </row>
    <row r="640" spans="7:31" ht="14.5" customHeight="1" x14ac:dyDescent="0.35">
      <c r="G640" s="85"/>
      <c r="H640" s="87"/>
      <c r="K640" s="85"/>
      <c r="M640" s="94"/>
      <c r="N640" s="93"/>
      <c r="O640" s="85"/>
      <c r="Q640" s="94"/>
      <c r="R640" s="93"/>
      <c r="S640" s="85"/>
      <c r="U640" s="94"/>
      <c r="V640" s="93"/>
      <c r="W640" s="85"/>
      <c r="Y640" s="94"/>
      <c r="Z640" s="93"/>
      <c r="AA640" s="85"/>
      <c r="AC640" s="94"/>
      <c r="AD640" s="93"/>
      <c r="AE640" s="85"/>
    </row>
    <row r="641" spans="7:31" ht="14.5" customHeight="1" x14ac:dyDescent="0.35">
      <c r="G641" s="85"/>
      <c r="H641" s="87"/>
      <c r="K641" s="85"/>
      <c r="M641" s="94"/>
      <c r="N641" s="93"/>
      <c r="O641" s="85"/>
      <c r="Q641" s="94"/>
      <c r="R641" s="93"/>
      <c r="S641" s="85"/>
      <c r="U641" s="94"/>
      <c r="V641" s="93"/>
      <c r="W641" s="85"/>
      <c r="Y641" s="94"/>
      <c r="Z641" s="93"/>
      <c r="AA641" s="85"/>
      <c r="AC641" s="94"/>
      <c r="AD641" s="93"/>
      <c r="AE641" s="85"/>
    </row>
    <row r="642" spans="7:31" ht="14.5" customHeight="1" x14ac:dyDescent="0.35">
      <c r="G642" s="85"/>
      <c r="H642" s="87"/>
      <c r="K642" s="85"/>
      <c r="M642" s="94"/>
      <c r="N642" s="93"/>
      <c r="O642" s="85"/>
      <c r="Q642" s="94"/>
      <c r="R642" s="93"/>
      <c r="S642" s="85"/>
      <c r="U642" s="94"/>
      <c r="V642" s="93"/>
      <c r="W642" s="85"/>
      <c r="Y642" s="94"/>
      <c r="Z642" s="93"/>
      <c r="AA642" s="85"/>
      <c r="AC642" s="94"/>
      <c r="AD642" s="93"/>
      <c r="AE642" s="85"/>
    </row>
    <row r="643" spans="7:31" ht="14.5" customHeight="1" x14ac:dyDescent="0.35">
      <c r="G643" s="85"/>
      <c r="H643" s="87"/>
      <c r="K643" s="85"/>
      <c r="M643" s="94"/>
      <c r="N643" s="93"/>
      <c r="O643" s="85"/>
      <c r="Q643" s="94"/>
      <c r="R643" s="93"/>
      <c r="S643" s="85"/>
      <c r="U643" s="94"/>
      <c r="V643" s="93"/>
      <c r="W643" s="85"/>
      <c r="Y643" s="94"/>
      <c r="Z643" s="93"/>
      <c r="AA643" s="85"/>
      <c r="AC643" s="94"/>
      <c r="AD643" s="93"/>
      <c r="AE643" s="85"/>
    </row>
    <row r="644" spans="7:31" ht="14.5" customHeight="1" x14ac:dyDescent="0.35">
      <c r="G644" s="85"/>
      <c r="H644" s="87"/>
      <c r="K644" s="85"/>
      <c r="M644" s="94"/>
      <c r="N644" s="93"/>
      <c r="O644" s="85"/>
      <c r="Q644" s="94"/>
      <c r="R644" s="93"/>
      <c r="S644" s="85"/>
      <c r="U644" s="94"/>
      <c r="V644" s="93"/>
      <c r="W644" s="85"/>
      <c r="Y644" s="94"/>
      <c r="Z644" s="93"/>
      <c r="AA644" s="85"/>
      <c r="AC644" s="94"/>
      <c r="AD644" s="93"/>
      <c r="AE644" s="85"/>
    </row>
    <row r="645" spans="7:31" ht="14.5" customHeight="1" x14ac:dyDescent="0.35">
      <c r="G645" s="85"/>
      <c r="H645" s="87"/>
      <c r="K645" s="85"/>
      <c r="M645" s="94"/>
      <c r="N645" s="93"/>
      <c r="O645" s="85"/>
      <c r="Q645" s="94"/>
      <c r="R645" s="93"/>
      <c r="S645" s="85"/>
      <c r="U645" s="94"/>
      <c r="V645" s="93"/>
      <c r="W645" s="85"/>
      <c r="Y645" s="94"/>
      <c r="Z645" s="93"/>
      <c r="AA645" s="85"/>
      <c r="AC645" s="94"/>
      <c r="AD645" s="93"/>
      <c r="AE645" s="85"/>
    </row>
    <row r="646" spans="7:31" ht="14.5" customHeight="1" x14ac:dyDescent="0.35">
      <c r="G646" s="85"/>
      <c r="H646" s="87"/>
      <c r="K646" s="85"/>
      <c r="M646" s="94"/>
      <c r="N646" s="93"/>
      <c r="O646" s="85"/>
      <c r="Q646" s="94"/>
      <c r="R646" s="93"/>
      <c r="S646" s="85"/>
      <c r="U646" s="94"/>
      <c r="V646" s="93"/>
      <c r="W646" s="85"/>
      <c r="Y646" s="94"/>
      <c r="Z646" s="93"/>
      <c r="AA646" s="85"/>
      <c r="AC646" s="94"/>
      <c r="AD646" s="93"/>
      <c r="AE646" s="85"/>
    </row>
    <row r="647" spans="7:31" ht="14.5" customHeight="1" x14ac:dyDescent="0.35">
      <c r="G647" s="85"/>
      <c r="H647" s="87"/>
      <c r="K647" s="85"/>
      <c r="M647" s="94"/>
      <c r="N647" s="93"/>
      <c r="O647" s="85"/>
      <c r="Q647" s="94"/>
      <c r="R647" s="93"/>
      <c r="S647" s="85"/>
      <c r="U647" s="94"/>
      <c r="V647" s="93"/>
      <c r="W647" s="85"/>
      <c r="Y647" s="94"/>
      <c r="Z647" s="93"/>
      <c r="AA647" s="85"/>
      <c r="AC647" s="94"/>
      <c r="AD647" s="93"/>
      <c r="AE647" s="85"/>
    </row>
    <row r="648" spans="7:31" ht="14.5" customHeight="1" x14ac:dyDescent="0.35">
      <c r="G648" s="85"/>
      <c r="H648" s="87"/>
      <c r="K648" s="85"/>
      <c r="M648" s="94"/>
      <c r="N648" s="93"/>
      <c r="O648" s="85"/>
      <c r="Q648" s="94"/>
      <c r="R648" s="93"/>
      <c r="S648" s="85"/>
      <c r="U648" s="94"/>
      <c r="V648" s="93"/>
      <c r="W648" s="85"/>
      <c r="Y648" s="94"/>
      <c r="Z648" s="93"/>
      <c r="AA648" s="85"/>
      <c r="AC648" s="94"/>
      <c r="AD648" s="93"/>
      <c r="AE648" s="85"/>
    </row>
    <row r="649" spans="7:31" ht="14.5" customHeight="1" x14ac:dyDescent="0.35">
      <c r="G649" s="85"/>
      <c r="H649" s="87"/>
      <c r="K649" s="85"/>
      <c r="M649" s="94"/>
      <c r="N649" s="93"/>
      <c r="O649" s="85"/>
      <c r="Q649" s="94"/>
      <c r="R649" s="93"/>
      <c r="S649" s="85"/>
      <c r="U649" s="94"/>
      <c r="V649" s="93"/>
      <c r="W649" s="85"/>
      <c r="Y649" s="94"/>
      <c r="Z649" s="93"/>
      <c r="AA649" s="85"/>
      <c r="AC649" s="94"/>
      <c r="AD649" s="93"/>
      <c r="AE649" s="85"/>
    </row>
    <row r="650" spans="7:31" ht="14.5" customHeight="1" x14ac:dyDescent="0.35">
      <c r="G650" s="85"/>
      <c r="H650" s="87"/>
      <c r="K650" s="85"/>
      <c r="M650" s="94"/>
      <c r="N650" s="93"/>
      <c r="O650" s="85"/>
      <c r="Q650" s="94"/>
      <c r="R650" s="93"/>
      <c r="S650" s="85"/>
      <c r="U650" s="94"/>
      <c r="V650" s="93"/>
      <c r="W650" s="85"/>
      <c r="Y650" s="94"/>
      <c r="Z650" s="93"/>
      <c r="AA650" s="85"/>
      <c r="AC650" s="94"/>
      <c r="AD650" s="93"/>
      <c r="AE650" s="85"/>
    </row>
    <row r="651" spans="7:31" ht="14.5" customHeight="1" x14ac:dyDescent="0.35">
      <c r="G651" s="85"/>
      <c r="H651" s="87"/>
      <c r="K651" s="85"/>
      <c r="M651" s="94"/>
      <c r="N651" s="93"/>
      <c r="O651" s="85"/>
      <c r="Q651" s="94"/>
      <c r="R651" s="93"/>
      <c r="S651" s="85"/>
      <c r="U651" s="94"/>
      <c r="V651" s="93"/>
      <c r="W651" s="85"/>
      <c r="Y651" s="94"/>
      <c r="Z651" s="93"/>
      <c r="AA651" s="85"/>
      <c r="AC651" s="94"/>
      <c r="AD651" s="93"/>
      <c r="AE651" s="85"/>
    </row>
    <row r="652" spans="7:31" ht="14.5" customHeight="1" x14ac:dyDescent="0.35">
      <c r="G652" s="85"/>
      <c r="H652" s="87"/>
      <c r="K652" s="85"/>
      <c r="M652" s="94"/>
      <c r="N652" s="93"/>
      <c r="O652" s="85"/>
      <c r="Q652" s="94"/>
      <c r="R652" s="93"/>
      <c r="S652" s="85"/>
      <c r="U652" s="94"/>
      <c r="V652" s="93"/>
      <c r="W652" s="85"/>
      <c r="Y652" s="94"/>
      <c r="Z652" s="93"/>
      <c r="AA652" s="85"/>
      <c r="AC652" s="94"/>
      <c r="AD652" s="93"/>
      <c r="AE652" s="85"/>
    </row>
    <row r="653" spans="7:31" ht="14.5" customHeight="1" x14ac:dyDescent="0.35">
      <c r="G653" s="85"/>
      <c r="H653" s="87"/>
      <c r="K653" s="85"/>
      <c r="M653" s="94"/>
      <c r="N653" s="93"/>
      <c r="O653" s="85"/>
      <c r="Q653" s="94"/>
      <c r="R653" s="93"/>
      <c r="S653" s="85"/>
      <c r="U653" s="94"/>
      <c r="V653" s="93"/>
      <c r="W653" s="85"/>
      <c r="Y653" s="94"/>
      <c r="Z653" s="93"/>
      <c r="AA653" s="85"/>
      <c r="AC653" s="94"/>
      <c r="AD653" s="93"/>
      <c r="AE653" s="85"/>
    </row>
    <row r="654" spans="7:31" ht="14.5" customHeight="1" x14ac:dyDescent="0.35">
      <c r="G654" s="85"/>
      <c r="H654" s="87"/>
      <c r="K654" s="85"/>
      <c r="M654" s="94"/>
      <c r="N654" s="93"/>
      <c r="O654" s="85"/>
      <c r="Q654" s="94"/>
      <c r="R654" s="93"/>
      <c r="S654" s="85"/>
      <c r="U654" s="94"/>
      <c r="V654" s="93"/>
      <c r="W654" s="85"/>
      <c r="Y654" s="94"/>
      <c r="Z654" s="93"/>
      <c r="AA654" s="85"/>
      <c r="AC654" s="94"/>
      <c r="AD654" s="93"/>
      <c r="AE654" s="85"/>
    </row>
    <row r="655" spans="7:31" ht="14.5" customHeight="1" x14ac:dyDescent="0.35">
      <c r="G655" s="85"/>
      <c r="H655" s="87"/>
      <c r="K655" s="85"/>
      <c r="M655" s="94"/>
      <c r="N655" s="93"/>
      <c r="O655" s="85"/>
      <c r="Q655" s="94"/>
      <c r="R655" s="93"/>
      <c r="S655" s="85"/>
      <c r="U655" s="94"/>
      <c r="V655" s="93"/>
      <c r="W655" s="85"/>
      <c r="Y655" s="94"/>
      <c r="Z655" s="93"/>
      <c r="AA655" s="85"/>
      <c r="AC655" s="94"/>
      <c r="AD655" s="93"/>
      <c r="AE655" s="85"/>
    </row>
    <row r="656" spans="7:31" ht="14.5" customHeight="1" x14ac:dyDescent="0.35">
      <c r="G656" s="85"/>
      <c r="H656" s="87"/>
      <c r="K656" s="85"/>
      <c r="M656" s="94"/>
      <c r="N656" s="93"/>
      <c r="O656" s="85"/>
      <c r="Q656" s="94"/>
      <c r="R656" s="93"/>
      <c r="S656" s="85"/>
      <c r="U656" s="94"/>
      <c r="V656" s="93"/>
      <c r="W656" s="85"/>
      <c r="Y656" s="94"/>
      <c r="Z656" s="93"/>
      <c r="AA656" s="85"/>
      <c r="AC656" s="94"/>
      <c r="AD656" s="93"/>
      <c r="AE656" s="85"/>
    </row>
    <row r="657" spans="7:31" ht="14.5" customHeight="1" x14ac:dyDescent="0.35">
      <c r="G657" s="85"/>
      <c r="H657" s="87"/>
      <c r="K657" s="85"/>
      <c r="M657" s="94"/>
      <c r="N657" s="93"/>
      <c r="O657" s="85"/>
      <c r="Q657" s="94"/>
      <c r="R657" s="93"/>
      <c r="S657" s="85"/>
      <c r="U657" s="94"/>
      <c r="V657" s="93"/>
      <c r="W657" s="85"/>
      <c r="Y657" s="94"/>
      <c r="Z657" s="93"/>
      <c r="AA657" s="85"/>
      <c r="AC657" s="94"/>
      <c r="AD657" s="93"/>
      <c r="AE657" s="85"/>
    </row>
    <row r="658" spans="7:31" ht="14.5" customHeight="1" x14ac:dyDescent="0.35">
      <c r="G658" s="85"/>
      <c r="H658" s="87"/>
      <c r="K658" s="85"/>
      <c r="M658" s="94"/>
      <c r="N658" s="93"/>
      <c r="O658" s="85"/>
      <c r="Q658" s="94"/>
      <c r="R658" s="93"/>
      <c r="S658" s="85"/>
      <c r="U658" s="94"/>
      <c r="V658" s="93"/>
      <c r="W658" s="85"/>
      <c r="Y658" s="94"/>
      <c r="Z658" s="93"/>
      <c r="AA658" s="85"/>
      <c r="AC658" s="94"/>
      <c r="AD658" s="93"/>
      <c r="AE658" s="85"/>
    </row>
    <row r="659" spans="7:31" ht="14.5" customHeight="1" x14ac:dyDescent="0.35">
      <c r="G659" s="85"/>
      <c r="H659" s="87"/>
      <c r="K659" s="85"/>
      <c r="M659" s="94"/>
      <c r="N659" s="93"/>
      <c r="O659" s="85"/>
      <c r="Q659" s="94"/>
      <c r="R659" s="93"/>
      <c r="S659" s="85"/>
      <c r="U659" s="94"/>
      <c r="V659" s="93"/>
      <c r="W659" s="85"/>
      <c r="Y659" s="94"/>
      <c r="Z659" s="93"/>
      <c r="AA659" s="85"/>
      <c r="AC659" s="94"/>
      <c r="AD659" s="93"/>
      <c r="AE659" s="85"/>
    </row>
    <row r="660" spans="7:31" ht="14.5" customHeight="1" x14ac:dyDescent="0.35">
      <c r="G660" s="85"/>
      <c r="H660" s="87"/>
      <c r="K660" s="85"/>
      <c r="M660" s="94"/>
      <c r="N660" s="93"/>
      <c r="O660" s="85"/>
      <c r="Q660" s="94"/>
      <c r="R660" s="93"/>
      <c r="S660" s="85"/>
      <c r="U660" s="94"/>
      <c r="V660" s="93"/>
      <c r="W660" s="85"/>
      <c r="Y660" s="94"/>
      <c r="Z660" s="93"/>
      <c r="AA660" s="85"/>
      <c r="AC660" s="94"/>
      <c r="AD660" s="93"/>
      <c r="AE660" s="85"/>
    </row>
    <row r="661" spans="7:31" ht="14.5" customHeight="1" x14ac:dyDescent="0.35">
      <c r="G661" s="85"/>
      <c r="H661" s="87"/>
      <c r="K661" s="85"/>
      <c r="M661" s="94"/>
      <c r="N661" s="93"/>
      <c r="O661" s="85"/>
      <c r="Q661" s="94"/>
      <c r="R661" s="93"/>
      <c r="S661" s="85"/>
      <c r="U661" s="94"/>
      <c r="V661" s="93"/>
      <c r="W661" s="85"/>
      <c r="Y661" s="94"/>
      <c r="Z661" s="93"/>
      <c r="AA661" s="85"/>
      <c r="AC661" s="94"/>
      <c r="AD661" s="93"/>
      <c r="AE661" s="85"/>
    </row>
    <row r="662" spans="7:31" ht="14.5" customHeight="1" x14ac:dyDescent="0.35">
      <c r="G662" s="85"/>
      <c r="H662" s="87"/>
      <c r="K662" s="85"/>
      <c r="M662" s="94"/>
      <c r="N662" s="93"/>
      <c r="O662" s="85"/>
      <c r="Q662" s="94"/>
      <c r="R662" s="93"/>
      <c r="S662" s="85"/>
      <c r="U662" s="94"/>
      <c r="V662" s="93"/>
      <c r="W662" s="85"/>
      <c r="Y662" s="94"/>
      <c r="Z662" s="93"/>
      <c r="AA662" s="85"/>
      <c r="AC662" s="94"/>
      <c r="AD662" s="93"/>
      <c r="AE662" s="85"/>
    </row>
    <row r="663" spans="7:31" ht="14.5" customHeight="1" x14ac:dyDescent="0.35">
      <c r="G663" s="85"/>
      <c r="H663" s="87"/>
      <c r="K663" s="85"/>
      <c r="M663" s="94"/>
      <c r="N663" s="93"/>
      <c r="O663" s="85"/>
      <c r="Q663" s="94"/>
      <c r="R663" s="93"/>
      <c r="S663" s="85"/>
      <c r="U663" s="94"/>
      <c r="V663" s="93"/>
      <c r="W663" s="85"/>
      <c r="Y663" s="94"/>
      <c r="Z663" s="93"/>
      <c r="AA663" s="85"/>
      <c r="AC663" s="94"/>
      <c r="AD663" s="93"/>
      <c r="AE663" s="85"/>
    </row>
    <row r="664" spans="7:31" ht="14.5" customHeight="1" x14ac:dyDescent="0.35">
      <c r="G664" s="85"/>
      <c r="H664" s="87"/>
      <c r="K664" s="85"/>
      <c r="M664" s="94"/>
      <c r="N664" s="93"/>
      <c r="O664" s="85"/>
      <c r="Q664" s="94"/>
      <c r="R664" s="93"/>
      <c r="S664" s="85"/>
      <c r="U664" s="94"/>
      <c r="V664" s="93"/>
      <c r="W664" s="85"/>
      <c r="Y664" s="94"/>
      <c r="Z664" s="93"/>
      <c r="AA664" s="85"/>
      <c r="AC664" s="94"/>
      <c r="AD664" s="93"/>
      <c r="AE664" s="85"/>
    </row>
    <row r="665" spans="7:31" ht="14.5" customHeight="1" x14ac:dyDescent="0.35">
      <c r="G665" s="85"/>
      <c r="H665" s="87"/>
      <c r="K665" s="85"/>
      <c r="M665" s="94"/>
      <c r="N665" s="93"/>
      <c r="O665" s="85"/>
      <c r="Q665" s="94"/>
      <c r="R665" s="93"/>
      <c r="S665" s="85"/>
      <c r="U665" s="94"/>
      <c r="V665" s="93"/>
      <c r="W665" s="85"/>
      <c r="Y665" s="94"/>
      <c r="Z665" s="93"/>
      <c r="AA665" s="85"/>
      <c r="AC665" s="94"/>
      <c r="AD665" s="93"/>
      <c r="AE665" s="85"/>
    </row>
    <row r="666" spans="7:31" ht="14.5" customHeight="1" x14ac:dyDescent="0.35">
      <c r="G666" s="85"/>
      <c r="H666" s="87"/>
      <c r="K666" s="85"/>
      <c r="M666" s="94"/>
      <c r="N666" s="93"/>
      <c r="O666" s="85"/>
      <c r="Q666" s="94"/>
      <c r="R666" s="93"/>
      <c r="S666" s="85"/>
      <c r="U666" s="94"/>
      <c r="V666" s="93"/>
      <c r="W666" s="85"/>
      <c r="Y666" s="94"/>
      <c r="Z666" s="93"/>
      <c r="AA666" s="85"/>
      <c r="AC666" s="94"/>
      <c r="AD666" s="93"/>
      <c r="AE666" s="85"/>
    </row>
    <row r="667" spans="7:31" ht="14.5" customHeight="1" x14ac:dyDescent="0.35">
      <c r="G667" s="85"/>
      <c r="H667" s="87"/>
      <c r="K667" s="85"/>
      <c r="M667" s="94"/>
      <c r="N667" s="93"/>
      <c r="O667" s="85"/>
      <c r="Q667" s="94"/>
      <c r="R667" s="93"/>
      <c r="S667" s="85"/>
      <c r="U667" s="94"/>
      <c r="V667" s="93"/>
      <c r="W667" s="85"/>
      <c r="Y667" s="94"/>
      <c r="Z667" s="93"/>
      <c r="AA667" s="85"/>
      <c r="AC667" s="94"/>
      <c r="AD667" s="93"/>
      <c r="AE667" s="85"/>
    </row>
    <row r="668" spans="7:31" ht="14.5" customHeight="1" x14ac:dyDescent="0.35">
      <c r="G668" s="85"/>
      <c r="H668" s="87"/>
      <c r="K668" s="85"/>
      <c r="M668" s="94"/>
      <c r="N668" s="93"/>
      <c r="O668" s="85"/>
      <c r="Q668" s="94"/>
      <c r="R668" s="93"/>
      <c r="S668" s="85"/>
      <c r="U668" s="94"/>
      <c r="V668" s="93"/>
      <c r="W668" s="85"/>
      <c r="Y668" s="94"/>
      <c r="Z668" s="93"/>
      <c r="AA668" s="85"/>
      <c r="AC668" s="94"/>
      <c r="AD668" s="93"/>
      <c r="AE668" s="85"/>
    </row>
    <row r="669" spans="7:31" ht="14.5" customHeight="1" x14ac:dyDescent="0.35">
      <c r="G669" s="85"/>
      <c r="H669" s="87"/>
      <c r="K669" s="85"/>
      <c r="M669" s="94"/>
      <c r="N669" s="93"/>
      <c r="O669" s="85"/>
      <c r="Q669" s="94"/>
      <c r="R669" s="93"/>
      <c r="S669" s="85"/>
      <c r="U669" s="94"/>
      <c r="V669" s="93"/>
      <c r="W669" s="85"/>
      <c r="Y669" s="94"/>
      <c r="Z669" s="93"/>
      <c r="AA669" s="85"/>
      <c r="AC669" s="94"/>
      <c r="AD669" s="93"/>
      <c r="AE669" s="85"/>
    </row>
    <row r="670" spans="7:31" ht="14.5" customHeight="1" x14ac:dyDescent="0.35">
      <c r="G670" s="85"/>
      <c r="H670" s="87"/>
      <c r="K670" s="85"/>
      <c r="M670" s="94"/>
      <c r="N670" s="93"/>
      <c r="O670" s="85"/>
      <c r="Q670" s="94"/>
      <c r="R670" s="93"/>
      <c r="S670" s="85"/>
      <c r="U670" s="94"/>
      <c r="V670" s="93"/>
      <c r="W670" s="85"/>
      <c r="Y670" s="94"/>
      <c r="Z670" s="93"/>
      <c r="AA670" s="85"/>
      <c r="AC670" s="94"/>
      <c r="AD670" s="93"/>
      <c r="AE670" s="85"/>
    </row>
    <row r="671" spans="7:31" ht="14.5" customHeight="1" x14ac:dyDescent="0.35">
      <c r="G671" s="85"/>
      <c r="H671" s="87"/>
      <c r="K671" s="85"/>
      <c r="M671" s="94"/>
      <c r="N671" s="93"/>
      <c r="O671" s="85"/>
      <c r="Q671" s="94"/>
      <c r="R671" s="93"/>
      <c r="S671" s="85"/>
      <c r="U671" s="94"/>
      <c r="V671" s="93"/>
      <c r="W671" s="85"/>
      <c r="Y671" s="94"/>
      <c r="Z671" s="93"/>
      <c r="AA671" s="85"/>
      <c r="AC671" s="94"/>
      <c r="AD671" s="93"/>
      <c r="AE671" s="85"/>
    </row>
    <row r="672" spans="7:31" ht="14.5" customHeight="1" x14ac:dyDescent="0.35">
      <c r="G672" s="85"/>
      <c r="H672" s="87"/>
      <c r="K672" s="85"/>
      <c r="M672" s="94"/>
      <c r="N672" s="93"/>
      <c r="O672" s="85"/>
      <c r="Q672" s="94"/>
      <c r="R672" s="93"/>
      <c r="S672" s="85"/>
      <c r="U672" s="94"/>
      <c r="V672" s="93"/>
      <c r="W672" s="85"/>
      <c r="Y672" s="94"/>
      <c r="Z672" s="93"/>
      <c r="AA672" s="85"/>
      <c r="AC672" s="94"/>
      <c r="AD672" s="93"/>
      <c r="AE672" s="85"/>
    </row>
    <row r="673" spans="7:31" ht="14.5" customHeight="1" x14ac:dyDescent="0.35">
      <c r="G673" s="85"/>
      <c r="H673" s="87"/>
      <c r="K673" s="85"/>
      <c r="M673" s="94"/>
      <c r="N673" s="93"/>
      <c r="O673" s="85"/>
      <c r="Q673" s="94"/>
      <c r="R673" s="93"/>
      <c r="S673" s="85"/>
      <c r="U673" s="94"/>
      <c r="V673" s="93"/>
      <c r="W673" s="85"/>
      <c r="Y673" s="94"/>
      <c r="Z673" s="93"/>
      <c r="AA673" s="85"/>
      <c r="AC673" s="94"/>
      <c r="AD673" s="93"/>
      <c r="AE673" s="85"/>
    </row>
    <row r="674" spans="7:31" ht="14.5" customHeight="1" x14ac:dyDescent="0.35">
      <c r="G674" s="85"/>
      <c r="H674" s="87"/>
      <c r="K674" s="85"/>
      <c r="M674" s="94"/>
      <c r="N674" s="93"/>
      <c r="O674" s="85"/>
      <c r="Q674" s="94"/>
      <c r="R674" s="93"/>
      <c r="S674" s="85"/>
      <c r="U674" s="94"/>
      <c r="V674" s="93"/>
      <c r="W674" s="85"/>
      <c r="Y674" s="94"/>
      <c r="Z674" s="93"/>
      <c r="AA674" s="85"/>
      <c r="AC674" s="94"/>
      <c r="AD674" s="93"/>
      <c r="AE674" s="85"/>
    </row>
    <row r="675" spans="7:31" ht="14.5" customHeight="1" x14ac:dyDescent="0.35">
      <c r="G675" s="85"/>
      <c r="H675" s="87"/>
      <c r="K675" s="85"/>
      <c r="M675" s="94"/>
      <c r="N675" s="93"/>
      <c r="O675" s="85"/>
      <c r="Q675" s="94"/>
      <c r="R675" s="93"/>
      <c r="S675" s="85"/>
      <c r="U675" s="94"/>
      <c r="V675" s="93"/>
      <c r="W675" s="85"/>
      <c r="Y675" s="94"/>
      <c r="Z675" s="93"/>
      <c r="AA675" s="85"/>
      <c r="AC675" s="94"/>
      <c r="AD675" s="93"/>
      <c r="AE675" s="85"/>
    </row>
    <row r="676" spans="7:31" ht="14.5" customHeight="1" x14ac:dyDescent="0.35">
      <c r="G676" s="85"/>
      <c r="H676" s="87"/>
      <c r="K676" s="85"/>
      <c r="M676" s="94"/>
      <c r="N676" s="93"/>
      <c r="O676" s="85"/>
      <c r="Q676" s="94"/>
      <c r="R676" s="93"/>
      <c r="S676" s="85"/>
      <c r="U676" s="94"/>
      <c r="V676" s="93"/>
      <c r="W676" s="85"/>
      <c r="Y676" s="94"/>
      <c r="Z676" s="93"/>
      <c r="AA676" s="85"/>
      <c r="AC676" s="94"/>
      <c r="AD676" s="93"/>
      <c r="AE676" s="85"/>
    </row>
    <row r="677" spans="7:31" ht="14.5" customHeight="1" x14ac:dyDescent="0.35">
      <c r="G677" s="85"/>
      <c r="H677" s="87"/>
      <c r="K677" s="85"/>
      <c r="M677" s="94"/>
      <c r="N677" s="93"/>
      <c r="O677" s="85"/>
      <c r="Q677" s="94"/>
      <c r="R677" s="93"/>
      <c r="S677" s="85"/>
      <c r="U677" s="94"/>
      <c r="V677" s="93"/>
      <c r="W677" s="85"/>
      <c r="Y677" s="94"/>
      <c r="Z677" s="93"/>
      <c r="AA677" s="85"/>
      <c r="AC677" s="94"/>
      <c r="AD677" s="93"/>
      <c r="AE677" s="85"/>
    </row>
    <row r="678" spans="7:31" ht="14.5" customHeight="1" x14ac:dyDescent="0.35">
      <c r="G678" s="85"/>
      <c r="H678" s="87"/>
      <c r="K678" s="85"/>
      <c r="M678" s="94"/>
      <c r="N678" s="93"/>
      <c r="O678" s="85"/>
      <c r="Q678" s="94"/>
      <c r="R678" s="93"/>
      <c r="S678" s="85"/>
      <c r="U678" s="94"/>
      <c r="V678" s="93"/>
      <c r="W678" s="85"/>
      <c r="Y678" s="94"/>
      <c r="Z678" s="93"/>
      <c r="AA678" s="85"/>
      <c r="AC678" s="94"/>
      <c r="AD678" s="93"/>
      <c r="AE678" s="85"/>
    </row>
    <row r="679" spans="7:31" ht="14.5" customHeight="1" x14ac:dyDescent="0.35">
      <c r="G679" s="85"/>
      <c r="H679" s="87"/>
      <c r="K679" s="85"/>
      <c r="M679" s="94"/>
      <c r="N679" s="93"/>
      <c r="O679" s="85"/>
      <c r="Q679" s="94"/>
      <c r="R679" s="93"/>
      <c r="S679" s="85"/>
      <c r="U679" s="94"/>
      <c r="V679" s="93"/>
      <c r="W679" s="85"/>
      <c r="Y679" s="94"/>
      <c r="Z679" s="93"/>
      <c r="AA679" s="85"/>
      <c r="AC679" s="94"/>
      <c r="AD679" s="93"/>
      <c r="AE679" s="85"/>
    </row>
    <row r="680" spans="7:31" ht="14.5" customHeight="1" x14ac:dyDescent="0.35">
      <c r="G680" s="85"/>
      <c r="H680" s="87"/>
      <c r="K680" s="85"/>
      <c r="M680" s="94"/>
      <c r="N680" s="93"/>
      <c r="O680" s="85"/>
      <c r="Q680" s="94"/>
      <c r="R680" s="93"/>
      <c r="S680" s="85"/>
      <c r="U680" s="94"/>
      <c r="V680" s="93"/>
      <c r="W680" s="85"/>
      <c r="Y680" s="94"/>
      <c r="Z680" s="93"/>
      <c r="AA680" s="85"/>
      <c r="AC680" s="94"/>
      <c r="AD680" s="93"/>
      <c r="AE680" s="85"/>
    </row>
    <row r="681" spans="7:31" ht="14.5" customHeight="1" x14ac:dyDescent="0.35">
      <c r="G681" s="85"/>
      <c r="H681" s="87"/>
      <c r="K681" s="85"/>
      <c r="M681" s="94"/>
      <c r="N681" s="93"/>
      <c r="O681" s="85"/>
      <c r="Q681" s="94"/>
      <c r="R681" s="93"/>
      <c r="S681" s="85"/>
      <c r="U681" s="94"/>
      <c r="V681" s="93"/>
      <c r="W681" s="85"/>
      <c r="Y681" s="94"/>
      <c r="Z681" s="93"/>
      <c r="AA681" s="85"/>
      <c r="AC681" s="94"/>
      <c r="AD681" s="93"/>
      <c r="AE681" s="85"/>
    </row>
    <row r="682" spans="7:31" ht="14.5" customHeight="1" x14ac:dyDescent="0.35">
      <c r="G682" s="85"/>
      <c r="H682" s="87"/>
      <c r="K682" s="85"/>
      <c r="M682" s="94"/>
      <c r="N682" s="93"/>
      <c r="O682" s="85"/>
      <c r="Q682" s="94"/>
      <c r="R682" s="93"/>
      <c r="S682" s="85"/>
      <c r="U682" s="94"/>
      <c r="V682" s="93"/>
      <c r="W682" s="85"/>
      <c r="Y682" s="94"/>
      <c r="Z682" s="93"/>
      <c r="AA682" s="85"/>
      <c r="AC682" s="94"/>
      <c r="AD682" s="93"/>
      <c r="AE682" s="85"/>
    </row>
    <row r="683" spans="7:31" ht="14.5" customHeight="1" x14ac:dyDescent="0.35">
      <c r="G683" s="85"/>
      <c r="H683" s="87"/>
      <c r="K683" s="85"/>
      <c r="M683" s="94"/>
      <c r="N683" s="93"/>
      <c r="O683" s="85"/>
      <c r="Q683" s="94"/>
      <c r="R683" s="93"/>
      <c r="S683" s="85"/>
      <c r="U683" s="94"/>
      <c r="V683" s="93"/>
      <c r="W683" s="85"/>
      <c r="Y683" s="94"/>
      <c r="Z683" s="93"/>
      <c r="AA683" s="85"/>
      <c r="AC683" s="94"/>
      <c r="AD683" s="93"/>
      <c r="AE683" s="85"/>
    </row>
    <row r="684" spans="7:31" ht="14.5" customHeight="1" x14ac:dyDescent="0.35">
      <c r="G684" s="85"/>
      <c r="H684" s="87"/>
      <c r="K684" s="85"/>
      <c r="M684" s="94"/>
      <c r="N684" s="93"/>
      <c r="O684" s="85"/>
      <c r="Q684" s="94"/>
      <c r="R684" s="93"/>
      <c r="S684" s="85"/>
      <c r="U684" s="94"/>
      <c r="V684" s="93"/>
      <c r="W684" s="85"/>
      <c r="Y684" s="94"/>
      <c r="Z684" s="93"/>
      <c r="AA684" s="85"/>
      <c r="AC684" s="94"/>
      <c r="AD684" s="93"/>
      <c r="AE684" s="85"/>
    </row>
    <row r="685" spans="7:31" ht="14.5" customHeight="1" x14ac:dyDescent="0.35">
      <c r="G685" s="85"/>
      <c r="H685" s="87"/>
      <c r="K685" s="85"/>
      <c r="M685" s="94"/>
      <c r="N685" s="93"/>
      <c r="O685" s="85"/>
      <c r="Q685" s="94"/>
      <c r="R685" s="93"/>
      <c r="S685" s="85"/>
      <c r="U685" s="94"/>
      <c r="V685" s="93"/>
      <c r="W685" s="85"/>
      <c r="Y685" s="94"/>
      <c r="Z685" s="93"/>
      <c r="AA685" s="85"/>
      <c r="AC685" s="94"/>
      <c r="AD685" s="93"/>
      <c r="AE685" s="85"/>
    </row>
    <row r="686" spans="7:31" ht="14.5" customHeight="1" x14ac:dyDescent="0.35">
      <c r="G686" s="85"/>
      <c r="H686" s="87"/>
      <c r="K686" s="85"/>
      <c r="M686" s="94"/>
      <c r="N686" s="93"/>
      <c r="O686" s="85"/>
      <c r="Q686" s="94"/>
      <c r="R686" s="93"/>
      <c r="S686" s="85"/>
      <c r="U686" s="94"/>
      <c r="V686" s="93"/>
      <c r="W686" s="85"/>
      <c r="Y686" s="94"/>
      <c r="Z686" s="93"/>
      <c r="AA686" s="85"/>
      <c r="AC686" s="94"/>
      <c r="AD686" s="93"/>
      <c r="AE686" s="85"/>
    </row>
    <row r="687" spans="7:31" ht="14.5" customHeight="1" x14ac:dyDescent="0.35">
      <c r="G687" s="85"/>
      <c r="H687" s="87"/>
      <c r="K687" s="85"/>
      <c r="M687" s="94"/>
      <c r="N687" s="93"/>
      <c r="O687" s="85"/>
      <c r="Q687" s="94"/>
      <c r="R687" s="93"/>
      <c r="S687" s="85"/>
      <c r="U687" s="94"/>
      <c r="V687" s="93"/>
      <c r="W687" s="85"/>
      <c r="Y687" s="94"/>
      <c r="Z687" s="93"/>
      <c r="AA687" s="85"/>
      <c r="AC687" s="94"/>
      <c r="AD687" s="93"/>
      <c r="AE687" s="85"/>
    </row>
    <row r="688" spans="7:31" ht="14.5" customHeight="1" x14ac:dyDescent="0.35">
      <c r="G688" s="85"/>
      <c r="H688" s="87"/>
      <c r="K688" s="85"/>
      <c r="M688" s="94"/>
      <c r="N688" s="93"/>
      <c r="O688" s="85"/>
      <c r="Q688" s="94"/>
      <c r="R688" s="93"/>
      <c r="S688" s="85"/>
      <c r="U688" s="94"/>
      <c r="V688" s="93"/>
      <c r="W688" s="85"/>
      <c r="Y688" s="94"/>
      <c r="Z688" s="93"/>
      <c r="AA688" s="85"/>
      <c r="AC688" s="94"/>
      <c r="AD688" s="93"/>
      <c r="AE688" s="85"/>
    </row>
    <row r="689" spans="7:31" ht="14.5" customHeight="1" x14ac:dyDescent="0.35">
      <c r="G689" s="85"/>
      <c r="H689" s="87"/>
      <c r="K689" s="85"/>
      <c r="M689" s="94"/>
      <c r="N689" s="93"/>
      <c r="O689" s="85"/>
      <c r="Q689" s="94"/>
      <c r="R689" s="93"/>
      <c r="S689" s="85"/>
      <c r="U689" s="94"/>
      <c r="V689" s="93"/>
      <c r="W689" s="85"/>
      <c r="Y689" s="94"/>
      <c r="Z689" s="93"/>
      <c r="AA689" s="85"/>
      <c r="AC689" s="94"/>
      <c r="AD689" s="93"/>
      <c r="AE689" s="85"/>
    </row>
    <row r="690" spans="7:31" ht="14.5" customHeight="1" x14ac:dyDescent="0.35">
      <c r="G690" s="85"/>
      <c r="H690" s="87"/>
      <c r="K690" s="85"/>
      <c r="M690" s="94"/>
      <c r="N690" s="93"/>
      <c r="O690" s="85"/>
      <c r="Q690" s="94"/>
      <c r="R690" s="93"/>
      <c r="S690" s="85"/>
      <c r="U690" s="94"/>
      <c r="V690" s="93"/>
      <c r="W690" s="85"/>
      <c r="Y690" s="94"/>
      <c r="Z690" s="93"/>
      <c r="AA690" s="85"/>
      <c r="AC690" s="94"/>
      <c r="AD690" s="93"/>
      <c r="AE690" s="85"/>
    </row>
    <row r="691" spans="7:31" ht="14.5" customHeight="1" x14ac:dyDescent="0.35">
      <c r="G691" s="85"/>
      <c r="H691" s="87"/>
      <c r="K691" s="85"/>
      <c r="M691" s="94"/>
      <c r="N691" s="93"/>
      <c r="O691" s="85"/>
      <c r="Q691" s="94"/>
      <c r="R691" s="93"/>
      <c r="S691" s="85"/>
      <c r="U691" s="94"/>
      <c r="V691" s="93"/>
      <c r="W691" s="85"/>
      <c r="Y691" s="94"/>
      <c r="Z691" s="93"/>
      <c r="AA691" s="85"/>
      <c r="AC691" s="94"/>
      <c r="AD691" s="93"/>
      <c r="AE691" s="85"/>
    </row>
    <row r="692" spans="7:31" ht="14.5" customHeight="1" x14ac:dyDescent="0.35">
      <c r="G692" s="85"/>
      <c r="H692" s="87"/>
      <c r="K692" s="85"/>
      <c r="M692" s="94"/>
      <c r="N692" s="93"/>
      <c r="O692" s="85"/>
      <c r="Q692" s="94"/>
      <c r="R692" s="93"/>
      <c r="S692" s="85"/>
      <c r="U692" s="94"/>
      <c r="V692" s="93"/>
      <c r="W692" s="85"/>
      <c r="Y692" s="94"/>
      <c r="Z692" s="93"/>
      <c r="AA692" s="85"/>
      <c r="AC692" s="94"/>
      <c r="AD692" s="93"/>
      <c r="AE692" s="85"/>
    </row>
    <row r="693" spans="7:31" ht="14.5" customHeight="1" x14ac:dyDescent="0.35">
      <c r="G693" s="85"/>
      <c r="H693" s="87"/>
      <c r="K693" s="85"/>
      <c r="M693" s="94"/>
      <c r="N693" s="93"/>
      <c r="O693" s="85"/>
      <c r="Q693" s="94"/>
      <c r="R693" s="93"/>
      <c r="S693" s="85"/>
      <c r="U693" s="94"/>
      <c r="V693" s="93"/>
      <c r="W693" s="85"/>
      <c r="Y693" s="94"/>
      <c r="Z693" s="93"/>
      <c r="AA693" s="85"/>
      <c r="AC693" s="94"/>
      <c r="AD693" s="93"/>
      <c r="AE693" s="85"/>
    </row>
    <row r="694" spans="7:31" ht="14.5" customHeight="1" x14ac:dyDescent="0.35">
      <c r="G694" s="85"/>
      <c r="H694" s="87"/>
      <c r="K694" s="85"/>
      <c r="M694" s="94"/>
      <c r="N694" s="93"/>
      <c r="O694" s="85"/>
      <c r="Q694" s="94"/>
      <c r="R694" s="93"/>
      <c r="S694" s="85"/>
      <c r="U694" s="94"/>
      <c r="V694" s="93"/>
      <c r="W694" s="85"/>
      <c r="Y694" s="94"/>
      <c r="Z694" s="93"/>
      <c r="AA694" s="85"/>
      <c r="AC694" s="94"/>
      <c r="AD694" s="93"/>
      <c r="AE694" s="85"/>
    </row>
    <row r="695" spans="7:31" ht="14.5" customHeight="1" x14ac:dyDescent="0.35">
      <c r="G695" s="85"/>
      <c r="H695" s="87"/>
      <c r="K695" s="85"/>
      <c r="M695" s="94"/>
      <c r="N695" s="93"/>
      <c r="O695" s="85"/>
      <c r="Q695" s="94"/>
      <c r="R695" s="93"/>
      <c r="S695" s="85"/>
      <c r="U695" s="94"/>
      <c r="V695" s="93"/>
      <c r="W695" s="85"/>
      <c r="Y695" s="94"/>
      <c r="Z695" s="93"/>
      <c r="AA695" s="85"/>
      <c r="AC695" s="94"/>
      <c r="AD695" s="93"/>
      <c r="AE695" s="85"/>
    </row>
    <row r="696" spans="7:31" ht="14.5" customHeight="1" x14ac:dyDescent="0.35">
      <c r="G696" s="85"/>
      <c r="H696" s="87"/>
      <c r="K696" s="85"/>
      <c r="M696" s="94"/>
      <c r="N696" s="93"/>
      <c r="O696" s="85"/>
      <c r="Q696" s="94"/>
      <c r="R696" s="93"/>
      <c r="S696" s="85"/>
      <c r="U696" s="94"/>
      <c r="V696" s="93"/>
      <c r="W696" s="85"/>
      <c r="Y696" s="94"/>
      <c r="Z696" s="93"/>
      <c r="AA696" s="85"/>
      <c r="AC696" s="94"/>
      <c r="AD696" s="93"/>
      <c r="AE696" s="85"/>
    </row>
    <row r="697" spans="7:31" ht="14.5" customHeight="1" x14ac:dyDescent="0.35">
      <c r="G697" s="85"/>
      <c r="H697" s="87"/>
      <c r="K697" s="85"/>
      <c r="M697" s="94"/>
      <c r="N697" s="93"/>
      <c r="O697" s="85"/>
      <c r="Q697" s="94"/>
      <c r="R697" s="93"/>
      <c r="S697" s="85"/>
      <c r="U697" s="94"/>
      <c r="V697" s="93"/>
      <c r="W697" s="85"/>
      <c r="Y697" s="94"/>
      <c r="Z697" s="93"/>
      <c r="AA697" s="85"/>
      <c r="AC697" s="94"/>
      <c r="AD697" s="93"/>
      <c r="AE697" s="85"/>
    </row>
    <row r="698" spans="7:31" ht="14.5" customHeight="1" x14ac:dyDescent="0.35">
      <c r="G698" s="85"/>
      <c r="H698" s="87"/>
      <c r="K698" s="85"/>
      <c r="M698" s="94"/>
      <c r="N698" s="93"/>
      <c r="O698" s="85"/>
      <c r="Q698" s="94"/>
      <c r="R698" s="93"/>
      <c r="S698" s="85"/>
      <c r="U698" s="94"/>
      <c r="V698" s="93"/>
      <c r="W698" s="85"/>
      <c r="Y698" s="94"/>
      <c r="Z698" s="93"/>
      <c r="AA698" s="85"/>
      <c r="AC698" s="94"/>
      <c r="AD698" s="93"/>
      <c r="AE698" s="85"/>
    </row>
    <row r="699" spans="7:31" ht="14.5" customHeight="1" x14ac:dyDescent="0.35">
      <c r="G699" s="85"/>
      <c r="H699" s="87"/>
      <c r="K699" s="85"/>
      <c r="M699" s="94"/>
      <c r="N699" s="93"/>
      <c r="O699" s="85"/>
      <c r="Q699" s="94"/>
      <c r="R699" s="93"/>
      <c r="S699" s="85"/>
      <c r="U699" s="94"/>
      <c r="V699" s="93"/>
      <c r="W699" s="85"/>
      <c r="Y699" s="94"/>
      <c r="Z699" s="93"/>
      <c r="AA699" s="85"/>
      <c r="AC699" s="94"/>
      <c r="AD699" s="93"/>
      <c r="AE699" s="85"/>
    </row>
    <row r="700" spans="7:31" ht="14.5" customHeight="1" x14ac:dyDescent="0.35">
      <c r="G700" s="85"/>
      <c r="H700" s="87"/>
      <c r="K700" s="85"/>
      <c r="M700" s="94"/>
      <c r="N700" s="93"/>
      <c r="O700" s="85"/>
      <c r="Q700" s="94"/>
      <c r="R700" s="93"/>
      <c r="S700" s="85"/>
      <c r="U700" s="94"/>
      <c r="V700" s="93"/>
      <c r="W700" s="85"/>
      <c r="Y700" s="94"/>
      <c r="Z700" s="93"/>
      <c r="AA700" s="85"/>
      <c r="AC700" s="94"/>
      <c r="AD700" s="93"/>
      <c r="AE700" s="85"/>
    </row>
    <row r="701" spans="7:31" ht="14.5" customHeight="1" x14ac:dyDescent="0.35">
      <c r="G701" s="85"/>
      <c r="H701" s="87"/>
      <c r="K701" s="85"/>
      <c r="M701" s="94"/>
      <c r="N701" s="93"/>
      <c r="O701" s="85"/>
      <c r="Q701" s="94"/>
      <c r="R701" s="93"/>
      <c r="S701" s="85"/>
      <c r="U701" s="94"/>
      <c r="V701" s="93"/>
      <c r="W701" s="85"/>
      <c r="Y701" s="94"/>
      <c r="Z701" s="93"/>
      <c r="AA701" s="85"/>
      <c r="AC701" s="94"/>
      <c r="AD701" s="93"/>
      <c r="AE701" s="85"/>
    </row>
    <row r="702" spans="7:31" ht="14.5" customHeight="1" x14ac:dyDescent="0.35">
      <c r="G702" s="85"/>
      <c r="H702" s="87"/>
      <c r="K702" s="85"/>
      <c r="M702" s="94"/>
      <c r="N702" s="93"/>
      <c r="O702" s="85"/>
      <c r="Q702" s="94"/>
      <c r="R702" s="93"/>
      <c r="S702" s="85"/>
      <c r="U702" s="94"/>
      <c r="V702" s="93"/>
      <c r="W702" s="85"/>
      <c r="Y702" s="94"/>
      <c r="Z702" s="93"/>
      <c r="AA702" s="85"/>
      <c r="AC702" s="94"/>
      <c r="AD702" s="93"/>
      <c r="AE702" s="85"/>
    </row>
    <row r="703" spans="7:31" ht="14.5" customHeight="1" x14ac:dyDescent="0.35">
      <c r="G703" s="85"/>
      <c r="H703" s="87"/>
      <c r="K703" s="85"/>
      <c r="M703" s="94"/>
      <c r="N703" s="93"/>
      <c r="O703" s="85"/>
      <c r="Q703" s="94"/>
      <c r="R703" s="93"/>
      <c r="S703" s="85"/>
      <c r="U703" s="94"/>
      <c r="V703" s="93"/>
      <c r="W703" s="85"/>
      <c r="Y703" s="94"/>
      <c r="Z703" s="93"/>
      <c r="AA703" s="85"/>
      <c r="AC703" s="94"/>
      <c r="AD703" s="93"/>
      <c r="AE703" s="85"/>
    </row>
    <row r="704" spans="7:31" ht="14.5" customHeight="1" x14ac:dyDescent="0.35">
      <c r="G704" s="85"/>
      <c r="H704" s="87"/>
      <c r="K704" s="85"/>
      <c r="M704" s="94"/>
      <c r="N704" s="93"/>
      <c r="O704" s="85"/>
      <c r="Q704" s="94"/>
      <c r="R704" s="93"/>
      <c r="S704" s="85"/>
      <c r="U704" s="94"/>
      <c r="V704" s="93"/>
      <c r="W704" s="85"/>
      <c r="Y704" s="94"/>
      <c r="Z704" s="93"/>
      <c r="AA704" s="85"/>
      <c r="AC704" s="94"/>
      <c r="AD704" s="93"/>
      <c r="AE704" s="85"/>
    </row>
    <row r="705" spans="7:31" ht="14.5" customHeight="1" x14ac:dyDescent="0.35">
      <c r="G705" s="85"/>
      <c r="H705" s="87"/>
      <c r="K705" s="85"/>
      <c r="M705" s="94"/>
      <c r="N705" s="93"/>
      <c r="O705" s="85"/>
      <c r="Q705" s="94"/>
      <c r="R705" s="93"/>
      <c r="S705" s="85"/>
      <c r="U705" s="94"/>
      <c r="V705" s="93"/>
      <c r="W705" s="85"/>
      <c r="Y705" s="94"/>
      <c r="Z705" s="93"/>
      <c r="AA705" s="85"/>
      <c r="AC705" s="94"/>
      <c r="AD705" s="93"/>
      <c r="AE705" s="85"/>
    </row>
    <row r="706" spans="7:31" ht="14.5" customHeight="1" x14ac:dyDescent="0.35">
      <c r="G706" s="85"/>
      <c r="H706" s="87"/>
      <c r="K706" s="85"/>
      <c r="M706" s="94"/>
      <c r="N706" s="93"/>
      <c r="O706" s="85"/>
      <c r="Q706" s="94"/>
      <c r="R706" s="93"/>
      <c r="S706" s="85"/>
      <c r="U706" s="94"/>
      <c r="V706" s="93"/>
      <c r="W706" s="85"/>
      <c r="Y706" s="94"/>
      <c r="Z706" s="93"/>
      <c r="AA706" s="85"/>
      <c r="AC706" s="94"/>
      <c r="AD706" s="93"/>
      <c r="AE706" s="85"/>
    </row>
    <row r="707" spans="7:31" ht="14.5" customHeight="1" x14ac:dyDescent="0.35">
      <c r="G707" s="85"/>
      <c r="H707" s="87"/>
      <c r="K707" s="85"/>
      <c r="M707" s="94"/>
      <c r="N707" s="93"/>
      <c r="O707" s="85"/>
      <c r="Q707" s="94"/>
      <c r="R707" s="93"/>
      <c r="S707" s="85"/>
      <c r="U707" s="94"/>
      <c r="V707" s="93"/>
      <c r="W707" s="85"/>
      <c r="Y707" s="94"/>
      <c r="Z707" s="93"/>
      <c r="AA707" s="85"/>
      <c r="AC707" s="94"/>
      <c r="AD707" s="93"/>
      <c r="AE707" s="85"/>
    </row>
    <row r="708" spans="7:31" ht="14.5" customHeight="1" x14ac:dyDescent="0.35">
      <c r="G708" s="85"/>
      <c r="H708" s="87"/>
      <c r="K708" s="85"/>
      <c r="M708" s="94"/>
      <c r="N708" s="93"/>
      <c r="O708" s="85"/>
      <c r="Q708" s="94"/>
      <c r="R708" s="93"/>
      <c r="S708" s="85"/>
      <c r="U708" s="94"/>
      <c r="V708" s="93"/>
      <c r="W708" s="85"/>
      <c r="Y708" s="94"/>
      <c r="Z708" s="93"/>
      <c r="AA708" s="85"/>
      <c r="AC708" s="94"/>
      <c r="AD708" s="93"/>
      <c r="AE708" s="85"/>
    </row>
    <row r="709" spans="7:31" ht="14.5" customHeight="1" x14ac:dyDescent="0.35">
      <c r="G709" s="85"/>
      <c r="H709" s="87"/>
      <c r="K709" s="85"/>
      <c r="M709" s="94"/>
      <c r="N709" s="93"/>
      <c r="O709" s="85"/>
      <c r="Q709" s="94"/>
      <c r="R709" s="93"/>
      <c r="S709" s="85"/>
      <c r="U709" s="94"/>
      <c r="V709" s="93"/>
      <c r="W709" s="85"/>
      <c r="Y709" s="94"/>
      <c r="Z709" s="93"/>
      <c r="AA709" s="85"/>
      <c r="AC709" s="94"/>
      <c r="AD709" s="93"/>
      <c r="AE709" s="85"/>
    </row>
    <row r="710" spans="7:31" ht="14.5" customHeight="1" x14ac:dyDescent="0.35">
      <c r="G710" s="85"/>
      <c r="H710" s="87"/>
      <c r="K710" s="85"/>
      <c r="M710" s="94"/>
      <c r="N710" s="93"/>
      <c r="O710" s="85"/>
      <c r="Q710" s="94"/>
      <c r="R710" s="93"/>
      <c r="S710" s="85"/>
      <c r="U710" s="94"/>
      <c r="V710" s="93"/>
      <c r="W710" s="85"/>
      <c r="Y710" s="94"/>
      <c r="Z710" s="93"/>
      <c r="AA710" s="85"/>
      <c r="AC710" s="94"/>
      <c r="AD710" s="93"/>
      <c r="AE710" s="85"/>
    </row>
    <row r="711" spans="7:31" ht="14.5" customHeight="1" x14ac:dyDescent="0.35">
      <c r="G711" s="85"/>
      <c r="H711" s="87"/>
      <c r="K711" s="85"/>
      <c r="M711" s="94"/>
      <c r="N711" s="93"/>
      <c r="O711" s="85"/>
      <c r="Q711" s="94"/>
      <c r="R711" s="93"/>
      <c r="S711" s="85"/>
      <c r="U711" s="94"/>
      <c r="V711" s="93"/>
      <c r="W711" s="85"/>
      <c r="Y711" s="94"/>
      <c r="Z711" s="93"/>
      <c r="AA711" s="85"/>
      <c r="AC711" s="94"/>
      <c r="AD711" s="93"/>
      <c r="AE711" s="85"/>
    </row>
    <row r="712" spans="7:31" ht="14.5" customHeight="1" x14ac:dyDescent="0.35">
      <c r="G712" s="85"/>
      <c r="H712" s="87"/>
      <c r="K712" s="85"/>
      <c r="M712" s="94"/>
      <c r="N712" s="93"/>
      <c r="O712" s="85"/>
      <c r="Q712" s="94"/>
      <c r="R712" s="93"/>
      <c r="S712" s="85"/>
      <c r="U712" s="94"/>
      <c r="V712" s="93"/>
      <c r="W712" s="85"/>
      <c r="Y712" s="94"/>
      <c r="Z712" s="93"/>
      <c r="AA712" s="85"/>
      <c r="AC712" s="94"/>
      <c r="AD712" s="93"/>
      <c r="AE712" s="85"/>
    </row>
    <row r="713" spans="7:31" ht="14.5" customHeight="1" x14ac:dyDescent="0.35">
      <c r="G713" s="85"/>
      <c r="H713" s="87"/>
      <c r="K713" s="85"/>
      <c r="M713" s="94"/>
      <c r="N713" s="93"/>
      <c r="O713" s="85"/>
      <c r="Q713" s="94"/>
      <c r="R713" s="93"/>
      <c r="S713" s="85"/>
      <c r="U713" s="94"/>
      <c r="V713" s="93"/>
      <c r="W713" s="85"/>
      <c r="Y713" s="94"/>
      <c r="Z713" s="93"/>
      <c r="AA713" s="85"/>
      <c r="AC713" s="94"/>
      <c r="AD713" s="93"/>
      <c r="AE713" s="85"/>
    </row>
    <row r="714" spans="7:31" ht="14.5" customHeight="1" x14ac:dyDescent="0.35">
      <c r="G714" s="85"/>
      <c r="H714" s="87"/>
      <c r="K714" s="85"/>
      <c r="M714" s="94"/>
      <c r="N714" s="93"/>
      <c r="O714" s="85"/>
      <c r="Q714" s="94"/>
      <c r="R714" s="93"/>
      <c r="S714" s="85"/>
      <c r="U714" s="94"/>
      <c r="V714" s="93"/>
      <c r="W714" s="85"/>
      <c r="Y714" s="94"/>
      <c r="Z714" s="93"/>
      <c r="AA714" s="85"/>
      <c r="AC714" s="94"/>
      <c r="AD714" s="93"/>
      <c r="AE714" s="85"/>
    </row>
    <row r="715" spans="7:31" ht="14.5" customHeight="1" x14ac:dyDescent="0.35">
      <c r="G715" s="85"/>
      <c r="H715" s="87"/>
      <c r="K715" s="85"/>
      <c r="M715" s="94"/>
      <c r="N715" s="93"/>
      <c r="O715" s="85"/>
      <c r="Q715" s="94"/>
      <c r="R715" s="93"/>
      <c r="S715" s="85"/>
      <c r="U715" s="94"/>
      <c r="V715" s="93"/>
      <c r="W715" s="85"/>
      <c r="Y715" s="94"/>
      <c r="Z715" s="93"/>
      <c r="AA715" s="85"/>
      <c r="AC715" s="94"/>
      <c r="AD715" s="93"/>
      <c r="AE715" s="85"/>
    </row>
    <row r="716" spans="7:31" ht="14.5" customHeight="1" x14ac:dyDescent="0.35">
      <c r="G716" s="85"/>
      <c r="H716" s="87"/>
      <c r="K716" s="85"/>
      <c r="M716" s="94"/>
      <c r="N716" s="93"/>
      <c r="O716" s="85"/>
      <c r="Q716" s="94"/>
      <c r="R716" s="93"/>
      <c r="S716" s="85"/>
      <c r="U716" s="94"/>
      <c r="V716" s="93"/>
      <c r="W716" s="85"/>
      <c r="Y716" s="94"/>
      <c r="Z716" s="93"/>
      <c r="AA716" s="85"/>
      <c r="AC716" s="94"/>
      <c r="AD716" s="93"/>
      <c r="AE716" s="85"/>
    </row>
    <row r="717" spans="7:31" ht="14.5" customHeight="1" x14ac:dyDescent="0.35">
      <c r="G717" s="85"/>
      <c r="H717" s="87"/>
      <c r="K717" s="85"/>
      <c r="M717" s="94"/>
      <c r="N717" s="93"/>
      <c r="O717" s="85"/>
      <c r="Q717" s="94"/>
      <c r="R717" s="93"/>
      <c r="S717" s="85"/>
      <c r="U717" s="94"/>
      <c r="V717" s="93"/>
      <c r="W717" s="85"/>
      <c r="Y717" s="94"/>
      <c r="Z717" s="93"/>
      <c r="AA717" s="85"/>
      <c r="AC717" s="94"/>
      <c r="AD717" s="93"/>
      <c r="AE717" s="85"/>
    </row>
    <row r="718" spans="7:31" ht="14.5" customHeight="1" x14ac:dyDescent="0.35">
      <c r="G718" s="85"/>
      <c r="H718" s="87"/>
      <c r="K718" s="85"/>
      <c r="M718" s="94"/>
      <c r="N718" s="93"/>
      <c r="O718" s="85"/>
      <c r="Q718" s="94"/>
      <c r="R718" s="93"/>
      <c r="S718" s="85"/>
      <c r="U718" s="94"/>
      <c r="V718" s="93"/>
      <c r="W718" s="85"/>
      <c r="Y718" s="94"/>
      <c r="Z718" s="93"/>
      <c r="AA718" s="85"/>
      <c r="AC718" s="94"/>
      <c r="AD718" s="93"/>
      <c r="AE718" s="85"/>
    </row>
    <row r="719" spans="7:31" ht="14.5" customHeight="1" x14ac:dyDescent="0.35">
      <c r="G719" s="85"/>
      <c r="H719" s="87"/>
      <c r="K719" s="85"/>
      <c r="M719" s="94"/>
      <c r="N719" s="93"/>
      <c r="O719" s="85"/>
      <c r="Q719" s="94"/>
      <c r="R719" s="93"/>
      <c r="S719" s="85"/>
      <c r="U719" s="94"/>
      <c r="V719" s="93"/>
      <c r="W719" s="85"/>
      <c r="Y719" s="94"/>
      <c r="Z719" s="93"/>
      <c r="AA719" s="85"/>
      <c r="AC719" s="94"/>
      <c r="AD719" s="93"/>
      <c r="AE719" s="85"/>
    </row>
    <row r="720" spans="7:31" ht="14.5" customHeight="1" x14ac:dyDescent="0.35">
      <c r="G720" s="85"/>
      <c r="H720" s="87"/>
      <c r="K720" s="85"/>
      <c r="M720" s="94"/>
      <c r="N720" s="93"/>
      <c r="O720" s="85"/>
      <c r="Q720" s="94"/>
      <c r="R720" s="93"/>
      <c r="S720" s="85"/>
      <c r="U720" s="94"/>
      <c r="V720" s="93"/>
      <c r="W720" s="85"/>
      <c r="Y720" s="94"/>
      <c r="Z720" s="93"/>
      <c r="AA720" s="85"/>
      <c r="AC720" s="94"/>
      <c r="AD720" s="93"/>
      <c r="AE720" s="85"/>
    </row>
    <row r="721" spans="7:31" ht="14.5" customHeight="1" x14ac:dyDescent="0.35">
      <c r="G721" s="85"/>
      <c r="H721" s="87"/>
      <c r="K721" s="85"/>
      <c r="M721" s="94"/>
      <c r="N721" s="93"/>
      <c r="O721" s="85"/>
      <c r="Q721" s="94"/>
      <c r="R721" s="93"/>
      <c r="S721" s="85"/>
      <c r="U721" s="94"/>
      <c r="V721" s="93"/>
      <c r="W721" s="85"/>
      <c r="Y721" s="94"/>
      <c r="Z721" s="93"/>
      <c r="AA721" s="85"/>
      <c r="AC721" s="94"/>
      <c r="AD721" s="93"/>
      <c r="AE721" s="85"/>
    </row>
    <row r="722" spans="7:31" ht="14.5" customHeight="1" x14ac:dyDescent="0.35">
      <c r="G722" s="85"/>
      <c r="H722" s="87"/>
      <c r="K722" s="85"/>
      <c r="M722" s="94"/>
      <c r="N722" s="93"/>
      <c r="O722" s="85"/>
      <c r="Q722" s="94"/>
      <c r="R722" s="93"/>
      <c r="S722" s="85"/>
      <c r="U722" s="94"/>
      <c r="V722" s="93"/>
      <c r="W722" s="85"/>
      <c r="Y722" s="94"/>
      <c r="Z722" s="93"/>
      <c r="AA722" s="85"/>
      <c r="AC722" s="94"/>
      <c r="AD722" s="93"/>
      <c r="AE722" s="85"/>
    </row>
    <row r="723" spans="7:31" ht="14.5" customHeight="1" x14ac:dyDescent="0.35">
      <c r="G723" s="85"/>
      <c r="H723" s="87"/>
      <c r="K723" s="85"/>
      <c r="M723" s="94"/>
      <c r="N723" s="93"/>
      <c r="O723" s="85"/>
      <c r="Q723" s="94"/>
      <c r="R723" s="93"/>
      <c r="S723" s="85"/>
      <c r="U723" s="94"/>
      <c r="V723" s="93"/>
      <c r="W723" s="85"/>
      <c r="Y723" s="94"/>
      <c r="Z723" s="93"/>
      <c r="AA723" s="85"/>
      <c r="AC723" s="94"/>
      <c r="AD723" s="93"/>
      <c r="AE723" s="85"/>
    </row>
    <row r="724" spans="7:31" ht="14.5" customHeight="1" x14ac:dyDescent="0.35">
      <c r="G724" s="85"/>
      <c r="H724" s="87"/>
      <c r="K724" s="85"/>
      <c r="M724" s="94"/>
      <c r="N724" s="93"/>
      <c r="O724" s="85"/>
      <c r="Q724" s="94"/>
      <c r="R724" s="93"/>
      <c r="S724" s="85"/>
      <c r="U724" s="94"/>
      <c r="V724" s="93"/>
      <c r="W724" s="85"/>
      <c r="Y724" s="94"/>
      <c r="Z724" s="93"/>
      <c r="AA724" s="85"/>
      <c r="AC724" s="94"/>
      <c r="AD724" s="93"/>
      <c r="AE724" s="85"/>
    </row>
    <row r="725" spans="7:31" ht="14.5" customHeight="1" x14ac:dyDescent="0.35">
      <c r="G725" s="85"/>
      <c r="H725" s="87"/>
      <c r="K725" s="85"/>
      <c r="M725" s="94"/>
      <c r="N725" s="93"/>
      <c r="O725" s="85"/>
      <c r="Q725" s="94"/>
      <c r="R725" s="93"/>
      <c r="S725" s="85"/>
      <c r="U725" s="94"/>
      <c r="V725" s="93"/>
      <c r="W725" s="85"/>
      <c r="Y725" s="94"/>
      <c r="Z725" s="93"/>
      <c r="AA725" s="85"/>
      <c r="AC725" s="94"/>
      <c r="AD725" s="93"/>
      <c r="AE725" s="85"/>
    </row>
    <row r="726" spans="7:31" ht="14.5" customHeight="1" x14ac:dyDescent="0.35">
      <c r="G726" s="85"/>
      <c r="H726" s="87"/>
      <c r="K726" s="85"/>
      <c r="M726" s="94"/>
      <c r="N726" s="93"/>
      <c r="O726" s="85"/>
      <c r="Q726" s="94"/>
      <c r="R726" s="93"/>
      <c r="S726" s="85"/>
      <c r="U726" s="94"/>
      <c r="V726" s="93"/>
      <c r="W726" s="85"/>
      <c r="Y726" s="94"/>
      <c r="Z726" s="93"/>
      <c r="AA726" s="85"/>
      <c r="AC726" s="94"/>
      <c r="AD726" s="93"/>
      <c r="AE726" s="85"/>
    </row>
    <row r="727" spans="7:31" ht="14.5" customHeight="1" x14ac:dyDescent="0.35">
      <c r="G727" s="85"/>
      <c r="H727" s="87"/>
      <c r="K727" s="85"/>
      <c r="M727" s="94"/>
      <c r="N727" s="93"/>
      <c r="O727" s="85"/>
      <c r="Q727" s="94"/>
      <c r="R727" s="93"/>
      <c r="S727" s="85"/>
      <c r="U727" s="94"/>
      <c r="V727" s="93"/>
      <c r="W727" s="85"/>
      <c r="Y727" s="94"/>
      <c r="Z727" s="93"/>
      <c r="AA727" s="85"/>
      <c r="AC727" s="94"/>
      <c r="AD727" s="93"/>
      <c r="AE727" s="85"/>
    </row>
    <row r="728" spans="7:31" ht="14.5" customHeight="1" x14ac:dyDescent="0.35">
      <c r="G728" s="85"/>
      <c r="H728" s="87"/>
      <c r="K728" s="85"/>
      <c r="M728" s="94"/>
      <c r="N728" s="93"/>
      <c r="O728" s="85"/>
      <c r="Q728" s="94"/>
      <c r="R728" s="93"/>
      <c r="S728" s="85"/>
      <c r="U728" s="94"/>
      <c r="V728" s="93"/>
      <c r="W728" s="85"/>
      <c r="Y728" s="94"/>
      <c r="Z728" s="93"/>
      <c r="AA728" s="85"/>
      <c r="AC728" s="94"/>
      <c r="AD728" s="93"/>
      <c r="AE728" s="85"/>
    </row>
    <row r="729" spans="7:31" ht="14.5" customHeight="1" x14ac:dyDescent="0.35">
      <c r="G729" s="85"/>
      <c r="H729" s="87"/>
      <c r="K729" s="85"/>
      <c r="M729" s="94"/>
      <c r="N729" s="93"/>
      <c r="O729" s="85"/>
      <c r="Q729" s="94"/>
      <c r="R729" s="93"/>
      <c r="S729" s="85"/>
      <c r="U729" s="94"/>
      <c r="V729" s="93"/>
      <c r="W729" s="85"/>
      <c r="Y729" s="94"/>
      <c r="Z729" s="93"/>
      <c r="AA729" s="85"/>
      <c r="AC729" s="94"/>
      <c r="AD729" s="93"/>
      <c r="AE729" s="85"/>
    </row>
    <row r="730" spans="7:31" ht="14.5" customHeight="1" x14ac:dyDescent="0.35">
      <c r="G730" s="85"/>
      <c r="H730" s="87"/>
      <c r="K730" s="85"/>
      <c r="M730" s="94"/>
      <c r="N730" s="93"/>
      <c r="O730" s="85"/>
      <c r="Q730" s="94"/>
      <c r="R730" s="93"/>
      <c r="S730" s="85"/>
      <c r="U730" s="94"/>
      <c r="V730" s="93"/>
      <c r="W730" s="85"/>
      <c r="Y730" s="94"/>
      <c r="Z730" s="93"/>
      <c r="AA730" s="85"/>
      <c r="AC730" s="94"/>
      <c r="AD730" s="93"/>
      <c r="AE730" s="85"/>
    </row>
    <row r="731" spans="7:31" ht="14.5" customHeight="1" x14ac:dyDescent="0.35">
      <c r="G731" s="85"/>
      <c r="H731" s="87"/>
      <c r="K731" s="85"/>
      <c r="M731" s="94"/>
      <c r="N731" s="93"/>
      <c r="O731" s="85"/>
      <c r="Q731" s="94"/>
      <c r="R731" s="93"/>
      <c r="S731" s="85"/>
      <c r="U731" s="94"/>
      <c r="V731" s="93"/>
      <c r="W731" s="85"/>
      <c r="Y731" s="94"/>
      <c r="Z731" s="93"/>
      <c r="AA731" s="85"/>
      <c r="AC731" s="94"/>
      <c r="AD731" s="93"/>
      <c r="AE731" s="85"/>
    </row>
    <row r="732" spans="7:31" ht="14.5" customHeight="1" x14ac:dyDescent="0.35">
      <c r="G732" s="85"/>
      <c r="H732" s="87"/>
      <c r="K732" s="85"/>
      <c r="M732" s="94"/>
      <c r="N732" s="93"/>
      <c r="O732" s="85"/>
      <c r="Q732" s="94"/>
      <c r="R732" s="93"/>
      <c r="S732" s="85"/>
      <c r="U732" s="94"/>
      <c r="V732" s="93"/>
      <c r="W732" s="85"/>
      <c r="Y732" s="94"/>
      <c r="Z732" s="93"/>
      <c r="AA732" s="85"/>
      <c r="AC732" s="94"/>
      <c r="AD732" s="93"/>
      <c r="AE732" s="85"/>
    </row>
    <row r="733" spans="7:31" ht="14.5" customHeight="1" x14ac:dyDescent="0.35">
      <c r="G733" s="85"/>
      <c r="H733" s="87"/>
      <c r="K733" s="85"/>
      <c r="M733" s="94"/>
      <c r="N733" s="93"/>
      <c r="O733" s="85"/>
      <c r="Q733" s="94"/>
      <c r="R733" s="93"/>
      <c r="S733" s="85"/>
      <c r="U733" s="94"/>
      <c r="V733" s="93"/>
      <c r="W733" s="85"/>
      <c r="Y733" s="94"/>
      <c r="Z733" s="93"/>
      <c r="AA733" s="85"/>
      <c r="AC733" s="94"/>
      <c r="AD733" s="93"/>
      <c r="AE733" s="85"/>
    </row>
    <row r="734" spans="7:31" ht="14.5" customHeight="1" x14ac:dyDescent="0.35">
      <c r="G734" s="85"/>
      <c r="H734" s="87"/>
      <c r="K734" s="85"/>
      <c r="M734" s="94"/>
      <c r="N734" s="93"/>
      <c r="O734" s="85"/>
      <c r="Q734" s="94"/>
      <c r="R734" s="93"/>
      <c r="S734" s="85"/>
      <c r="U734" s="94"/>
      <c r="V734" s="93"/>
      <c r="W734" s="85"/>
      <c r="Y734" s="94"/>
      <c r="Z734" s="93"/>
      <c r="AA734" s="85"/>
      <c r="AC734" s="94"/>
      <c r="AD734" s="93"/>
      <c r="AE734" s="85"/>
    </row>
    <row r="735" spans="7:31" ht="14.5" customHeight="1" x14ac:dyDescent="0.35">
      <c r="G735" s="85"/>
      <c r="H735" s="87"/>
      <c r="K735" s="85"/>
      <c r="M735" s="94"/>
      <c r="N735" s="93"/>
      <c r="O735" s="85"/>
      <c r="Q735" s="94"/>
      <c r="R735" s="93"/>
      <c r="S735" s="85"/>
      <c r="U735" s="94"/>
      <c r="V735" s="93"/>
      <c r="W735" s="85"/>
      <c r="Y735" s="94"/>
      <c r="Z735" s="93"/>
      <c r="AA735" s="85"/>
      <c r="AC735" s="94"/>
      <c r="AD735" s="93"/>
      <c r="AE735" s="85"/>
    </row>
    <row r="736" spans="7:31" ht="14.5" customHeight="1" x14ac:dyDescent="0.35">
      <c r="G736" s="85"/>
      <c r="H736" s="87"/>
      <c r="K736" s="85"/>
      <c r="M736" s="94"/>
      <c r="N736" s="93"/>
      <c r="O736" s="85"/>
      <c r="Q736" s="94"/>
      <c r="R736" s="93"/>
      <c r="S736" s="85"/>
      <c r="U736" s="94"/>
      <c r="V736" s="93"/>
      <c r="W736" s="85"/>
      <c r="Y736" s="94"/>
      <c r="Z736" s="93"/>
      <c r="AA736" s="85"/>
      <c r="AC736" s="94"/>
      <c r="AD736" s="93"/>
      <c r="AE736" s="85"/>
    </row>
    <row r="737" spans="7:31" ht="14.5" customHeight="1" x14ac:dyDescent="0.35">
      <c r="G737" s="85"/>
      <c r="H737" s="87"/>
      <c r="K737" s="85"/>
      <c r="M737" s="94"/>
      <c r="N737" s="93"/>
      <c r="O737" s="85"/>
      <c r="Q737" s="94"/>
      <c r="R737" s="93"/>
      <c r="S737" s="85"/>
      <c r="U737" s="94"/>
      <c r="V737" s="93"/>
      <c r="W737" s="85"/>
      <c r="Y737" s="94"/>
      <c r="Z737" s="93"/>
      <c r="AA737" s="85"/>
      <c r="AC737" s="94"/>
      <c r="AD737" s="93"/>
      <c r="AE737" s="85"/>
    </row>
    <row r="738" spans="7:31" ht="14.5" customHeight="1" x14ac:dyDescent="0.35">
      <c r="G738" s="85"/>
      <c r="H738" s="87"/>
      <c r="K738" s="85"/>
      <c r="M738" s="94"/>
      <c r="N738" s="93"/>
      <c r="O738" s="85"/>
      <c r="Q738" s="94"/>
      <c r="R738" s="93"/>
      <c r="S738" s="85"/>
      <c r="U738" s="94"/>
      <c r="V738" s="93"/>
      <c r="W738" s="85"/>
      <c r="Y738" s="94"/>
      <c r="Z738" s="93"/>
      <c r="AA738" s="85"/>
      <c r="AC738" s="94"/>
      <c r="AD738" s="93"/>
      <c r="AE738" s="85"/>
    </row>
    <row r="739" spans="7:31" ht="14.5" customHeight="1" x14ac:dyDescent="0.35">
      <c r="G739" s="85"/>
      <c r="H739" s="87"/>
      <c r="K739" s="85"/>
      <c r="M739" s="94"/>
      <c r="N739" s="93"/>
      <c r="O739" s="85"/>
      <c r="Q739" s="94"/>
      <c r="R739" s="93"/>
      <c r="S739" s="85"/>
      <c r="U739" s="94"/>
      <c r="V739" s="93"/>
      <c r="W739" s="85"/>
      <c r="Y739" s="94"/>
      <c r="Z739" s="93"/>
      <c r="AA739" s="85"/>
      <c r="AC739" s="94"/>
      <c r="AD739" s="93"/>
      <c r="AE739" s="85"/>
    </row>
    <row r="740" spans="7:31" ht="14.5" customHeight="1" x14ac:dyDescent="0.35">
      <c r="G740" s="85"/>
      <c r="H740" s="87"/>
      <c r="K740" s="85"/>
      <c r="M740" s="94"/>
      <c r="N740" s="93"/>
      <c r="O740" s="85"/>
      <c r="Q740" s="94"/>
      <c r="R740" s="93"/>
      <c r="S740" s="85"/>
      <c r="U740" s="94"/>
      <c r="V740" s="93"/>
      <c r="W740" s="85"/>
      <c r="Y740" s="94"/>
      <c r="Z740" s="93"/>
      <c r="AA740" s="85"/>
      <c r="AC740" s="94"/>
      <c r="AD740" s="93"/>
      <c r="AE740" s="85"/>
    </row>
    <row r="741" spans="7:31" ht="14.5" customHeight="1" x14ac:dyDescent="0.35">
      <c r="G741" s="85"/>
      <c r="H741" s="87"/>
      <c r="K741" s="85"/>
      <c r="M741" s="94"/>
      <c r="N741" s="93"/>
      <c r="O741" s="85"/>
      <c r="Q741" s="94"/>
      <c r="R741" s="93"/>
      <c r="S741" s="85"/>
      <c r="U741" s="94"/>
      <c r="V741" s="93"/>
      <c r="W741" s="85"/>
      <c r="Y741" s="94"/>
      <c r="Z741" s="93"/>
      <c r="AA741" s="85"/>
      <c r="AC741" s="94"/>
      <c r="AD741" s="93"/>
      <c r="AE741" s="85"/>
    </row>
    <row r="742" spans="7:31" ht="14.5" customHeight="1" x14ac:dyDescent="0.35">
      <c r="G742" s="85"/>
      <c r="H742" s="87"/>
      <c r="K742" s="85"/>
      <c r="M742" s="94"/>
      <c r="N742" s="93"/>
      <c r="O742" s="85"/>
      <c r="Q742" s="94"/>
      <c r="R742" s="93"/>
      <c r="S742" s="85"/>
      <c r="U742" s="94"/>
      <c r="V742" s="93"/>
      <c r="W742" s="85"/>
      <c r="Y742" s="94"/>
      <c r="Z742" s="93"/>
      <c r="AA742" s="85"/>
      <c r="AC742" s="94"/>
      <c r="AD742" s="93"/>
      <c r="AE742" s="85"/>
    </row>
    <row r="743" spans="7:31" ht="14.5" customHeight="1" x14ac:dyDescent="0.35">
      <c r="G743" s="85"/>
      <c r="H743" s="87"/>
      <c r="K743" s="85"/>
      <c r="M743" s="94"/>
      <c r="N743" s="93"/>
      <c r="O743" s="85"/>
      <c r="Q743" s="94"/>
      <c r="R743" s="93"/>
      <c r="S743" s="85"/>
      <c r="U743" s="94"/>
      <c r="V743" s="93"/>
      <c r="W743" s="85"/>
      <c r="Y743" s="94"/>
      <c r="Z743" s="93"/>
      <c r="AA743" s="85"/>
      <c r="AC743" s="94"/>
      <c r="AD743" s="93"/>
      <c r="AE743" s="85"/>
    </row>
    <row r="744" spans="7:31" ht="14.5" customHeight="1" x14ac:dyDescent="0.35">
      <c r="G744" s="85"/>
      <c r="H744" s="87"/>
      <c r="K744" s="85"/>
      <c r="M744" s="94"/>
      <c r="N744" s="93"/>
      <c r="O744" s="85"/>
      <c r="Q744" s="94"/>
      <c r="R744" s="93"/>
      <c r="S744" s="85"/>
      <c r="U744" s="94"/>
      <c r="V744" s="93"/>
      <c r="W744" s="85"/>
      <c r="Y744" s="94"/>
      <c r="Z744" s="93"/>
      <c r="AA744" s="85"/>
      <c r="AC744" s="94"/>
      <c r="AD744" s="93"/>
      <c r="AE744" s="85"/>
    </row>
    <row r="745" spans="7:31" ht="14.5" customHeight="1" x14ac:dyDescent="0.35">
      <c r="G745" s="85"/>
      <c r="H745" s="87"/>
      <c r="K745" s="85"/>
      <c r="M745" s="94"/>
      <c r="N745" s="93"/>
      <c r="O745" s="85"/>
      <c r="Q745" s="94"/>
      <c r="R745" s="93"/>
      <c r="S745" s="85"/>
      <c r="U745" s="94"/>
      <c r="V745" s="93"/>
      <c r="W745" s="85"/>
      <c r="Y745" s="94"/>
      <c r="Z745" s="93"/>
      <c r="AA745" s="85"/>
      <c r="AC745" s="94"/>
      <c r="AD745" s="93"/>
      <c r="AE745" s="85"/>
    </row>
    <row r="746" spans="7:31" ht="14.5" customHeight="1" x14ac:dyDescent="0.35">
      <c r="G746" s="85"/>
      <c r="H746" s="87"/>
      <c r="K746" s="85"/>
      <c r="M746" s="94"/>
      <c r="N746" s="93"/>
      <c r="O746" s="85"/>
      <c r="Q746" s="94"/>
      <c r="R746" s="93"/>
      <c r="S746" s="85"/>
      <c r="U746" s="94"/>
      <c r="V746" s="93"/>
      <c r="W746" s="85"/>
      <c r="Y746" s="94"/>
      <c r="Z746" s="93"/>
      <c r="AA746" s="85"/>
      <c r="AC746" s="94"/>
      <c r="AD746" s="93"/>
      <c r="AE746" s="85"/>
    </row>
    <row r="747" spans="7:31" ht="14.5" customHeight="1" x14ac:dyDescent="0.35">
      <c r="G747" s="85"/>
      <c r="H747" s="87"/>
      <c r="K747" s="85"/>
      <c r="M747" s="94"/>
      <c r="N747" s="93"/>
      <c r="O747" s="85"/>
      <c r="Q747" s="94"/>
      <c r="R747" s="93"/>
      <c r="S747" s="85"/>
      <c r="U747" s="94"/>
      <c r="V747" s="93"/>
      <c r="W747" s="85"/>
      <c r="Y747" s="94"/>
      <c r="Z747" s="93"/>
      <c r="AA747" s="85"/>
      <c r="AC747" s="94"/>
      <c r="AD747" s="93"/>
      <c r="AE747" s="85"/>
    </row>
    <row r="748" spans="7:31" ht="14.5" customHeight="1" x14ac:dyDescent="0.35">
      <c r="G748" s="85"/>
      <c r="H748" s="87"/>
      <c r="K748" s="85"/>
      <c r="M748" s="94"/>
      <c r="N748" s="93"/>
      <c r="O748" s="85"/>
      <c r="Q748" s="94"/>
      <c r="R748" s="93"/>
      <c r="S748" s="85"/>
      <c r="U748" s="94"/>
      <c r="V748" s="93"/>
      <c r="W748" s="85"/>
      <c r="Y748" s="94"/>
      <c r="Z748" s="93"/>
      <c r="AA748" s="85"/>
      <c r="AC748" s="94"/>
      <c r="AD748" s="93"/>
      <c r="AE748" s="85"/>
    </row>
    <row r="749" spans="7:31" ht="14.5" customHeight="1" x14ac:dyDescent="0.35">
      <c r="G749" s="85"/>
      <c r="H749" s="87"/>
      <c r="K749" s="85"/>
      <c r="M749" s="94"/>
      <c r="N749" s="93"/>
      <c r="O749" s="85"/>
      <c r="Q749" s="94"/>
      <c r="R749" s="93"/>
      <c r="S749" s="85"/>
      <c r="U749" s="94"/>
      <c r="V749" s="93"/>
      <c r="W749" s="85"/>
      <c r="Y749" s="94"/>
      <c r="Z749" s="93"/>
      <c r="AA749" s="85"/>
      <c r="AC749" s="94"/>
      <c r="AD749" s="93"/>
      <c r="AE749" s="85"/>
    </row>
    <row r="750" spans="7:31" ht="14.5" customHeight="1" x14ac:dyDescent="0.35">
      <c r="G750" s="85"/>
      <c r="H750" s="87"/>
      <c r="K750" s="85"/>
      <c r="M750" s="94"/>
      <c r="N750" s="93"/>
      <c r="O750" s="85"/>
      <c r="Q750" s="94"/>
      <c r="R750" s="93"/>
      <c r="S750" s="85"/>
      <c r="U750" s="94"/>
      <c r="V750" s="93"/>
      <c r="W750" s="85"/>
      <c r="Y750" s="94"/>
      <c r="Z750" s="93"/>
      <c r="AA750" s="85"/>
      <c r="AC750" s="94"/>
      <c r="AD750" s="93"/>
      <c r="AE750" s="85"/>
    </row>
    <row r="751" spans="7:31" ht="14.5" customHeight="1" x14ac:dyDescent="0.35">
      <c r="G751" s="85"/>
      <c r="H751" s="87"/>
      <c r="K751" s="85"/>
      <c r="M751" s="94"/>
      <c r="N751" s="93"/>
      <c r="O751" s="85"/>
      <c r="Q751" s="94"/>
      <c r="R751" s="93"/>
      <c r="S751" s="85"/>
      <c r="U751" s="94"/>
      <c r="V751" s="93"/>
      <c r="W751" s="85"/>
      <c r="Y751" s="94"/>
      <c r="Z751" s="93"/>
      <c r="AA751" s="85"/>
      <c r="AC751" s="94"/>
      <c r="AD751" s="93"/>
      <c r="AE751" s="85"/>
    </row>
    <row r="752" spans="7:31" ht="14.5" customHeight="1" x14ac:dyDescent="0.35">
      <c r="G752" s="85"/>
      <c r="H752" s="87"/>
      <c r="K752" s="85"/>
      <c r="M752" s="94"/>
      <c r="N752" s="93"/>
      <c r="O752" s="85"/>
      <c r="Q752" s="94"/>
      <c r="R752" s="93"/>
      <c r="S752" s="85"/>
      <c r="U752" s="94"/>
      <c r="V752" s="93"/>
      <c r="W752" s="85"/>
      <c r="Y752" s="94"/>
      <c r="Z752" s="93"/>
      <c r="AA752" s="85"/>
      <c r="AC752" s="94"/>
      <c r="AD752" s="93"/>
      <c r="AE752" s="85"/>
    </row>
    <row r="753" spans="7:31" ht="14.5" customHeight="1" x14ac:dyDescent="0.35">
      <c r="G753" s="85"/>
      <c r="H753" s="87"/>
      <c r="K753" s="85"/>
      <c r="M753" s="94"/>
      <c r="N753" s="93"/>
      <c r="O753" s="85"/>
      <c r="Q753" s="94"/>
      <c r="R753" s="93"/>
      <c r="S753" s="85"/>
      <c r="U753" s="94"/>
      <c r="V753" s="93"/>
      <c r="W753" s="85"/>
      <c r="Y753" s="94"/>
      <c r="Z753" s="93"/>
      <c r="AA753" s="85"/>
      <c r="AC753" s="94"/>
      <c r="AD753" s="93"/>
      <c r="AE753" s="85"/>
    </row>
    <row r="754" spans="7:31" ht="14.5" customHeight="1" x14ac:dyDescent="0.35">
      <c r="G754" s="85"/>
      <c r="H754" s="87"/>
      <c r="K754" s="85"/>
      <c r="M754" s="94"/>
      <c r="N754" s="93"/>
      <c r="O754" s="85"/>
      <c r="Q754" s="94"/>
      <c r="R754" s="93"/>
      <c r="S754" s="85"/>
      <c r="U754" s="94"/>
      <c r="V754" s="93"/>
      <c r="W754" s="85"/>
      <c r="Y754" s="94"/>
      <c r="Z754" s="93"/>
      <c r="AA754" s="85"/>
      <c r="AC754" s="94"/>
      <c r="AD754" s="93"/>
      <c r="AE754" s="85"/>
    </row>
    <row r="755" spans="7:31" ht="14.5" customHeight="1" x14ac:dyDescent="0.35">
      <c r="G755" s="85"/>
      <c r="H755" s="87"/>
      <c r="K755" s="85"/>
      <c r="M755" s="94"/>
      <c r="N755" s="93"/>
      <c r="O755" s="85"/>
      <c r="Q755" s="94"/>
      <c r="R755" s="93"/>
      <c r="S755" s="85"/>
      <c r="U755" s="94"/>
      <c r="V755" s="93"/>
      <c r="W755" s="85"/>
      <c r="Y755" s="94"/>
      <c r="Z755" s="93"/>
      <c r="AA755" s="85"/>
      <c r="AC755" s="94"/>
      <c r="AD755" s="93"/>
      <c r="AE755" s="85"/>
    </row>
    <row r="756" spans="7:31" ht="14.5" customHeight="1" x14ac:dyDescent="0.35">
      <c r="G756" s="85"/>
      <c r="H756" s="87"/>
      <c r="K756" s="85"/>
      <c r="M756" s="94"/>
      <c r="N756" s="93"/>
      <c r="O756" s="85"/>
      <c r="Q756" s="94"/>
      <c r="R756" s="93"/>
      <c r="S756" s="85"/>
      <c r="U756" s="94"/>
      <c r="V756" s="93"/>
      <c r="W756" s="85"/>
      <c r="Y756" s="94"/>
      <c r="Z756" s="93"/>
      <c r="AA756" s="85"/>
      <c r="AC756" s="94"/>
      <c r="AD756" s="93"/>
      <c r="AE756" s="85"/>
    </row>
    <row r="757" spans="7:31" ht="14.5" customHeight="1" x14ac:dyDescent="0.35">
      <c r="G757" s="85"/>
      <c r="H757" s="87"/>
      <c r="K757" s="85"/>
      <c r="M757" s="94"/>
      <c r="N757" s="93"/>
      <c r="O757" s="85"/>
      <c r="Q757" s="94"/>
      <c r="R757" s="93"/>
      <c r="S757" s="85"/>
      <c r="U757" s="94"/>
      <c r="V757" s="93"/>
      <c r="W757" s="85"/>
      <c r="Y757" s="94"/>
      <c r="Z757" s="93"/>
      <c r="AA757" s="85"/>
      <c r="AC757" s="94"/>
      <c r="AD757" s="93"/>
      <c r="AE757" s="85"/>
    </row>
    <row r="758" spans="7:31" ht="14.5" customHeight="1" x14ac:dyDescent="0.35">
      <c r="G758" s="85"/>
      <c r="H758" s="87"/>
      <c r="K758" s="85"/>
      <c r="M758" s="94"/>
      <c r="N758" s="93"/>
      <c r="O758" s="85"/>
      <c r="Q758" s="94"/>
      <c r="R758" s="93"/>
      <c r="S758" s="85"/>
      <c r="U758" s="94"/>
      <c r="V758" s="93"/>
      <c r="W758" s="85"/>
      <c r="Y758" s="94"/>
      <c r="Z758" s="93"/>
      <c r="AA758" s="85"/>
      <c r="AC758" s="94"/>
      <c r="AD758" s="93"/>
      <c r="AE758" s="85"/>
    </row>
    <row r="759" spans="7:31" ht="14.5" customHeight="1" x14ac:dyDescent="0.35">
      <c r="G759" s="85"/>
      <c r="H759" s="87"/>
      <c r="K759" s="85"/>
      <c r="M759" s="94"/>
      <c r="N759" s="93"/>
      <c r="O759" s="85"/>
      <c r="Q759" s="94"/>
      <c r="R759" s="93"/>
      <c r="S759" s="85"/>
      <c r="U759" s="94"/>
      <c r="V759" s="93"/>
      <c r="W759" s="85"/>
      <c r="Y759" s="94"/>
      <c r="Z759" s="93"/>
      <c r="AA759" s="85"/>
      <c r="AC759" s="94"/>
      <c r="AD759" s="93"/>
      <c r="AE759" s="85"/>
    </row>
    <row r="760" spans="7:31" ht="14.5" customHeight="1" x14ac:dyDescent="0.35">
      <c r="G760" s="85"/>
      <c r="H760" s="87"/>
      <c r="K760" s="85"/>
      <c r="M760" s="94"/>
      <c r="N760" s="93"/>
      <c r="O760" s="85"/>
      <c r="Q760" s="94"/>
      <c r="R760" s="93"/>
      <c r="S760" s="85"/>
      <c r="U760" s="94"/>
      <c r="V760" s="93"/>
      <c r="W760" s="85"/>
      <c r="Y760" s="94"/>
      <c r="Z760" s="93"/>
      <c r="AA760" s="85"/>
      <c r="AC760" s="94"/>
      <c r="AD760" s="93"/>
      <c r="AE760" s="85"/>
    </row>
    <row r="761" spans="7:31" ht="14.5" customHeight="1" x14ac:dyDescent="0.35">
      <c r="G761" s="85"/>
      <c r="H761" s="87"/>
      <c r="K761" s="85"/>
      <c r="M761" s="94"/>
      <c r="N761" s="93"/>
      <c r="O761" s="85"/>
      <c r="Q761" s="94"/>
      <c r="R761" s="93"/>
      <c r="S761" s="85"/>
      <c r="U761" s="94"/>
      <c r="V761" s="93"/>
      <c r="W761" s="85"/>
      <c r="Y761" s="94"/>
      <c r="Z761" s="93"/>
      <c r="AA761" s="85"/>
      <c r="AC761" s="94"/>
      <c r="AD761" s="93"/>
      <c r="AE761" s="85"/>
    </row>
    <row r="762" spans="7:31" ht="14.5" customHeight="1" x14ac:dyDescent="0.35">
      <c r="G762" s="85"/>
      <c r="H762" s="87"/>
      <c r="K762" s="85"/>
      <c r="M762" s="94"/>
      <c r="N762" s="93"/>
      <c r="O762" s="85"/>
      <c r="Q762" s="94"/>
      <c r="R762" s="93"/>
      <c r="S762" s="85"/>
      <c r="U762" s="94"/>
      <c r="V762" s="93"/>
      <c r="W762" s="85"/>
      <c r="Y762" s="94"/>
      <c r="Z762" s="93"/>
      <c r="AA762" s="85"/>
      <c r="AC762" s="94"/>
      <c r="AD762" s="93"/>
      <c r="AE762" s="85"/>
    </row>
    <row r="763" spans="7:31" ht="14.5" customHeight="1" x14ac:dyDescent="0.35">
      <c r="G763" s="85"/>
      <c r="H763" s="87"/>
      <c r="K763" s="85"/>
      <c r="M763" s="94"/>
      <c r="N763" s="93"/>
      <c r="O763" s="85"/>
      <c r="Q763" s="94"/>
      <c r="R763" s="93"/>
      <c r="S763" s="85"/>
      <c r="U763" s="94"/>
      <c r="V763" s="93"/>
      <c r="W763" s="85"/>
      <c r="Y763" s="94"/>
      <c r="Z763" s="93"/>
      <c r="AA763" s="85"/>
      <c r="AC763" s="94"/>
      <c r="AD763" s="93"/>
      <c r="AE763" s="85"/>
    </row>
    <row r="764" spans="7:31" ht="14.5" customHeight="1" x14ac:dyDescent="0.35">
      <c r="G764" s="85"/>
      <c r="H764" s="87"/>
      <c r="K764" s="85"/>
      <c r="M764" s="94"/>
      <c r="N764" s="93"/>
      <c r="O764" s="85"/>
      <c r="Q764" s="94"/>
      <c r="R764" s="93"/>
      <c r="S764" s="85"/>
      <c r="U764" s="94"/>
      <c r="V764" s="93"/>
      <c r="W764" s="85"/>
      <c r="Y764" s="94"/>
      <c r="Z764" s="93"/>
      <c r="AA764" s="85"/>
      <c r="AC764" s="94"/>
      <c r="AD764" s="93"/>
      <c r="AE764" s="85"/>
    </row>
    <row r="765" spans="7:31" ht="14.5" customHeight="1" x14ac:dyDescent="0.35">
      <c r="G765" s="85"/>
      <c r="H765" s="87"/>
      <c r="K765" s="85"/>
      <c r="M765" s="94"/>
      <c r="N765" s="93"/>
      <c r="O765" s="85"/>
      <c r="Q765" s="94"/>
      <c r="R765" s="93"/>
      <c r="S765" s="85"/>
      <c r="U765" s="94"/>
      <c r="V765" s="93"/>
      <c r="W765" s="85"/>
      <c r="Y765" s="94"/>
      <c r="Z765" s="93"/>
      <c r="AA765" s="85"/>
      <c r="AC765" s="94"/>
      <c r="AD765" s="93"/>
      <c r="AE765" s="85"/>
    </row>
    <row r="766" spans="7:31" ht="14.5" customHeight="1" x14ac:dyDescent="0.35">
      <c r="G766" s="85"/>
      <c r="H766" s="87"/>
      <c r="K766" s="85"/>
      <c r="M766" s="94"/>
      <c r="N766" s="93"/>
      <c r="O766" s="85"/>
      <c r="Q766" s="94"/>
      <c r="R766" s="93"/>
      <c r="S766" s="85"/>
      <c r="U766" s="94"/>
      <c r="V766" s="93"/>
      <c r="W766" s="85"/>
      <c r="Y766" s="94"/>
      <c r="Z766" s="93"/>
      <c r="AA766" s="85"/>
      <c r="AC766" s="94"/>
      <c r="AD766" s="93"/>
      <c r="AE766" s="85"/>
    </row>
    <row r="767" spans="7:31" ht="14.5" customHeight="1" x14ac:dyDescent="0.35">
      <c r="G767" s="85"/>
      <c r="H767" s="87"/>
      <c r="K767" s="85"/>
      <c r="M767" s="94"/>
      <c r="N767" s="93"/>
      <c r="O767" s="85"/>
      <c r="Q767" s="94"/>
      <c r="R767" s="93"/>
      <c r="S767" s="85"/>
      <c r="U767" s="94"/>
      <c r="V767" s="93"/>
      <c r="W767" s="85"/>
      <c r="Y767" s="94"/>
      <c r="Z767" s="93"/>
      <c r="AA767" s="85"/>
      <c r="AC767" s="94"/>
      <c r="AD767" s="93"/>
      <c r="AE767" s="85"/>
    </row>
    <row r="768" spans="7:31" ht="14.5" customHeight="1" x14ac:dyDescent="0.35">
      <c r="G768" s="85"/>
      <c r="H768" s="87"/>
      <c r="K768" s="85"/>
      <c r="M768" s="94"/>
      <c r="N768" s="93"/>
      <c r="O768" s="85"/>
      <c r="Q768" s="94"/>
      <c r="R768" s="93"/>
      <c r="S768" s="85"/>
      <c r="U768" s="94"/>
      <c r="V768" s="93"/>
      <c r="W768" s="85"/>
      <c r="Y768" s="94"/>
      <c r="Z768" s="93"/>
      <c r="AA768" s="85"/>
      <c r="AC768" s="94"/>
      <c r="AD768" s="93"/>
      <c r="AE768" s="85"/>
    </row>
    <row r="769" spans="7:31" ht="14.5" customHeight="1" x14ac:dyDescent="0.35">
      <c r="G769" s="85"/>
      <c r="H769" s="87"/>
      <c r="K769" s="85"/>
      <c r="M769" s="94"/>
      <c r="N769" s="93"/>
      <c r="O769" s="85"/>
      <c r="Q769" s="94"/>
      <c r="R769" s="93"/>
      <c r="S769" s="85"/>
      <c r="U769" s="94"/>
      <c r="V769" s="93"/>
      <c r="W769" s="85"/>
      <c r="Y769" s="94"/>
      <c r="Z769" s="93"/>
      <c r="AA769" s="85"/>
      <c r="AC769" s="94"/>
      <c r="AD769" s="93"/>
      <c r="AE769" s="85"/>
    </row>
    <row r="770" spans="7:31" ht="14.5" customHeight="1" x14ac:dyDescent="0.35">
      <c r="G770" s="85"/>
      <c r="H770" s="87"/>
      <c r="K770" s="85"/>
      <c r="M770" s="94"/>
      <c r="N770" s="93"/>
      <c r="O770" s="85"/>
      <c r="Q770" s="94"/>
      <c r="R770" s="93"/>
      <c r="S770" s="85"/>
      <c r="U770" s="94"/>
      <c r="V770" s="93"/>
      <c r="W770" s="85"/>
      <c r="Y770" s="94"/>
      <c r="Z770" s="93"/>
      <c r="AA770" s="85"/>
      <c r="AC770" s="94"/>
      <c r="AD770" s="93"/>
      <c r="AE770" s="85"/>
    </row>
    <row r="771" spans="7:31" ht="14.5" customHeight="1" x14ac:dyDescent="0.35">
      <c r="G771" s="85"/>
      <c r="H771" s="87"/>
      <c r="K771" s="85"/>
      <c r="M771" s="94"/>
      <c r="N771" s="93"/>
      <c r="O771" s="85"/>
      <c r="Q771" s="94"/>
      <c r="R771" s="93"/>
      <c r="S771" s="85"/>
      <c r="U771" s="94"/>
      <c r="V771" s="93"/>
      <c r="W771" s="85"/>
      <c r="Y771" s="94"/>
      <c r="Z771" s="93"/>
      <c r="AA771" s="85"/>
      <c r="AC771" s="94"/>
      <c r="AD771" s="93"/>
      <c r="AE771" s="85"/>
    </row>
    <row r="772" spans="7:31" ht="14.5" customHeight="1" x14ac:dyDescent="0.35">
      <c r="G772" s="85"/>
      <c r="H772" s="87"/>
      <c r="K772" s="85"/>
      <c r="M772" s="94"/>
      <c r="N772" s="93"/>
      <c r="O772" s="85"/>
      <c r="Q772" s="94"/>
      <c r="R772" s="93"/>
      <c r="S772" s="85"/>
      <c r="U772" s="94"/>
      <c r="V772" s="93"/>
      <c r="W772" s="85"/>
      <c r="Y772" s="94"/>
      <c r="Z772" s="93"/>
      <c r="AA772" s="85"/>
      <c r="AC772" s="94"/>
      <c r="AD772" s="93"/>
      <c r="AE772" s="85"/>
    </row>
    <row r="773" spans="7:31" ht="14.5" customHeight="1" x14ac:dyDescent="0.35">
      <c r="G773" s="85"/>
      <c r="H773" s="87"/>
      <c r="K773" s="85"/>
      <c r="M773" s="94"/>
      <c r="N773" s="93"/>
      <c r="O773" s="85"/>
      <c r="Q773" s="94"/>
      <c r="R773" s="93"/>
      <c r="S773" s="85"/>
      <c r="U773" s="94"/>
      <c r="V773" s="93"/>
      <c r="W773" s="85"/>
      <c r="Y773" s="94"/>
      <c r="Z773" s="93"/>
      <c r="AA773" s="85"/>
      <c r="AC773" s="94"/>
      <c r="AD773" s="93"/>
      <c r="AE773" s="85"/>
    </row>
    <row r="774" spans="7:31" ht="14.5" customHeight="1" x14ac:dyDescent="0.35">
      <c r="G774" s="85"/>
      <c r="H774" s="87"/>
      <c r="K774" s="85"/>
      <c r="M774" s="94"/>
      <c r="N774" s="93"/>
      <c r="O774" s="85"/>
      <c r="Q774" s="94"/>
      <c r="R774" s="93"/>
      <c r="S774" s="85"/>
      <c r="U774" s="94"/>
      <c r="V774" s="93"/>
      <c r="W774" s="85"/>
      <c r="Y774" s="94"/>
      <c r="Z774" s="93"/>
      <c r="AA774" s="85"/>
      <c r="AC774" s="94"/>
      <c r="AD774" s="93"/>
      <c r="AE774" s="85"/>
    </row>
    <row r="775" spans="7:31" ht="14.5" customHeight="1" x14ac:dyDescent="0.35">
      <c r="G775" s="85"/>
      <c r="H775" s="87"/>
      <c r="K775" s="85"/>
      <c r="M775" s="94"/>
      <c r="N775" s="93"/>
      <c r="O775" s="85"/>
      <c r="Q775" s="94"/>
      <c r="R775" s="93"/>
      <c r="S775" s="85"/>
      <c r="U775" s="94"/>
      <c r="V775" s="93"/>
      <c r="W775" s="85"/>
      <c r="Y775" s="94"/>
      <c r="Z775" s="93"/>
      <c r="AA775" s="85"/>
      <c r="AC775" s="94"/>
      <c r="AD775" s="93"/>
      <c r="AE775" s="85"/>
    </row>
    <row r="776" spans="7:31" ht="14.5" customHeight="1" x14ac:dyDescent="0.35">
      <c r="G776" s="85"/>
      <c r="H776" s="87"/>
      <c r="K776" s="85"/>
      <c r="M776" s="94"/>
      <c r="N776" s="93"/>
      <c r="O776" s="85"/>
      <c r="Q776" s="94"/>
      <c r="R776" s="93"/>
      <c r="S776" s="85"/>
      <c r="U776" s="94"/>
      <c r="V776" s="93"/>
      <c r="W776" s="85"/>
      <c r="Y776" s="94"/>
      <c r="Z776" s="93"/>
      <c r="AA776" s="85"/>
      <c r="AC776" s="94"/>
      <c r="AD776" s="93"/>
      <c r="AE776" s="85"/>
    </row>
    <row r="777" spans="7:31" ht="14.5" customHeight="1" x14ac:dyDescent="0.35">
      <c r="G777" s="85"/>
      <c r="H777" s="87"/>
      <c r="K777" s="85"/>
      <c r="M777" s="94"/>
      <c r="N777" s="93"/>
      <c r="O777" s="85"/>
      <c r="Q777" s="94"/>
      <c r="R777" s="93"/>
      <c r="S777" s="85"/>
      <c r="U777" s="94"/>
      <c r="V777" s="93"/>
      <c r="W777" s="85"/>
      <c r="Y777" s="94"/>
      <c r="Z777" s="93"/>
      <c r="AA777" s="85"/>
      <c r="AC777" s="94"/>
      <c r="AD777" s="93"/>
      <c r="AE777" s="85"/>
    </row>
    <row r="778" spans="7:31" ht="14.5" customHeight="1" x14ac:dyDescent="0.35">
      <c r="G778" s="85"/>
      <c r="H778" s="87"/>
      <c r="K778" s="85"/>
      <c r="M778" s="94"/>
      <c r="N778" s="93"/>
      <c r="O778" s="85"/>
      <c r="Q778" s="94"/>
      <c r="R778" s="93"/>
      <c r="S778" s="85"/>
      <c r="U778" s="94"/>
      <c r="V778" s="93"/>
      <c r="W778" s="85"/>
      <c r="Y778" s="94"/>
      <c r="Z778" s="93"/>
      <c r="AA778" s="85"/>
      <c r="AC778" s="94"/>
      <c r="AD778" s="93"/>
      <c r="AE778" s="85"/>
    </row>
    <row r="779" spans="7:31" ht="14.5" customHeight="1" x14ac:dyDescent="0.35">
      <c r="G779" s="85"/>
      <c r="H779" s="87"/>
      <c r="K779" s="85"/>
      <c r="M779" s="94"/>
      <c r="N779" s="93"/>
      <c r="O779" s="85"/>
      <c r="Q779" s="94"/>
      <c r="R779" s="93"/>
      <c r="S779" s="85"/>
      <c r="U779" s="94"/>
      <c r="V779" s="93"/>
      <c r="W779" s="85"/>
      <c r="Y779" s="94"/>
      <c r="Z779" s="93"/>
      <c r="AA779" s="85"/>
      <c r="AC779" s="94"/>
      <c r="AD779" s="93"/>
      <c r="AE779" s="85"/>
    </row>
    <row r="780" spans="7:31" ht="14.5" customHeight="1" x14ac:dyDescent="0.35">
      <c r="G780" s="85"/>
      <c r="H780" s="87"/>
      <c r="K780" s="85"/>
      <c r="M780" s="94"/>
      <c r="N780" s="93"/>
      <c r="O780" s="85"/>
      <c r="Q780" s="94"/>
      <c r="R780" s="93"/>
      <c r="S780" s="85"/>
      <c r="U780" s="94"/>
      <c r="V780" s="93"/>
      <c r="W780" s="85"/>
      <c r="Y780" s="94"/>
      <c r="Z780" s="93"/>
      <c r="AA780" s="85"/>
      <c r="AC780" s="94"/>
      <c r="AD780" s="93"/>
      <c r="AE780" s="85"/>
    </row>
    <row r="781" spans="7:31" ht="14.5" customHeight="1" x14ac:dyDescent="0.35">
      <c r="G781" s="85"/>
      <c r="H781" s="87"/>
      <c r="K781" s="85"/>
      <c r="M781" s="94"/>
      <c r="N781" s="93"/>
      <c r="O781" s="85"/>
      <c r="Q781" s="94"/>
      <c r="R781" s="93"/>
      <c r="S781" s="85"/>
      <c r="U781" s="94"/>
      <c r="V781" s="93"/>
      <c r="W781" s="85"/>
      <c r="Y781" s="94"/>
      <c r="Z781" s="93"/>
      <c r="AA781" s="85"/>
      <c r="AC781" s="94"/>
      <c r="AD781" s="93"/>
      <c r="AE781" s="85"/>
    </row>
    <row r="782" spans="7:31" ht="14.5" customHeight="1" x14ac:dyDescent="0.35">
      <c r="G782" s="85"/>
      <c r="H782" s="87"/>
      <c r="K782" s="85"/>
      <c r="M782" s="94"/>
      <c r="N782" s="93"/>
      <c r="O782" s="85"/>
      <c r="Q782" s="94"/>
      <c r="R782" s="93"/>
      <c r="S782" s="85"/>
      <c r="U782" s="94"/>
      <c r="V782" s="93"/>
      <c r="W782" s="85"/>
      <c r="Y782" s="94"/>
      <c r="Z782" s="93"/>
      <c r="AA782" s="85"/>
      <c r="AC782" s="94"/>
      <c r="AD782" s="93"/>
      <c r="AE782" s="85"/>
    </row>
    <row r="783" spans="7:31" ht="14.5" customHeight="1" x14ac:dyDescent="0.35">
      <c r="G783" s="85"/>
      <c r="H783" s="87"/>
      <c r="K783" s="85"/>
      <c r="M783" s="94"/>
      <c r="N783" s="93"/>
      <c r="O783" s="85"/>
      <c r="Q783" s="94"/>
      <c r="R783" s="93"/>
      <c r="S783" s="85"/>
      <c r="U783" s="94"/>
      <c r="V783" s="93"/>
      <c r="W783" s="85"/>
      <c r="Y783" s="94"/>
      <c r="Z783" s="93"/>
      <c r="AA783" s="85"/>
      <c r="AC783" s="94"/>
      <c r="AD783" s="93"/>
      <c r="AE783" s="85"/>
    </row>
    <row r="784" spans="7:31" ht="14.5" customHeight="1" x14ac:dyDescent="0.35">
      <c r="G784" s="85"/>
      <c r="H784" s="87"/>
      <c r="K784" s="85"/>
      <c r="M784" s="94"/>
      <c r="N784" s="93"/>
      <c r="O784" s="85"/>
      <c r="Q784" s="94"/>
      <c r="R784" s="93"/>
      <c r="S784" s="85"/>
      <c r="U784" s="94"/>
      <c r="V784" s="93"/>
      <c r="W784" s="85"/>
      <c r="Y784" s="94"/>
      <c r="Z784" s="93"/>
      <c r="AA784" s="85"/>
      <c r="AC784" s="94"/>
      <c r="AD784" s="93"/>
      <c r="AE784" s="85"/>
    </row>
    <row r="785" spans="7:31" ht="14.5" customHeight="1" x14ac:dyDescent="0.35">
      <c r="G785" s="85"/>
      <c r="H785" s="87"/>
      <c r="K785" s="85"/>
      <c r="M785" s="94"/>
      <c r="N785" s="93"/>
      <c r="O785" s="85"/>
      <c r="Q785" s="94"/>
      <c r="R785" s="93"/>
      <c r="S785" s="85"/>
      <c r="U785" s="94"/>
      <c r="V785" s="93"/>
      <c r="W785" s="85"/>
      <c r="Y785" s="94"/>
      <c r="Z785" s="93"/>
      <c r="AA785" s="85"/>
      <c r="AC785" s="94"/>
      <c r="AD785" s="93"/>
      <c r="AE785" s="85"/>
    </row>
    <row r="786" spans="7:31" ht="14.5" customHeight="1" x14ac:dyDescent="0.35">
      <c r="G786" s="85"/>
      <c r="H786" s="87"/>
      <c r="K786" s="85"/>
      <c r="M786" s="94"/>
      <c r="N786" s="93"/>
      <c r="O786" s="85"/>
      <c r="Q786" s="94"/>
      <c r="R786" s="93"/>
      <c r="S786" s="85"/>
      <c r="U786" s="94"/>
      <c r="V786" s="93"/>
      <c r="W786" s="85"/>
      <c r="Y786" s="94"/>
      <c r="Z786" s="93"/>
      <c r="AA786" s="85"/>
      <c r="AC786" s="94"/>
      <c r="AD786" s="93"/>
      <c r="AE786" s="85"/>
    </row>
    <row r="787" spans="7:31" ht="14.5" customHeight="1" x14ac:dyDescent="0.35">
      <c r="G787" s="85"/>
      <c r="H787" s="87"/>
      <c r="K787" s="85"/>
      <c r="M787" s="94"/>
      <c r="N787" s="93"/>
      <c r="O787" s="85"/>
      <c r="Q787" s="94"/>
      <c r="R787" s="93"/>
      <c r="S787" s="85"/>
      <c r="U787" s="94"/>
      <c r="V787" s="93"/>
      <c r="W787" s="85"/>
      <c r="Y787" s="94"/>
      <c r="Z787" s="93"/>
      <c r="AA787" s="85"/>
      <c r="AC787" s="94"/>
      <c r="AD787" s="93"/>
      <c r="AE787" s="85"/>
    </row>
    <row r="788" spans="7:31" ht="14.5" customHeight="1" x14ac:dyDescent="0.35">
      <c r="G788" s="85"/>
      <c r="H788" s="87"/>
      <c r="K788" s="85"/>
      <c r="M788" s="94"/>
      <c r="N788" s="93"/>
      <c r="O788" s="85"/>
      <c r="Q788" s="94"/>
      <c r="R788" s="93"/>
      <c r="S788" s="85"/>
      <c r="U788" s="94"/>
      <c r="V788" s="93"/>
      <c r="W788" s="85"/>
      <c r="Y788" s="94"/>
      <c r="Z788" s="93"/>
      <c r="AA788" s="85"/>
      <c r="AC788" s="94"/>
      <c r="AD788" s="93"/>
      <c r="AE788" s="85"/>
    </row>
    <row r="789" spans="7:31" ht="14.5" customHeight="1" x14ac:dyDescent="0.35">
      <c r="G789" s="85"/>
      <c r="H789" s="87"/>
      <c r="K789" s="85"/>
      <c r="M789" s="94"/>
      <c r="N789" s="93"/>
      <c r="O789" s="85"/>
      <c r="Q789" s="94"/>
      <c r="R789" s="93"/>
      <c r="S789" s="85"/>
      <c r="U789" s="94"/>
      <c r="V789" s="93"/>
      <c r="W789" s="85"/>
      <c r="Y789" s="94"/>
      <c r="Z789" s="93"/>
      <c r="AA789" s="85"/>
      <c r="AC789" s="94"/>
      <c r="AD789" s="93"/>
      <c r="AE789" s="85"/>
    </row>
    <row r="790" spans="7:31" ht="14.5" customHeight="1" x14ac:dyDescent="0.35">
      <c r="G790" s="85"/>
      <c r="H790" s="87"/>
      <c r="K790" s="85"/>
      <c r="M790" s="94"/>
      <c r="N790" s="93"/>
      <c r="O790" s="85"/>
      <c r="Q790" s="94"/>
      <c r="R790" s="93"/>
      <c r="S790" s="85"/>
      <c r="U790" s="94"/>
      <c r="V790" s="93"/>
      <c r="W790" s="85"/>
      <c r="Y790" s="94"/>
      <c r="Z790" s="93"/>
      <c r="AA790" s="85"/>
      <c r="AC790" s="94"/>
      <c r="AD790" s="93"/>
      <c r="AE790" s="85"/>
    </row>
    <row r="791" spans="7:31" ht="14.5" customHeight="1" x14ac:dyDescent="0.35">
      <c r="G791" s="85"/>
      <c r="H791" s="87"/>
      <c r="K791" s="85"/>
      <c r="M791" s="94"/>
      <c r="N791" s="93"/>
      <c r="O791" s="85"/>
      <c r="Q791" s="94"/>
      <c r="R791" s="93"/>
      <c r="S791" s="85"/>
      <c r="U791" s="94"/>
      <c r="V791" s="93"/>
      <c r="W791" s="85"/>
      <c r="Y791" s="94"/>
      <c r="Z791" s="93"/>
      <c r="AA791" s="85"/>
      <c r="AC791" s="94"/>
      <c r="AD791" s="93"/>
      <c r="AE791" s="85"/>
    </row>
    <row r="792" spans="7:31" ht="14.5" customHeight="1" x14ac:dyDescent="0.35">
      <c r="G792" s="85"/>
      <c r="H792" s="87"/>
      <c r="K792" s="85"/>
      <c r="M792" s="94"/>
      <c r="N792" s="93"/>
      <c r="O792" s="85"/>
      <c r="Q792" s="94"/>
      <c r="R792" s="93"/>
      <c r="S792" s="85"/>
      <c r="U792" s="94"/>
      <c r="V792" s="93"/>
      <c r="W792" s="85"/>
      <c r="Y792" s="94"/>
      <c r="Z792" s="93"/>
      <c r="AA792" s="85"/>
      <c r="AC792" s="94"/>
      <c r="AD792" s="93"/>
      <c r="AE792" s="85"/>
    </row>
    <row r="793" spans="7:31" ht="14.5" customHeight="1" x14ac:dyDescent="0.35">
      <c r="G793" s="85"/>
      <c r="H793" s="87"/>
      <c r="K793" s="85"/>
      <c r="M793" s="94"/>
      <c r="N793" s="93"/>
      <c r="O793" s="85"/>
      <c r="Q793" s="94"/>
      <c r="R793" s="93"/>
      <c r="S793" s="85"/>
      <c r="U793" s="94"/>
      <c r="V793" s="93"/>
      <c r="W793" s="85"/>
      <c r="Y793" s="94"/>
      <c r="Z793" s="93"/>
      <c r="AA793" s="85"/>
      <c r="AC793" s="94"/>
      <c r="AD793" s="93"/>
      <c r="AE793" s="85"/>
    </row>
    <row r="794" spans="7:31" ht="14.5" customHeight="1" x14ac:dyDescent="0.35">
      <c r="G794" s="85"/>
      <c r="H794" s="87"/>
      <c r="K794" s="85"/>
      <c r="M794" s="94"/>
      <c r="N794" s="93"/>
      <c r="O794" s="85"/>
      <c r="Q794" s="94"/>
      <c r="R794" s="93"/>
      <c r="S794" s="85"/>
      <c r="U794" s="94"/>
      <c r="V794" s="93"/>
      <c r="W794" s="85"/>
      <c r="Y794" s="94"/>
      <c r="Z794" s="93"/>
      <c r="AA794" s="85"/>
      <c r="AC794" s="94"/>
      <c r="AD794" s="93"/>
      <c r="AE794" s="85"/>
    </row>
    <row r="795" spans="7:31" ht="14.5" customHeight="1" x14ac:dyDescent="0.35">
      <c r="G795" s="85"/>
      <c r="H795" s="87"/>
      <c r="K795" s="85"/>
      <c r="M795" s="94"/>
      <c r="N795" s="93"/>
      <c r="O795" s="85"/>
      <c r="Q795" s="94"/>
      <c r="R795" s="93"/>
      <c r="S795" s="85"/>
      <c r="U795" s="94"/>
      <c r="V795" s="93"/>
      <c r="W795" s="85"/>
      <c r="Y795" s="94"/>
      <c r="Z795" s="93"/>
      <c r="AA795" s="85"/>
      <c r="AC795" s="94"/>
      <c r="AD795" s="93"/>
      <c r="AE795" s="85"/>
    </row>
    <row r="796" spans="7:31" ht="14.5" customHeight="1" x14ac:dyDescent="0.35">
      <c r="G796" s="85"/>
      <c r="H796" s="87"/>
      <c r="K796" s="85"/>
      <c r="M796" s="94"/>
      <c r="N796" s="93"/>
      <c r="O796" s="85"/>
      <c r="Q796" s="94"/>
      <c r="R796" s="93"/>
      <c r="S796" s="85"/>
      <c r="U796" s="94"/>
      <c r="V796" s="93"/>
      <c r="W796" s="85"/>
      <c r="Y796" s="94"/>
      <c r="Z796" s="93"/>
      <c r="AA796" s="85"/>
      <c r="AC796" s="94"/>
      <c r="AD796" s="93"/>
      <c r="AE796" s="85"/>
    </row>
    <row r="797" spans="7:31" ht="14.5" customHeight="1" x14ac:dyDescent="0.35">
      <c r="G797" s="85"/>
      <c r="H797" s="87"/>
      <c r="K797" s="85"/>
      <c r="M797" s="94"/>
      <c r="N797" s="93"/>
      <c r="O797" s="85"/>
      <c r="Q797" s="94"/>
      <c r="R797" s="93"/>
      <c r="S797" s="85"/>
      <c r="U797" s="94"/>
      <c r="V797" s="93"/>
      <c r="W797" s="85"/>
      <c r="Y797" s="94"/>
      <c r="Z797" s="93"/>
      <c r="AA797" s="85"/>
      <c r="AC797" s="94"/>
      <c r="AD797" s="93"/>
      <c r="AE797" s="85"/>
    </row>
    <row r="798" spans="7:31" ht="14.5" customHeight="1" x14ac:dyDescent="0.35">
      <c r="G798" s="85"/>
      <c r="H798" s="87"/>
      <c r="K798" s="85"/>
      <c r="M798" s="94"/>
      <c r="N798" s="93"/>
      <c r="O798" s="85"/>
      <c r="Q798" s="94"/>
      <c r="R798" s="93"/>
      <c r="S798" s="85"/>
      <c r="U798" s="94"/>
      <c r="V798" s="93"/>
      <c r="W798" s="85"/>
      <c r="Y798" s="94"/>
      <c r="Z798" s="93"/>
      <c r="AA798" s="85"/>
      <c r="AC798" s="94"/>
      <c r="AD798" s="93"/>
      <c r="AE798" s="85"/>
    </row>
    <row r="799" spans="7:31" ht="14.5" customHeight="1" x14ac:dyDescent="0.35">
      <c r="G799" s="85"/>
      <c r="H799" s="87"/>
      <c r="K799" s="85"/>
      <c r="M799" s="94"/>
      <c r="N799" s="93"/>
      <c r="O799" s="85"/>
      <c r="Q799" s="94"/>
      <c r="R799" s="93"/>
      <c r="S799" s="85"/>
      <c r="U799" s="94"/>
      <c r="V799" s="93"/>
      <c r="W799" s="85"/>
      <c r="Y799" s="94"/>
      <c r="Z799" s="93"/>
      <c r="AA799" s="85"/>
      <c r="AC799" s="94"/>
      <c r="AD799" s="93"/>
      <c r="AE799" s="85"/>
    </row>
    <row r="800" spans="7:31" ht="14.5" customHeight="1" x14ac:dyDescent="0.35">
      <c r="G800" s="85"/>
      <c r="H800" s="87"/>
      <c r="K800" s="85"/>
      <c r="M800" s="94"/>
      <c r="N800" s="93"/>
      <c r="O800" s="85"/>
      <c r="Q800" s="94"/>
      <c r="R800" s="93"/>
      <c r="S800" s="85"/>
      <c r="U800" s="94"/>
      <c r="V800" s="93"/>
      <c r="W800" s="85"/>
      <c r="Y800" s="94"/>
      <c r="Z800" s="93"/>
      <c r="AA800" s="85"/>
      <c r="AC800" s="94"/>
      <c r="AD800" s="93"/>
      <c r="AE800" s="85"/>
    </row>
    <row r="801" spans="7:31" ht="14.5" customHeight="1" x14ac:dyDescent="0.35">
      <c r="G801" s="85"/>
      <c r="H801" s="87"/>
      <c r="K801" s="85"/>
      <c r="M801" s="94"/>
      <c r="N801" s="93"/>
      <c r="O801" s="85"/>
      <c r="Q801" s="94"/>
      <c r="R801" s="93"/>
      <c r="S801" s="85"/>
      <c r="U801" s="94"/>
      <c r="V801" s="93"/>
      <c r="W801" s="85"/>
      <c r="Y801" s="94"/>
      <c r="Z801" s="93"/>
      <c r="AA801" s="85"/>
      <c r="AC801" s="94"/>
      <c r="AD801" s="93"/>
      <c r="AE801" s="85"/>
    </row>
    <row r="802" spans="7:31" ht="14.5" customHeight="1" x14ac:dyDescent="0.35">
      <c r="G802" s="85"/>
      <c r="H802" s="87"/>
      <c r="K802" s="85"/>
      <c r="M802" s="94"/>
      <c r="N802" s="93"/>
      <c r="O802" s="85"/>
      <c r="Q802" s="94"/>
      <c r="R802" s="93"/>
      <c r="S802" s="85"/>
      <c r="U802" s="94"/>
      <c r="V802" s="93"/>
      <c r="W802" s="85"/>
      <c r="Y802" s="94"/>
      <c r="Z802" s="93"/>
      <c r="AA802" s="85"/>
      <c r="AC802" s="94"/>
      <c r="AD802" s="93"/>
      <c r="AE802" s="85"/>
    </row>
    <row r="803" spans="7:31" ht="14.5" customHeight="1" x14ac:dyDescent="0.35">
      <c r="G803" s="85"/>
      <c r="H803" s="87"/>
      <c r="K803" s="85"/>
      <c r="M803" s="94"/>
      <c r="N803" s="93"/>
      <c r="O803" s="85"/>
      <c r="Q803" s="94"/>
      <c r="R803" s="93"/>
      <c r="S803" s="85"/>
      <c r="U803" s="94"/>
      <c r="V803" s="93"/>
      <c r="W803" s="85"/>
      <c r="Y803" s="94"/>
      <c r="Z803" s="93"/>
      <c r="AA803" s="85"/>
      <c r="AC803" s="94"/>
      <c r="AD803" s="93"/>
      <c r="AE803" s="85"/>
    </row>
    <row r="804" spans="7:31" ht="14.5" customHeight="1" x14ac:dyDescent="0.35">
      <c r="G804" s="85"/>
      <c r="H804" s="87"/>
      <c r="K804" s="85"/>
      <c r="M804" s="94"/>
      <c r="N804" s="93"/>
      <c r="O804" s="85"/>
      <c r="Q804" s="94"/>
      <c r="R804" s="93"/>
      <c r="S804" s="85"/>
      <c r="U804" s="94"/>
      <c r="V804" s="93"/>
      <c r="W804" s="85"/>
      <c r="Y804" s="94"/>
      <c r="Z804" s="93"/>
      <c r="AA804" s="85"/>
      <c r="AC804" s="94"/>
      <c r="AD804" s="93"/>
      <c r="AE804" s="85"/>
    </row>
    <row r="805" spans="7:31" ht="14.5" customHeight="1" x14ac:dyDescent="0.35">
      <c r="G805" s="85"/>
      <c r="H805" s="87"/>
      <c r="K805" s="85"/>
      <c r="M805" s="94"/>
      <c r="N805" s="93"/>
      <c r="O805" s="85"/>
      <c r="Q805" s="94"/>
      <c r="R805" s="93"/>
      <c r="S805" s="85"/>
      <c r="U805" s="94"/>
      <c r="V805" s="93"/>
      <c r="W805" s="85"/>
      <c r="Y805" s="94"/>
      <c r="Z805" s="93"/>
      <c r="AA805" s="85"/>
      <c r="AC805" s="94"/>
      <c r="AD805" s="93"/>
      <c r="AE805" s="85"/>
    </row>
    <row r="806" spans="7:31" ht="14.5" customHeight="1" x14ac:dyDescent="0.35">
      <c r="G806" s="85"/>
      <c r="H806" s="87"/>
      <c r="K806" s="85"/>
      <c r="M806" s="94"/>
      <c r="N806" s="93"/>
      <c r="O806" s="85"/>
      <c r="Q806" s="94"/>
      <c r="R806" s="93"/>
      <c r="S806" s="85"/>
      <c r="U806" s="94"/>
      <c r="V806" s="93"/>
      <c r="W806" s="85"/>
      <c r="Y806" s="94"/>
      <c r="Z806" s="93"/>
      <c r="AA806" s="85"/>
      <c r="AC806" s="94"/>
      <c r="AD806" s="93"/>
      <c r="AE806" s="85"/>
    </row>
    <row r="807" spans="7:31" ht="14.5" customHeight="1" x14ac:dyDescent="0.35">
      <c r="G807" s="85"/>
      <c r="H807" s="87"/>
      <c r="K807" s="85"/>
      <c r="M807" s="94"/>
      <c r="N807" s="93"/>
      <c r="O807" s="85"/>
      <c r="Q807" s="94"/>
      <c r="R807" s="93"/>
      <c r="S807" s="85"/>
      <c r="U807" s="94"/>
      <c r="V807" s="93"/>
      <c r="W807" s="85"/>
      <c r="Y807" s="94"/>
      <c r="Z807" s="93"/>
      <c r="AA807" s="85"/>
      <c r="AC807" s="94"/>
      <c r="AD807" s="93"/>
      <c r="AE807" s="85"/>
    </row>
    <row r="808" spans="7:31" ht="14.5" customHeight="1" x14ac:dyDescent="0.35">
      <c r="G808" s="85"/>
      <c r="H808" s="87"/>
      <c r="K808" s="85"/>
      <c r="M808" s="94"/>
      <c r="N808" s="93"/>
      <c r="O808" s="85"/>
      <c r="Q808" s="94"/>
      <c r="R808" s="93"/>
      <c r="S808" s="85"/>
      <c r="U808" s="94"/>
      <c r="V808" s="93"/>
      <c r="W808" s="85"/>
      <c r="Y808" s="94"/>
      <c r="Z808" s="93"/>
      <c r="AA808" s="85"/>
      <c r="AC808" s="94"/>
      <c r="AD808" s="93"/>
      <c r="AE808" s="85"/>
    </row>
    <row r="809" spans="7:31" ht="14.5" customHeight="1" x14ac:dyDescent="0.35">
      <c r="G809" s="85"/>
      <c r="H809" s="87"/>
      <c r="K809" s="85"/>
      <c r="M809" s="94"/>
      <c r="N809" s="93"/>
      <c r="O809" s="85"/>
      <c r="Q809" s="94"/>
      <c r="R809" s="93"/>
      <c r="S809" s="85"/>
      <c r="U809" s="94"/>
      <c r="V809" s="93"/>
      <c r="W809" s="85"/>
      <c r="Y809" s="94"/>
      <c r="Z809" s="93"/>
      <c r="AA809" s="85"/>
      <c r="AC809" s="94"/>
      <c r="AD809" s="93"/>
      <c r="AE809" s="85"/>
    </row>
    <row r="810" spans="7:31" ht="14.5" customHeight="1" x14ac:dyDescent="0.35">
      <c r="G810" s="85"/>
      <c r="H810" s="87"/>
      <c r="K810" s="85"/>
      <c r="M810" s="94"/>
      <c r="N810" s="93"/>
      <c r="O810" s="85"/>
      <c r="Q810" s="94"/>
      <c r="R810" s="93"/>
      <c r="S810" s="85"/>
      <c r="U810" s="94"/>
      <c r="V810" s="93"/>
      <c r="W810" s="85"/>
      <c r="Y810" s="94"/>
      <c r="Z810" s="93"/>
      <c r="AA810" s="85"/>
      <c r="AC810" s="94"/>
      <c r="AD810" s="93"/>
      <c r="AE810" s="85"/>
    </row>
    <row r="811" spans="7:31" ht="14.5" customHeight="1" x14ac:dyDescent="0.35">
      <c r="G811" s="85"/>
      <c r="H811" s="87"/>
      <c r="K811" s="85"/>
      <c r="M811" s="94"/>
      <c r="N811" s="93"/>
      <c r="O811" s="85"/>
      <c r="Q811" s="94"/>
      <c r="R811" s="93"/>
      <c r="S811" s="85"/>
      <c r="U811" s="94"/>
      <c r="V811" s="93"/>
      <c r="W811" s="85"/>
      <c r="Y811" s="94"/>
      <c r="Z811" s="93"/>
      <c r="AA811" s="85"/>
      <c r="AC811" s="94"/>
      <c r="AD811" s="93"/>
      <c r="AE811" s="85"/>
    </row>
    <row r="812" spans="7:31" ht="14.5" customHeight="1" x14ac:dyDescent="0.35">
      <c r="G812" s="85"/>
      <c r="H812" s="87"/>
      <c r="K812" s="85"/>
      <c r="M812" s="94"/>
      <c r="N812" s="93"/>
      <c r="O812" s="85"/>
      <c r="Q812" s="94"/>
      <c r="R812" s="93"/>
      <c r="S812" s="85"/>
      <c r="U812" s="94"/>
      <c r="V812" s="93"/>
      <c r="W812" s="85"/>
      <c r="Y812" s="94"/>
      <c r="Z812" s="93"/>
      <c r="AA812" s="85"/>
      <c r="AC812" s="94"/>
      <c r="AD812" s="93"/>
      <c r="AE812" s="85"/>
    </row>
    <row r="813" spans="7:31" ht="14.5" customHeight="1" x14ac:dyDescent="0.35">
      <c r="G813" s="85"/>
      <c r="H813" s="87"/>
      <c r="K813" s="85"/>
      <c r="M813" s="94"/>
      <c r="N813" s="93"/>
      <c r="O813" s="85"/>
      <c r="Q813" s="94"/>
      <c r="R813" s="93"/>
      <c r="S813" s="85"/>
      <c r="U813" s="94"/>
      <c r="V813" s="93"/>
      <c r="W813" s="85"/>
      <c r="Y813" s="94"/>
      <c r="Z813" s="93"/>
      <c r="AA813" s="85"/>
      <c r="AC813" s="94"/>
      <c r="AD813" s="93"/>
      <c r="AE813" s="85"/>
    </row>
    <row r="814" spans="7:31" ht="14.5" customHeight="1" x14ac:dyDescent="0.35">
      <c r="G814" s="85"/>
      <c r="H814" s="87"/>
      <c r="K814" s="85"/>
      <c r="M814" s="94"/>
      <c r="N814" s="93"/>
      <c r="O814" s="85"/>
      <c r="Q814" s="94"/>
      <c r="R814" s="93"/>
      <c r="S814" s="85"/>
      <c r="U814" s="94"/>
      <c r="V814" s="93"/>
      <c r="W814" s="85"/>
      <c r="Y814" s="94"/>
      <c r="Z814" s="93"/>
      <c r="AA814" s="85"/>
      <c r="AC814" s="94"/>
      <c r="AD814" s="93"/>
      <c r="AE814" s="85"/>
    </row>
    <row r="815" spans="7:31" ht="14.5" customHeight="1" x14ac:dyDescent="0.35">
      <c r="G815" s="85"/>
      <c r="H815" s="87"/>
      <c r="K815" s="85"/>
      <c r="M815" s="94"/>
      <c r="N815" s="93"/>
      <c r="O815" s="85"/>
      <c r="Q815" s="94"/>
      <c r="R815" s="93"/>
      <c r="S815" s="85"/>
      <c r="U815" s="94"/>
      <c r="V815" s="93"/>
      <c r="W815" s="85"/>
      <c r="Y815" s="94"/>
      <c r="Z815" s="93"/>
      <c r="AA815" s="85"/>
      <c r="AC815" s="94"/>
      <c r="AD815" s="93"/>
      <c r="AE815" s="85"/>
    </row>
    <row r="816" spans="7:31" ht="14.5" customHeight="1" x14ac:dyDescent="0.35">
      <c r="G816" s="85"/>
      <c r="H816" s="87"/>
      <c r="K816" s="85"/>
      <c r="M816" s="94"/>
      <c r="N816" s="93"/>
      <c r="O816" s="85"/>
      <c r="Q816" s="94"/>
      <c r="R816" s="93"/>
      <c r="S816" s="85"/>
      <c r="U816" s="94"/>
      <c r="V816" s="93"/>
      <c r="W816" s="85"/>
      <c r="Y816" s="94"/>
      <c r="Z816" s="93"/>
      <c r="AA816" s="85"/>
      <c r="AC816" s="94"/>
      <c r="AD816" s="93"/>
      <c r="AE816" s="85"/>
    </row>
    <row r="817" spans="7:31" ht="14.5" customHeight="1" x14ac:dyDescent="0.35">
      <c r="G817" s="85"/>
      <c r="H817" s="87"/>
      <c r="K817" s="85"/>
      <c r="M817" s="94"/>
      <c r="N817" s="93"/>
      <c r="O817" s="85"/>
      <c r="Q817" s="94"/>
      <c r="R817" s="93"/>
      <c r="S817" s="85"/>
      <c r="U817" s="94"/>
      <c r="V817" s="93"/>
      <c r="W817" s="85"/>
      <c r="Y817" s="94"/>
      <c r="Z817" s="93"/>
      <c r="AA817" s="85"/>
      <c r="AC817" s="94"/>
      <c r="AD817" s="93"/>
      <c r="AE817" s="85"/>
    </row>
    <row r="818" spans="7:31" ht="14.5" customHeight="1" x14ac:dyDescent="0.35">
      <c r="G818" s="85"/>
      <c r="H818" s="87"/>
      <c r="K818" s="85"/>
      <c r="M818" s="94"/>
      <c r="N818" s="93"/>
      <c r="O818" s="85"/>
      <c r="Q818" s="94"/>
      <c r="R818" s="93"/>
      <c r="S818" s="85"/>
      <c r="U818" s="94"/>
      <c r="V818" s="93"/>
      <c r="W818" s="85"/>
      <c r="Y818" s="94"/>
      <c r="Z818" s="93"/>
      <c r="AA818" s="85"/>
      <c r="AC818" s="94"/>
      <c r="AD818" s="93"/>
      <c r="AE818" s="85"/>
    </row>
    <row r="819" spans="7:31" ht="14.5" customHeight="1" x14ac:dyDescent="0.35">
      <c r="G819" s="85"/>
      <c r="H819" s="87"/>
      <c r="K819" s="85"/>
      <c r="M819" s="94"/>
      <c r="N819" s="93"/>
      <c r="O819" s="85"/>
      <c r="Q819" s="94"/>
      <c r="R819" s="93"/>
      <c r="S819" s="85"/>
      <c r="U819" s="94"/>
      <c r="V819" s="93"/>
      <c r="W819" s="85"/>
      <c r="Y819" s="94"/>
      <c r="Z819" s="93"/>
      <c r="AA819" s="85"/>
      <c r="AC819" s="94"/>
      <c r="AD819" s="93"/>
      <c r="AE819" s="85"/>
    </row>
    <row r="820" spans="7:31" ht="14.5" customHeight="1" x14ac:dyDescent="0.35">
      <c r="G820" s="85"/>
      <c r="H820" s="87"/>
      <c r="K820" s="85"/>
      <c r="M820" s="94"/>
      <c r="N820" s="93"/>
      <c r="O820" s="85"/>
      <c r="Q820" s="94"/>
      <c r="R820" s="93"/>
      <c r="S820" s="85"/>
      <c r="U820" s="94"/>
      <c r="V820" s="93"/>
      <c r="W820" s="85"/>
      <c r="Y820" s="94"/>
      <c r="Z820" s="93"/>
      <c r="AA820" s="85"/>
      <c r="AC820" s="94"/>
      <c r="AD820" s="93"/>
      <c r="AE820" s="85"/>
    </row>
    <row r="821" spans="7:31" ht="14.5" customHeight="1" x14ac:dyDescent="0.35">
      <c r="G821" s="85"/>
      <c r="H821" s="87"/>
      <c r="K821" s="85"/>
      <c r="M821" s="94"/>
      <c r="N821" s="93"/>
      <c r="O821" s="85"/>
      <c r="Q821" s="94"/>
      <c r="R821" s="93"/>
      <c r="S821" s="85"/>
      <c r="U821" s="94"/>
      <c r="V821" s="93"/>
      <c r="W821" s="85"/>
      <c r="Y821" s="94"/>
      <c r="Z821" s="93"/>
      <c r="AA821" s="85"/>
      <c r="AC821" s="94"/>
      <c r="AD821" s="93"/>
      <c r="AE821" s="85"/>
    </row>
    <row r="822" spans="7:31" ht="14.5" customHeight="1" x14ac:dyDescent="0.35">
      <c r="G822" s="85"/>
      <c r="H822" s="87"/>
      <c r="K822" s="85"/>
      <c r="M822" s="94"/>
      <c r="N822" s="93"/>
      <c r="O822" s="85"/>
      <c r="Q822" s="94"/>
      <c r="R822" s="93"/>
      <c r="S822" s="85"/>
      <c r="U822" s="94"/>
      <c r="V822" s="93"/>
      <c r="W822" s="85"/>
      <c r="Y822" s="94"/>
      <c r="Z822" s="93"/>
      <c r="AA822" s="85"/>
      <c r="AC822" s="94"/>
      <c r="AD822" s="93"/>
      <c r="AE822" s="85"/>
    </row>
    <row r="823" spans="7:31" ht="14.5" customHeight="1" x14ac:dyDescent="0.35">
      <c r="G823" s="85"/>
      <c r="H823" s="87"/>
      <c r="K823" s="85"/>
      <c r="M823" s="94"/>
      <c r="N823" s="93"/>
      <c r="O823" s="85"/>
      <c r="Q823" s="94"/>
      <c r="R823" s="93"/>
      <c r="S823" s="85"/>
      <c r="U823" s="94"/>
      <c r="V823" s="93"/>
      <c r="W823" s="85"/>
      <c r="Y823" s="94"/>
      <c r="Z823" s="93"/>
      <c r="AA823" s="85"/>
      <c r="AC823" s="94"/>
      <c r="AD823" s="93"/>
      <c r="AE823" s="85"/>
    </row>
    <row r="824" spans="7:31" ht="14.5" customHeight="1" x14ac:dyDescent="0.35">
      <c r="G824" s="85"/>
      <c r="H824" s="87"/>
      <c r="K824" s="85"/>
      <c r="M824" s="94"/>
      <c r="N824" s="93"/>
      <c r="O824" s="85"/>
      <c r="Q824" s="94"/>
      <c r="R824" s="93"/>
      <c r="S824" s="85"/>
      <c r="U824" s="94"/>
      <c r="V824" s="93"/>
      <c r="W824" s="85"/>
      <c r="Y824" s="94"/>
      <c r="Z824" s="93"/>
      <c r="AA824" s="85"/>
      <c r="AC824" s="94"/>
      <c r="AD824" s="93"/>
      <c r="AE824" s="85"/>
    </row>
    <row r="825" spans="7:31" ht="14.5" customHeight="1" x14ac:dyDescent="0.35">
      <c r="G825" s="85"/>
      <c r="H825" s="87"/>
      <c r="K825" s="85"/>
      <c r="M825" s="94"/>
      <c r="N825" s="93"/>
      <c r="O825" s="85"/>
      <c r="Q825" s="94"/>
      <c r="R825" s="93"/>
      <c r="S825" s="85"/>
      <c r="U825" s="94"/>
      <c r="V825" s="93"/>
      <c r="W825" s="85"/>
      <c r="Y825" s="94"/>
      <c r="Z825" s="93"/>
      <c r="AA825" s="85"/>
      <c r="AC825" s="94"/>
      <c r="AD825" s="93"/>
      <c r="AE825" s="85"/>
    </row>
    <row r="826" spans="7:31" ht="14.5" customHeight="1" x14ac:dyDescent="0.35">
      <c r="G826" s="85"/>
      <c r="H826" s="87"/>
      <c r="K826" s="85"/>
      <c r="M826" s="94"/>
      <c r="N826" s="93"/>
      <c r="O826" s="85"/>
      <c r="Q826" s="94"/>
      <c r="R826" s="93"/>
      <c r="S826" s="85"/>
      <c r="U826" s="94"/>
      <c r="V826" s="93"/>
      <c r="W826" s="85"/>
      <c r="Y826" s="94"/>
      <c r="Z826" s="93"/>
      <c r="AA826" s="85"/>
      <c r="AC826" s="94"/>
      <c r="AD826" s="93"/>
      <c r="AE826" s="85"/>
    </row>
    <row r="827" spans="7:31" ht="14.5" customHeight="1" x14ac:dyDescent="0.35">
      <c r="G827" s="85"/>
      <c r="H827" s="87"/>
      <c r="K827" s="85"/>
      <c r="M827" s="94"/>
      <c r="N827" s="93"/>
      <c r="O827" s="85"/>
      <c r="Q827" s="94"/>
      <c r="R827" s="93"/>
      <c r="S827" s="85"/>
      <c r="U827" s="94"/>
      <c r="V827" s="93"/>
      <c r="W827" s="85"/>
      <c r="Y827" s="94"/>
      <c r="Z827" s="93"/>
      <c r="AA827" s="85"/>
      <c r="AC827" s="94"/>
      <c r="AD827" s="93"/>
      <c r="AE827" s="85"/>
    </row>
    <row r="828" spans="7:31" ht="14.5" customHeight="1" x14ac:dyDescent="0.35">
      <c r="G828" s="85"/>
      <c r="H828" s="87"/>
      <c r="K828" s="85"/>
      <c r="M828" s="94"/>
      <c r="N828" s="93"/>
      <c r="O828" s="85"/>
      <c r="Q828" s="94"/>
      <c r="R828" s="93"/>
      <c r="S828" s="85"/>
      <c r="U828" s="94"/>
      <c r="V828" s="93"/>
      <c r="W828" s="85"/>
      <c r="Y828" s="94"/>
      <c r="Z828" s="93"/>
      <c r="AA828" s="85"/>
      <c r="AC828" s="94"/>
      <c r="AD828" s="93"/>
      <c r="AE828" s="85"/>
    </row>
    <row r="829" spans="7:31" ht="14.5" customHeight="1" x14ac:dyDescent="0.35">
      <c r="G829" s="85"/>
      <c r="H829" s="87"/>
      <c r="K829" s="85"/>
      <c r="M829" s="94"/>
      <c r="N829" s="93"/>
      <c r="O829" s="85"/>
      <c r="Q829" s="94"/>
      <c r="R829" s="93"/>
      <c r="S829" s="85"/>
      <c r="U829" s="94"/>
      <c r="V829" s="93"/>
      <c r="W829" s="85"/>
      <c r="Y829" s="94"/>
      <c r="Z829" s="93"/>
      <c r="AA829" s="85"/>
      <c r="AC829" s="94"/>
      <c r="AD829" s="93"/>
      <c r="AE829" s="85"/>
    </row>
    <row r="830" spans="7:31" ht="14.5" customHeight="1" x14ac:dyDescent="0.35">
      <c r="G830" s="85"/>
      <c r="H830" s="87"/>
      <c r="K830" s="85"/>
      <c r="M830" s="94"/>
      <c r="N830" s="93"/>
      <c r="O830" s="85"/>
      <c r="Q830" s="94"/>
      <c r="R830" s="93"/>
      <c r="S830" s="85"/>
      <c r="U830" s="94"/>
      <c r="V830" s="93"/>
      <c r="W830" s="85"/>
      <c r="Y830" s="94"/>
      <c r="Z830" s="93"/>
      <c r="AA830" s="85"/>
      <c r="AC830" s="94"/>
      <c r="AD830" s="93"/>
      <c r="AE830" s="85"/>
    </row>
    <row r="831" spans="7:31" ht="14.5" customHeight="1" x14ac:dyDescent="0.35">
      <c r="G831" s="85"/>
      <c r="H831" s="87"/>
      <c r="K831" s="85"/>
      <c r="M831" s="94"/>
      <c r="N831" s="93"/>
      <c r="O831" s="85"/>
      <c r="Q831" s="94"/>
      <c r="R831" s="93"/>
      <c r="S831" s="85"/>
      <c r="U831" s="94"/>
      <c r="V831" s="93"/>
      <c r="W831" s="85"/>
      <c r="Y831" s="94"/>
      <c r="Z831" s="93"/>
      <c r="AA831" s="85"/>
      <c r="AC831" s="94"/>
      <c r="AD831" s="93"/>
      <c r="AE831" s="85"/>
    </row>
    <row r="832" spans="7:31" ht="14.5" customHeight="1" x14ac:dyDescent="0.35">
      <c r="G832" s="85"/>
      <c r="H832" s="87"/>
      <c r="K832" s="85"/>
      <c r="M832" s="94"/>
      <c r="N832" s="93"/>
      <c r="O832" s="85"/>
      <c r="Q832" s="94"/>
      <c r="R832" s="93"/>
      <c r="S832" s="85"/>
      <c r="U832" s="94"/>
      <c r="V832" s="93"/>
      <c r="W832" s="85"/>
      <c r="Y832" s="94"/>
      <c r="Z832" s="93"/>
      <c r="AA832" s="85"/>
      <c r="AC832" s="94"/>
      <c r="AD832" s="93"/>
      <c r="AE832" s="85"/>
    </row>
    <row r="833" spans="7:31" ht="14.5" customHeight="1" x14ac:dyDescent="0.35">
      <c r="G833" s="85"/>
      <c r="H833" s="87"/>
      <c r="K833" s="85"/>
      <c r="M833" s="94"/>
      <c r="N833" s="93"/>
      <c r="O833" s="85"/>
      <c r="Q833" s="94"/>
      <c r="R833" s="93"/>
      <c r="S833" s="85"/>
      <c r="U833" s="94"/>
      <c r="V833" s="93"/>
      <c r="W833" s="85"/>
      <c r="Y833" s="94"/>
      <c r="Z833" s="93"/>
      <c r="AA833" s="85"/>
      <c r="AC833" s="94"/>
      <c r="AD833" s="93"/>
      <c r="AE833" s="85"/>
    </row>
    <row r="834" spans="7:31" ht="14.5" customHeight="1" x14ac:dyDescent="0.35">
      <c r="G834" s="85"/>
      <c r="H834" s="87"/>
      <c r="K834" s="85"/>
      <c r="M834" s="94"/>
      <c r="N834" s="93"/>
      <c r="O834" s="85"/>
      <c r="Q834" s="94"/>
      <c r="R834" s="93"/>
      <c r="S834" s="85"/>
      <c r="U834" s="94"/>
      <c r="V834" s="93"/>
      <c r="W834" s="85"/>
      <c r="Y834" s="94"/>
      <c r="Z834" s="93"/>
      <c r="AA834" s="85"/>
      <c r="AC834" s="94"/>
      <c r="AD834" s="93"/>
      <c r="AE834" s="85"/>
    </row>
    <row r="835" spans="7:31" ht="14.5" customHeight="1" x14ac:dyDescent="0.35">
      <c r="G835" s="85"/>
      <c r="H835" s="87"/>
      <c r="K835" s="85"/>
      <c r="M835" s="94"/>
      <c r="N835" s="93"/>
      <c r="O835" s="85"/>
      <c r="Q835" s="94"/>
      <c r="R835" s="93"/>
      <c r="S835" s="85"/>
      <c r="U835" s="94"/>
      <c r="V835" s="93"/>
      <c r="W835" s="85"/>
      <c r="Y835" s="94"/>
      <c r="Z835" s="93"/>
      <c r="AA835" s="85"/>
      <c r="AC835" s="94"/>
      <c r="AD835" s="93"/>
      <c r="AE835" s="85"/>
    </row>
    <row r="836" spans="7:31" ht="14.5" customHeight="1" x14ac:dyDescent="0.35">
      <c r="G836" s="85"/>
      <c r="H836" s="87"/>
      <c r="K836" s="85"/>
      <c r="M836" s="94"/>
      <c r="N836" s="93"/>
      <c r="O836" s="85"/>
      <c r="Q836" s="94"/>
      <c r="R836" s="93"/>
      <c r="S836" s="85"/>
      <c r="U836" s="94"/>
      <c r="V836" s="93"/>
      <c r="W836" s="85"/>
      <c r="Y836" s="94"/>
      <c r="Z836" s="93"/>
      <c r="AA836" s="85"/>
      <c r="AC836" s="94"/>
      <c r="AD836" s="93"/>
      <c r="AE836" s="85"/>
    </row>
    <row r="837" spans="7:31" ht="14.5" customHeight="1" x14ac:dyDescent="0.35">
      <c r="G837" s="85"/>
      <c r="H837" s="87"/>
      <c r="K837" s="85"/>
      <c r="M837" s="94"/>
      <c r="N837" s="93"/>
      <c r="O837" s="85"/>
      <c r="Q837" s="94"/>
      <c r="R837" s="93"/>
      <c r="S837" s="85"/>
      <c r="U837" s="94"/>
      <c r="V837" s="93"/>
      <c r="W837" s="85"/>
      <c r="Y837" s="94"/>
      <c r="Z837" s="93"/>
      <c r="AA837" s="85"/>
      <c r="AC837" s="94"/>
      <c r="AD837" s="93"/>
      <c r="AE837" s="85"/>
    </row>
    <row r="838" spans="7:31" ht="14.5" customHeight="1" x14ac:dyDescent="0.35">
      <c r="G838" s="85"/>
      <c r="H838" s="87"/>
      <c r="K838" s="85"/>
      <c r="M838" s="94"/>
      <c r="N838" s="93"/>
      <c r="O838" s="85"/>
      <c r="Q838" s="94"/>
      <c r="R838" s="93"/>
      <c r="S838" s="85"/>
      <c r="U838" s="94"/>
      <c r="V838" s="93"/>
      <c r="W838" s="85"/>
      <c r="Y838" s="94"/>
      <c r="Z838" s="93"/>
      <c r="AA838" s="85"/>
      <c r="AC838" s="94"/>
      <c r="AD838" s="93"/>
      <c r="AE838" s="85"/>
    </row>
    <row r="839" spans="7:31" ht="14.5" customHeight="1" x14ac:dyDescent="0.35">
      <c r="G839" s="85"/>
      <c r="H839" s="87"/>
      <c r="K839" s="85"/>
      <c r="M839" s="94"/>
      <c r="N839" s="93"/>
      <c r="O839" s="85"/>
      <c r="Q839" s="94"/>
      <c r="R839" s="93"/>
      <c r="S839" s="85"/>
      <c r="U839" s="94"/>
      <c r="V839" s="93"/>
      <c r="W839" s="85"/>
      <c r="Y839" s="94"/>
      <c r="Z839" s="93"/>
      <c r="AA839" s="85"/>
      <c r="AC839" s="94"/>
      <c r="AD839" s="93"/>
      <c r="AE839" s="85"/>
    </row>
    <row r="840" spans="7:31" ht="14.5" customHeight="1" x14ac:dyDescent="0.35">
      <c r="G840" s="85"/>
      <c r="H840" s="87"/>
      <c r="K840" s="85"/>
      <c r="M840" s="94"/>
      <c r="N840" s="93"/>
      <c r="O840" s="85"/>
      <c r="Q840" s="94"/>
      <c r="R840" s="93"/>
      <c r="S840" s="85"/>
      <c r="U840" s="94"/>
      <c r="V840" s="93"/>
      <c r="W840" s="85"/>
      <c r="Y840" s="94"/>
      <c r="Z840" s="93"/>
      <c r="AA840" s="85"/>
      <c r="AC840" s="94"/>
      <c r="AD840" s="93"/>
      <c r="AE840" s="85"/>
    </row>
    <row r="841" spans="7:31" ht="14.5" customHeight="1" x14ac:dyDescent="0.35">
      <c r="G841" s="85"/>
      <c r="H841" s="87"/>
      <c r="K841" s="85"/>
      <c r="M841" s="94"/>
      <c r="N841" s="93"/>
      <c r="O841" s="85"/>
      <c r="Q841" s="94"/>
      <c r="R841" s="93"/>
      <c r="S841" s="85"/>
      <c r="U841" s="94"/>
      <c r="V841" s="93"/>
      <c r="W841" s="85"/>
      <c r="Y841" s="94"/>
      <c r="Z841" s="93"/>
      <c r="AA841" s="85"/>
      <c r="AC841" s="94"/>
      <c r="AD841" s="93"/>
      <c r="AE841" s="85"/>
    </row>
    <row r="842" spans="7:31" ht="14.5" customHeight="1" x14ac:dyDescent="0.35">
      <c r="G842" s="85"/>
      <c r="H842" s="87"/>
      <c r="K842" s="85"/>
      <c r="M842" s="94"/>
      <c r="N842" s="93"/>
      <c r="O842" s="85"/>
      <c r="Q842" s="94"/>
      <c r="R842" s="93"/>
      <c r="S842" s="85"/>
      <c r="U842" s="94"/>
      <c r="V842" s="93"/>
      <c r="W842" s="85"/>
      <c r="Y842" s="94"/>
      <c r="Z842" s="93"/>
      <c r="AA842" s="85"/>
      <c r="AC842" s="94"/>
      <c r="AD842" s="93"/>
      <c r="AE842" s="85"/>
    </row>
    <row r="843" spans="7:31" ht="14.5" customHeight="1" x14ac:dyDescent="0.35">
      <c r="G843" s="85"/>
      <c r="H843" s="87"/>
      <c r="K843" s="85"/>
      <c r="M843" s="94"/>
      <c r="N843" s="93"/>
      <c r="O843" s="85"/>
      <c r="Q843" s="94"/>
      <c r="R843" s="93"/>
      <c r="S843" s="85"/>
      <c r="U843" s="94"/>
      <c r="V843" s="93"/>
      <c r="W843" s="85"/>
      <c r="Y843" s="94"/>
      <c r="Z843" s="93"/>
      <c r="AA843" s="85"/>
      <c r="AC843" s="94"/>
      <c r="AD843" s="93"/>
      <c r="AE843" s="85"/>
    </row>
    <row r="844" spans="7:31" ht="14.5" customHeight="1" x14ac:dyDescent="0.35">
      <c r="G844" s="85"/>
      <c r="H844" s="87"/>
      <c r="K844" s="85"/>
      <c r="M844" s="94"/>
      <c r="N844" s="93"/>
      <c r="O844" s="85"/>
      <c r="Q844" s="94"/>
      <c r="R844" s="93"/>
      <c r="S844" s="85"/>
      <c r="U844" s="94"/>
      <c r="V844" s="93"/>
      <c r="W844" s="85"/>
      <c r="Y844" s="94"/>
      <c r="Z844" s="93"/>
      <c r="AA844" s="85"/>
      <c r="AC844" s="94"/>
      <c r="AD844" s="93"/>
      <c r="AE844" s="85"/>
    </row>
    <row r="845" spans="7:31" ht="14.5" customHeight="1" x14ac:dyDescent="0.35">
      <c r="G845" s="85"/>
      <c r="H845" s="87"/>
      <c r="K845" s="85"/>
      <c r="M845" s="94"/>
      <c r="N845" s="93"/>
      <c r="O845" s="85"/>
      <c r="Q845" s="94"/>
      <c r="R845" s="93"/>
      <c r="S845" s="85"/>
      <c r="U845" s="94"/>
      <c r="V845" s="93"/>
      <c r="W845" s="85"/>
      <c r="Y845" s="94"/>
      <c r="Z845" s="93"/>
      <c r="AA845" s="85"/>
      <c r="AC845" s="94"/>
      <c r="AD845" s="93"/>
      <c r="AE845" s="85"/>
    </row>
    <row r="846" spans="7:31" ht="14.5" customHeight="1" x14ac:dyDescent="0.35">
      <c r="G846" s="85"/>
      <c r="H846" s="87"/>
      <c r="K846" s="85"/>
      <c r="M846" s="94"/>
      <c r="N846" s="93"/>
      <c r="O846" s="85"/>
      <c r="Q846" s="94"/>
      <c r="R846" s="93"/>
      <c r="S846" s="85"/>
      <c r="U846" s="94"/>
      <c r="V846" s="93"/>
      <c r="W846" s="85"/>
      <c r="Y846" s="94"/>
      <c r="Z846" s="93"/>
      <c r="AA846" s="85"/>
      <c r="AC846" s="94"/>
      <c r="AD846" s="93"/>
      <c r="AE846" s="85"/>
    </row>
    <row r="847" spans="7:31" ht="14.5" customHeight="1" x14ac:dyDescent="0.35">
      <c r="G847" s="85"/>
      <c r="H847" s="87"/>
      <c r="K847" s="85"/>
      <c r="M847" s="94"/>
      <c r="N847" s="93"/>
      <c r="O847" s="85"/>
      <c r="Q847" s="94"/>
      <c r="R847" s="93"/>
      <c r="S847" s="85"/>
      <c r="U847" s="94"/>
      <c r="V847" s="93"/>
      <c r="W847" s="85"/>
      <c r="Y847" s="94"/>
      <c r="Z847" s="93"/>
      <c r="AA847" s="85"/>
      <c r="AC847" s="94"/>
      <c r="AD847" s="93"/>
      <c r="AE847" s="85"/>
    </row>
    <row r="848" spans="7:31" ht="14.5" customHeight="1" x14ac:dyDescent="0.35">
      <c r="G848" s="85"/>
      <c r="H848" s="87"/>
      <c r="K848" s="85"/>
      <c r="M848" s="94"/>
      <c r="N848" s="93"/>
      <c r="O848" s="85"/>
      <c r="Q848" s="94"/>
      <c r="R848" s="93"/>
      <c r="S848" s="85"/>
      <c r="U848" s="94"/>
      <c r="V848" s="93"/>
      <c r="W848" s="85"/>
      <c r="Y848" s="94"/>
      <c r="Z848" s="93"/>
      <c r="AA848" s="85"/>
      <c r="AC848" s="94"/>
      <c r="AD848" s="93"/>
      <c r="AE848" s="85"/>
    </row>
    <row r="849" spans="7:31" ht="14.5" customHeight="1" x14ac:dyDescent="0.35">
      <c r="G849" s="85"/>
      <c r="H849" s="87"/>
      <c r="K849" s="85"/>
      <c r="M849" s="94"/>
      <c r="N849" s="93"/>
      <c r="O849" s="85"/>
      <c r="Q849" s="94"/>
      <c r="R849" s="93"/>
      <c r="S849" s="85"/>
      <c r="U849" s="94"/>
      <c r="V849" s="93"/>
      <c r="W849" s="85"/>
      <c r="Y849" s="94"/>
      <c r="Z849" s="93"/>
      <c r="AA849" s="85"/>
      <c r="AC849" s="94"/>
      <c r="AD849" s="93"/>
      <c r="AE849" s="85"/>
    </row>
    <row r="850" spans="7:31" ht="14.5" customHeight="1" x14ac:dyDescent="0.35">
      <c r="G850" s="85"/>
      <c r="H850" s="87"/>
      <c r="K850" s="85"/>
      <c r="M850" s="94"/>
      <c r="N850" s="93"/>
      <c r="O850" s="85"/>
      <c r="Q850" s="94"/>
      <c r="R850" s="93"/>
      <c r="S850" s="85"/>
      <c r="U850" s="94"/>
      <c r="V850" s="93"/>
      <c r="W850" s="85"/>
      <c r="Y850" s="94"/>
      <c r="Z850" s="93"/>
      <c r="AA850" s="85"/>
      <c r="AC850" s="94"/>
      <c r="AD850" s="93"/>
      <c r="AE850" s="85"/>
    </row>
    <row r="851" spans="7:31" ht="14.5" customHeight="1" x14ac:dyDescent="0.35">
      <c r="G851" s="85"/>
      <c r="H851" s="87"/>
      <c r="K851" s="85"/>
      <c r="M851" s="94"/>
      <c r="N851" s="93"/>
      <c r="O851" s="85"/>
      <c r="Q851" s="94"/>
      <c r="R851" s="93"/>
      <c r="S851" s="85"/>
      <c r="U851" s="94"/>
      <c r="V851" s="93"/>
      <c r="W851" s="85"/>
      <c r="Y851" s="94"/>
      <c r="Z851" s="93"/>
      <c r="AA851" s="85"/>
      <c r="AC851" s="94"/>
      <c r="AD851" s="93"/>
      <c r="AE851" s="85"/>
    </row>
    <row r="852" spans="7:31" ht="14.5" customHeight="1" x14ac:dyDescent="0.35">
      <c r="G852" s="85"/>
      <c r="H852" s="87"/>
      <c r="K852" s="85"/>
      <c r="M852" s="94"/>
      <c r="N852" s="93"/>
      <c r="O852" s="85"/>
      <c r="Q852" s="94"/>
      <c r="R852" s="93"/>
      <c r="S852" s="85"/>
      <c r="U852" s="94"/>
      <c r="V852" s="93"/>
      <c r="W852" s="85"/>
      <c r="Y852" s="94"/>
      <c r="Z852" s="93"/>
      <c r="AA852" s="85"/>
      <c r="AC852" s="94"/>
      <c r="AD852" s="93"/>
      <c r="AE852" s="85"/>
    </row>
    <row r="853" spans="7:31" ht="14.5" customHeight="1" x14ac:dyDescent="0.35">
      <c r="G853" s="85"/>
      <c r="H853" s="87"/>
      <c r="K853" s="85"/>
      <c r="M853" s="94"/>
      <c r="N853" s="93"/>
      <c r="O853" s="85"/>
      <c r="Q853" s="94"/>
      <c r="R853" s="93"/>
      <c r="S853" s="85"/>
      <c r="U853" s="94"/>
      <c r="V853" s="93"/>
      <c r="W853" s="85"/>
      <c r="Y853" s="94"/>
      <c r="Z853" s="93"/>
      <c r="AA853" s="85"/>
      <c r="AC853" s="94"/>
      <c r="AD853" s="93"/>
      <c r="AE853" s="85"/>
    </row>
    <row r="854" spans="7:31" ht="14.5" customHeight="1" x14ac:dyDescent="0.35">
      <c r="G854" s="85"/>
      <c r="H854" s="87"/>
      <c r="K854" s="85"/>
      <c r="M854" s="94"/>
      <c r="N854" s="93"/>
      <c r="O854" s="85"/>
      <c r="Q854" s="94"/>
      <c r="R854" s="93"/>
      <c r="S854" s="85"/>
      <c r="U854" s="94"/>
      <c r="V854" s="93"/>
      <c r="W854" s="85"/>
      <c r="Y854" s="94"/>
      <c r="Z854" s="93"/>
      <c r="AA854" s="85"/>
      <c r="AC854" s="94"/>
      <c r="AD854" s="93"/>
      <c r="AE854" s="85"/>
    </row>
    <row r="855" spans="7:31" ht="14.5" customHeight="1" x14ac:dyDescent="0.35">
      <c r="G855" s="85"/>
      <c r="H855" s="87"/>
      <c r="K855" s="85"/>
      <c r="M855" s="94"/>
      <c r="N855" s="93"/>
      <c r="O855" s="85"/>
      <c r="Q855" s="94"/>
      <c r="R855" s="93"/>
      <c r="S855" s="85"/>
      <c r="U855" s="94"/>
      <c r="V855" s="93"/>
      <c r="W855" s="85"/>
      <c r="Y855" s="94"/>
      <c r="Z855" s="93"/>
      <c r="AA855" s="85"/>
      <c r="AC855" s="94"/>
      <c r="AD855" s="93"/>
      <c r="AE855" s="85"/>
    </row>
    <row r="856" spans="7:31" ht="14.5" customHeight="1" x14ac:dyDescent="0.35">
      <c r="G856" s="85"/>
      <c r="H856" s="87"/>
      <c r="K856" s="85"/>
      <c r="M856" s="94"/>
      <c r="N856" s="93"/>
      <c r="O856" s="85"/>
      <c r="Q856" s="94"/>
      <c r="R856" s="93"/>
      <c r="S856" s="85"/>
      <c r="U856" s="94"/>
      <c r="V856" s="93"/>
      <c r="W856" s="85"/>
      <c r="Y856" s="94"/>
      <c r="Z856" s="93"/>
      <c r="AA856" s="85"/>
      <c r="AC856" s="94"/>
      <c r="AD856" s="93"/>
      <c r="AE856" s="85"/>
    </row>
    <row r="857" spans="7:31" ht="14.5" customHeight="1" x14ac:dyDescent="0.35">
      <c r="G857" s="85"/>
      <c r="H857" s="87"/>
      <c r="K857" s="85"/>
      <c r="M857" s="94"/>
      <c r="N857" s="93"/>
      <c r="O857" s="85"/>
      <c r="Q857" s="94"/>
      <c r="R857" s="93"/>
      <c r="S857" s="85"/>
      <c r="U857" s="94"/>
      <c r="V857" s="93"/>
      <c r="W857" s="85"/>
      <c r="Y857" s="94"/>
      <c r="Z857" s="93"/>
      <c r="AA857" s="85"/>
      <c r="AC857" s="94"/>
      <c r="AD857" s="93"/>
      <c r="AE857" s="85"/>
    </row>
    <row r="858" spans="7:31" ht="14.5" customHeight="1" x14ac:dyDescent="0.35">
      <c r="G858" s="85"/>
      <c r="H858" s="87"/>
      <c r="K858" s="85"/>
      <c r="M858" s="94"/>
      <c r="N858" s="93"/>
      <c r="O858" s="85"/>
      <c r="Q858" s="94"/>
      <c r="R858" s="93"/>
      <c r="S858" s="85"/>
      <c r="U858" s="94"/>
      <c r="V858" s="93"/>
      <c r="W858" s="85"/>
      <c r="Y858" s="94"/>
      <c r="Z858" s="93"/>
      <c r="AA858" s="85"/>
      <c r="AC858" s="94"/>
      <c r="AD858" s="93"/>
      <c r="AE858" s="85"/>
    </row>
    <row r="859" spans="7:31" ht="14.5" customHeight="1" x14ac:dyDescent="0.35">
      <c r="G859" s="85"/>
      <c r="H859" s="87"/>
      <c r="K859" s="85"/>
      <c r="M859" s="94"/>
      <c r="N859" s="93"/>
      <c r="O859" s="85"/>
      <c r="Q859" s="94"/>
      <c r="R859" s="93"/>
      <c r="S859" s="85"/>
      <c r="U859" s="94"/>
      <c r="V859" s="93"/>
      <c r="W859" s="85"/>
      <c r="Y859" s="94"/>
      <c r="Z859" s="93"/>
      <c r="AA859" s="85"/>
      <c r="AC859" s="94"/>
      <c r="AD859" s="93"/>
      <c r="AE859" s="85"/>
    </row>
    <row r="860" spans="7:31" ht="14.5" customHeight="1" x14ac:dyDescent="0.35">
      <c r="G860" s="85"/>
      <c r="H860" s="87"/>
      <c r="K860" s="85"/>
      <c r="M860" s="94"/>
      <c r="N860" s="93"/>
      <c r="O860" s="85"/>
      <c r="Q860" s="94"/>
      <c r="R860" s="93"/>
      <c r="S860" s="85"/>
      <c r="U860" s="94"/>
      <c r="V860" s="93"/>
      <c r="W860" s="85"/>
      <c r="Y860" s="94"/>
      <c r="Z860" s="93"/>
      <c r="AA860" s="85"/>
      <c r="AC860" s="94"/>
      <c r="AD860" s="93"/>
      <c r="AE860" s="85"/>
    </row>
    <row r="861" spans="7:31" ht="14.5" customHeight="1" x14ac:dyDescent="0.35">
      <c r="G861" s="85"/>
      <c r="H861" s="87"/>
      <c r="K861" s="85"/>
      <c r="M861" s="94"/>
      <c r="N861" s="93"/>
      <c r="O861" s="85"/>
      <c r="Q861" s="94"/>
      <c r="R861" s="93"/>
      <c r="S861" s="85"/>
      <c r="U861" s="94"/>
      <c r="V861" s="93"/>
      <c r="W861" s="85"/>
      <c r="Y861" s="94"/>
      <c r="Z861" s="93"/>
      <c r="AA861" s="85"/>
      <c r="AC861" s="94"/>
      <c r="AD861" s="93"/>
      <c r="AE861" s="85"/>
    </row>
    <row r="862" spans="7:31" ht="14.5" customHeight="1" x14ac:dyDescent="0.35">
      <c r="G862" s="85"/>
      <c r="H862" s="87"/>
      <c r="K862" s="85"/>
      <c r="M862" s="94"/>
      <c r="N862" s="93"/>
      <c r="O862" s="85"/>
      <c r="Q862" s="94"/>
      <c r="R862" s="93"/>
      <c r="S862" s="85"/>
      <c r="U862" s="94"/>
      <c r="V862" s="93"/>
      <c r="W862" s="85"/>
      <c r="Y862" s="94"/>
      <c r="Z862" s="93"/>
      <c r="AA862" s="85"/>
      <c r="AC862" s="94"/>
      <c r="AD862" s="93"/>
      <c r="AE862" s="85"/>
    </row>
    <row r="863" spans="7:31" ht="14.5" customHeight="1" x14ac:dyDescent="0.35">
      <c r="G863" s="85"/>
      <c r="H863" s="87"/>
      <c r="K863" s="85"/>
      <c r="M863" s="94"/>
      <c r="N863" s="93"/>
      <c r="O863" s="85"/>
      <c r="Q863" s="94"/>
      <c r="R863" s="93"/>
      <c r="S863" s="85"/>
      <c r="U863" s="94"/>
      <c r="V863" s="93"/>
      <c r="W863" s="85"/>
      <c r="Y863" s="94"/>
      <c r="Z863" s="93"/>
      <c r="AA863" s="85"/>
      <c r="AC863" s="94"/>
      <c r="AD863" s="93"/>
      <c r="AE863" s="85"/>
    </row>
    <row r="864" spans="7:31" ht="14.5" customHeight="1" x14ac:dyDescent="0.35">
      <c r="G864" s="85"/>
      <c r="H864" s="87"/>
      <c r="K864" s="85"/>
      <c r="M864" s="94"/>
      <c r="N864" s="93"/>
      <c r="O864" s="85"/>
      <c r="Q864" s="94"/>
      <c r="R864" s="93"/>
      <c r="S864" s="85"/>
      <c r="U864" s="94"/>
      <c r="V864" s="93"/>
      <c r="W864" s="85"/>
      <c r="Y864" s="94"/>
      <c r="Z864" s="93"/>
      <c r="AA864" s="85"/>
      <c r="AC864" s="94"/>
      <c r="AD864" s="93"/>
      <c r="AE864" s="85"/>
    </row>
    <row r="865" spans="7:31" ht="14.5" customHeight="1" x14ac:dyDescent="0.35">
      <c r="G865" s="85"/>
      <c r="H865" s="87"/>
      <c r="K865" s="85"/>
      <c r="M865" s="94"/>
      <c r="N865" s="93"/>
      <c r="O865" s="85"/>
      <c r="Q865" s="94"/>
      <c r="R865" s="93"/>
      <c r="S865" s="85"/>
      <c r="U865" s="94"/>
      <c r="V865" s="93"/>
      <c r="W865" s="85"/>
      <c r="Y865" s="94"/>
      <c r="Z865" s="93"/>
      <c r="AA865" s="85"/>
      <c r="AC865" s="94"/>
      <c r="AD865" s="93"/>
      <c r="AE865" s="85"/>
    </row>
    <row r="866" spans="7:31" ht="14.5" customHeight="1" x14ac:dyDescent="0.35">
      <c r="G866" s="85"/>
      <c r="H866" s="87"/>
      <c r="K866" s="85"/>
      <c r="M866" s="94"/>
      <c r="N866" s="93"/>
      <c r="O866" s="85"/>
      <c r="Q866" s="94"/>
      <c r="R866" s="93"/>
      <c r="S866" s="85"/>
      <c r="U866" s="94"/>
      <c r="V866" s="93"/>
      <c r="W866" s="85"/>
      <c r="Y866" s="94"/>
      <c r="Z866" s="93"/>
      <c r="AA866" s="85"/>
      <c r="AC866" s="94"/>
      <c r="AD866" s="93"/>
      <c r="AE866" s="85"/>
    </row>
    <row r="867" spans="7:31" ht="14.5" customHeight="1" x14ac:dyDescent="0.35">
      <c r="G867" s="85"/>
      <c r="H867" s="87"/>
      <c r="K867" s="85"/>
      <c r="M867" s="94"/>
      <c r="N867" s="93"/>
      <c r="O867" s="85"/>
      <c r="Q867" s="94"/>
      <c r="R867" s="93"/>
      <c r="S867" s="85"/>
      <c r="U867" s="94"/>
      <c r="V867" s="93"/>
      <c r="W867" s="85"/>
      <c r="Y867" s="94"/>
      <c r="Z867" s="93"/>
      <c r="AA867" s="85"/>
      <c r="AC867" s="94"/>
      <c r="AD867" s="93"/>
      <c r="AE867" s="85"/>
    </row>
    <row r="868" spans="7:31" ht="14.5" customHeight="1" x14ac:dyDescent="0.35">
      <c r="G868" s="85"/>
      <c r="H868" s="87"/>
      <c r="K868" s="85"/>
      <c r="M868" s="94"/>
      <c r="N868" s="93"/>
      <c r="O868" s="85"/>
      <c r="Q868" s="94"/>
      <c r="R868" s="93"/>
      <c r="S868" s="85"/>
      <c r="U868" s="94"/>
      <c r="V868" s="93"/>
      <c r="W868" s="85"/>
      <c r="Y868" s="94"/>
      <c r="Z868" s="93"/>
      <c r="AA868" s="85"/>
      <c r="AC868" s="94"/>
      <c r="AD868" s="93"/>
      <c r="AE868" s="85"/>
    </row>
    <row r="869" spans="7:31" ht="14.5" customHeight="1" x14ac:dyDescent="0.35">
      <c r="G869" s="85"/>
      <c r="H869" s="87"/>
      <c r="K869" s="85"/>
      <c r="M869" s="94"/>
      <c r="N869" s="93"/>
      <c r="O869" s="85"/>
      <c r="Q869" s="94"/>
      <c r="R869" s="93"/>
      <c r="S869" s="85"/>
      <c r="U869" s="94"/>
      <c r="V869" s="93"/>
      <c r="W869" s="85"/>
      <c r="Y869" s="94"/>
      <c r="Z869" s="93"/>
      <c r="AA869" s="85"/>
      <c r="AC869" s="94"/>
      <c r="AD869" s="93"/>
      <c r="AE869" s="85"/>
    </row>
    <row r="870" spans="7:31" ht="14.5" customHeight="1" x14ac:dyDescent="0.35">
      <c r="G870" s="85"/>
      <c r="H870" s="87"/>
      <c r="K870" s="85"/>
      <c r="M870" s="94"/>
      <c r="N870" s="93"/>
      <c r="O870" s="85"/>
      <c r="Q870" s="94"/>
      <c r="R870" s="93"/>
      <c r="S870" s="85"/>
      <c r="U870" s="94"/>
      <c r="V870" s="93"/>
      <c r="W870" s="85"/>
      <c r="Y870" s="94"/>
      <c r="Z870" s="93"/>
      <c r="AA870" s="85"/>
      <c r="AC870" s="94"/>
      <c r="AD870" s="93"/>
      <c r="AE870" s="85"/>
    </row>
    <row r="871" spans="7:31" ht="14.5" customHeight="1" x14ac:dyDescent="0.35">
      <c r="G871" s="85"/>
      <c r="H871" s="87"/>
      <c r="K871" s="85"/>
      <c r="M871" s="94"/>
      <c r="N871" s="93"/>
      <c r="O871" s="85"/>
      <c r="Q871" s="94"/>
      <c r="R871" s="93"/>
      <c r="S871" s="85"/>
      <c r="U871" s="94"/>
      <c r="V871" s="93"/>
      <c r="W871" s="85"/>
      <c r="Y871" s="94"/>
      <c r="Z871" s="93"/>
      <c r="AA871" s="85"/>
      <c r="AC871" s="94"/>
      <c r="AD871" s="93"/>
      <c r="AE871" s="85"/>
    </row>
    <row r="872" spans="7:31" ht="14.5" customHeight="1" x14ac:dyDescent="0.35">
      <c r="G872" s="85"/>
      <c r="H872" s="87"/>
      <c r="K872" s="85"/>
      <c r="M872" s="94"/>
      <c r="N872" s="93"/>
      <c r="O872" s="85"/>
      <c r="Q872" s="94"/>
      <c r="R872" s="93"/>
      <c r="S872" s="85"/>
      <c r="U872" s="94"/>
      <c r="V872" s="93"/>
      <c r="W872" s="85"/>
      <c r="Y872" s="94"/>
      <c r="Z872" s="93"/>
      <c r="AA872" s="85"/>
      <c r="AC872" s="94"/>
      <c r="AD872" s="93"/>
      <c r="AE872" s="85"/>
    </row>
    <row r="873" spans="7:31" ht="14.5" customHeight="1" x14ac:dyDescent="0.35">
      <c r="G873" s="85"/>
      <c r="H873" s="87"/>
      <c r="K873" s="85"/>
      <c r="M873" s="94"/>
      <c r="N873" s="93"/>
      <c r="O873" s="85"/>
      <c r="Q873" s="94"/>
      <c r="R873" s="93"/>
      <c r="S873" s="85"/>
      <c r="U873" s="94"/>
      <c r="V873" s="93"/>
      <c r="W873" s="85"/>
      <c r="Y873" s="94"/>
      <c r="Z873" s="93"/>
      <c r="AA873" s="85"/>
      <c r="AC873" s="94"/>
      <c r="AD873" s="93"/>
      <c r="AE873" s="85"/>
    </row>
    <row r="874" spans="7:31" ht="14.5" customHeight="1" x14ac:dyDescent="0.35">
      <c r="G874" s="85"/>
      <c r="H874" s="87"/>
      <c r="K874" s="85"/>
      <c r="M874" s="94"/>
      <c r="N874" s="93"/>
      <c r="O874" s="85"/>
      <c r="Q874" s="94"/>
      <c r="R874" s="93"/>
      <c r="S874" s="85"/>
      <c r="U874" s="94"/>
      <c r="V874" s="93"/>
      <c r="W874" s="85"/>
      <c r="Y874" s="94"/>
      <c r="Z874" s="93"/>
      <c r="AA874" s="85"/>
      <c r="AC874" s="94"/>
      <c r="AD874" s="93"/>
      <c r="AE874" s="85"/>
    </row>
    <row r="875" spans="7:31" ht="14.5" customHeight="1" x14ac:dyDescent="0.35">
      <c r="G875" s="85"/>
      <c r="H875" s="87"/>
      <c r="K875" s="85"/>
      <c r="M875" s="94"/>
      <c r="N875" s="93"/>
      <c r="O875" s="85"/>
      <c r="Q875" s="94"/>
      <c r="R875" s="93"/>
      <c r="S875" s="85"/>
      <c r="U875" s="94"/>
      <c r="V875" s="93"/>
      <c r="W875" s="85"/>
      <c r="Y875" s="94"/>
      <c r="Z875" s="93"/>
      <c r="AA875" s="85"/>
      <c r="AC875" s="94"/>
      <c r="AD875" s="93"/>
      <c r="AE875" s="85"/>
    </row>
    <row r="876" spans="7:31" ht="14.5" customHeight="1" x14ac:dyDescent="0.35">
      <c r="G876" s="85"/>
      <c r="H876" s="87"/>
      <c r="K876" s="85"/>
      <c r="M876" s="94"/>
      <c r="N876" s="93"/>
      <c r="O876" s="85"/>
      <c r="Q876" s="94"/>
      <c r="R876" s="93"/>
      <c r="S876" s="85"/>
      <c r="U876" s="94"/>
      <c r="V876" s="93"/>
      <c r="W876" s="85"/>
      <c r="Y876" s="94"/>
      <c r="Z876" s="93"/>
      <c r="AA876" s="85"/>
      <c r="AC876" s="94"/>
      <c r="AD876" s="93"/>
      <c r="AE876" s="85"/>
    </row>
    <row r="877" spans="7:31" ht="14.5" customHeight="1" x14ac:dyDescent="0.35">
      <c r="G877" s="85"/>
      <c r="H877" s="87"/>
      <c r="K877" s="85"/>
      <c r="M877" s="94"/>
      <c r="N877" s="93"/>
      <c r="O877" s="85"/>
      <c r="Q877" s="94"/>
      <c r="R877" s="93"/>
      <c r="S877" s="85"/>
      <c r="U877" s="94"/>
      <c r="V877" s="93"/>
      <c r="W877" s="85"/>
      <c r="Y877" s="94"/>
      <c r="Z877" s="93"/>
      <c r="AA877" s="85"/>
      <c r="AC877" s="94"/>
      <c r="AD877" s="93"/>
      <c r="AE877" s="85"/>
    </row>
    <row r="878" spans="7:31" ht="14.5" customHeight="1" x14ac:dyDescent="0.35">
      <c r="G878" s="85"/>
      <c r="H878" s="87"/>
      <c r="K878" s="85"/>
      <c r="M878" s="94"/>
      <c r="N878" s="93"/>
      <c r="O878" s="85"/>
      <c r="Q878" s="94"/>
      <c r="R878" s="93"/>
      <c r="S878" s="85"/>
      <c r="U878" s="94"/>
      <c r="V878" s="93"/>
      <c r="W878" s="85"/>
      <c r="Y878" s="94"/>
      <c r="Z878" s="93"/>
      <c r="AA878" s="85"/>
      <c r="AC878" s="94"/>
      <c r="AD878" s="93"/>
      <c r="AE878" s="85"/>
    </row>
    <row r="879" spans="7:31" ht="14.5" customHeight="1" x14ac:dyDescent="0.35">
      <c r="G879" s="85"/>
      <c r="H879" s="87"/>
      <c r="K879" s="85"/>
      <c r="M879" s="94"/>
      <c r="N879" s="93"/>
      <c r="O879" s="85"/>
      <c r="Q879" s="94"/>
      <c r="R879" s="93"/>
      <c r="S879" s="85"/>
      <c r="U879" s="94"/>
      <c r="V879" s="93"/>
      <c r="W879" s="85"/>
      <c r="Y879" s="94"/>
      <c r="Z879" s="93"/>
      <c r="AA879" s="85"/>
      <c r="AC879" s="94"/>
      <c r="AD879" s="93"/>
      <c r="AE879" s="85"/>
    </row>
    <row r="880" spans="7:31" ht="14.5" customHeight="1" x14ac:dyDescent="0.35">
      <c r="G880" s="85"/>
      <c r="H880" s="87"/>
      <c r="K880" s="85"/>
      <c r="M880" s="94"/>
      <c r="N880" s="93"/>
      <c r="O880" s="85"/>
      <c r="Q880" s="94"/>
      <c r="R880" s="93"/>
      <c r="S880" s="85"/>
      <c r="U880" s="94"/>
      <c r="V880" s="93"/>
      <c r="W880" s="85"/>
      <c r="Y880" s="94"/>
      <c r="Z880" s="93"/>
      <c r="AA880" s="85"/>
      <c r="AC880" s="94"/>
      <c r="AD880" s="93"/>
      <c r="AE880" s="85"/>
    </row>
    <row r="881" spans="7:31" ht="14.5" customHeight="1" x14ac:dyDescent="0.35">
      <c r="G881" s="85"/>
      <c r="H881" s="87"/>
      <c r="K881" s="85"/>
      <c r="M881" s="94"/>
      <c r="N881" s="93"/>
      <c r="O881" s="85"/>
      <c r="Q881" s="94"/>
      <c r="R881" s="93"/>
      <c r="S881" s="85"/>
      <c r="U881" s="94"/>
      <c r="V881" s="93"/>
      <c r="W881" s="85"/>
      <c r="Y881" s="94"/>
      <c r="Z881" s="93"/>
      <c r="AA881" s="85"/>
      <c r="AC881" s="94"/>
      <c r="AD881" s="93"/>
      <c r="AE881" s="85"/>
    </row>
    <row r="882" spans="7:31" ht="14.5" customHeight="1" x14ac:dyDescent="0.35">
      <c r="G882" s="85"/>
      <c r="H882" s="87"/>
      <c r="K882" s="85"/>
      <c r="M882" s="94"/>
      <c r="N882" s="93"/>
      <c r="O882" s="85"/>
      <c r="Q882" s="94"/>
      <c r="R882" s="93"/>
      <c r="S882" s="85"/>
      <c r="U882" s="94"/>
      <c r="V882" s="93"/>
      <c r="W882" s="85"/>
      <c r="Y882" s="94"/>
      <c r="Z882" s="93"/>
      <c r="AA882" s="85"/>
      <c r="AC882" s="94"/>
      <c r="AD882" s="93"/>
      <c r="AE882" s="85"/>
    </row>
    <row r="883" spans="7:31" ht="14.5" customHeight="1" x14ac:dyDescent="0.35">
      <c r="G883" s="85"/>
      <c r="H883" s="87"/>
      <c r="K883" s="85"/>
      <c r="M883" s="94"/>
      <c r="N883" s="93"/>
      <c r="O883" s="85"/>
      <c r="Q883" s="94"/>
      <c r="R883" s="93"/>
      <c r="S883" s="85"/>
      <c r="U883" s="94"/>
      <c r="V883" s="93"/>
      <c r="W883" s="85"/>
      <c r="Y883" s="94"/>
      <c r="Z883" s="93"/>
      <c r="AA883" s="85"/>
      <c r="AC883" s="94"/>
      <c r="AD883" s="93"/>
      <c r="AE883" s="85"/>
    </row>
    <row r="884" spans="7:31" ht="14.5" customHeight="1" x14ac:dyDescent="0.35">
      <c r="G884" s="85"/>
      <c r="H884" s="87"/>
      <c r="K884" s="85"/>
      <c r="M884" s="94"/>
      <c r="N884" s="93"/>
      <c r="O884" s="85"/>
      <c r="Q884" s="94"/>
      <c r="R884" s="93"/>
      <c r="S884" s="85"/>
      <c r="U884" s="94"/>
      <c r="V884" s="93"/>
      <c r="W884" s="85"/>
      <c r="Y884" s="94"/>
      <c r="Z884" s="93"/>
      <c r="AA884" s="85"/>
      <c r="AC884" s="94"/>
      <c r="AD884" s="93"/>
      <c r="AE884" s="85"/>
    </row>
    <row r="885" spans="7:31" ht="14.5" customHeight="1" x14ac:dyDescent="0.35">
      <c r="G885" s="85"/>
      <c r="H885" s="87"/>
      <c r="K885" s="85"/>
      <c r="M885" s="94"/>
      <c r="N885" s="93"/>
      <c r="O885" s="85"/>
      <c r="Q885" s="94"/>
      <c r="R885" s="93"/>
      <c r="S885" s="85"/>
      <c r="U885" s="94"/>
      <c r="V885" s="93"/>
      <c r="W885" s="85"/>
      <c r="Y885" s="94"/>
      <c r="Z885" s="93"/>
      <c r="AA885" s="85"/>
      <c r="AC885" s="94"/>
      <c r="AD885" s="93"/>
      <c r="AE885" s="85"/>
    </row>
    <row r="886" spans="7:31" ht="14.5" customHeight="1" x14ac:dyDescent="0.35">
      <c r="G886" s="85"/>
      <c r="H886" s="87"/>
      <c r="K886" s="85"/>
      <c r="M886" s="94"/>
      <c r="N886" s="93"/>
      <c r="O886" s="85"/>
      <c r="Q886" s="94"/>
      <c r="R886" s="93"/>
      <c r="S886" s="85"/>
      <c r="U886" s="94"/>
      <c r="V886" s="93"/>
      <c r="W886" s="85"/>
      <c r="Y886" s="94"/>
      <c r="Z886" s="93"/>
      <c r="AA886" s="85"/>
      <c r="AC886" s="94"/>
      <c r="AD886" s="93"/>
      <c r="AE886" s="85"/>
    </row>
    <row r="887" spans="7:31" ht="14.5" customHeight="1" x14ac:dyDescent="0.35">
      <c r="G887" s="85"/>
      <c r="H887" s="87"/>
      <c r="K887" s="85"/>
      <c r="M887" s="94"/>
      <c r="N887" s="93"/>
      <c r="O887" s="85"/>
      <c r="Q887" s="94"/>
      <c r="R887" s="93"/>
      <c r="S887" s="85"/>
      <c r="U887" s="94"/>
      <c r="V887" s="93"/>
      <c r="W887" s="85"/>
      <c r="Y887" s="94"/>
      <c r="Z887" s="93"/>
      <c r="AA887" s="85"/>
      <c r="AC887" s="94"/>
      <c r="AD887" s="93"/>
      <c r="AE887" s="85"/>
    </row>
    <row r="888" spans="7:31" ht="14.5" customHeight="1" x14ac:dyDescent="0.35">
      <c r="G888" s="85"/>
      <c r="H888" s="87"/>
      <c r="K888" s="85"/>
      <c r="M888" s="94"/>
      <c r="N888" s="93"/>
      <c r="O888" s="85"/>
      <c r="Q888" s="94"/>
      <c r="R888" s="93"/>
      <c r="S888" s="85"/>
      <c r="U888" s="94"/>
      <c r="V888" s="93"/>
      <c r="W888" s="85"/>
      <c r="Y888" s="94"/>
      <c r="Z888" s="93"/>
      <c r="AA888" s="85"/>
      <c r="AC888" s="94"/>
      <c r="AD888" s="93"/>
      <c r="AE888" s="85"/>
    </row>
    <row r="889" spans="7:31" ht="14.5" customHeight="1" x14ac:dyDescent="0.35">
      <c r="G889" s="85"/>
      <c r="H889" s="87"/>
      <c r="K889" s="85"/>
      <c r="M889" s="94"/>
      <c r="N889" s="93"/>
      <c r="O889" s="85"/>
      <c r="Q889" s="94"/>
      <c r="R889" s="93"/>
      <c r="S889" s="85"/>
      <c r="U889" s="94"/>
      <c r="V889" s="93"/>
      <c r="W889" s="85"/>
      <c r="Y889" s="94"/>
      <c r="Z889" s="93"/>
      <c r="AA889" s="85"/>
      <c r="AC889" s="94"/>
      <c r="AD889" s="93"/>
      <c r="AE889" s="85"/>
    </row>
    <row r="890" spans="7:31" ht="14.5" customHeight="1" x14ac:dyDescent="0.35">
      <c r="G890" s="85"/>
      <c r="H890" s="87"/>
      <c r="K890" s="85"/>
      <c r="M890" s="94"/>
      <c r="N890" s="93"/>
      <c r="O890" s="85"/>
      <c r="Q890" s="94"/>
      <c r="R890" s="93"/>
      <c r="S890" s="85"/>
      <c r="U890" s="94"/>
      <c r="V890" s="93"/>
      <c r="W890" s="85"/>
      <c r="Y890" s="94"/>
      <c r="Z890" s="93"/>
      <c r="AA890" s="85"/>
      <c r="AC890" s="94"/>
      <c r="AD890" s="93"/>
      <c r="AE890" s="85"/>
    </row>
    <row r="891" spans="7:31" ht="14.5" customHeight="1" x14ac:dyDescent="0.35">
      <c r="G891" s="85"/>
      <c r="H891" s="87"/>
      <c r="K891" s="85"/>
      <c r="M891" s="94"/>
      <c r="N891" s="93"/>
      <c r="O891" s="85"/>
      <c r="Q891" s="94"/>
      <c r="R891" s="93"/>
      <c r="S891" s="85"/>
      <c r="U891" s="94"/>
      <c r="V891" s="93"/>
      <c r="W891" s="85"/>
      <c r="Y891" s="94"/>
      <c r="Z891" s="93"/>
      <c r="AA891" s="85"/>
      <c r="AC891" s="94"/>
      <c r="AD891" s="93"/>
      <c r="AE891" s="85"/>
    </row>
    <row r="892" spans="7:31" ht="14.5" customHeight="1" x14ac:dyDescent="0.35">
      <c r="G892" s="85"/>
      <c r="H892" s="87"/>
      <c r="K892" s="85"/>
      <c r="M892" s="94"/>
      <c r="N892" s="93"/>
      <c r="O892" s="85"/>
      <c r="Q892" s="94"/>
      <c r="R892" s="93"/>
      <c r="S892" s="85"/>
      <c r="U892" s="94"/>
      <c r="V892" s="93"/>
      <c r="W892" s="85"/>
      <c r="Y892" s="94"/>
      <c r="Z892" s="93"/>
      <c r="AA892" s="85"/>
      <c r="AC892" s="94"/>
      <c r="AD892" s="93"/>
      <c r="AE892" s="85"/>
    </row>
    <row r="893" spans="7:31" ht="14.5" customHeight="1" x14ac:dyDescent="0.35">
      <c r="G893" s="85"/>
      <c r="H893" s="87"/>
      <c r="K893" s="85"/>
      <c r="M893" s="94"/>
      <c r="N893" s="93"/>
      <c r="O893" s="85"/>
      <c r="Q893" s="94"/>
      <c r="R893" s="93"/>
      <c r="S893" s="85"/>
      <c r="U893" s="94"/>
      <c r="V893" s="93"/>
      <c r="W893" s="85"/>
      <c r="Y893" s="94"/>
      <c r="Z893" s="93"/>
      <c r="AA893" s="85"/>
      <c r="AC893" s="94"/>
      <c r="AD893" s="93"/>
      <c r="AE893" s="85"/>
    </row>
    <row r="894" spans="7:31" ht="14.5" customHeight="1" x14ac:dyDescent="0.35">
      <c r="G894" s="85"/>
      <c r="H894" s="87"/>
      <c r="K894" s="85"/>
      <c r="M894" s="94"/>
      <c r="N894" s="93"/>
      <c r="O894" s="85"/>
      <c r="Q894" s="94"/>
      <c r="R894" s="93"/>
      <c r="S894" s="85"/>
      <c r="U894" s="94"/>
      <c r="V894" s="93"/>
      <c r="W894" s="85"/>
      <c r="Y894" s="94"/>
      <c r="Z894" s="93"/>
      <c r="AA894" s="85"/>
      <c r="AC894" s="94"/>
      <c r="AD894" s="93"/>
      <c r="AE894" s="85"/>
    </row>
    <row r="895" spans="7:31" ht="14.5" customHeight="1" x14ac:dyDescent="0.35">
      <c r="G895" s="85"/>
      <c r="H895" s="87"/>
      <c r="K895" s="85"/>
      <c r="M895" s="94"/>
      <c r="N895" s="93"/>
      <c r="O895" s="85"/>
      <c r="Q895" s="94"/>
      <c r="R895" s="93"/>
      <c r="S895" s="85"/>
      <c r="U895" s="94"/>
      <c r="V895" s="93"/>
      <c r="W895" s="85"/>
      <c r="Y895" s="94"/>
      <c r="Z895" s="93"/>
      <c r="AA895" s="85"/>
      <c r="AC895" s="94"/>
      <c r="AD895" s="93"/>
      <c r="AE895" s="85"/>
    </row>
    <row r="896" spans="7:31" ht="14.5" customHeight="1" x14ac:dyDescent="0.35">
      <c r="G896" s="85"/>
      <c r="H896" s="87"/>
      <c r="K896" s="85"/>
      <c r="M896" s="94"/>
      <c r="N896" s="93"/>
      <c r="O896" s="85"/>
      <c r="Q896" s="94"/>
      <c r="R896" s="93"/>
      <c r="S896" s="85"/>
      <c r="U896" s="94"/>
      <c r="V896" s="93"/>
      <c r="W896" s="85"/>
      <c r="Y896" s="94"/>
      <c r="Z896" s="93"/>
      <c r="AA896" s="85"/>
      <c r="AC896" s="94"/>
      <c r="AD896" s="93"/>
      <c r="AE896" s="85"/>
    </row>
    <row r="897" spans="7:31" ht="14.5" customHeight="1" x14ac:dyDescent="0.35">
      <c r="G897" s="85"/>
      <c r="H897" s="87"/>
      <c r="K897" s="85"/>
      <c r="M897" s="94"/>
      <c r="N897" s="93"/>
      <c r="O897" s="85"/>
      <c r="Q897" s="94"/>
      <c r="R897" s="93"/>
      <c r="S897" s="85"/>
      <c r="U897" s="94"/>
      <c r="V897" s="93"/>
      <c r="W897" s="85"/>
      <c r="Y897" s="94"/>
      <c r="Z897" s="93"/>
      <c r="AA897" s="85"/>
      <c r="AC897" s="94"/>
      <c r="AD897" s="93"/>
      <c r="AE897" s="85"/>
    </row>
    <row r="898" spans="7:31" ht="14.5" customHeight="1" x14ac:dyDescent="0.35">
      <c r="G898" s="85"/>
      <c r="H898" s="87"/>
      <c r="K898" s="85"/>
      <c r="M898" s="94"/>
      <c r="N898" s="93"/>
      <c r="O898" s="85"/>
      <c r="Q898" s="94"/>
      <c r="R898" s="93"/>
      <c r="S898" s="85"/>
      <c r="U898" s="94"/>
      <c r="V898" s="93"/>
      <c r="W898" s="85"/>
      <c r="Y898" s="94"/>
      <c r="Z898" s="93"/>
      <c r="AA898" s="85"/>
      <c r="AC898" s="94"/>
      <c r="AD898" s="93"/>
      <c r="AE898" s="85"/>
    </row>
    <row r="899" spans="7:31" ht="14.5" customHeight="1" x14ac:dyDescent="0.35">
      <c r="G899" s="85"/>
      <c r="H899" s="87"/>
      <c r="K899" s="85"/>
      <c r="M899" s="94"/>
      <c r="N899" s="93"/>
      <c r="O899" s="85"/>
      <c r="Q899" s="94"/>
      <c r="R899" s="93"/>
      <c r="S899" s="85"/>
      <c r="U899" s="94"/>
      <c r="V899" s="93"/>
      <c r="W899" s="85"/>
      <c r="Y899" s="94"/>
      <c r="Z899" s="93"/>
      <c r="AA899" s="85"/>
      <c r="AC899" s="94"/>
      <c r="AD899" s="93"/>
      <c r="AE899" s="85"/>
    </row>
    <row r="900" spans="7:31" ht="14.5" customHeight="1" x14ac:dyDescent="0.35">
      <c r="G900" s="85"/>
      <c r="H900" s="87"/>
      <c r="K900" s="85"/>
      <c r="M900" s="94"/>
      <c r="N900" s="93"/>
      <c r="O900" s="85"/>
      <c r="Q900" s="94"/>
      <c r="R900" s="93"/>
      <c r="S900" s="85"/>
      <c r="U900" s="94"/>
      <c r="V900" s="93"/>
      <c r="W900" s="85"/>
      <c r="Y900" s="94"/>
      <c r="Z900" s="93"/>
      <c r="AA900" s="85"/>
      <c r="AC900" s="94"/>
      <c r="AD900" s="93"/>
      <c r="AE900" s="85"/>
    </row>
    <row r="901" spans="7:31" ht="14.5" customHeight="1" x14ac:dyDescent="0.35">
      <c r="G901" s="85"/>
      <c r="H901" s="87"/>
      <c r="K901" s="85"/>
      <c r="M901" s="94"/>
      <c r="N901" s="93"/>
      <c r="O901" s="85"/>
      <c r="Q901" s="94"/>
      <c r="R901" s="93"/>
      <c r="S901" s="85"/>
      <c r="U901" s="94"/>
      <c r="V901" s="93"/>
      <c r="W901" s="85"/>
      <c r="Y901" s="94"/>
      <c r="Z901" s="93"/>
      <c r="AA901" s="85"/>
      <c r="AC901" s="94"/>
      <c r="AD901" s="93"/>
      <c r="AE901" s="85"/>
    </row>
    <row r="902" spans="7:31" ht="14.5" customHeight="1" x14ac:dyDescent="0.35">
      <c r="G902" s="85"/>
      <c r="H902" s="87"/>
      <c r="K902" s="85"/>
      <c r="M902" s="94"/>
      <c r="N902" s="93"/>
      <c r="O902" s="85"/>
      <c r="Q902" s="94"/>
      <c r="R902" s="93"/>
      <c r="S902" s="85"/>
      <c r="U902" s="94"/>
      <c r="V902" s="93"/>
      <c r="W902" s="85"/>
      <c r="Y902" s="94"/>
      <c r="Z902" s="93"/>
      <c r="AA902" s="85"/>
      <c r="AC902" s="94"/>
      <c r="AD902" s="93"/>
      <c r="AE902" s="85"/>
    </row>
    <row r="903" spans="7:31" ht="14.5" customHeight="1" x14ac:dyDescent="0.35">
      <c r="G903" s="85"/>
      <c r="H903" s="87"/>
      <c r="K903" s="85"/>
      <c r="M903" s="94"/>
      <c r="N903" s="93"/>
      <c r="O903" s="85"/>
      <c r="Q903" s="94"/>
      <c r="R903" s="93"/>
      <c r="S903" s="85"/>
      <c r="U903" s="94"/>
      <c r="V903" s="93"/>
      <c r="W903" s="85"/>
      <c r="Y903" s="94"/>
      <c r="Z903" s="93"/>
      <c r="AA903" s="85"/>
      <c r="AC903" s="94"/>
      <c r="AD903" s="93"/>
      <c r="AE903" s="85"/>
    </row>
    <row r="904" spans="7:31" ht="14.5" customHeight="1" x14ac:dyDescent="0.35">
      <c r="G904" s="85"/>
      <c r="H904" s="87"/>
      <c r="K904" s="85"/>
      <c r="M904" s="94"/>
      <c r="N904" s="93"/>
      <c r="O904" s="85"/>
      <c r="Q904" s="94"/>
      <c r="R904" s="93"/>
      <c r="S904" s="85"/>
      <c r="U904" s="94"/>
      <c r="V904" s="93"/>
      <c r="W904" s="85"/>
      <c r="Y904" s="94"/>
      <c r="Z904" s="93"/>
      <c r="AA904" s="85"/>
      <c r="AC904" s="94"/>
      <c r="AD904" s="93"/>
      <c r="AE904" s="85"/>
    </row>
    <row r="905" spans="7:31" ht="14.5" customHeight="1" x14ac:dyDescent="0.35">
      <c r="G905" s="85"/>
      <c r="H905" s="87"/>
      <c r="K905" s="85"/>
      <c r="M905" s="94"/>
      <c r="N905" s="93"/>
      <c r="O905" s="85"/>
      <c r="Q905" s="94"/>
      <c r="R905" s="93"/>
      <c r="S905" s="85"/>
      <c r="U905" s="94"/>
      <c r="V905" s="93"/>
      <c r="W905" s="85"/>
      <c r="Y905" s="94"/>
      <c r="Z905" s="93"/>
      <c r="AA905" s="85"/>
      <c r="AC905" s="94"/>
      <c r="AD905" s="93"/>
      <c r="AE905" s="85"/>
    </row>
    <row r="906" spans="7:31" ht="14.5" customHeight="1" x14ac:dyDescent="0.35">
      <c r="G906" s="85"/>
      <c r="H906" s="87"/>
      <c r="K906" s="85"/>
      <c r="M906" s="94"/>
      <c r="N906" s="93"/>
      <c r="O906" s="85"/>
      <c r="Q906" s="94"/>
      <c r="R906" s="93"/>
      <c r="S906" s="85"/>
      <c r="U906" s="94"/>
      <c r="V906" s="93"/>
      <c r="W906" s="85"/>
      <c r="Y906" s="94"/>
      <c r="Z906" s="93"/>
      <c r="AA906" s="85"/>
      <c r="AC906" s="94"/>
      <c r="AD906" s="93"/>
      <c r="AE906" s="85"/>
    </row>
    <row r="907" spans="7:31" ht="14.5" customHeight="1" x14ac:dyDescent="0.35">
      <c r="G907" s="85"/>
      <c r="H907" s="87"/>
      <c r="K907" s="85"/>
      <c r="M907" s="94"/>
      <c r="N907" s="93"/>
      <c r="O907" s="85"/>
      <c r="Q907" s="94"/>
      <c r="R907" s="93"/>
      <c r="S907" s="85"/>
      <c r="U907" s="94"/>
      <c r="V907" s="93"/>
      <c r="W907" s="85"/>
      <c r="Y907" s="94"/>
      <c r="Z907" s="93"/>
      <c r="AA907" s="85"/>
      <c r="AC907" s="94"/>
      <c r="AD907" s="93"/>
      <c r="AE907" s="85"/>
    </row>
    <row r="908" spans="7:31" ht="14.5" customHeight="1" x14ac:dyDescent="0.35">
      <c r="G908" s="85"/>
      <c r="H908" s="87"/>
      <c r="K908" s="85"/>
      <c r="M908" s="94"/>
      <c r="N908" s="93"/>
      <c r="O908" s="85"/>
      <c r="Q908" s="94"/>
      <c r="R908" s="93"/>
      <c r="S908" s="85"/>
      <c r="U908" s="94"/>
      <c r="V908" s="93"/>
      <c r="W908" s="85"/>
      <c r="Y908" s="94"/>
      <c r="Z908" s="93"/>
      <c r="AA908" s="85"/>
      <c r="AC908" s="94"/>
      <c r="AD908" s="93"/>
      <c r="AE908" s="85"/>
    </row>
    <row r="909" spans="7:31" ht="14.5" customHeight="1" x14ac:dyDescent="0.35">
      <c r="G909" s="85"/>
      <c r="H909" s="87"/>
      <c r="K909" s="85"/>
      <c r="M909" s="94"/>
      <c r="N909" s="93"/>
      <c r="O909" s="85"/>
      <c r="Q909" s="94"/>
      <c r="R909" s="93"/>
      <c r="S909" s="85"/>
      <c r="U909" s="94"/>
      <c r="V909" s="93"/>
      <c r="W909" s="85"/>
      <c r="Y909" s="94"/>
      <c r="Z909" s="93"/>
      <c r="AA909" s="85"/>
      <c r="AC909" s="94"/>
      <c r="AD909" s="93"/>
      <c r="AE909" s="85"/>
    </row>
    <row r="910" spans="7:31" ht="14.5" customHeight="1" x14ac:dyDescent="0.35">
      <c r="G910" s="85"/>
      <c r="H910" s="87"/>
      <c r="K910" s="85"/>
      <c r="M910" s="94"/>
      <c r="N910" s="93"/>
      <c r="O910" s="85"/>
      <c r="Q910" s="94"/>
      <c r="R910" s="93"/>
      <c r="S910" s="85"/>
      <c r="U910" s="94"/>
      <c r="V910" s="93"/>
      <c r="W910" s="85"/>
      <c r="Y910" s="94"/>
      <c r="Z910" s="93"/>
      <c r="AA910" s="85"/>
      <c r="AC910" s="94"/>
      <c r="AD910" s="93"/>
      <c r="AE910" s="85"/>
    </row>
    <row r="911" spans="7:31" ht="14.5" customHeight="1" x14ac:dyDescent="0.35">
      <c r="G911" s="85"/>
      <c r="H911" s="87"/>
      <c r="K911" s="85"/>
      <c r="M911" s="94"/>
      <c r="N911" s="93"/>
      <c r="O911" s="85"/>
      <c r="Q911" s="94"/>
      <c r="R911" s="93"/>
      <c r="S911" s="85"/>
      <c r="U911" s="94"/>
      <c r="V911" s="93"/>
      <c r="W911" s="85"/>
      <c r="Y911" s="94"/>
      <c r="Z911" s="93"/>
      <c r="AA911" s="85"/>
      <c r="AC911" s="94"/>
      <c r="AD911" s="93"/>
      <c r="AE911" s="85"/>
    </row>
    <row r="912" spans="7:31" ht="14.5" customHeight="1" x14ac:dyDescent="0.35">
      <c r="G912" s="85"/>
      <c r="H912" s="87"/>
      <c r="K912" s="85"/>
      <c r="M912" s="94"/>
      <c r="N912" s="93"/>
      <c r="O912" s="85"/>
      <c r="Q912" s="94"/>
      <c r="R912" s="93"/>
      <c r="S912" s="85"/>
      <c r="U912" s="94"/>
      <c r="V912" s="93"/>
      <c r="W912" s="85"/>
      <c r="Y912" s="94"/>
      <c r="Z912" s="93"/>
      <c r="AA912" s="85"/>
      <c r="AC912" s="94"/>
      <c r="AD912" s="93"/>
      <c r="AE912" s="85"/>
    </row>
    <row r="913" spans="7:31" ht="14.5" customHeight="1" x14ac:dyDescent="0.35">
      <c r="G913" s="85"/>
      <c r="H913" s="87"/>
      <c r="K913" s="85"/>
      <c r="M913" s="94"/>
      <c r="N913" s="93"/>
      <c r="O913" s="85"/>
      <c r="Q913" s="94"/>
      <c r="R913" s="93"/>
      <c r="S913" s="85"/>
      <c r="U913" s="94"/>
      <c r="V913" s="93"/>
      <c r="W913" s="85"/>
      <c r="Y913" s="94"/>
      <c r="Z913" s="93"/>
      <c r="AA913" s="85"/>
      <c r="AC913" s="94"/>
      <c r="AD913" s="93"/>
      <c r="AE913" s="85"/>
    </row>
    <row r="914" spans="7:31" ht="14.5" customHeight="1" x14ac:dyDescent="0.35">
      <c r="G914" s="85"/>
      <c r="H914" s="87"/>
      <c r="K914" s="85"/>
      <c r="M914" s="94"/>
      <c r="N914" s="93"/>
      <c r="O914" s="85"/>
      <c r="Q914" s="94"/>
      <c r="R914" s="93"/>
      <c r="S914" s="85"/>
      <c r="U914" s="94"/>
      <c r="V914" s="93"/>
      <c r="W914" s="85"/>
      <c r="Y914" s="94"/>
      <c r="Z914" s="93"/>
      <c r="AA914" s="85"/>
      <c r="AC914" s="94"/>
      <c r="AD914" s="93"/>
      <c r="AE914" s="85"/>
    </row>
    <row r="915" spans="7:31" ht="14.5" customHeight="1" x14ac:dyDescent="0.35">
      <c r="G915" s="85"/>
      <c r="H915" s="87"/>
      <c r="K915" s="85"/>
      <c r="M915" s="94"/>
      <c r="N915" s="93"/>
      <c r="O915" s="85"/>
      <c r="Q915" s="94"/>
      <c r="R915" s="93"/>
      <c r="S915" s="85"/>
      <c r="U915" s="94"/>
      <c r="V915" s="93"/>
      <c r="W915" s="85"/>
      <c r="Y915" s="94"/>
      <c r="Z915" s="93"/>
      <c r="AA915" s="85"/>
      <c r="AC915" s="94"/>
      <c r="AD915" s="93"/>
      <c r="AE915" s="85"/>
    </row>
    <row r="916" spans="7:31" ht="14.5" customHeight="1" x14ac:dyDescent="0.35">
      <c r="G916" s="85"/>
      <c r="H916" s="87"/>
      <c r="K916" s="85"/>
      <c r="M916" s="94"/>
      <c r="N916" s="93"/>
      <c r="O916" s="85"/>
      <c r="Q916" s="94"/>
      <c r="R916" s="93"/>
      <c r="S916" s="85"/>
      <c r="U916" s="94"/>
      <c r="V916" s="93"/>
      <c r="W916" s="85"/>
      <c r="Y916" s="94"/>
      <c r="Z916" s="93"/>
      <c r="AA916" s="85"/>
      <c r="AC916" s="94"/>
      <c r="AD916" s="93"/>
      <c r="AE916" s="85"/>
    </row>
    <row r="917" spans="7:31" ht="14.5" customHeight="1" x14ac:dyDescent="0.35">
      <c r="G917" s="85"/>
      <c r="H917" s="87"/>
      <c r="K917" s="85"/>
      <c r="M917" s="94"/>
      <c r="N917" s="93"/>
      <c r="O917" s="85"/>
      <c r="Q917" s="94"/>
      <c r="R917" s="93"/>
      <c r="S917" s="85"/>
      <c r="U917" s="94"/>
      <c r="V917" s="93"/>
      <c r="W917" s="85"/>
      <c r="Y917" s="94"/>
      <c r="Z917" s="93"/>
      <c r="AA917" s="85"/>
      <c r="AC917" s="94"/>
      <c r="AD917" s="93"/>
      <c r="AE917" s="85"/>
    </row>
    <row r="918" spans="7:31" ht="14.5" customHeight="1" x14ac:dyDescent="0.35">
      <c r="G918" s="85"/>
      <c r="H918" s="87"/>
      <c r="K918" s="85"/>
      <c r="M918" s="94"/>
      <c r="N918" s="93"/>
      <c r="O918" s="85"/>
      <c r="Q918" s="94"/>
      <c r="R918" s="93"/>
      <c r="S918" s="85"/>
      <c r="U918" s="94"/>
      <c r="V918" s="93"/>
      <c r="W918" s="85"/>
      <c r="Y918" s="94"/>
      <c r="Z918" s="93"/>
      <c r="AA918" s="85"/>
      <c r="AC918" s="94"/>
      <c r="AD918" s="93"/>
      <c r="AE918" s="85"/>
    </row>
    <row r="919" spans="7:31" ht="14.5" customHeight="1" x14ac:dyDescent="0.35">
      <c r="G919" s="85"/>
      <c r="H919" s="87"/>
      <c r="K919" s="85"/>
      <c r="M919" s="94"/>
      <c r="N919" s="93"/>
      <c r="O919" s="85"/>
      <c r="Q919" s="94"/>
      <c r="R919" s="93"/>
      <c r="S919" s="85"/>
      <c r="U919" s="94"/>
      <c r="V919" s="93"/>
      <c r="W919" s="85"/>
      <c r="Y919" s="94"/>
      <c r="Z919" s="93"/>
      <c r="AA919" s="85"/>
      <c r="AC919" s="94"/>
      <c r="AD919" s="93"/>
      <c r="AE919" s="85"/>
    </row>
    <row r="920" spans="7:31" ht="14.5" customHeight="1" x14ac:dyDescent="0.35">
      <c r="G920" s="85"/>
      <c r="H920" s="87"/>
      <c r="K920" s="85"/>
      <c r="M920" s="94"/>
      <c r="N920" s="93"/>
      <c r="O920" s="85"/>
      <c r="Q920" s="94"/>
      <c r="R920" s="93"/>
      <c r="S920" s="85"/>
      <c r="U920" s="94"/>
      <c r="V920" s="93"/>
      <c r="W920" s="85"/>
      <c r="Y920" s="94"/>
      <c r="Z920" s="93"/>
      <c r="AA920" s="85"/>
      <c r="AC920" s="94"/>
      <c r="AD920" s="93"/>
      <c r="AE920" s="85"/>
    </row>
    <row r="921" spans="7:31" ht="14.5" customHeight="1" x14ac:dyDescent="0.35">
      <c r="G921" s="85"/>
      <c r="H921" s="87"/>
      <c r="K921" s="85"/>
      <c r="M921" s="94"/>
      <c r="N921" s="93"/>
      <c r="O921" s="85"/>
      <c r="Q921" s="94"/>
      <c r="R921" s="93"/>
      <c r="S921" s="85"/>
      <c r="U921" s="94"/>
      <c r="V921" s="93"/>
      <c r="W921" s="85"/>
      <c r="Y921" s="94"/>
      <c r="Z921" s="93"/>
      <c r="AA921" s="85"/>
      <c r="AC921" s="94"/>
      <c r="AD921" s="93"/>
      <c r="AE921" s="85"/>
    </row>
    <row r="922" spans="7:31" ht="14.5" customHeight="1" x14ac:dyDescent="0.35">
      <c r="G922" s="85"/>
      <c r="H922" s="87"/>
      <c r="K922" s="85"/>
      <c r="M922" s="94"/>
      <c r="N922" s="93"/>
      <c r="O922" s="85"/>
      <c r="Q922" s="94"/>
      <c r="R922" s="93"/>
      <c r="S922" s="85"/>
      <c r="U922" s="94"/>
      <c r="V922" s="93"/>
      <c r="W922" s="85"/>
      <c r="Y922" s="94"/>
      <c r="Z922" s="93"/>
      <c r="AA922" s="85"/>
      <c r="AC922" s="94"/>
      <c r="AD922" s="93"/>
      <c r="AE922" s="85"/>
    </row>
    <row r="923" spans="7:31" ht="14.5" customHeight="1" x14ac:dyDescent="0.35">
      <c r="G923" s="85"/>
      <c r="H923" s="87"/>
      <c r="K923" s="85"/>
      <c r="M923" s="94"/>
      <c r="N923" s="93"/>
      <c r="O923" s="85"/>
      <c r="Q923" s="94"/>
      <c r="R923" s="93"/>
      <c r="S923" s="85"/>
      <c r="U923" s="94"/>
      <c r="V923" s="93"/>
      <c r="W923" s="85"/>
      <c r="Y923" s="94"/>
      <c r="Z923" s="93"/>
      <c r="AA923" s="85"/>
      <c r="AC923" s="94"/>
      <c r="AD923" s="93"/>
      <c r="AE923" s="85"/>
    </row>
    <row r="924" spans="7:31" ht="14.5" customHeight="1" x14ac:dyDescent="0.35">
      <c r="G924" s="85"/>
      <c r="H924" s="87"/>
      <c r="K924" s="85"/>
      <c r="M924" s="94"/>
      <c r="N924" s="93"/>
      <c r="O924" s="85"/>
      <c r="Q924" s="94"/>
      <c r="R924" s="93"/>
      <c r="S924" s="85"/>
      <c r="U924" s="94"/>
      <c r="V924" s="93"/>
      <c r="W924" s="85"/>
      <c r="Y924" s="94"/>
      <c r="Z924" s="93"/>
      <c r="AA924" s="85"/>
      <c r="AC924" s="94"/>
      <c r="AD924" s="93"/>
      <c r="AE924" s="85"/>
    </row>
    <row r="925" spans="7:31" ht="14.5" customHeight="1" x14ac:dyDescent="0.35">
      <c r="G925" s="85"/>
      <c r="H925" s="87"/>
      <c r="K925" s="85"/>
      <c r="M925" s="94"/>
      <c r="N925" s="93"/>
      <c r="O925" s="85"/>
      <c r="Q925" s="94"/>
      <c r="R925" s="93"/>
      <c r="S925" s="85"/>
      <c r="U925" s="94"/>
      <c r="V925" s="93"/>
      <c r="W925" s="85"/>
      <c r="Y925" s="94"/>
      <c r="Z925" s="93"/>
      <c r="AA925" s="85"/>
      <c r="AC925" s="94"/>
      <c r="AD925" s="93"/>
      <c r="AE925" s="85"/>
    </row>
    <row r="926" spans="7:31" ht="14.5" customHeight="1" x14ac:dyDescent="0.35">
      <c r="G926" s="85"/>
      <c r="H926" s="87"/>
      <c r="K926" s="85"/>
      <c r="M926" s="94"/>
      <c r="N926" s="93"/>
      <c r="O926" s="85"/>
      <c r="Q926" s="94"/>
      <c r="R926" s="93"/>
      <c r="S926" s="85"/>
      <c r="U926" s="94"/>
      <c r="V926" s="93"/>
      <c r="W926" s="85"/>
      <c r="Y926" s="94"/>
      <c r="Z926" s="93"/>
      <c r="AA926" s="85"/>
      <c r="AC926" s="94"/>
      <c r="AD926" s="93"/>
      <c r="AE926" s="85"/>
    </row>
    <row r="927" spans="7:31" ht="14.5" customHeight="1" x14ac:dyDescent="0.35">
      <c r="G927" s="85"/>
      <c r="H927" s="87"/>
      <c r="K927" s="85"/>
      <c r="M927" s="94"/>
      <c r="N927" s="93"/>
      <c r="O927" s="85"/>
      <c r="Q927" s="94"/>
      <c r="R927" s="93"/>
      <c r="S927" s="85"/>
      <c r="U927" s="94"/>
      <c r="V927" s="93"/>
      <c r="W927" s="85"/>
      <c r="Y927" s="94"/>
      <c r="Z927" s="93"/>
      <c r="AA927" s="85"/>
      <c r="AC927" s="94"/>
      <c r="AD927" s="93"/>
      <c r="AE927" s="85"/>
    </row>
    <row r="928" spans="7:31" ht="14.5" customHeight="1" x14ac:dyDescent="0.35">
      <c r="G928" s="85"/>
      <c r="H928" s="87"/>
      <c r="K928" s="85"/>
      <c r="M928" s="94"/>
      <c r="N928" s="93"/>
      <c r="O928" s="85"/>
      <c r="Q928" s="94"/>
      <c r="R928" s="93"/>
      <c r="S928" s="85"/>
      <c r="U928" s="94"/>
      <c r="V928" s="93"/>
      <c r="W928" s="85"/>
      <c r="Y928" s="94"/>
      <c r="Z928" s="93"/>
      <c r="AA928" s="85"/>
      <c r="AC928" s="94"/>
      <c r="AD928" s="93"/>
      <c r="AE928" s="85"/>
    </row>
    <row r="929" spans="7:31" ht="14.5" customHeight="1" x14ac:dyDescent="0.35">
      <c r="G929" s="85"/>
      <c r="H929" s="87"/>
      <c r="K929" s="85"/>
      <c r="M929" s="94"/>
      <c r="N929" s="93"/>
      <c r="O929" s="85"/>
      <c r="Q929" s="94"/>
      <c r="R929" s="93"/>
      <c r="S929" s="85"/>
      <c r="U929" s="94"/>
      <c r="V929" s="93"/>
      <c r="W929" s="85"/>
      <c r="Y929" s="94"/>
      <c r="Z929" s="93"/>
      <c r="AA929" s="85"/>
      <c r="AC929" s="94"/>
      <c r="AD929" s="93"/>
      <c r="AE929" s="85"/>
    </row>
    <row r="930" spans="7:31" ht="14.5" customHeight="1" x14ac:dyDescent="0.35">
      <c r="G930" s="85"/>
      <c r="H930" s="87"/>
      <c r="K930" s="85"/>
      <c r="M930" s="94"/>
      <c r="N930" s="93"/>
      <c r="O930" s="85"/>
      <c r="Q930" s="94"/>
      <c r="R930" s="93"/>
      <c r="S930" s="85"/>
      <c r="U930" s="94"/>
      <c r="V930" s="93"/>
      <c r="W930" s="85"/>
      <c r="Y930" s="94"/>
      <c r="Z930" s="93"/>
      <c r="AA930" s="85"/>
      <c r="AC930" s="94"/>
      <c r="AD930" s="93"/>
      <c r="AE930" s="85"/>
    </row>
    <row r="931" spans="7:31" ht="14.5" customHeight="1" x14ac:dyDescent="0.35">
      <c r="G931" s="85"/>
      <c r="H931" s="87"/>
      <c r="K931" s="85"/>
      <c r="M931" s="94"/>
      <c r="N931" s="93"/>
      <c r="O931" s="85"/>
      <c r="Q931" s="94"/>
      <c r="R931" s="93"/>
      <c r="S931" s="85"/>
      <c r="U931" s="94"/>
      <c r="V931" s="93"/>
      <c r="W931" s="85"/>
      <c r="Y931" s="94"/>
      <c r="Z931" s="93"/>
      <c r="AA931" s="85"/>
      <c r="AC931" s="94"/>
      <c r="AD931" s="93"/>
      <c r="AE931" s="85"/>
    </row>
    <row r="932" spans="7:31" ht="14.5" customHeight="1" x14ac:dyDescent="0.35">
      <c r="G932" s="85"/>
      <c r="H932" s="87"/>
      <c r="K932" s="85"/>
      <c r="M932" s="94"/>
      <c r="N932" s="93"/>
      <c r="O932" s="85"/>
      <c r="Q932" s="94"/>
      <c r="R932" s="93"/>
      <c r="S932" s="85"/>
      <c r="U932" s="94"/>
      <c r="V932" s="93"/>
      <c r="W932" s="85"/>
      <c r="Y932" s="94"/>
      <c r="Z932" s="93"/>
      <c r="AA932" s="85"/>
      <c r="AC932" s="94"/>
      <c r="AD932" s="93"/>
      <c r="AE932" s="85"/>
    </row>
    <row r="933" spans="7:31" ht="14.5" customHeight="1" x14ac:dyDescent="0.35">
      <c r="G933" s="85"/>
      <c r="H933" s="87"/>
      <c r="K933" s="85"/>
      <c r="M933" s="94"/>
      <c r="N933" s="93"/>
      <c r="O933" s="85"/>
      <c r="Q933" s="94"/>
      <c r="R933" s="93"/>
      <c r="S933" s="85"/>
      <c r="U933" s="94"/>
      <c r="V933" s="93"/>
      <c r="W933" s="85"/>
      <c r="Y933" s="94"/>
      <c r="Z933" s="93"/>
      <c r="AA933" s="85"/>
      <c r="AC933" s="94"/>
      <c r="AD933" s="93"/>
      <c r="AE933" s="85"/>
    </row>
    <row r="934" spans="7:31" ht="14.5" customHeight="1" x14ac:dyDescent="0.35">
      <c r="G934" s="85"/>
      <c r="H934" s="87"/>
      <c r="K934" s="85"/>
      <c r="M934" s="94"/>
      <c r="N934" s="93"/>
      <c r="O934" s="85"/>
      <c r="Q934" s="94"/>
      <c r="R934" s="93"/>
      <c r="S934" s="85"/>
      <c r="U934" s="94"/>
      <c r="V934" s="93"/>
      <c r="W934" s="85"/>
      <c r="Y934" s="94"/>
      <c r="Z934" s="93"/>
      <c r="AA934" s="85"/>
      <c r="AC934" s="94"/>
      <c r="AD934" s="93"/>
      <c r="AE934" s="85"/>
    </row>
    <row r="935" spans="7:31" ht="14.5" customHeight="1" x14ac:dyDescent="0.35">
      <c r="G935" s="85"/>
      <c r="H935" s="87"/>
      <c r="K935" s="85"/>
      <c r="M935" s="94"/>
      <c r="N935" s="93"/>
      <c r="O935" s="85"/>
      <c r="Q935" s="94"/>
      <c r="R935" s="93"/>
      <c r="S935" s="85"/>
      <c r="U935" s="94"/>
      <c r="V935" s="93"/>
      <c r="W935" s="85"/>
      <c r="Y935" s="94"/>
      <c r="Z935" s="93"/>
      <c r="AA935" s="85"/>
      <c r="AC935" s="94"/>
      <c r="AD935" s="93"/>
      <c r="AE935" s="85"/>
    </row>
    <row r="936" spans="7:31" ht="14.5" customHeight="1" x14ac:dyDescent="0.35">
      <c r="G936" s="85"/>
      <c r="H936" s="87"/>
      <c r="K936" s="85"/>
      <c r="M936" s="94"/>
      <c r="N936" s="93"/>
      <c r="O936" s="85"/>
      <c r="Q936" s="94"/>
      <c r="R936" s="93"/>
      <c r="S936" s="85"/>
      <c r="U936" s="94"/>
      <c r="V936" s="93"/>
      <c r="W936" s="85"/>
      <c r="Y936" s="94"/>
      <c r="Z936" s="93"/>
      <c r="AA936" s="85"/>
      <c r="AC936" s="94"/>
      <c r="AD936" s="93"/>
      <c r="AE936" s="85"/>
    </row>
    <row r="937" spans="7:31" ht="14.5" customHeight="1" x14ac:dyDescent="0.35">
      <c r="G937" s="85"/>
      <c r="H937" s="87"/>
      <c r="K937" s="85"/>
      <c r="M937" s="94"/>
      <c r="N937" s="93"/>
      <c r="O937" s="85"/>
      <c r="Q937" s="94"/>
      <c r="R937" s="93"/>
      <c r="S937" s="85"/>
      <c r="U937" s="94"/>
      <c r="V937" s="93"/>
      <c r="W937" s="85"/>
      <c r="Y937" s="94"/>
      <c r="Z937" s="93"/>
      <c r="AA937" s="85"/>
      <c r="AC937" s="94"/>
      <c r="AD937" s="93"/>
      <c r="AE937" s="85"/>
    </row>
    <row r="938" spans="7:31" ht="14.5" customHeight="1" x14ac:dyDescent="0.35">
      <c r="G938" s="85"/>
      <c r="H938" s="87"/>
      <c r="K938" s="85"/>
      <c r="M938" s="94"/>
      <c r="N938" s="93"/>
      <c r="O938" s="85"/>
      <c r="Q938" s="94"/>
      <c r="R938" s="93"/>
      <c r="S938" s="85"/>
      <c r="U938" s="94"/>
      <c r="V938" s="93"/>
      <c r="W938" s="85"/>
      <c r="Y938" s="94"/>
      <c r="Z938" s="93"/>
      <c r="AA938" s="85"/>
      <c r="AC938" s="94"/>
      <c r="AD938" s="93"/>
      <c r="AE938" s="85"/>
    </row>
    <row r="939" spans="7:31" ht="14.5" customHeight="1" x14ac:dyDescent="0.35">
      <c r="G939" s="85"/>
      <c r="H939" s="87"/>
      <c r="K939" s="85"/>
      <c r="M939" s="94"/>
      <c r="N939" s="93"/>
      <c r="O939" s="85"/>
      <c r="Q939" s="94"/>
      <c r="R939" s="93"/>
      <c r="S939" s="85"/>
      <c r="U939" s="94"/>
      <c r="V939" s="93"/>
      <c r="W939" s="85"/>
      <c r="Y939" s="94"/>
      <c r="Z939" s="93"/>
      <c r="AA939" s="85"/>
      <c r="AC939" s="94"/>
      <c r="AD939" s="93"/>
      <c r="AE939" s="85"/>
    </row>
    <row r="940" spans="7:31" ht="14.5" customHeight="1" x14ac:dyDescent="0.35">
      <c r="G940" s="85"/>
      <c r="H940" s="87"/>
      <c r="K940" s="85"/>
      <c r="M940" s="94"/>
      <c r="N940" s="93"/>
      <c r="O940" s="85"/>
      <c r="Q940" s="94"/>
      <c r="R940" s="93"/>
      <c r="S940" s="85"/>
      <c r="U940" s="94"/>
      <c r="V940" s="93"/>
      <c r="W940" s="85"/>
      <c r="Y940" s="94"/>
      <c r="Z940" s="93"/>
      <c r="AA940" s="85"/>
      <c r="AC940" s="94"/>
      <c r="AD940" s="93"/>
      <c r="AE940" s="85"/>
    </row>
    <row r="941" spans="7:31" ht="14.5" customHeight="1" x14ac:dyDescent="0.35">
      <c r="G941" s="85"/>
      <c r="H941" s="87"/>
      <c r="K941" s="85"/>
      <c r="M941" s="94"/>
      <c r="N941" s="93"/>
      <c r="O941" s="85"/>
      <c r="Q941" s="94"/>
      <c r="R941" s="93"/>
      <c r="S941" s="85"/>
      <c r="U941" s="94"/>
      <c r="V941" s="93"/>
      <c r="W941" s="85"/>
      <c r="Y941" s="94"/>
      <c r="Z941" s="93"/>
      <c r="AA941" s="85"/>
      <c r="AC941" s="94"/>
      <c r="AD941" s="93"/>
      <c r="AE941" s="85"/>
    </row>
    <row r="942" spans="7:31" ht="14.5" customHeight="1" x14ac:dyDescent="0.35">
      <c r="G942" s="85"/>
      <c r="H942" s="87"/>
      <c r="K942" s="85"/>
      <c r="M942" s="94"/>
      <c r="N942" s="93"/>
      <c r="O942" s="85"/>
      <c r="Q942" s="94"/>
      <c r="R942" s="93"/>
      <c r="S942" s="85"/>
      <c r="U942" s="94"/>
      <c r="V942" s="93"/>
      <c r="W942" s="85"/>
      <c r="Y942" s="94"/>
      <c r="Z942" s="93"/>
      <c r="AA942" s="85"/>
      <c r="AC942" s="94"/>
      <c r="AD942" s="93"/>
      <c r="AE942" s="85"/>
    </row>
    <row r="943" spans="7:31" ht="14.5" customHeight="1" x14ac:dyDescent="0.35">
      <c r="G943" s="85"/>
      <c r="H943" s="87"/>
      <c r="K943" s="85"/>
      <c r="M943" s="94"/>
      <c r="N943" s="93"/>
      <c r="O943" s="85"/>
      <c r="Q943" s="94"/>
      <c r="R943" s="93"/>
      <c r="S943" s="85"/>
      <c r="U943" s="94"/>
      <c r="V943" s="93"/>
      <c r="W943" s="85"/>
      <c r="Y943" s="94"/>
      <c r="Z943" s="93"/>
      <c r="AA943" s="85"/>
      <c r="AC943" s="94"/>
      <c r="AD943" s="93"/>
      <c r="AE943" s="85"/>
    </row>
    <row r="944" spans="7:31" ht="14.5" customHeight="1" x14ac:dyDescent="0.35">
      <c r="G944" s="85"/>
      <c r="H944" s="87"/>
      <c r="K944" s="85"/>
      <c r="M944" s="94"/>
      <c r="N944" s="93"/>
      <c r="O944" s="85"/>
      <c r="Q944" s="94"/>
      <c r="R944" s="93"/>
      <c r="S944" s="85"/>
      <c r="U944" s="94"/>
      <c r="V944" s="93"/>
      <c r="W944" s="85"/>
      <c r="Y944" s="94"/>
      <c r="Z944" s="93"/>
      <c r="AA944" s="85"/>
      <c r="AC944" s="94"/>
      <c r="AD944" s="93"/>
      <c r="AE944" s="85"/>
    </row>
    <row r="945" spans="7:31" ht="14.5" customHeight="1" x14ac:dyDescent="0.35">
      <c r="G945" s="85"/>
      <c r="H945" s="87"/>
      <c r="K945" s="85"/>
      <c r="M945" s="94"/>
      <c r="N945" s="93"/>
      <c r="O945" s="85"/>
      <c r="Q945" s="94"/>
      <c r="R945" s="93"/>
      <c r="S945" s="85"/>
      <c r="U945" s="94"/>
      <c r="V945" s="93"/>
      <c r="W945" s="85"/>
      <c r="Y945" s="94"/>
      <c r="Z945" s="93"/>
      <c r="AA945" s="85"/>
      <c r="AC945" s="94"/>
      <c r="AD945" s="93"/>
      <c r="AE945" s="85"/>
    </row>
    <row r="946" spans="7:31" ht="14.5" customHeight="1" x14ac:dyDescent="0.35">
      <c r="G946" s="85"/>
      <c r="H946" s="87"/>
      <c r="K946" s="85"/>
      <c r="M946" s="94"/>
      <c r="N946" s="93"/>
      <c r="O946" s="85"/>
      <c r="Q946" s="94"/>
      <c r="R946" s="93"/>
      <c r="S946" s="85"/>
      <c r="U946" s="94"/>
      <c r="V946" s="93"/>
      <c r="W946" s="85"/>
      <c r="Y946" s="94"/>
      <c r="Z946" s="93"/>
      <c r="AA946" s="85"/>
      <c r="AC946" s="94"/>
      <c r="AD946" s="93"/>
      <c r="AE946" s="85"/>
    </row>
    <row r="947" spans="7:31" ht="14.5" customHeight="1" x14ac:dyDescent="0.35">
      <c r="G947" s="85"/>
      <c r="H947" s="87"/>
      <c r="K947" s="85"/>
      <c r="M947" s="94"/>
      <c r="N947" s="93"/>
      <c r="O947" s="85"/>
      <c r="Q947" s="94"/>
      <c r="R947" s="93"/>
      <c r="S947" s="85"/>
      <c r="U947" s="94"/>
      <c r="V947" s="93"/>
      <c r="W947" s="85"/>
      <c r="Y947" s="94"/>
      <c r="Z947" s="93"/>
      <c r="AA947" s="85"/>
      <c r="AC947" s="94"/>
      <c r="AD947" s="93"/>
      <c r="AE947" s="85"/>
    </row>
    <row r="948" spans="7:31" ht="14.5" customHeight="1" x14ac:dyDescent="0.35">
      <c r="G948" s="85"/>
      <c r="H948" s="87"/>
      <c r="K948" s="85"/>
      <c r="M948" s="94"/>
      <c r="N948" s="93"/>
      <c r="O948" s="85"/>
      <c r="Q948" s="94"/>
      <c r="R948" s="93"/>
      <c r="S948" s="85"/>
      <c r="U948" s="94"/>
      <c r="V948" s="93"/>
      <c r="W948" s="85"/>
      <c r="Y948" s="94"/>
      <c r="Z948" s="93"/>
      <c r="AA948" s="85"/>
      <c r="AC948" s="94"/>
      <c r="AD948" s="93"/>
      <c r="AE948" s="85"/>
    </row>
    <row r="949" spans="7:31" ht="14.5" customHeight="1" x14ac:dyDescent="0.35">
      <c r="G949" s="85"/>
      <c r="H949" s="87"/>
      <c r="K949" s="85"/>
      <c r="M949" s="94"/>
      <c r="N949" s="93"/>
      <c r="O949" s="85"/>
      <c r="Q949" s="94"/>
      <c r="R949" s="93"/>
      <c r="S949" s="85"/>
      <c r="U949" s="94"/>
      <c r="V949" s="93"/>
      <c r="W949" s="85"/>
      <c r="Y949" s="94"/>
      <c r="Z949" s="93"/>
      <c r="AA949" s="85"/>
      <c r="AC949" s="94"/>
      <c r="AD949" s="93"/>
      <c r="AE949" s="85"/>
    </row>
    <row r="950" spans="7:31" ht="14.5" customHeight="1" x14ac:dyDescent="0.35">
      <c r="G950" s="85"/>
      <c r="H950" s="87"/>
      <c r="K950" s="85"/>
      <c r="M950" s="94"/>
      <c r="N950" s="93"/>
      <c r="O950" s="85"/>
      <c r="Q950" s="94"/>
      <c r="R950" s="93"/>
      <c r="S950" s="85"/>
      <c r="U950" s="94"/>
      <c r="V950" s="93"/>
      <c r="W950" s="85"/>
      <c r="Y950" s="94"/>
      <c r="Z950" s="93"/>
      <c r="AA950" s="85"/>
      <c r="AC950" s="94"/>
      <c r="AD950" s="93"/>
      <c r="AE950" s="85"/>
    </row>
    <row r="951" spans="7:31" ht="14.5" customHeight="1" x14ac:dyDescent="0.35">
      <c r="G951" s="85"/>
      <c r="H951" s="87"/>
      <c r="K951" s="85"/>
      <c r="M951" s="94"/>
      <c r="N951" s="93"/>
      <c r="O951" s="85"/>
      <c r="Q951" s="94"/>
      <c r="R951" s="93"/>
      <c r="S951" s="85"/>
      <c r="U951" s="94"/>
      <c r="V951" s="93"/>
      <c r="W951" s="85"/>
      <c r="Y951" s="94"/>
      <c r="Z951" s="93"/>
      <c r="AA951" s="85"/>
      <c r="AC951" s="94"/>
      <c r="AD951" s="93"/>
      <c r="AE951" s="85"/>
    </row>
    <row r="952" spans="7:31" ht="14.5" customHeight="1" x14ac:dyDescent="0.35">
      <c r="G952" s="85"/>
      <c r="H952" s="87"/>
      <c r="K952" s="85"/>
      <c r="M952" s="94"/>
      <c r="N952" s="93"/>
      <c r="O952" s="85"/>
      <c r="Q952" s="94"/>
      <c r="R952" s="93"/>
      <c r="S952" s="85"/>
      <c r="U952" s="94"/>
      <c r="V952" s="93"/>
      <c r="W952" s="85"/>
      <c r="Y952" s="94"/>
      <c r="Z952" s="93"/>
      <c r="AA952" s="85"/>
      <c r="AC952" s="94"/>
      <c r="AD952" s="93"/>
      <c r="AE952" s="85"/>
    </row>
    <row r="953" spans="7:31" ht="14.5" customHeight="1" x14ac:dyDescent="0.35">
      <c r="G953" s="85"/>
      <c r="H953" s="87"/>
      <c r="K953" s="85"/>
      <c r="M953" s="94"/>
      <c r="N953" s="93"/>
      <c r="O953" s="85"/>
      <c r="Q953" s="94"/>
      <c r="R953" s="93"/>
      <c r="S953" s="85"/>
      <c r="U953" s="94"/>
      <c r="V953" s="93"/>
      <c r="W953" s="85"/>
      <c r="Y953" s="94"/>
      <c r="Z953" s="93"/>
      <c r="AA953" s="85"/>
      <c r="AC953" s="94"/>
      <c r="AD953" s="93"/>
      <c r="AE953" s="85"/>
    </row>
    <row r="954" spans="7:31" ht="14.5" customHeight="1" x14ac:dyDescent="0.35">
      <c r="G954" s="85"/>
      <c r="H954" s="87"/>
      <c r="K954" s="85"/>
      <c r="M954" s="94"/>
      <c r="N954" s="93"/>
      <c r="O954" s="85"/>
      <c r="Q954" s="94"/>
      <c r="R954" s="93"/>
      <c r="S954" s="85"/>
      <c r="U954" s="94"/>
      <c r="V954" s="93"/>
      <c r="W954" s="85"/>
      <c r="Y954" s="94"/>
      <c r="Z954" s="93"/>
      <c r="AA954" s="85"/>
      <c r="AC954" s="94"/>
      <c r="AD954" s="93"/>
      <c r="AE954" s="85"/>
    </row>
    <row r="955" spans="7:31" ht="14.5" customHeight="1" x14ac:dyDescent="0.35">
      <c r="G955" s="85"/>
      <c r="H955" s="87"/>
      <c r="K955" s="85"/>
      <c r="M955" s="94"/>
      <c r="N955" s="93"/>
      <c r="O955" s="85"/>
      <c r="Q955" s="94"/>
      <c r="R955" s="93"/>
      <c r="S955" s="85"/>
      <c r="U955" s="94"/>
      <c r="V955" s="93"/>
      <c r="W955" s="85"/>
      <c r="Y955" s="94"/>
      <c r="Z955" s="93"/>
      <c r="AA955" s="85"/>
      <c r="AC955" s="94"/>
      <c r="AD955" s="93"/>
      <c r="AE955" s="85"/>
    </row>
    <row r="956" spans="7:31" ht="14.5" customHeight="1" x14ac:dyDescent="0.35">
      <c r="G956" s="85"/>
      <c r="H956" s="87"/>
      <c r="K956" s="85"/>
      <c r="M956" s="94"/>
      <c r="N956" s="93"/>
      <c r="O956" s="85"/>
      <c r="Q956" s="94"/>
      <c r="R956" s="93"/>
      <c r="S956" s="85"/>
      <c r="U956" s="94"/>
      <c r="V956" s="93"/>
      <c r="W956" s="85"/>
      <c r="Y956" s="94"/>
      <c r="Z956" s="93"/>
      <c r="AA956" s="85"/>
      <c r="AC956" s="94"/>
      <c r="AD956" s="93"/>
      <c r="AE956" s="85"/>
    </row>
    <row r="957" spans="7:31" ht="14.5" customHeight="1" x14ac:dyDescent="0.35">
      <c r="G957" s="85"/>
      <c r="H957" s="87"/>
      <c r="K957" s="85"/>
      <c r="M957" s="94"/>
      <c r="N957" s="93"/>
      <c r="O957" s="85"/>
      <c r="Q957" s="94"/>
      <c r="R957" s="93"/>
      <c r="S957" s="85"/>
      <c r="U957" s="94"/>
      <c r="V957" s="93"/>
      <c r="W957" s="85"/>
      <c r="Y957" s="94"/>
      <c r="Z957" s="93"/>
      <c r="AA957" s="85"/>
      <c r="AC957" s="94"/>
      <c r="AD957" s="93"/>
      <c r="AE957" s="85"/>
    </row>
    <row r="958" spans="7:31" ht="14.5" customHeight="1" x14ac:dyDescent="0.35">
      <c r="G958" s="85"/>
      <c r="H958" s="87"/>
      <c r="K958" s="85"/>
      <c r="M958" s="94"/>
      <c r="N958" s="93"/>
      <c r="O958" s="85"/>
      <c r="Q958" s="94"/>
      <c r="R958" s="93"/>
      <c r="S958" s="85"/>
      <c r="U958" s="94"/>
      <c r="V958" s="93"/>
      <c r="W958" s="85"/>
      <c r="Y958" s="94"/>
      <c r="Z958" s="93"/>
      <c r="AA958" s="85"/>
      <c r="AC958" s="94"/>
      <c r="AD958" s="93"/>
      <c r="AE958" s="85"/>
    </row>
    <row r="959" spans="7:31" ht="14.5" customHeight="1" x14ac:dyDescent="0.35">
      <c r="G959" s="85"/>
      <c r="H959" s="87"/>
      <c r="K959" s="85"/>
      <c r="M959" s="94"/>
      <c r="N959" s="93"/>
      <c r="O959" s="85"/>
      <c r="Q959" s="94"/>
      <c r="R959" s="93"/>
      <c r="S959" s="85"/>
      <c r="U959" s="94"/>
      <c r="V959" s="93"/>
      <c r="W959" s="85"/>
      <c r="Y959" s="94"/>
      <c r="Z959" s="93"/>
      <c r="AA959" s="85"/>
      <c r="AC959" s="94"/>
      <c r="AD959" s="93"/>
      <c r="AE959" s="85"/>
    </row>
    <row r="960" spans="7:31" ht="14.5" customHeight="1" x14ac:dyDescent="0.35">
      <c r="G960" s="85"/>
      <c r="H960" s="87"/>
      <c r="K960" s="85"/>
      <c r="M960" s="94"/>
      <c r="N960" s="93"/>
      <c r="O960" s="85"/>
      <c r="Q960" s="94"/>
      <c r="R960" s="93"/>
      <c r="S960" s="85"/>
      <c r="U960" s="94"/>
      <c r="V960" s="93"/>
      <c r="W960" s="85"/>
      <c r="Y960" s="94"/>
      <c r="Z960" s="93"/>
      <c r="AA960" s="85"/>
      <c r="AC960" s="94"/>
      <c r="AD960" s="93"/>
      <c r="AE960" s="85"/>
    </row>
    <row r="961" spans="7:31" ht="14.5" customHeight="1" x14ac:dyDescent="0.35">
      <c r="G961" s="85"/>
      <c r="H961" s="87"/>
      <c r="K961" s="85"/>
      <c r="M961" s="94"/>
      <c r="N961" s="93"/>
      <c r="O961" s="85"/>
      <c r="Q961" s="94"/>
      <c r="R961" s="93"/>
      <c r="S961" s="85"/>
      <c r="U961" s="94"/>
      <c r="V961" s="93"/>
      <c r="W961" s="85"/>
      <c r="Y961" s="94"/>
      <c r="Z961" s="93"/>
      <c r="AA961" s="85"/>
      <c r="AC961" s="94"/>
      <c r="AD961" s="93"/>
      <c r="AE961" s="85"/>
    </row>
    <row r="962" spans="7:31" ht="14.5" customHeight="1" x14ac:dyDescent="0.35">
      <c r="G962" s="85"/>
      <c r="H962" s="87"/>
      <c r="K962" s="85"/>
      <c r="M962" s="94"/>
      <c r="N962" s="93"/>
      <c r="O962" s="85"/>
      <c r="Q962" s="94"/>
      <c r="R962" s="93"/>
      <c r="S962" s="85"/>
      <c r="U962" s="94"/>
      <c r="V962" s="93"/>
      <c r="W962" s="85"/>
      <c r="Y962" s="94"/>
      <c r="Z962" s="93"/>
      <c r="AA962" s="85"/>
      <c r="AC962" s="94"/>
      <c r="AD962" s="93"/>
      <c r="AE962" s="85"/>
    </row>
    <row r="963" spans="7:31" ht="14.5" customHeight="1" x14ac:dyDescent="0.35">
      <c r="G963" s="85"/>
      <c r="H963" s="87"/>
      <c r="K963" s="85"/>
      <c r="M963" s="94"/>
      <c r="N963" s="93"/>
      <c r="O963" s="85"/>
      <c r="Q963" s="94"/>
      <c r="R963" s="93"/>
      <c r="S963" s="85"/>
      <c r="U963" s="94"/>
      <c r="V963" s="93"/>
      <c r="W963" s="85"/>
      <c r="Y963" s="94"/>
      <c r="Z963" s="93"/>
      <c r="AA963" s="85"/>
      <c r="AC963" s="94"/>
      <c r="AD963" s="93"/>
      <c r="AE963" s="85"/>
    </row>
    <row r="964" spans="7:31" ht="14.5" customHeight="1" x14ac:dyDescent="0.35">
      <c r="G964" s="85"/>
      <c r="H964" s="87"/>
      <c r="K964" s="85"/>
      <c r="M964" s="94"/>
      <c r="N964" s="93"/>
      <c r="O964" s="85"/>
      <c r="Q964" s="94"/>
      <c r="R964" s="93"/>
      <c r="S964" s="85"/>
      <c r="U964" s="94"/>
      <c r="V964" s="93"/>
      <c r="W964" s="85"/>
      <c r="Y964" s="94"/>
      <c r="Z964" s="93"/>
      <c r="AA964" s="85"/>
      <c r="AC964" s="94"/>
      <c r="AD964" s="93"/>
      <c r="AE964" s="85"/>
    </row>
    <row r="965" spans="7:31" ht="14.5" customHeight="1" x14ac:dyDescent="0.35">
      <c r="G965" s="85"/>
      <c r="H965" s="87"/>
      <c r="K965" s="85"/>
      <c r="M965" s="94"/>
      <c r="N965" s="93"/>
      <c r="O965" s="85"/>
      <c r="Q965" s="94"/>
      <c r="R965" s="93"/>
      <c r="S965" s="85"/>
      <c r="U965" s="94"/>
      <c r="V965" s="93"/>
      <c r="W965" s="85"/>
      <c r="Y965" s="94"/>
      <c r="Z965" s="93"/>
      <c r="AA965" s="85"/>
      <c r="AC965" s="94"/>
      <c r="AD965" s="93"/>
      <c r="AE965" s="85"/>
    </row>
    <row r="966" spans="7:31" ht="14.5" customHeight="1" x14ac:dyDescent="0.35">
      <c r="G966" s="85"/>
      <c r="H966" s="87"/>
      <c r="K966" s="85"/>
      <c r="M966" s="94"/>
      <c r="N966" s="93"/>
      <c r="O966" s="85"/>
      <c r="Q966" s="94"/>
      <c r="R966" s="93"/>
      <c r="S966" s="85"/>
      <c r="U966" s="94"/>
      <c r="V966" s="93"/>
      <c r="W966" s="85"/>
      <c r="Y966" s="94"/>
      <c r="Z966" s="93"/>
      <c r="AA966" s="85"/>
      <c r="AC966" s="94"/>
      <c r="AD966" s="93"/>
      <c r="AE966" s="85"/>
    </row>
    <row r="967" spans="7:31" ht="14.5" customHeight="1" x14ac:dyDescent="0.35">
      <c r="G967" s="85"/>
      <c r="H967" s="87"/>
      <c r="K967" s="85"/>
      <c r="M967" s="94"/>
      <c r="N967" s="93"/>
      <c r="O967" s="85"/>
      <c r="Q967" s="94"/>
      <c r="R967" s="93"/>
      <c r="S967" s="85"/>
      <c r="U967" s="94"/>
      <c r="V967" s="93"/>
      <c r="W967" s="85"/>
      <c r="Y967" s="94"/>
      <c r="Z967" s="93"/>
      <c r="AA967" s="85"/>
      <c r="AC967" s="94"/>
      <c r="AD967" s="93"/>
      <c r="AE967" s="85"/>
    </row>
    <row r="968" spans="7:31" ht="14.5" customHeight="1" x14ac:dyDescent="0.35">
      <c r="G968" s="85"/>
      <c r="H968" s="87"/>
      <c r="K968" s="85"/>
      <c r="M968" s="94"/>
      <c r="N968" s="93"/>
      <c r="O968" s="85"/>
      <c r="Q968" s="94"/>
      <c r="R968" s="93"/>
      <c r="S968" s="85"/>
      <c r="U968" s="94"/>
      <c r="V968" s="93"/>
      <c r="W968" s="85"/>
      <c r="Y968" s="94"/>
      <c r="Z968" s="93"/>
      <c r="AA968" s="85"/>
      <c r="AC968" s="94"/>
      <c r="AD968" s="93"/>
      <c r="AE968" s="85"/>
    </row>
    <row r="969" spans="7:31" ht="14.5" customHeight="1" x14ac:dyDescent="0.35">
      <c r="G969" s="85"/>
      <c r="H969" s="87"/>
      <c r="K969" s="85"/>
      <c r="M969" s="94"/>
      <c r="N969" s="93"/>
      <c r="O969" s="85"/>
      <c r="Q969" s="94"/>
      <c r="R969" s="93"/>
      <c r="S969" s="85"/>
      <c r="U969" s="94"/>
      <c r="V969" s="93"/>
      <c r="W969" s="85"/>
      <c r="Y969" s="94"/>
      <c r="Z969" s="93"/>
      <c r="AA969" s="85"/>
      <c r="AC969" s="94"/>
      <c r="AD969" s="93"/>
      <c r="AE969" s="85"/>
    </row>
    <row r="970" spans="7:31" ht="14.5" customHeight="1" x14ac:dyDescent="0.35">
      <c r="G970" s="85"/>
      <c r="H970" s="87"/>
      <c r="K970" s="85"/>
      <c r="M970" s="94"/>
      <c r="N970" s="93"/>
      <c r="O970" s="85"/>
      <c r="Q970" s="94"/>
      <c r="R970" s="93"/>
      <c r="S970" s="85"/>
      <c r="U970" s="94"/>
      <c r="V970" s="93"/>
      <c r="W970" s="85"/>
      <c r="Y970" s="94"/>
      <c r="Z970" s="93"/>
      <c r="AA970" s="85"/>
      <c r="AC970" s="94"/>
      <c r="AD970" s="93"/>
      <c r="AE970" s="85"/>
    </row>
    <row r="971" spans="7:31" ht="14.5" customHeight="1" x14ac:dyDescent="0.35">
      <c r="G971" s="85"/>
      <c r="H971" s="87"/>
      <c r="K971" s="85"/>
      <c r="M971" s="94"/>
      <c r="N971" s="93"/>
      <c r="O971" s="85"/>
      <c r="Q971" s="94"/>
      <c r="R971" s="93"/>
      <c r="S971" s="85"/>
      <c r="U971" s="94"/>
      <c r="V971" s="93"/>
      <c r="W971" s="85"/>
      <c r="Y971" s="94"/>
      <c r="Z971" s="93"/>
      <c r="AA971" s="85"/>
      <c r="AC971" s="94"/>
      <c r="AD971" s="93"/>
      <c r="AE971" s="85"/>
    </row>
    <row r="972" spans="7:31" ht="14.5" customHeight="1" x14ac:dyDescent="0.35">
      <c r="G972" s="85"/>
      <c r="H972" s="87"/>
      <c r="K972" s="85"/>
      <c r="M972" s="94"/>
      <c r="N972" s="93"/>
      <c r="O972" s="85"/>
      <c r="Q972" s="94"/>
      <c r="R972" s="93"/>
      <c r="S972" s="85"/>
      <c r="U972" s="94"/>
      <c r="V972" s="93"/>
      <c r="W972" s="85"/>
      <c r="Y972" s="94"/>
      <c r="Z972" s="93"/>
      <c r="AA972" s="85"/>
      <c r="AC972" s="94"/>
      <c r="AD972" s="93"/>
      <c r="AE972" s="85"/>
    </row>
    <row r="973" spans="7:31" ht="14.5" customHeight="1" x14ac:dyDescent="0.35">
      <c r="G973" s="85"/>
      <c r="H973" s="87"/>
      <c r="K973" s="85"/>
      <c r="M973" s="94"/>
      <c r="N973" s="93"/>
      <c r="O973" s="85"/>
      <c r="Q973" s="94"/>
      <c r="R973" s="93"/>
      <c r="S973" s="85"/>
      <c r="U973" s="94"/>
      <c r="V973" s="93"/>
      <c r="W973" s="85"/>
      <c r="Y973" s="94"/>
      <c r="Z973" s="93"/>
      <c r="AA973" s="85"/>
      <c r="AC973" s="94"/>
      <c r="AD973" s="93"/>
      <c r="AE973" s="85"/>
    </row>
    <row r="974" spans="7:31" ht="14.5" customHeight="1" x14ac:dyDescent="0.35">
      <c r="G974" s="85"/>
      <c r="H974" s="87"/>
      <c r="K974" s="85"/>
      <c r="M974" s="94"/>
      <c r="N974" s="93"/>
      <c r="O974" s="85"/>
      <c r="Q974" s="94"/>
      <c r="R974" s="93"/>
      <c r="S974" s="85"/>
      <c r="U974" s="94"/>
      <c r="V974" s="93"/>
      <c r="W974" s="85"/>
      <c r="Y974" s="94"/>
      <c r="Z974" s="93"/>
      <c r="AA974" s="85"/>
      <c r="AC974" s="94"/>
      <c r="AD974" s="93"/>
      <c r="AE974" s="85"/>
    </row>
    <row r="975" spans="7:31" ht="14.5" customHeight="1" x14ac:dyDescent="0.35">
      <c r="G975" s="85"/>
      <c r="H975" s="87"/>
      <c r="K975" s="85"/>
      <c r="M975" s="94"/>
      <c r="N975" s="93"/>
      <c r="O975" s="85"/>
      <c r="Q975" s="94"/>
      <c r="R975" s="93"/>
      <c r="S975" s="85"/>
      <c r="U975" s="94"/>
      <c r="V975" s="93"/>
      <c r="W975" s="85"/>
      <c r="Y975" s="94"/>
      <c r="Z975" s="93"/>
      <c r="AA975" s="85"/>
      <c r="AC975" s="94"/>
      <c r="AD975" s="93"/>
      <c r="AE975" s="85"/>
    </row>
    <row r="976" spans="7:31" ht="14.5" customHeight="1" x14ac:dyDescent="0.35">
      <c r="G976" s="85"/>
      <c r="H976" s="87"/>
      <c r="K976" s="85"/>
      <c r="M976" s="94"/>
      <c r="N976" s="93"/>
      <c r="O976" s="85"/>
      <c r="Q976" s="94"/>
      <c r="R976" s="93"/>
      <c r="S976" s="85"/>
      <c r="U976" s="94"/>
      <c r="V976" s="93"/>
      <c r="W976" s="85"/>
      <c r="Y976" s="94"/>
      <c r="Z976" s="93"/>
      <c r="AA976" s="85"/>
      <c r="AC976" s="94"/>
      <c r="AD976" s="93"/>
      <c r="AE976" s="85"/>
    </row>
    <row r="977" spans="7:31" ht="14.5" customHeight="1" x14ac:dyDescent="0.35">
      <c r="G977" s="85"/>
      <c r="H977" s="87"/>
      <c r="K977" s="85"/>
      <c r="M977" s="94"/>
      <c r="N977" s="93"/>
      <c r="O977" s="85"/>
      <c r="Q977" s="94"/>
      <c r="R977" s="93"/>
      <c r="S977" s="85"/>
      <c r="U977" s="94"/>
      <c r="V977" s="93"/>
      <c r="W977" s="85"/>
      <c r="Y977" s="94"/>
      <c r="Z977" s="93"/>
      <c r="AA977" s="85"/>
      <c r="AC977" s="94"/>
      <c r="AD977" s="93"/>
      <c r="AE977" s="85"/>
    </row>
    <row r="978" spans="7:31" ht="14.5" customHeight="1" x14ac:dyDescent="0.35">
      <c r="G978" s="85"/>
      <c r="H978" s="87"/>
      <c r="K978" s="85"/>
      <c r="M978" s="94"/>
      <c r="N978" s="93"/>
      <c r="O978" s="85"/>
      <c r="Q978" s="94"/>
      <c r="R978" s="93"/>
      <c r="S978" s="85"/>
      <c r="U978" s="94"/>
      <c r="V978" s="93"/>
      <c r="W978" s="85"/>
      <c r="Y978" s="94"/>
      <c r="Z978" s="93"/>
      <c r="AA978" s="85"/>
      <c r="AC978" s="94"/>
      <c r="AD978" s="93"/>
      <c r="AE978" s="85"/>
    </row>
    <row r="979" spans="7:31" ht="14.5" customHeight="1" x14ac:dyDescent="0.35">
      <c r="G979" s="85"/>
      <c r="H979" s="87"/>
      <c r="K979" s="85"/>
      <c r="M979" s="94"/>
      <c r="N979" s="93"/>
      <c r="O979" s="85"/>
      <c r="Q979" s="94"/>
      <c r="R979" s="93"/>
      <c r="S979" s="85"/>
      <c r="U979" s="94"/>
      <c r="V979" s="93"/>
      <c r="W979" s="85"/>
      <c r="Y979" s="94"/>
      <c r="Z979" s="93"/>
      <c r="AA979" s="85"/>
      <c r="AC979" s="94"/>
      <c r="AD979" s="93"/>
      <c r="AE979" s="85"/>
    </row>
    <row r="980" spans="7:31" ht="14.5" customHeight="1" x14ac:dyDescent="0.35">
      <c r="G980" s="85"/>
      <c r="H980" s="87"/>
      <c r="K980" s="85"/>
      <c r="M980" s="94"/>
      <c r="N980" s="93"/>
      <c r="O980" s="85"/>
      <c r="Q980" s="94"/>
      <c r="R980" s="93"/>
      <c r="S980" s="85"/>
      <c r="U980" s="94"/>
      <c r="V980" s="93"/>
      <c r="W980" s="85"/>
      <c r="Y980" s="94"/>
      <c r="Z980" s="93"/>
      <c r="AA980" s="85"/>
      <c r="AC980" s="94"/>
      <c r="AD980" s="93"/>
      <c r="AE980" s="85"/>
    </row>
    <row r="981" spans="7:31" ht="14.5" customHeight="1" x14ac:dyDescent="0.35">
      <c r="G981" s="85"/>
      <c r="H981" s="87"/>
      <c r="K981" s="85"/>
      <c r="M981" s="94"/>
      <c r="N981" s="93"/>
      <c r="O981" s="85"/>
      <c r="Q981" s="94"/>
      <c r="R981" s="93"/>
      <c r="S981" s="85"/>
      <c r="U981" s="94"/>
      <c r="V981" s="93"/>
      <c r="W981" s="85"/>
      <c r="Y981" s="94"/>
      <c r="Z981" s="93"/>
      <c r="AA981" s="85"/>
      <c r="AC981" s="94"/>
      <c r="AD981" s="93"/>
      <c r="AE981" s="85"/>
    </row>
    <row r="982" spans="7:31" ht="14.5" customHeight="1" x14ac:dyDescent="0.35">
      <c r="G982" s="85"/>
      <c r="H982" s="87"/>
      <c r="K982" s="85"/>
      <c r="M982" s="94"/>
      <c r="N982" s="93"/>
      <c r="O982" s="85"/>
      <c r="Q982" s="94"/>
      <c r="R982" s="93"/>
      <c r="S982" s="85"/>
      <c r="U982" s="94"/>
      <c r="V982" s="93"/>
      <c r="W982" s="85"/>
      <c r="Y982" s="94"/>
      <c r="Z982" s="93"/>
      <c r="AA982" s="85"/>
      <c r="AC982" s="94"/>
      <c r="AD982" s="93"/>
      <c r="AE982" s="85"/>
    </row>
    <row r="983" spans="7:31" ht="14.5" customHeight="1" x14ac:dyDescent="0.35">
      <c r="G983" s="85"/>
      <c r="H983" s="87"/>
      <c r="K983" s="85"/>
      <c r="M983" s="94"/>
      <c r="N983" s="93"/>
      <c r="O983" s="85"/>
      <c r="Q983" s="94"/>
      <c r="R983" s="93"/>
      <c r="S983" s="85"/>
      <c r="U983" s="94"/>
      <c r="V983" s="93"/>
      <c r="W983" s="85"/>
      <c r="Y983" s="94"/>
      <c r="Z983" s="93"/>
      <c r="AA983" s="85"/>
      <c r="AC983" s="94"/>
      <c r="AD983" s="93"/>
      <c r="AE983" s="85"/>
    </row>
    <row r="984" spans="7:31" ht="14.5" customHeight="1" x14ac:dyDescent="0.35">
      <c r="G984" s="85"/>
      <c r="H984" s="87"/>
      <c r="K984" s="85"/>
      <c r="M984" s="94"/>
      <c r="N984" s="93"/>
      <c r="O984" s="85"/>
      <c r="Q984" s="94"/>
      <c r="R984" s="93"/>
      <c r="S984" s="85"/>
      <c r="U984" s="94"/>
      <c r="V984" s="93"/>
      <c r="W984" s="85"/>
      <c r="Y984" s="94"/>
      <c r="Z984" s="93"/>
      <c r="AA984" s="85"/>
      <c r="AC984" s="94"/>
      <c r="AD984" s="93"/>
      <c r="AE984" s="85"/>
    </row>
    <row r="985" spans="7:31" ht="14.5" customHeight="1" x14ac:dyDescent="0.35">
      <c r="G985" s="85"/>
      <c r="H985" s="87"/>
      <c r="K985" s="85"/>
      <c r="M985" s="94"/>
      <c r="N985" s="93"/>
      <c r="O985" s="85"/>
      <c r="Q985" s="94"/>
      <c r="R985" s="93"/>
      <c r="S985" s="85"/>
      <c r="U985" s="94"/>
      <c r="V985" s="93"/>
      <c r="W985" s="85"/>
      <c r="Y985" s="94"/>
      <c r="Z985" s="93"/>
      <c r="AA985" s="85"/>
      <c r="AC985" s="94"/>
      <c r="AD985" s="93"/>
      <c r="AE985" s="85"/>
    </row>
    <row r="986" spans="7:31" ht="14.5" customHeight="1" x14ac:dyDescent="0.35">
      <c r="G986" s="85"/>
      <c r="H986" s="87"/>
      <c r="K986" s="85"/>
      <c r="M986" s="94"/>
      <c r="N986" s="93"/>
      <c r="O986" s="85"/>
      <c r="Q986" s="94"/>
      <c r="R986" s="93"/>
      <c r="S986" s="85"/>
      <c r="U986" s="94"/>
      <c r="V986" s="93"/>
      <c r="W986" s="85"/>
      <c r="Y986" s="94"/>
      <c r="Z986" s="93"/>
      <c r="AA986" s="85"/>
      <c r="AC986" s="94"/>
      <c r="AD986" s="93"/>
      <c r="AE986" s="85"/>
    </row>
    <row r="987" spans="7:31" ht="14.5" customHeight="1" x14ac:dyDescent="0.35">
      <c r="G987" s="85"/>
      <c r="H987" s="87"/>
      <c r="K987" s="85"/>
      <c r="M987" s="94"/>
      <c r="N987" s="93"/>
      <c r="O987" s="85"/>
      <c r="Q987" s="94"/>
      <c r="R987" s="93"/>
      <c r="S987" s="85"/>
      <c r="U987" s="94"/>
      <c r="V987" s="93"/>
      <c r="W987" s="85"/>
      <c r="Y987" s="94"/>
      <c r="Z987" s="93"/>
      <c r="AA987" s="85"/>
      <c r="AC987" s="94"/>
      <c r="AD987" s="93"/>
      <c r="AE987" s="85"/>
    </row>
    <row r="988" spans="7:31" ht="14.5" customHeight="1" x14ac:dyDescent="0.35">
      <c r="G988" s="85"/>
      <c r="H988" s="87"/>
      <c r="K988" s="85"/>
      <c r="M988" s="94"/>
      <c r="N988" s="93"/>
      <c r="O988" s="85"/>
      <c r="Q988" s="94"/>
      <c r="R988" s="93"/>
      <c r="S988" s="85"/>
      <c r="U988" s="94"/>
      <c r="V988" s="93"/>
      <c r="W988" s="85"/>
      <c r="Y988" s="94"/>
      <c r="Z988" s="93"/>
      <c r="AA988" s="85"/>
      <c r="AC988" s="94"/>
      <c r="AD988" s="93"/>
      <c r="AE988" s="85"/>
    </row>
    <row r="989" spans="7:31" ht="14.5" customHeight="1" x14ac:dyDescent="0.35">
      <c r="G989" s="85"/>
      <c r="H989" s="87"/>
      <c r="K989" s="85"/>
      <c r="M989" s="94"/>
      <c r="N989" s="93"/>
      <c r="O989" s="85"/>
      <c r="Q989" s="94"/>
      <c r="R989" s="93"/>
      <c r="S989" s="85"/>
      <c r="U989" s="94"/>
      <c r="V989" s="93"/>
      <c r="W989" s="85"/>
      <c r="Y989" s="94"/>
      <c r="Z989" s="93"/>
      <c r="AA989" s="85"/>
      <c r="AC989" s="94"/>
      <c r="AD989" s="93"/>
      <c r="AE989" s="85"/>
    </row>
    <row r="990" spans="7:31" ht="14.5" customHeight="1" x14ac:dyDescent="0.35">
      <c r="G990" s="85"/>
      <c r="H990" s="87"/>
      <c r="K990" s="85"/>
      <c r="M990" s="94"/>
      <c r="N990" s="93"/>
      <c r="O990" s="85"/>
      <c r="Q990" s="94"/>
      <c r="R990" s="93"/>
      <c r="S990" s="85"/>
      <c r="U990" s="94"/>
      <c r="V990" s="93"/>
      <c r="W990" s="85"/>
      <c r="Y990" s="94"/>
      <c r="Z990" s="93"/>
      <c r="AA990" s="85"/>
      <c r="AC990" s="94"/>
      <c r="AD990" s="93"/>
      <c r="AE990" s="85"/>
    </row>
    <row r="991" spans="7:31" ht="14.5" customHeight="1" x14ac:dyDescent="0.35">
      <c r="G991" s="85"/>
      <c r="H991" s="87"/>
      <c r="K991" s="85"/>
      <c r="M991" s="94"/>
      <c r="N991" s="93"/>
      <c r="O991" s="85"/>
      <c r="Q991" s="94"/>
      <c r="R991" s="93"/>
      <c r="S991" s="85"/>
      <c r="U991" s="94"/>
      <c r="V991" s="93"/>
      <c r="W991" s="85"/>
      <c r="Y991" s="94"/>
      <c r="Z991" s="93"/>
      <c r="AA991" s="85"/>
      <c r="AC991" s="94"/>
      <c r="AD991" s="93"/>
      <c r="AE991" s="85"/>
    </row>
    <row r="992" spans="7:31" ht="14.5" customHeight="1" x14ac:dyDescent="0.35">
      <c r="G992" s="85"/>
      <c r="H992" s="87"/>
      <c r="K992" s="85"/>
      <c r="M992" s="94"/>
      <c r="N992" s="93"/>
      <c r="O992" s="85"/>
      <c r="Q992" s="94"/>
      <c r="R992" s="93"/>
      <c r="S992" s="85"/>
      <c r="U992" s="94"/>
      <c r="V992" s="93"/>
      <c r="W992" s="85"/>
      <c r="Y992" s="94"/>
      <c r="Z992" s="93"/>
      <c r="AA992" s="85"/>
      <c r="AC992" s="94"/>
      <c r="AD992" s="93"/>
      <c r="AE992" s="85"/>
    </row>
    <row r="993" spans="7:31" ht="14.5" customHeight="1" x14ac:dyDescent="0.35">
      <c r="G993" s="85"/>
      <c r="H993" s="87"/>
      <c r="K993" s="85"/>
      <c r="M993" s="94"/>
      <c r="N993" s="93"/>
      <c r="O993" s="85"/>
      <c r="Q993" s="94"/>
      <c r="R993" s="93"/>
      <c r="S993" s="85"/>
      <c r="U993" s="94"/>
      <c r="V993" s="93"/>
      <c r="W993" s="85"/>
      <c r="Y993" s="94"/>
      <c r="Z993" s="93"/>
      <c r="AA993" s="85"/>
      <c r="AC993" s="94"/>
      <c r="AD993" s="93"/>
      <c r="AE993" s="85"/>
    </row>
    <row r="994" spans="7:31" ht="14.5" customHeight="1" x14ac:dyDescent="0.35">
      <c r="G994" s="85"/>
      <c r="H994" s="87"/>
      <c r="K994" s="85"/>
      <c r="M994" s="94"/>
      <c r="N994" s="93"/>
      <c r="O994" s="85"/>
      <c r="Q994" s="94"/>
      <c r="R994" s="93"/>
      <c r="S994" s="85"/>
      <c r="U994" s="94"/>
      <c r="V994" s="93"/>
      <c r="W994" s="85"/>
      <c r="Y994" s="94"/>
      <c r="Z994" s="93"/>
      <c r="AA994" s="85"/>
      <c r="AC994" s="94"/>
      <c r="AD994" s="93"/>
      <c r="AE994" s="85"/>
    </row>
    <row r="995" spans="7:31" ht="14.5" customHeight="1" x14ac:dyDescent="0.35">
      <c r="G995" s="85"/>
      <c r="H995" s="87"/>
      <c r="K995" s="85"/>
      <c r="M995" s="94"/>
      <c r="N995" s="93"/>
      <c r="O995" s="85"/>
      <c r="Q995" s="94"/>
      <c r="R995" s="93"/>
      <c r="S995" s="85"/>
      <c r="U995" s="94"/>
      <c r="V995" s="93"/>
      <c r="W995" s="85"/>
      <c r="Y995" s="94"/>
      <c r="Z995" s="93"/>
      <c r="AA995" s="85"/>
      <c r="AC995" s="94"/>
      <c r="AD995" s="93"/>
      <c r="AE995" s="85"/>
    </row>
    <row r="996" spans="7:31" ht="14.5" customHeight="1" x14ac:dyDescent="0.35">
      <c r="G996" s="85"/>
      <c r="H996" s="87"/>
      <c r="K996" s="85"/>
      <c r="M996" s="94"/>
      <c r="N996" s="93"/>
      <c r="O996" s="85"/>
      <c r="Q996" s="94"/>
      <c r="R996" s="93"/>
      <c r="S996" s="85"/>
      <c r="U996" s="94"/>
      <c r="V996" s="93"/>
      <c r="W996" s="85"/>
      <c r="Y996" s="94"/>
      <c r="Z996" s="93"/>
      <c r="AA996" s="85"/>
      <c r="AC996" s="94"/>
      <c r="AD996" s="93"/>
      <c r="AE996" s="85"/>
    </row>
    <row r="997" spans="7:31" ht="14.5" customHeight="1" x14ac:dyDescent="0.35">
      <c r="G997" s="85"/>
      <c r="H997" s="87"/>
      <c r="K997" s="85"/>
      <c r="M997" s="94"/>
      <c r="N997" s="93"/>
      <c r="O997" s="85"/>
      <c r="Q997" s="94"/>
      <c r="R997" s="93"/>
      <c r="S997" s="85"/>
      <c r="U997" s="94"/>
      <c r="V997" s="93"/>
      <c r="W997" s="85"/>
      <c r="Y997" s="94"/>
      <c r="Z997" s="93"/>
      <c r="AA997" s="85"/>
      <c r="AC997" s="94"/>
      <c r="AD997" s="93"/>
      <c r="AE997" s="85"/>
    </row>
    <row r="998" spans="7:31" ht="14.5" customHeight="1" x14ac:dyDescent="0.35">
      <c r="G998" s="85"/>
      <c r="H998" s="87"/>
      <c r="K998" s="85"/>
      <c r="M998" s="94"/>
      <c r="N998" s="93"/>
      <c r="O998" s="85"/>
      <c r="Q998" s="94"/>
      <c r="R998" s="93"/>
      <c r="S998" s="85"/>
      <c r="U998" s="94"/>
      <c r="V998" s="93"/>
      <c r="W998" s="85"/>
      <c r="Y998" s="94"/>
      <c r="Z998" s="93"/>
      <c r="AA998" s="85"/>
      <c r="AC998" s="94"/>
      <c r="AD998" s="93"/>
      <c r="AE998" s="85"/>
    </row>
    <row r="999" spans="7:31" ht="14.5" customHeight="1" x14ac:dyDescent="0.35">
      <c r="G999" s="85"/>
      <c r="H999" s="87"/>
      <c r="K999" s="85"/>
      <c r="M999" s="94"/>
      <c r="N999" s="93"/>
      <c r="O999" s="85"/>
      <c r="Q999" s="94"/>
      <c r="R999" s="93"/>
      <c r="S999" s="85"/>
      <c r="U999" s="94"/>
      <c r="V999" s="93"/>
      <c r="W999" s="85"/>
      <c r="Y999" s="94"/>
      <c r="Z999" s="93"/>
      <c r="AA999" s="85"/>
      <c r="AC999" s="94"/>
      <c r="AD999" s="93"/>
      <c r="AE999" s="85"/>
    </row>
    <row r="1000" spans="7:31" ht="14.5" customHeight="1" x14ac:dyDescent="0.35">
      <c r="G1000" s="85"/>
      <c r="H1000" s="87"/>
      <c r="K1000" s="85"/>
      <c r="M1000" s="94"/>
      <c r="N1000" s="93"/>
      <c r="O1000" s="85"/>
      <c r="Q1000" s="94"/>
      <c r="R1000" s="93"/>
      <c r="S1000" s="85"/>
      <c r="U1000" s="94"/>
      <c r="V1000" s="93"/>
      <c r="W1000" s="85"/>
      <c r="Y1000" s="94"/>
      <c r="Z1000" s="93"/>
      <c r="AA1000" s="85"/>
      <c r="AC1000" s="94"/>
      <c r="AD1000" s="93"/>
      <c r="AE1000" s="85"/>
    </row>
    <row r="1001" spans="7:31" ht="14.5" customHeight="1" x14ac:dyDescent="0.35">
      <c r="G1001" s="85"/>
      <c r="H1001" s="87"/>
      <c r="K1001" s="85"/>
      <c r="M1001" s="94"/>
      <c r="N1001" s="93"/>
      <c r="O1001" s="85"/>
      <c r="Q1001" s="94"/>
      <c r="R1001" s="93"/>
      <c r="S1001" s="85"/>
      <c r="U1001" s="94"/>
      <c r="V1001" s="93"/>
      <c r="W1001" s="85"/>
      <c r="Y1001" s="94"/>
      <c r="Z1001" s="93"/>
      <c r="AA1001" s="85"/>
      <c r="AC1001" s="94"/>
      <c r="AD1001" s="93"/>
      <c r="AE1001" s="85"/>
    </row>
    <row r="1002" spans="7:31" ht="14.5" customHeight="1" x14ac:dyDescent="0.35">
      <c r="G1002" s="85"/>
      <c r="H1002" s="87"/>
      <c r="K1002" s="85"/>
      <c r="M1002" s="94"/>
      <c r="N1002" s="93"/>
      <c r="O1002" s="85"/>
      <c r="Q1002" s="94"/>
      <c r="R1002" s="93"/>
      <c r="S1002" s="85"/>
      <c r="U1002" s="94"/>
      <c r="V1002" s="93"/>
      <c r="W1002" s="85"/>
      <c r="Y1002" s="94"/>
      <c r="Z1002" s="93"/>
      <c r="AA1002" s="85"/>
      <c r="AC1002" s="94"/>
      <c r="AD1002" s="93"/>
      <c r="AE1002" s="85"/>
    </row>
    <row r="1003" spans="7:31" ht="14.5" customHeight="1" x14ac:dyDescent="0.35">
      <c r="G1003" s="85"/>
      <c r="H1003" s="87"/>
      <c r="K1003" s="85"/>
      <c r="M1003" s="94"/>
      <c r="N1003" s="93"/>
      <c r="O1003" s="85"/>
      <c r="Q1003" s="94"/>
      <c r="R1003" s="93"/>
      <c r="S1003" s="85"/>
      <c r="U1003" s="94"/>
      <c r="V1003" s="93"/>
      <c r="W1003" s="85"/>
      <c r="Y1003" s="94"/>
      <c r="Z1003" s="93"/>
      <c r="AA1003" s="85"/>
      <c r="AC1003" s="94"/>
      <c r="AD1003" s="93"/>
      <c r="AE1003" s="85"/>
    </row>
    <row r="1004" spans="7:31" ht="14.5" customHeight="1" x14ac:dyDescent="0.35">
      <c r="G1004" s="85"/>
      <c r="H1004" s="87"/>
      <c r="K1004" s="85"/>
      <c r="M1004" s="94"/>
      <c r="N1004" s="93"/>
      <c r="O1004" s="85"/>
      <c r="Q1004" s="94"/>
      <c r="R1004" s="93"/>
      <c r="S1004" s="85"/>
      <c r="U1004" s="94"/>
      <c r="V1004" s="93"/>
      <c r="W1004" s="85"/>
      <c r="Y1004" s="94"/>
      <c r="Z1004" s="93"/>
      <c r="AA1004" s="85"/>
      <c r="AC1004" s="94"/>
      <c r="AD1004" s="93"/>
      <c r="AE1004" s="85"/>
    </row>
    <row r="1005" spans="7:31" ht="14.5" customHeight="1" x14ac:dyDescent="0.35">
      <c r="G1005" s="85"/>
      <c r="H1005" s="87"/>
      <c r="K1005" s="85"/>
      <c r="M1005" s="94"/>
      <c r="N1005" s="93"/>
      <c r="O1005" s="85"/>
      <c r="Q1005" s="94"/>
      <c r="R1005" s="93"/>
      <c r="S1005" s="85"/>
      <c r="U1005" s="94"/>
      <c r="V1005" s="93"/>
      <c r="W1005" s="85"/>
      <c r="Y1005" s="94"/>
      <c r="Z1005" s="93"/>
      <c r="AA1005" s="85"/>
      <c r="AC1005" s="94"/>
      <c r="AD1005" s="93"/>
      <c r="AE1005" s="85"/>
    </row>
    <row r="1006" spans="7:31" ht="14.5" customHeight="1" x14ac:dyDescent="0.35">
      <c r="G1006" s="85"/>
      <c r="H1006" s="87"/>
      <c r="K1006" s="85"/>
      <c r="M1006" s="94"/>
      <c r="N1006" s="93"/>
      <c r="O1006" s="85"/>
      <c r="Q1006" s="94"/>
      <c r="R1006" s="93"/>
      <c r="S1006" s="85"/>
      <c r="U1006" s="94"/>
      <c r="V1006" s="93"/>
      <c r="W1006" s="85"/>
      <c r="Y1006" s="94"/>
      <c r="Z1006" s="93"/>
      <c r="AA1006" s="85"/>
      <c r="AC1006" s="94"/>
      <c r="AD1006" s="93"/>
      <c r="AE1006" s="85"/>
    </row>
    <row r="1007" spans="7:31" ht="14.5" customHeight="1" x14ac:dyDescent="0.35">
      <c r="K1007" s="85"/>
    </row>
  </sheetData>
  <conditionalFormatting sqref="A1:AG1048576">
    <cfRule type="expression" dxfId="28" priority="1">
      <formula>$A4="Spend to Date"</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FA1D-0082-4A82-A944-79E25955162C}">
  <sheetPr codeName="Sheet63"/>
  <dimension ref="A1:N99"/>
  <sheetViews>
    <sheetView topLeftCell="A8" zoomScale="40" workbookViewId="0">
      <selection activeCell="V34" sqref="V34"/>
    </sheetView>
  </sheetViews>
  <sheetFormatPr defaultColWidth="9.1796875" defaultRowHeight="15.5" x14ac:dyDescent="0.35"/>
  <cols>
    <col min="1" max="1" width="57" style="59" customWidth="1"/>
    <col min="2" max="2" width="34.1796875" style="65" bestFit="1" customWidth="1"/>
    <col min="3" max="3" width="39" style="65" bestFit="1" customWidth="1"/>
    <col min="4" max="4" width="11.26953125" style="59" bestFit="1" customWidth="1"/>
    <col min="5" max="5" width="31" style="59" customWidth="1"/>
    <col min="6" max="7" width="15.7265625" style="59" bestFit="1" customWidth="1"/>
    <col min="8" max="8" width="30" style="59" customWidth="1"/>
    <col min="9" max="9" width="15.7265625" style="59" bestFit="1" customWidth="1"/>
    <col min="10" max="10" width="48.453125" style="59" customWidth="1"/>
    <col min="11" max="11" width="27.26953125" style="59" customWidth="1"/>
    <col min="12" max="12" width="39.453125" style="59" customWidth="1"/>
    <col min="13" max="13" width="27.1796875" style="59" customWidth="1"/>
    <col min="14" max="14" width="31.1796875" style="59" customWidth="1"/>
    <col min="15" max="16384" width="9.1796875" style="59"/>
  </cols>
  <sheetData>
    <row r="1" spans="1:14" s="55" customFormat="1" ht="156" customHeight="1" x14ac:dyDescent="0.35">
      <c r="A1" s="55" t="s">
        <v>2435</v>
      </c>
      <c r="B1" s="56" t="s">
        <v>2436</v>
      </c>
      <c r="C1" s="57"/>
      <c r="E1" s="56" t="s">
        <v>2437</v>
      </c>
      <c r="H1" s="56" t="s">
        <v>2438</v>
      </c>
      <c r="L1" s="56" t="s">
        <v>2439</v>
      </c>
      <c r="M1" s="58">
        <f>I51</f>
        <v>108007.11000000004</v>
      </c>
      <c r="N1" s="59"/>
    </row>
    <row r="2" spans="1:14" s="55" customFormat="1" x14ac:dyDescent="0.35">
      <c r="B2" s="56"/>
      <c r="C2" s="57"/>
      <c r="L2" s="59"/>
      <c r="M2" s="59"/>
      <c r="N2" s="59"/>
    </row>
    <row r="3" spans="1:14" s="55" customFormat="1" ht="55.5" x14ac:dyDescent="0.35">
      <c r="A3" s="60" t="s">
        <v>2440</v>
      </c>
      <c r="B3" s="57"/>
      <c r="C3" s="57"/>
      <c r="E3" s="60" t="s">
        <v>2441</v>
      </c>
      <c r="F3" s="57"/>
      <c r="G3" s="57"/>
      <c r="L3" s="61" t="s">
        <v>2442</v>
      </c>
      <c r="M3" s="62">
        <v>50000</v>
      </c>
      <c r="N3" s="61"/>
    </row>
    <row r="4" spans="1:14" s="55" customFormat="1" ht="31" x14ac:dyDescent="0.35">
      <c r="A4" s="60"/>
      <c r="B4" s="57"/>
      <c r="C4" s="57"/>
      <c r="E4" s="60"/>
      <c r="F4" s="57"/>
      <c r="G4" s="57"/>
      <c r="L4" s="61" t="s">
        <v>2443</v>
      </c>
      <c r="M4" s="62">
        <v>10000</v>
      </c>
      <c r="N4" s="59"/>
    </row>
    <row r="5" spans="1:14" s="55" customFormat="1" ht="46.5" x14ac:dyDescent="0.35">
      <c r="A5" s="63" t="s">
        <v>2444</v>
      </c>
      <c r="B5" s="57"/>
      <c r="C5" s="60"/>
      <c r="E5" s="63" t="s">
        <v>2444</v>
      </c>
      <c r="F5" s="57"/>
      <c r="G5" s="60"/>
      <c r="H5" s="63" t="s">
        <v>2445</v>
      </c>
      <c r="L5" s="64" t="s">
        <v>2446</v>
      </c>
      <c r="M5" s="58">
        <f>M3-M4</f>
        <v>40000</v>
      </c>
      <c r="N5" s="59"/>
    </row>
    <row r="6" spans="1:14" x14ac:dyDescent="0.35">
      <c r="A6" s="61" t="s">
        <v>2046</v>
      </c>
      <c r="B6" s="65">
        <v>91</v>
      </c>
      <c r="C6" s="61"/>
      <c r="D6" s="65"/>
      <c r="E6" s="61" t="s">
        <v>2046</v>
      </c>
      <c r="F6" s="65">
        <f t="shared" ref="F6:F37" si="0">ROUND((B6*1.056),2)</f>
        <v>96.1</v>
      </c>
      <c r="G6" s="61"/>
      <c r="H6" s="61" t="s">
        <v>2447</v>
      </c>
      <c r="I6" s="65">
        <v>20500</v>
      </c>
    </row>
    <row r="7" spans="1:14" ht="189.75" customHeight="1" x14ac:dyDescent="0.35">
      <c r="A7" s="66" t="s">
        <v>2448</v>
      </c>
      <c r="B7" s="65">
        <v>1143</v>
      </c>
      <c r="C7" s="61"/>
      <c r="D7" s="65"/>
      <c r="E7" s="66" t="s">
        <v>2448</v>
      </c>
      <c r="F7" s="65">
        <f t="shared" si="0"/>
        <v>1207.01</v>
      </c>
      <c r="G7" s="61"/>
      <c r="H7" s="59" t="s">
        <v>2449</v>
      </c>
      <c r="I7" s="65">
        <v>6000</v>
      </c>
      <c r="L7" s="64" t="s">
        <v>2450</v>
      </c>
      <c r="M7" s="58">
        <f>14700+13429.6+33250</f>
        <v>61379.6</v>
      </c>
      <c r="N7" s="61" t="s">
        <v>2451</v>
      </c>
    </row>
    <row r="8" spans="1:14" ht="31" x14ac:dyDescent="0.35">
      <c r="A8" s="66" t="s">
        <v>2452</v>
      </c>
      <c r="B8" s="65">
        <v>1076</v>
      </c>
      <c r="C8" s="61"/>
      <c r="D8" s="65"/>
      <c r="E8" s="66" t="s">
        <v>2452</v>
      </c>
      <c r="F8" s="65">
        <f t="shared" si="0"/>
        <v>1136.26</v>
      </c>
      <c r="G8" s="61"/>
      <c r="H8" s="59" t="s">
        <v>151</v>
      </c>
      <c r="I8" s="65">
        <f>15250*0.499</f>
        <v>7609.75</v>
      </c>
    </row>
    <row r="9" spans="1:14" ht="119.25" customHeight="1" x14ac:dyDescent="0.35">
      <c r="A9" s="66" t="s">
        <v>2453</v>
      </c>
      <c r="B9" s="65">
        <v>265</v>
      </c>
      <c r="C9" s="66"/>
      <c r="D9" s="65"/>
      <c r="E9" s="66" t="s">
        <v>2453</v>
      </c>
      <c r="F9" s="65">
        <f t="shared" si="0"/>
        <v>279.83999999999997</v>
      </c>
      <c r="G9" s="66"/>
      <c r="H9" s="61" t="s">
        <v>2454</v>
      </c>
      <c r="I9" s="65">
        <v>10000</v>
      </c>
      <c r="L9" s="64" t="s">
        <v>2455</v>
      </c>
      <c r="M9" s="58">
        <f>6250+25200+3145</f>
        <v>34595</v>
      </c>
    </row>
    <row r="10" spans="1:14" x14ac:dyDescent="0.35">
      <c r="A10" s="66" t="s">
        <v>2456</v>
      </c>
      <c r="B10" s="65">
        <v>0</v>
      </c>
      <c r="C10" s="66"/>
      <c r="D10" s="65"/>
      <c r="E10" s="66" t="s">
        <v>2456</v>
      </c>
      <c r="F10" s="65">
        <f t="shared" si="0"/>
        <v>0</v>
      </c>
      <c r="G10" s="66"/>
      <c r="H10" s="63" t="s">
        <v>2457</v>
      </c>
      <c r="I10" s="57">
        <f>SUM(I6:I9)</f>
        <v>44109.75</v>
      </c>
    </row>
    <row r="11" spans="1:14" ht="117.75" customHeight="1" x14ac:dyDescent="0.35">
      <c r="A11" s="66" t="s">
        <v>2458</v>
      </c>
      <c r="B11" s="65">
        <v>326</v>
      </c>
      <c r="C11" s="66"/>
      <c r="D11" s="65"/>
      <c r="E11" s="66" t="s">
        <v>2458</v>
      </c>
      <c r="F11" s="65">
        <f t="shared" si="0"/>
        <v>344.26</v>
      </c>
      <c r="G11" s="66"/>
      <c r="H11" s="63"/>
      <c r="L11" s="64" t="s">
        <v>2459</v>
      </c>
      <c r="M11" s="58">
        <v>0</v>
      </c>
    </row>
    <row r="12" spans="1:14" ht="109.5" customHeight="1" x14ac:dyDescent="0.35">
      <c r="A12" s="61" t="s">
        <v>2460</v>
      </c>
      <c r="B12" s="65">
        <v>2914</v>
      </c>
      <c r="C12" s="66"/>
      <c r="D12" s="65"/>
      <c r="E12" s="61" t="s">
        <v>2460</v>
      </c>
      <c r="F12" s="65">
        <f t="shared" si="0"/>
        <v>3077.18</v>
      </c>
      <c r="G12" s="66"/>
      <c r="H12" s="63"/>
    </row>
    <row r="13" spans="1:14" ht="62" x14ac:dyDescent="0.35">
      <c r="A13" s="61" t="s">
        <v>2461</v>
      </c>
      <c r="B13" s="65">
        <v>5124</v>
      </c>
      <c r="E13" s="61" t="s">
        <v>2461</v>
      </c>
      <c r="F13" s="65">
        <f t="shared" si="0"/>
        <v>5410.94</v>
      </c>
      <c r="G13" s="65"/>
      <c r="H13" s="63" t="s">
        <v>2462</v>
      </c>
      <c r="K13" s="61"/>
      <c r="L13" s="64" t="s">
        <v>2463</v>
      </c>
      <c r="M13" s="67">
        <f>M1+M5+M7+M9+M11</f>
        <v>243981.71000000005</v>
      </c>
    </row>
    <row r="14" spans="1:14" ht="31" x14ac:dyDescent="0.35">
      <c r="A14" s="61" t="s">
        <v>2464</v>
      </c>
      <c r="B14" s="65">
        <v>1340</v>
      </c>
      <c r="E14" s="61" t="s">
        <v>2464</v>
      </c>
      <c r="F14" s="65">
        <f t="shared" si="0"/>
        <v>1415.04</v>
      </c>
      <c r="G14" s="65"/>
      <c r="H14" s="59" t="s">
        <v>2465</v>
      </c>
      <c r="I14" s="65">
        <f>(900-550)*12</f>
        <v>4200</v>
      </c>
      <c r="J14" s="61"/>
    </row>
    <row r="15" spans="1:14" ht="46.5" x14ac:dyDescent="0.35">
      <c r="A15" s="61" t="s">
        <v>2466</v>
      </c>
      <c r="B15" s="65">
        <v>5775</v>
      </c>
      <c r="E15" s="61" t="s">
        <v>2466</v>
      </c>
      <c r="F15" s="65">
        <f t="shared" si="0"/>
        <v>6098.4</v>
      </c>
      <c r="G15" s="65"/>
      <c r="H15" s="59" t="s">
        <v>2467</v>
      </c>
      <c r="I15" s="65">
        <f>10500-(5*846)</f>
        <v>6270</v>
      </c>
      <c r="J15" s="61"/>
      <c r="L15" s="64"/>
      <c r="M15" s="68"/>
    </row>
    <row r="16" spans="1:14" ht="46.5" x14ac:dyDescent="0.35">
      <c r="A16" s="61" t="s">
        <v>2468</v>
      </c>
      <c r="B16" s="65">
        <v>2324</v>
      </c>
      <c r="E16" s="61" t="s">
        <v>2468</v>
      </c>
      <c r="F16" s="65">
        <f t="shared" si="0"/>
        <v>2454.14</v>
      </c>
      <c r="G16" s="65"/>
      <c r="H16" s="59" t="s">
        <v>1721</v>
      </c>
      <c r="I16" s="65">
        <v>1693.6</v>
      </c>
      <c r="K16" s="61"/>
    </row>
    <row r="17" spans="1:11" x14ac:dyDescent="0.35">
      <c r="A17" s="61" t="s">
        <v>2037</v>
      </c>
      <c r="B17" s="65">
        <v>1597</v>
      </c>
      <c r="E17" s="61" t="s">
        <v>2037</v>
      </c>
      <c r="F17" s="65">
        <f t="shared" si="0"/>
        <v>1686.43</v>
      </c>
      <c r="G17" s="65"/>
      <c r="H17" s="63" t="s">
        <v>2457</v>
      </c>
      <c r="I17" s="57">
        <f>SUM(I14:I16)</f>
        <v>12163.6</v>
      </c>
    </row>
    <row r="18" spans="1:11" ht="31" x14ac:dyDescent="0.35">
      <c r="A18" s="61" t="s">
        <v>2469</v>
      </c>
      <c r="B18" s="65">
        <v>2144</v>
      </c>
      <c r="E18" s="61" t="s">
        <v>2469</v>
      </c>
      <c r="F18" s="65">
        <f t="shared" si="0"/>
        <v>2264.06</v>
      </c>
      <c r="G18" s="65"/>
      <c r="H18" s="55"/>
    </row>
    <row r="19" spans="1:11" ht="31" x14ac:dyDescent="0.35">
      <c r="A19" s="61" t="s">
        <v>2470</v>
      </c>
      <c r="B19" s="65">
        <v>6987</v>
      </c>
      <c r="E19" s="61" t="s">
        <v>2470</v>
      </c>
      <c r="F19" s="65">
        <f t="shared" si="0"/>
        <v>7378.27</v>
      </c>
      <c r="G19" s="65"/>
      <c r="H19" s="55" t="s">
        <v>1930</v>
      </c>
    </row>
    <row r="20" spans="1:11" ht="46.5" x14ac:dyDescent="0.35">
      <c r="A20" s="61" t="s">
        <v>2471</v>
      </c>
      <c r="B20" s="65">
        <v>2189</v>
      </c>
      <c r="E20" s="61" t="s">
        <v>2471</v>
      </c>
      <c r="F20" s="65">
        <f t="shared" si="0"/>
        <v>2311.58</v>
      </c>
      <c r="G20" s="65"/>
      <c r="H20" s="59" t="s">
        <v>2472</v>
      </c>
      <c r="I20" s="65">
        <v>31282.5</v>
      </c>
      <c r="J20" s="61" t="s">
        <v>2473</v>
      </c>
    </row>
    <row r="21" spans="1:11" ht="62" x14ac:dyDescent="0.35">
      <c r="A21" s="61" t="s">
        <v>2474</v>
      </c>
      <c r="B21" s="65">
        <v>2792</v>
      </c>
      <c r="E21" s="61" t="s">
        <v>2474</v>
      </c>
      <c r="F21" s="65">
        <f t="shared" si="0"/>
        <v>2948.35</v>
      </c>
      <c r="G21" s="65"/>
      <c r="H21" s="59" t="s">
        <v>2475</v>
      </c>
      <c r="I21" s="65">
        <f>40000-I20</f>
        <v>8717.5</v>
      </c>
      <c r="J21" s="61" t="s">
        <v>2476</v>
      </c>
    </row>
    <row r="22" spans="1:11" ht="31" x14ac:dyDescent="0.35">
      <c r="A22" s="61" t="s">
        <v>2477</v>
      </c>
      <c r="B22" s="65">
        <v>1755</v>
      </c>
      <c r="E22" s="61" t="s">
        <v>2477</v>
      </c>
      <c r="F22" s="65">
        <f t="shared" si="0"/>
        <v>1853.28</v>
      </c>
      <c r="G22" s="65"/>
      <c r="H22" s="63" t="s">
        <v>2457</v>
      </c>
      <c r="I22" s="57">
        <f>SUM(I20:I21)</f>
        <v>40000</v>
      </c>
    </row>
    <row r="23" spans="1:11" x14ac:dyDescent="0.35">
      <c r="A23" s="61" t="s">
        <v>2478</v>
      </c>
      <c r="B23" s="65">
        <v>337</v>
      </c>
      <c r="E23" s="61" t="s">
        <v>2478</v>
      </c>
      <c r="F23" s="65">
        <f t="shared" si="0"/>
        <v>355.87</v>
      </c>
      <c r="G23" s="65"/>
      <c r="H23" s="55"/>
      <c r="K23" s="61"/>
    </row>
    <row r="24" spans="1:11" ht="31" x14ac:dyDescent="0.35">
      <c r="A24" s="61" t="s">
        <v>2479</v>
      </c>
      <c r="B24" s="65">
        <v>5452</v>
      </c>
      <c r="E24" s="61" t="s">
        <v>2479</v>
      </c>
      <c r="F24" s="65">
        <f t="shared" si="0"/>
        <v>5757.31</v>
      </c>
      <c r="G24" s="65"/>
      <c r="H24" s="55" t="s">
        <v>2480</v>
      </c>
      <c r="K24" s="61"/>
    </row>
    <row r="25" spans="1:11" ht="62" x14ac:dyDescent="0.35">
      <c r="A25" s="61" t="s">
        <v>2481</v>
      </c>
      <c r="B25" s="65">
        <v>5247</v>
      </c>
      <c r="E25" s="61" t="s">
        <v>2481</v>
      </c>
      <c r="F25" s="65">
        <f t="shared" si="0"/>
        <v>5540.83</v>
      </c>
      <c r="G25" s="65"/>
      <c r="H25" s="59" t="s">
        <v>2482</v>
      </c>
      <c r="I25" s="65">
        <v>22888.76</v>
      </c>
    </row>
    <row r="26" spans="1:11" ht="46.5" x14ac:dyDescent="0.35">
      <c r="A26" s="66" t="s">
        <v>2483</v>
      </c>
      <c r="B26" s="65">
        <v>74414</v>
      </c>
      <c r="E26" s="66" t="s">
        <v>2483</v>
      </c>
      <c r="F26" s="65">
        <f t="shared" si="0"/>
        <v>78581.179999999993</v>
      </c>
      <c r="G26" s="65"/>
      <c r="H26" s="59" t="s">
        <v>2484</v>
      </c>
      <c r="I26" s="65">
        <f>364.8/3</f>
        <v>121.60000000000001</v>
      </c>
      <c r="J26" s="61" t="s">
        <v>2485</v>
      </c>
    </row>
    <row r="27" spans="1:11" ht="31" x14ac:dyDescent="0.35">
      <c r="A27" s="66" t="s">
        <v>2486</v>
      </c>
      <c r="B27" s="65">
        <v>4123</v>
      </c>
      <c r="E27" s="66" t="s">
        <v>2486</v>
      </c>
      <c r="F27" s="65">
        <f t="shared" si="0"/>
        <v>4353.8900000000003</v>
      </c>
      <c r="G27" s="65"/>
      <c r="H27" s="63" t="s">
        <v>2457</v>
      </c>
      <c r="I27" s="57">
        <f>SUM(I25:I26)</f>
        <v>23010.359999999997</v>
      </c>
    </row>
    <row r="28" spans="1:11" x14ac:dyDescent="0.35">
      <c r="A28" s="61" t="s">
        <v>2487</v>
      </c>
      <c r="B28" s="65">
        <v>2249</v>
      </c>
      <c r="E28" s="61" t="s">
        <v>2487</v>
      </c>
      <c r="F28" s="65">
        <f t="shared" si="0"/>
        <v>2374.94</v>
      </c>
      <c r="G28" s="65"/>
      <c r="H28" s="55"/>
    </row>
    <row r="29" spans="1:11" ht="93" x14ac:dyDescent="0.35">
      <c r="A29" s="66" t="s">
        <v>2488</v>
      </c>
      <c r="B29" s="65">
        <v>62811</v>
      </c>
      <c r="E29" s="66" t="s">
        <v>2488</v>
      </c>
      <c r="F29" s="65">
        <f t="shared" si="0"/>
        <v>66328.42</v>
      </c>
      <c r="G29" s="65"/>
      <c r="H29" s="55" t="s">
        <v>2489</v>
      </c>
    </row>
    <row r="30" spans="1:11" ht="46.5" x14ac:dyDescent="0.35">
      <c r="A30" s="66" t="s">
        <v>2490</v>
      </c>
      <c r="B30" s="65">
        <v>13334</v>
      </c>
      <c r="E30" s="66" t="s">
        <v>2490</v>
      </c>
      <c r="F30" s="65">
        <f t="shared" si="0"/>
        <v>14080.7</v>
      </c>
      <c r="G30" s="65"/>
      <c r="H30" s="59" t="s">
        <v>2491</v>
      </c>
      <c r="I30" s="65">
        <v>3000</v>
      </c>
      <c r="J30" s="61"/>
      <c r="K30" s="61"/>
    </row>
    <row r="31" spans="1:11" ht="62" x14ac:dyDescent="0.35">
      <c r="A31" s="66" t="s">
        <v>2492</v>
      </c>
      <c r="B31" s="65">
        <v>59918</v>
      </c>
      <c r="E31" s="66" t="s">
        <v>2492</v>
      </c>
      <c r="F31" s="65">
        <f t="shared" si="0"/>
        <v>63273.41</v>
      </c>
      <c r="G31" s="65"/>
      <c r="H31" s="59" t="s">
        <v>2493</v>
      </c>
      <c r="I31" s="65">
        <v>8050</v>
      </c>
      <c r="J31" s="61"/>
    </row>
    <row r="32" spans="1:11" x14ac:dyDescent="0.35">
      <c r="A32" s="66" t="s">
        <v>1966</v>
      </c>
      <c r="B32" s="65">
        <v>392</v>
      </c>
      <c r="E32" s="66" t="s">
        <v>1966</v>
      </c>
      <c r="F32" s="65">
        <f t="shared" si="0"/>
        <v>413.95</v>
      </c>
      <c r="G32" s="65"/>
    </row>
    <row r="33" spans="1:11" ht="124" x14ac:dyDescent="0.35">
      <c r="A33" s="66" t="s">
        <v>2494</v>
      </c>
      <c r="B33" s="65">
        <v>72579</v>
      </c>
      <c r="E33" s="66" t="s">
        <v>2494</v>
      </c>
      <c r="F33" s="65">
        <f t="shared" si="0"/>
        <v>76643.42</v>
      </c>
      <c r="G33" s="65"/>
      <c r="H33" s="59" t="s">
        <v>42</v>
      </c>
      <c r="I33" s="65">
        <v>0</v>
      </c>
      <c r="J33" s="61" t="s">
        <v>2495</v>
      </c>
    </row>
    <row r="34" spans="1:11" ht="31" x14ac:dyDescent="0.35">
      <c r="A34" s="66" t="s">
        <v>2496</v>
      </c>
      <c r="B34" s="65">
        <v>9594</v>
      </c>
      <c r="E34" s="66" t="s">
        <v>2496</v>
      </c>
      <c r="F34" s="65">
        <f t="shared" si="0"/>
        <v>10131.26</v>
      </c>
      <c r="G34" s="65"/>
      <c r="H34" s="63" t="s">
        <v>2457</v>
      </c>
      <c r="I34" s="57">
        <f>SUM(I30:I33)</f>
        <v>11050</v>
      </c>
      <c r="K34" s="61"/>
    </row>
    <row r="35" spans="1:11" ht="46.5" x14ac:dyDescent="0.35">
      <c r="A35" s="69" t="s">
        <v>2497</v>
      </c>
      <c r="B35" s="65">
        <v>376</v>
      </c>
      <c r="E35" s="69" t="s">
        <v>2497</v>
      </c>
      <c r="F35" s="65">
        <f t="shared" si="0"/>
        <v>397.06</v>
      </c>
      <c r="G35" s="65"/>
      <c r="H35" s="63"/>
      <c r="I35" s="57"/>
      <c r="K35" s="61"/>
    </row>
    <row r="36" spans="1:11" x14ac:dyDescent="0.35">
      <c r="A36" s="70" t="s">
        <v>2051</v>
      </c>
      <c r="B36" s="65">
        <v>1241</v>
      </c>
      <c r="E36" s="70" t="s">
        <v>2051</v>
      </c>
      <c r="F36" s="65">
        <f t="shared" si="0"/>
        <v>1310.5</v>
      </c>
      <c r="G36" s="65"/>
      <c r="H36" s="55" t="s">
        <v>2498</v>
      </c>
      <c r="K36" s="61"/>
    </row>
    <row r="37" spans="1:11" ht="31" x14ac:dyDescent="0.35">
      <c r="A37" s="66" t="s">
        <v>2499</v>
      </c>
      <c r="B37" s="65">
        <v>229</v>
      </c>
      <c r="E37" s="66" t="s">
        <v>2499</v>
      </c>
      <c r="F37" s="65">
        <f t="shared" si="0"/>
        <v>241.82</v>
      </c>
      <c r="G37" s="65"/>
      <c r="H37" s="59" t="s">
        <v>2500</v>
      </c>
      <c r="I37" s="1">
        <v>243187.52</v>
      </c>
      <c r="J37" s="61"/>
      <c r="K37" s="61"/>
    </row>
    <row r="38" spans="1:11" ht="31" x14ac:dyDescent="0.35">
      <c r="A38" s="66" t="s">
        <v>2501</v>
      </c>
      <c r="B38" s="65">
        <v>0</v>
      </c>
      <c r="E38" s="66" t="s">
        <v>2502</v>
      </c>
      <c r="F38" s="65">
        <f>ROUND((11080*1.056),2)</f>
        <v>11700.48</v>
      </c>
      <c r="G38" s="65"/>
      <c r="H38" s="59" t="s">
        <v>1607</v>
      </c>
      <c r="I38" s="65">
        <v>6500</v>
      </c>
    </row>
    <row r="39" spans="1:11" x14ac:dyDescent="0.35">
      <c r="A39" s="63" t="s">
        <v>2503</v>
      </c>
      <c r="B39" s="57">
        <f>SUM(B6:B38)</f>
        <v>350138</v>
      </c>
      <c r="E39" s="63" t="s">
        <v>2503</v>
      </c>
      <c r="F39" s="57">
        <f>SUM(F6:F38)</f>
        <v>381446.18000000005</v>
      </c>
      <c r="G39" s="65"/>
      <c r="H39" s="63" t="s">
        <v>2457</v>
      </c>
      <c r="I39" s="57">
        <f>SUM(I37:I38)</f>
        <v>249687.52</v>
      </c>
      <c r="K39" s="61"/>
    </row>
    <row r="40" spans="1:11" ht="18.5" x14ac:dyDescent="0.35">
      <c r="A40" s="66"/>
      <c r="E40" s="66"/>
      <c r="F40" s="65"/>
      <c r="G40" s="65"/>
      <c r="H40" s="63"/>
      <c r="I40" s="57"/>
      <c r="J40" s="71"/>
    </row>
    <row r="41" spans="1:11" x14ac:dyDescent="0.35">
      <c r="A41" s="63" t="s">
        <v>1930</v>
      </c>
      <c r="B41" s="55"/>
      <c r="E41" s="63" t="s">
        <v>1930</v>
      </c>
      <c r="F41" s="55"/>
      <c r="G41" s="65"/>
      <c r="K41" s="61"/>
    </row>
    <row r="42" spans="1:11" ht="31" x14ac:dyDescent="0.35">
      <c r="A42" s="61" t="s">
        <v>2504</v>
      </c>
      <c r="B42" s="65">
        <v>10187</v>
      </c>
      <c r="E42" s="61" t="s">
        <v>2504</v>
      </c>
      <c r="F42" s="65">
        <f t="shared" ref="F42:F48" si="1">ROUND((B42*1.056),2)</f>
        <v>10757.47</v>
      </c>
      <c r="G42" s="65"/>
      <c r="H42" s="55" t="s">
        <v>2115</v>
      </c>
      <c r="K42" s="61"/>
    </row>
    <row r="43" spans="1:11" ht="46.5" x14ac:dyDescent="0.35">
      <c r="A43" s="61" t="s">
        <v>2030</v>
      </c>
      <c r="B43" s="65">
        <v>10187</v>
      </c>
      <c r="E43" s="61" t="s">
        <v>2030</v>
      </c>
      <c r="F43" s="65">
        <f t="shared" si="1"/>
        <v>10757.47</v>
      </c>
      <c r="G43" s="65"/>
      <c r="H43" s="59" t="s">
        <v>2505</v>
      </c>
      <c r="I43" s="65">
        <v>8544</v>
      </c>
      <c r="J43" s="61" t="s">
        <v>2506</v>
      </c>
    </row>
    <row r="44" spans="1:11" ht="62" x14ac:dyDescent="0.35">
      <c r="A44" s="61" t="s">
        <v>2507</v>
      </c>
      <c r="B44" s="65">
        <v>10187</v>
      </c>
      <c r="E44" s="61" t="s">
        <v>2507</v>
      </c>
      <c r="F44" s="65">
        <f t="shared" si="1"/>
        <v>10757.47</v>
      </c>
      <c r="G44" s="65"/>
      <c r="H44" s="59" t="s">
        <v>1981</v>
      </c>
      <c r="I44" s="65">
        <v>0</v>
      </c>
      <c r="J44" s="61" t="s">
        <v>2508</v>
      </c>
      <c r="K44" s="61"/>
    </row>
    <row r="45" spans="1:11" ht="108.5" x14ac:dyDescent="0.35">
      <c r="A45" s="66" t="s">
        <v>2509</v>
      </c>
      <c r="B45" s="65">
        <v>10187</v>
      </c>
      <c r="E45" s="66" t="s">
        <v>2509</v>
      </c>
      <c r="F45" s="65">
        <f t="shared" si="1"/>
        <v>10757.47</v>
      </c>
      <c r="G45" s="65"/>
      <c r="H45" s="59" t="s">
        <v>2510</v>
      </c>
      <c r="I45" s="65">
        <v>0</v>
      </c>
      <c r="J45" s="61" t="s">
        <v>2511</v>
      </c>
    </row>
    <row r="46" spans="1:11" ht="108.5" x14ac:dyDescent="0.35">
      <c r="A46" s="66" t="s">
        <v>109</v>
      </c>
      <c r="B46" s="65">
        <v>10187</v>
      </c>
      <c r="E46" s="66" t="s">
        <v>109</v>
      </c>
      <c r="F46" s="65">
        <f t="shared" si="1"/>
        <v>10757.47</v>
      </c>
      <c r="G46" s="65"/>
      <c r="H46" s="59" t="s">
        <v>2510</v>
      </c>
      <c r="I46" s="65">
        <v>0</v>
      </c>
      <c r="J46" s="61" t="s">
        <v>2511</v>
      </c>
    </row>
    <row r="47" spans="1:11" ht="31" x14ac:dyDescent="0.35">
      <c r="A47" s="66" t="s">
        <v>2512</v>
      </c>
      <c r="B47" s="65">
        <v>10187</v>
      </c>
      <c r="E47" s="66" t="s">
        <v>2512</v>
      </c>
      <c r="F47" s="65">
        <f t="shared" si="1"/>
        <v>10757.47</v>
      </c>
      <c r="G47" s="65"/>
      <c r="H47" s="63" t="s">
        <v>2457</v>
      </c>
      <c r="I47" s="57">
        <f>SUM(I43:I46)</f>
        <v>8544</v>
      </c>
    </row>
    <row r="48" spans="1:11" ht="31" x14ac:dyDescent="0.35">
      <c r="A48" s="66" t="s">
        <v>2513</v>
      </c>
      <c r="B48" s="65">
        <v>10187</v>
      </c>
      <c r="E48" s="66" t="s">
        <v>2513</v>
      </c>
      <c r="F48" s="65">
        <f t="shared" si="1"/>
        <v>10757.47</v>
      </c>
      <c r="G48" s="65"/>
    </row>
    <row r="49" spans="1:12" ht="18.5" x14ac:dyDescent="0.35">
      <c r="A49" s="63" t="s">
        <v>2503</v>
      </c>
      <c r="B49" s="57">
        <f>SUM(B42:B48)</f>
        <v>71309</v>
      </c>
      <c r="E49" s="63" t="s">
        <v>2503</v>
      </c>
      <c r="F49" s="57">
        <f>SUM(F42:F48)</f>
        <v>75302.289999999994</v>
      </c>
      <c r="G49" s="65"/>
      <c r="H49" s="60" t="s">
        <v>1175</v>
      </c>
      <c r="I49" s="72">
        <f>I10+I17+I22+I27+I34+I39+I47</f>
        <v>388565.23</v>
      </c>
    </row>
    <row r="50" spans="1:12" x14ac:dyDescent="0.35">
      <c r="A50" s="66"/>
      <c r="E50" s="66"/>
      <c r="F50" s="65"/>
      <c r="G50" s="65"/>
    </row>
    <row r="51" spans="1:12" ht="77.5" x14ac:dyDescent="0.35">
      <c r="A51" s="63" t="s">
        <v>2514</v>
      </c>
      <c r="E51" s="63" t="s">
        <v>2514</v>
      </c>
      <c r="F51" s="65"/>
      <c r="G51" s="65"/>
      <c r="H51" s="64" t="s">
        <v>2439</v>
      </c>
      <c r="I51" s="58">
        <f>G61-I49</f>
        <v>108007.11000000004</v>
      </c>
      <c r="K51" s="61"/>
    </row>
    <row r="52" spans="1:12" x14ac:dyDescent="0.35">
      <c r="A52" s="66" t="s">
        <v>2515</v>
      </c>
      <c r="B52" s="65">
        <v>29712</v>
      </c>
      <c r="E52" s="66" t="s">
        <v>2515</v>
      </c>
      <c r="F52" s="65">
        <f>ROUND((B52*1.056),2)</f>
        <v>31375.87</v>
      </c>
      <c r="G52" s="65"/>
    </row>
    <row r="53" spans="1:12" x14ac:dyDescent="0.35">
      <c r="A53" s="66" t="s">
        <v>2516</v>
      </c>
      <c r="B53" s="65">
        <v>8000</v>
      </c>
      <c r="E53" s="66" t="s">
        <v>2516</v>
      </c>
      <c r="F53" s="65">
        <f>ROUND((B53*1.056),2)</f>
        <v>8448</v>
      </c>
      <c r="G53" s="65"/>
      <c r="H53" s="63"/>
      <c r="I53" s="57"/>
      <c r="K53" s="61"/>
    </row>
    <row r="54" spans="1:12" x14ac:dyDescent="0.35">
      <c r="A54" s="63" t="s">
        <v>2503</v>
      </c>
      <c r="B54" s="57">
        <f>SUM(B52:B53)</f>
        <v>37712</v>
      </c>
      <c r="E54" s="63" t="s">
        <v>2503</v>
      </c>
      <c r="F54" s="57">
        <f>SUM(F52:F53)</f>
        <v>39823.869999999995</v>
      </c>
      <c r="G54" s="65"/>
      <c r="K54" s="61"/>
    </row>
    <row r="55" spans="1:12" ht="18.5" x14ac:dyDescent="0.35">
      <c r="A55" s="66"/>
      <c r="E55" s="66"/>
      <c r="F55" s="65"/>
      <c r="G55" s="65"/>
      <c r="H55" s="60"/>
      <c r="I55" s="68"/>
      <c r="K55" s="61"/>
    </row>
    <row r="56" spans="1:12" ht="31" x14ac:dyDescent="0.35">
      <c r="A56" s="63" t="s">
        <v>2517</v>
      </c>
      <c r="E56" s="63" t="s">
        <v>2517</v>
      </c>
      <c r="F56" s="65"/>
      <c r="G56" s="65"/>
    </row>
    <row r="57" spans="1:12" ht="46.5" x14ac:dyDescent="0.35">
      <c r="A57" s="66" t="s">
        <v>2518</v>
      </c>
      <c r="B57" s="65">
        <v>4029</v>
      </c>
      <c r="E57" s="66" t="s">
        <v>2518</v>
      </c>
      <c r="F57" s="65">
        <f>ROUND((B57*1.056),2)</f>
        <v>4254.62</v>
      </c>
      <c r="G57" s="65"/>
      <c r="H57" s="64"/>
      <c r="I57" s="68"/>
    </row>
    <row r="58" spans="1:12" ht="170.5" x14ac:dyDescent="0.35">
      <c r="A58" s="66" t="s">
        <v>2519</v>
      </c>
      <c r="B58" s="65">
        <v>624</v>
      </c>
      <c r="E58" s="66" t="s">
        <v>2520</v>
      </c>
      <c r="F58" s="65">
        <f>ROUND((B58*1.056),2)</f>
        <v>658.94</v>
      </c>
      <c r="G58" s="65"/>
    </row>
    <row r="59" spans="1:12" ht="18.5" x14ac:dyDescent="0.35">
      <c r="A59" s="63" t="s">
        <v>2503</v>
      </c>
      <c r="B59" s="57">
        <f>SUM(B57:B58)</f>
        <v>4653</v>
      </c>
      <c r="E59" s="63" t="s">
        <v>2503</v>
      </c>
      <c r="F59" s="57">
        <f>SUM(F57:F58)</f>
        <v>4913.5599999999995</v>
      </c>
      <c r="G59" s="65"/>
      <c r="H59" s="61"/>
      <c r="I59" s="62"/>
      <c r="J59" s="61"/>
      <c r="K59" s="61"/>
    </row>
    <row r="60" spans="1:12" ht="18.5" x14ac:dyDescent="0.35">
      <c r="A60" s="66"/>
      <c r="E60" s="66"/>
      <c r="F60" s="65"/>
      <c r="G60" s="65"/>
      <c r="H60" s="64"/>
      <c r="I60" s="68"/>
    </row>
    <row r="61" spans="1:12" s="71" customFormat="1" ht="18.5" x14ac:dyDescent="0.35">
      <c r="A61" s="60" t="s">
        <v>1175</v>
      </c>
      <c r="B61" s="72">
        <f>B39+B49+B54+B59</f>
        <v>463812</v>
      </c>
      <c r="C61" s="73">
        <f>B61-(B54+B59)</f>
        <v>421447</v>
      </c>
      <c r="E61" s="60" t="s">
        <v>1175</v>
      </c>
      <c r="F61" s="72">
        <f>F39+F49+F54+F59</f>
        <v>501485.9</v>
      </c>
      <c r="G61" s="73">
        <f>F61-F59</f>
        <v>496572.34</v>
      </c>
      <c r="H61" s="59"/>
      <c r="I61" s="59"/>
      <c r="J61" s="59"/>
      <c r="K61" s="59"/>
      <c r="L61" s="59"/>
    </row>
    <row r="62" spans="1:12" s="71" customFormat="1" ht="18.5" x14ac:dyDescent="0.35">
      <c r="A62" s="60" t="s">
        <v>2521</v>
      </c>
      <c r="B62" s="74">
        <v>463812</v>
      </c>
      <c r="C62" s="73">
        <v>421447</v>
      </c>
      <c r="E62" s="60"/>
      <c r="F62" s="68"/>
      <c r="G62" s="68"/>
      <c r="H62" s="59"/>
      <c r="I62" s="59"/>
      <c r="J62" s="59"/>
      <c r="K62" s="59"/>
    </row>
    <row r="63" spans="1:12" s="71" customFormat="1" ht="18.5" x14ac:dyDescent="0.35">
      <c r="B63" s="62"/>
      <c r="C63" s="62"/>
      <c r="H63" s="59"/>
      <c r="I63" s="59"/>
      <c r="J63" s="59"/>
      <c r="K63" s="59"/>
    </row>
    <row r="64" spans="1:12" s="71" customFormat="1" ht="18.5" x14ac:dyDescent="0.35">
      <c r="A64" s="60" t="s">
        <v>2522</v>
      </c>
      <c r="B64" s="62"/>
      <c r="C64" s="62"/>
      <c r="H64" s="59"/>
      <c r="I64" s="59"/>
      <c r="J64" s="59"/>
      <c r="K64" s="59"/>
    </row>
    <row r="65" spans="1:12" ht="18.5" x14ac:dyDescent="0.35">
      <c r="L65" s="71"/>
    </row>
    <row r="66" spans="1:12" ht="18.5" x14ac:dyDescent="0.35">
      <c r="A66" s="63" t="s">
        <v>2523</v>
      </c>
      <c r="I66" s="65"/>
      <c r="L66" s="71"/>
    </row>
    <row r="67" spans="1:12" x14ac:dyDescent="0.35">
      <c r="A67" s="75" t="s">
        <v>2524</v>
      </c>
      <c r="B67" s="76"/>
      <c r="C67" s="76"/>
      <c r="D67" s="75"/>
    </row>
    <row r="68" spans="1:12" x14ac:dyDescent="0.35">
      <c r="A68" s="77" t="s">
        <v>2525</v>
      </c>
      <c r="B68" s="78"/>
      <c r="C68" s="78"/>
      <c r="D68" s="77"/>
      <c r="H68" s="63"/>
      <c r="I68" s="57"/>
    </row>
    <row r="69" spans="1:12" ht="18.5" x14ac:dyDescent="0.35">
      <c r="A69" s="77" t="s">
        <v>2526</v>
      </c>
      <c r="B69" s="78"/>
      <c r="C69" s="78"/>
      <c r="D69" s="77"/>
      <c r="K69" s="71"/>
    </row>
    <row r="70" spans="1:12" ht="18.5" x14ac:dyDescent="0.35">
      <c r="A70" s="77" t="s">
        <v>2527</v>
      </c>
      <c r="B70" s="78"/>
      <c r="C70" s="78"/>
      <c r="D70" s="77"/>
      <c r="H70" s="60"/>
      <c r="I70" s="68"/>
    </row>
    <row r="72" spans="1:12" ht="74" x14ac:dyDescent="0.35">
      <c r="A72" s="60" t="s">
        <v>2528</v>
      </c>
      <c r="H72" s="64"/>
      <c r="I72" s="68"/>
    </row>
    <row r="73" spans="1:12" x14ac:dyDescent="0.35">
      <c r="A73" s="66" t="s">
        <v>2502</v>
      </c>
      <c r="B73" s="65">
        <v>11080</v>
      </c>
    </row>
    <row r="74" spans="1:12" ht="18.5" x14ac:dyDescent="0.35">
      <c r="A74" s="60" t="s">
        <v>1175</v>
      </c>
      <c r="B74" s="57">
        <v>11080</v>
      </c>
      <c r="C74" s="57"/>
      <c r="H74" s="61"/>
      <c r="I74" s="62"/>
      <c r="J74" s="61"/>
    </row>
    <row r="75" spans="1:12" ht="18.5" x14ac:dyDescent="0.35">
      <c r="H75" s="64"/>
      <c r="I75" s="68"/>
    </row>
    <row r="76" spans="1:12" ht="18.5" x14ac:dyDescent="0.35">
      <c r="A76" s="60" t="s">
        <v>2522</v>
      </c>
    </row>
    <row r="77" spans="1:12" ht="18.5" x14ac:dyDescent="0.35">
      <c r="H77" s="61"/>
      <c r="I77" s="62"/>
      <c r="J77" s="61"/>
    </row>
    <row r="78" spans="1:12" x14ac:dyDescent="0.35">
      <c r="A78" s="63" t="s">
        <v>2523</v>
      </c>
    </row>
    <row r="79" spans="1:12" ht="18.5" x14ac:dyDescent="0.35">
      <c r="A79" s="59" t="s">
        <v>2529</v>
      </c>
      <c r="H79" s="64"/>
      <c r="I79" s="68"/>
    </row>
    <row r="81" spans="5:11" ht="18.5" x14ac:dyDescent="0.35">
      <c r="H81" s="61"/>
      <c r="I81" s="62"/>
      <c r="J81" s="61"/>
    </row>
    <row r="83" spans="5:11" ht="18.5" x14ac:dyDescent="0.35">
      <c r="E83" s="60"/>
      <c r="F83" s="68"/>
      <c r="G83" s="68"/>
      <c r="H83" s="61"/>
      <c r="I83" s="62"/>
      <c r="J83" s="61"/>
    </row>
    <row r="85" spans="5:11" ht="18.5" x14ac:dyDescent="0.35">
      <c r="H85" s="61"/>
      <c r="I85" s="62"/>
      <c r="J85" s="61"/>
    </row>
    <row r="86" spans="5:11" ht="18.5" x14ac:dyDescent="0.35">
      <c r="H86" s="61"/>
      <c r="I86" s="62"/>
      <c r="J86" s="61"/>
    </row>
    <row r="87" spans="5:11" ht="18.5" x14ac:dyDescent="0.35">
      <c r="H87" s="61"/>
      <c r="I87" s="62"/>
      <c r="J87" s="61"/>
    </row>
    <row r="88" spans="5:11" ht="18.5" x14ac:dyDescent="0.35">
      <c r="H88" s="61"/>
      <c r="I88" s="62"/>
      <c r="J88" s="61"/>
      <c r="K88" s="61"/>
    </row>
    <row r="89" spans="5:11" ht="18.5" x14ac:dyDescent="0.35">
      <c r="H89" s="61"/>
      <c r="I89" s="62"/>
    </row>
    <row r="90" spans="5:11" ht="18.5" x14ac:dyDescent="0.35">
      <c r="H90" s="64"/>
      <c r="I90" s="68"/>
    </row>
    <row r="92" spans="5:11" ht="18.5" x14ac:dyDescent="0.35">
      <c r="H92" s="64"/>
      <c r="I92" s="68"/>
      <c r="J92" s="61"/>
      <c r="K92" s="61"/>
    </row>
    <row r="95" spans="5:11" ht="18.5" x14ac:dyDescent="0.35">
      <c r="H95" s="64"/>
      <c r="I95" s="68"/>
    </row>
    <row r="97" spans="8:9" ht="18.5" x14ac:dyDescent="0.35">
      <c r="H97" s="64"/>
      <c r="I97" s="68"/>
    </row>
    <row r="99" spans="8:9" x14ac:dyDescent="0.35">
      <c r="H99" s="6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AG1003"/>
  <sheetViews>
    <sheetView workbookViewId="0">
      <pane xSplit="2" ySplit="1" topLeftCell="H2" activePane="bottomRight" state="frozen"/>
      <selection pane="topRight" activeCell="C1" sqref="C1"/>
      <selection pane="bottomLeft" activeCell="A2" sqref="A2"/>
      <selection pane="bottomRight" activeCell="Q20" sqref="Q20"/>
    </sheetView>
  </sheetViews>
  <sheetFormatPr defaultColWidth="8.81640625" defaultRowHeight="14.5" x14ac:dyDescent="0.35"/>
  <cols>
    <col min="1" max="1" width="27" style="86" customWidth="1"/>
    <col min="2" max="2" width="5.453125" style="85" bestFit="1" customWidth="1"/>
    <col min="3" max="3" width="5.453125" style="85" customWidth="1"/>
    <col min="4" max="4" width="10.81640625" style="86" bestFit="1" customWidth="1"/>
    <col min="5" max="5" width="13.81640625" style="85" bestFit="1" customWidth="1"/>
    <col min="6" max="6" width="19.81640625" style="87" bestFit="1" customWidth="1"/>
    <col min="7" max="7" width="26.5429687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29" style="87" customWidth="1"/>
    <col min="13" max="13" width="13.81640625" style="89" bestFit="1" customWidth="1"/>
    <col min="14" max="14" width="13.81640625" style="87" customWidth="1"/>
    <col min="15" max="15" width="11.54296875" style="87" bestFit="1" customWidth="1"/>
    <col min="16" max="16" width="33"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207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-140893.70000000001</v>
      </c>
      <c r="F2" s="87">
        <f>SUM(F3:F3)</f>
        <v>0</v>
      </c>
      <c r="I2" s="89">
        <f>SUM(I3:I3)</f>
        <v>-102000</v>
      </c>
      <c r="J2" s="87">
        <f>SUM(J3:J3)</f>
        <v>100</v>
      </c>
      <c r="M2" s="89">
        <f>SUM(M3:M3)</f>
        <v>-70000</v>
      </c>
      <c r="N2" s="87">
        <f>SUM(N3:N3)</f>
        <v>-20000</v>
      </c>
      <c r="Q2" s="89">
        <f>SUM(Q3:Q3)</f>
        <v>0</v>
      </c>
      <c r="R2" s="87">
        <f>SUM(R3:R3)</f>
        <v>0</v>
      </c>
      <c r="U2" s="89">
        <f>SUM(U3:U3)</f>
        <v>0</v>
      </c>
      <c r="V2" s="87">
        <f>SUM(V3:V3)</f>
        <v>0</v>
      </c>
      <c r="Y2" s="89">
        <f>SUM(Y3:Y3)</f>
        <v>0</v>
      </c>
      <c r="Z2" s="87">
        <f>SUM(Z3:Z3)</f>
        <v>0</v>
      </c>
      <c r="AC2" s="89">
        <f>SUM(AC3:AC3)</f>
        <v>0</v>
      </c>
      <c r="AD2" s="87">
        <f>SUM(AD3:AD3)</f>
        <v>0</v>
      </c>
    </row>
    <row r="3" spans="1:33" ht="43.5" x14ac:dyDescent="0.35">
      <c r="A3" s="86" t="s">
        <v>207</v>
      </c>
      <c r="B3" s="85">
        <v>1</v>
      </c>
      <c r="D3" s="86">
        <v>257197.6</v>
      </c>
      <c r="E3" s="87">
        <f>-104696-36197.7</f>
        <v>-140893.70000000001</v>
      </c>
      <c r="F3" s="87">
        <f>SUMIFS(H$17:H$1003,E$17:E$1003,$B3)</f>
        <v>0</v>
      </c>
      <c r="G3" s="87">
        <f>D3+E3-F3+SUMIFS(E$6:E$11,$C$6:$C$11,$A3)-SUMIFS(F$6:F$11,$C$6:$C$11,$A3)</f>
        <v>118320.78000000003</v>
      </c>
      <c r="I3" s="89">
        <v>-102000</v>
      </c>
      <c r="J3" s="87">
        <f>SUMIFS(L$17:L$1002,I$17:I$1002,$B3)</f>
        <v>100</v>
      </c>
      <c r="K3" s="87">
        <f>G3+I3-J3+SUMIFS(I$6:I$11,$C$6:$C$11,$A3)-SUMIFS(J$6:J$11,$C$6:$C$11,$A3)</f>
        <v>53161.839999999967</v>
      </c>
      <c r="L3" s="84" t="s">
        <v>208</v>
      </c>
      <c r="M3" s="89">
        <v>-70000</v>
      </c>
      <c r="N3" s="87">
        <f>SUMIFS(P$17:P$1005,M$17:M$1005,$B3)</f>
        <v>-20000</v>
      </c>
      <c r="O3" s="87">
        <f>K3+M3-N3+SUMIFS(M$6:M$11,$C$6:$C$11,$A3)-SUMIFS(N$6:N$11,$C$6:$C$11,$A3)</f>
        <v>-932.1600000000326</v>
      </c>
      <c r="P3" s="87" t="s">
        <v>1390</v>
      </c>
      <c r="R3" s="87">
        <f>SUMIFS(T$17:T$1003,Q$17:Q$1003,$B3)</f>
        <v>0</v>
      </c>
      <c r="S3" s="87">
        <f>O3+Q3-R3+SUMIFS(Q$6:Q$11,$C$6:$C$11,$A3)-SUMIFS(R$6:R$11,$C$6:$C$11,$A3)</f>
        <v>-932.1600000000326</v>
      </c>
      <c r="V3" s="87">
        <f>SUMIFS(X$17:X$1003,U$17:U$1003,$B3)</f>
        <v>0</v>
      </c>
      <c r="W3" s="87">
        <f>S3+U3-V3+SUMIFS(U$6:U$11,$C$6:$C$11,$A3)-SUMIFS(V$6:V$11,$C$6:$C$11,$A3)</f>
        <v>-932.1600000000326</v>
      </c>
      <c r="Z3" s="87">
        <f>SUMIFS(AB$17:AB$1003,Y$17:Y$1003,$B3)</f>
        <v>0</v>
      </c>
      <c r="AA3" s="87">
        <f>W3+Y3-Z3+SUMIFS(Y$6:Y$11,$C$6:$C$11,$A3)-SUMIFS(Z$6:Z$11,$C$6:$C$11,$A3)</f>
        <v>-932.16000000014901</v>
      </c>
      <c r="AD3" s="87">
        <f>SUMIFS(AF$17:AF$1003,AC$17:AC$1003,$B3)</f>
        <v>0</v>
      </c>
      <c r="AE3" s="87">
        <f>AA3+AC3-AD3+SUMIFS(AC$6:AC$11,$C$6:$C$11,$A3)-SUMIFS(AD$6:AD$11,$C$6:$C$11,$A3)</f>
        <v>-932.16000000014901</v>
      </c>
      <c r="AG3" s="87">
        <v>100000</v>
      </c>
    </row>
    <row r="4" spans="1:33" x14ac:dyDescent="0.35">
      <c r="E4" s="87"/>
    </row>
    <row r="5" spans="1:33" x14ac:dyDescent="0.35">
      <c r="A5" s="84" t="s">
        <v>209</v>
      </c>
      <c r="D5" s="84"/>
      <c r="E5" s="87">
        <f>SUM(E6:E11)</f>
        <v>398174.7</v>
      </c>
      <c r="F5" s="87">
        <f>SUM(F6:F11)</f>
        <v>396157.81999999995</v>
      </c>
      <c r="I5" s="89">
        <f>SUM(I6:I11)</f>
        <v>730562</v>
      </c>
      <c r="J5" s="87">
        <f>SUM(J6:J11)</f>
        <v>693620.94000000006</v>
      </c>
      <c r="M5" s="89">
        <f>SUM(M6:M11)</f>
        <v>983377</v>
      </c>
      <c r="N5" s="87">
        <f>SUM(N6:N11)</f>
        <v>987471</v>
      </c>
      <c r="Q5" s="89">
        <f>SUM(Q6:Q11)</f>
        <v>997140</v>
      </c>
      <c r="R5" s="87">
        <f>$Q$5</f>
        <v>997140</v>
      </c>
      <c r="U5" s="89">
        <f>SUM(U6:U11)</f>
        <v>1027055</v>
      </c>
      <c r="V5" s="87">
        <f>$U$5</f>
        <v>1027055</v>
      </c>
      <c r="Y5" s="89">
        <f>SUM(Y6:Y11)</f>
        <v>1057867</v>
      </c>
      <c r="Z5" s="87">
        <f>$Y$5</f>
        <v>1057867</v>
      </c>
      <c r="AC5" s="89">
        <f>SUM(AC6:AC11)</f>
        <v>1089604</v>
      </c>
      <c r="AD5" s="87">
        <f>$AC$5</f>
        <v>1089604</v>
      </c>
    </row>
    <row r="6" spans="1:33" x14ac:dyDescent="0.35">
      <c r="A6" s="86" t="s">
        <v>210</v>
      </c>
      <c r="B6" s="85">
        <v>2</v>
      </c>
      <c r="C6" s="85" t="s">
        <v>207</v>
      </c>
      <c r="D6" s="84"/>
      <c r="E6" s="87">
        <v>36197.699999999997</v>
      </c>
      <c r="F6" s="87">
        <f t="shared" ref="F6:F11" si="0">SUMIFS(H$17:H$1003,E$17:E$1003,$B6)</f>
        <v>0</v>
      </c>
      <c r="I6" s="89">
        <v>35000</v>
      </c>
      <c r="J6" s="87">
        <f t="shared" ref="J6:J11" si="1">SUMIFS(L$17:L$1002,I$17:I$1002,$B6)</f>
        <v>0</v>
      </c>
      <c r="M6" s="89">
        <v>70000</v>
      </c>
      <c r="N6" s="87">
        <f t="shared" ref="N6:N11" si="2">SUMIFS(P$16:P$1004,M$16:M$1004,$B6)</f>
        <v>0</v>
      </c>
      <c r="Q6" s="89">
        <f>ROUNDUP((M6)*RPI,0)</f>
        <v>72100</v>
      </c>
      <c r="R6" s="87">
        <f>$Q$6</f>
        <v>72100</v>
      </c>
      <c r="U6" s="89">
        <f>ROUNDUP((Q6)*RPI,0)</f>
        <v>74263</v>
      </c>
      <c r="V6" s="87">
        <f>$U$6</f>
        <v>74263</v>
      </c>
      <c r="Y6" s="89">
        <f>ROUNDUP((U6)*RPI,0)</f>
        <v>76491</v>
      </c>
      <c r="Z6" s="87">
        <f>$Y$6</f>
        <v>76491</v>
      </c>
      <c r="AC6" s="89">
        <f>ROUNDUP((Y6)*RPI,0)</f>
        <v>78786</v>
      </c>
      <c r="AD6" s="87">
        <f>$AC$6</f>
        <v>78786</v>
      </c>
    </row>
    <row r="7" spans="1:33" x14ac:dyDescent="0.35">
      <c r="A7" s="86" t="s">
        <v>211</v>
      </c>
      <c r="B7" s="85">
        <v>3</v>
      </c>
      <c r="C7" s="85" t="s">
        <v>207</v>
      </c>
      <c r="D7" s="84"/>
      <c r="E7" s="87">
        <v>262207</v>
      </c>
      <c r="F7" s="87">
        <f t="shared" si="0"/>
        <v>294405.75</v>
      </c>
      <c r="I7" s="89">
        <f>556905+138657</f>
        <v>695562</v>
      </c>
      <c r="J7" s="87">
        <f t="shared" si="1"/>
        <v>691258.31</v>
      </c>
      <c r="L7" s="86"/>
      <c r="M7" s="89">
        <v>898097</v>
      </c>
      <c r="N7" s="87">
        <f t="shared" si="2"/>
        <v>970142</v>
      </c>
      <c r="P7" s="105"/>
      <c r="Q7" s="89">
        <f>ROUNDUP((M7)*RPI,0)</f>
        <v>925040</v>
      </c>
      <c r="R7" s="87">
        <f>$Q$7</f>
        <v>925040</v>
      </c>
      <c r="U7" s="89">
        <f>ROUNDUP((Q7)*RPI,0)</f>
        <v>952792</v>
      </c>
      <c r="V7" s="87">
        <f>$U$7</f>
        <v>952792</v>
      </c>
      <c r="Y7" s="89">
        <f>ROUNDUP((U7)*RPI,0)</f>
        <v>981376</v>
      </c>
      <c r="Z7" s="87">
        <f>$Y$7</f>
        <v>981376</v>
      </c>
      <c r="AC7" s="89">
        <f>ROUNDUP((Y7)*RPI,0)</f>
        <v>1010818</v>
      </c>
      <c r="AD7" s="87">
        <f>$AC$7</f>
        <v>1010818</v>
      </c>
    </row>
    <row r="8" spans="1:33" x14ac:dyDescent="0.35">
      <c r="A8" s="86" t="s">
        <v>212</v>
      </c>
      <c r="B8" s="85">
        <v>4</v>
      </c>
      <c r="C8" s="85" t="s">
        <v>207</v>
      </c>
      <c r="D8" s="84"/>
      <c r="E8" s="87">
        <v>39462</v>
      </c>
      <c r="F8" s="87">
        <f t="shared" si="0"/>
        <v>30892.29</v>
      </c>
      <c r="I8" s="89">
        <v>0</v>
      </c>
      <c r="J8" s="87">
        <f t="shared" si="1"/>
        <v>305.54000000000002</v>
      </c>
      <c r="L8" s="86"/>
      <c r="M8" s="89">
        <f>ROUNDUP((I8)*RPI,0)</f>
        <v>0</v>
      </c>
      <c r="N8" s="87">
        <f t="shared" si="2"/>
        <v>0</v>
      </c>
      <c r="P8" s="86"/>
      <c r="Q8" s="89">
        <f>ROUNDUP((M8)*RPI,0)</f>
        <v>0</v>
      </c>
      <c r="R8" s="87">
        <f>$Q$8</f>
        <v>0</v>
      </c>
      <c r="U8" s="89">
        <f>ROUNDUP((Q8)*RPI,0)</f>
        <v>0</v>
      </c>
      <c r="V8" s="87">
        <f>$U$8</f>
        <v>0</v>
      </c>
      <c r="Y8" s="89">
        <f>ROUNDUP((U8)*RPI,0)</f>
        <v>0</v>
      </c>
      <c r="Z8" s="87">
        <f>$Y$8</f>
        <v>0</v>
      </c>
      <c r="AC8" s="89">
        <f>ROUNDUP((Y8)*RPI,0)</f>
        <v>0</v>
      </c>
      <c r="AD8" s="87">
        <f>$AC$8</f>
        <v>0</v>
      </c>
    </row>
    <row r="9" spans="1:33" x14ac:dyDescent="0.35">
      <c r="A9" s="86" t="s">
        <v>213</v>
      </c>
      <c r="B9" s="85">
        <v>5</v>
      </c>
      <c r="C9" s="85" t="s">
        <v>207</v>
      </c>
      <c r="D9" s="84"/>
      <c r="E9" s="87">
        <v>60308</v>
      </c>
      <c r="F9" s="87">
        <f t="shared" si="0"/>
        <v>66978.98</v>
      </c>
      <c r="I9" s="89">
        <v>0</v>
      </c>
      <c r="J9" s="87">
        <f t="shared" si="1"/>
        <v>487.09</v>
      </c>
      <c r="M9" s="89">
        <f>ROUNDUP((I9)*RPI,0)</f>
        <v>0</v>
      </c>
      <c r="N9" s="87">
        <f t="shared" si="2"/>
        <v>0</v>
      </c>
      <c r="Q9" s="89">
        <f>ROUNDUP((M9)*RPI,0)</f>
        <v>0</v>
      </c>
      <c r="R9" s="87">
        <f>$Q$9</f>
        <v>0</v>
      </c>
      <c r="U9" s="89">
        <f>ROUNDUP((Q9)*RPI,0)</f>
        <v>0</v>
      </c>
      <c r="V9" s="87">
        <f>$U$9</f>
        <v>0</v>
      </c>
      <c r="Y9" s="89">
        <f>ROUNDUP((U9)*RPI,0)</f>
        <v>0</v>
      </c>
      <c r="Z9" s="87">
        <f>$Y$9</f>
        <v>0</v>
      </c>
      <c r="AC9" s="89">
        <f>ROUNDUP((Y9)*RPI,0)</f>
        <v>0</v>
      </c>
      <c r="AD9" s="87">
        <f>$AC$9</f>
        <v>0</v>
      </c>
    </row>
    <row r="10" spans="1:33" x14ac:dyDescent="0.35">
      <c r="A10" s="86" t="s">
        <v>1391</v>
      </c>
      <c r="B10" s="85">
        <v>7</v>
      </c>
      <c r="D10" s="84"/>
      <c r="E10" s="87"/>
      <c r="F10" s="87">
        <f t="shared" si="0"/>
        <v>0</v>
      </c>
      <c r="I10" s="89">
        <v>0</v>
      </c>
      <c r="J10" s="87">
        <f t="shared" si="1"/>
        <v>0</v>
      </c>
      <c r="M10" s="89">
        <v>15280</v>
      </c>
      <c r="N10" s="87">
        <f t="shared" si="2"/>
        <v>15280</v>
      </c>
      <c r="P10" s="105"/>
    </row>
    <row r="11" spans="1:33" x14ac:dyDescent="0.35">
      <c r="A11" s="86" t="s">
        <v>1392</v>
      </c>
      <c r="B11" s="85">
        <v>6</v>
      </c>
      <c r="C11" s="85" t="s">
        <v>207</v>
      </c>
      <c r="D11" s="84"/>
      <c r="E11" s="87">
        <v>0</v>
      </c>
      <c r="F11" s="87">
        <f t="shared" si="0"/>
        <v>3880.8</v>
      </c>
      <c r="I11" s="89">
        <f>ROUNDUP((E11)*RPICurrent,0)</f>
        <v>0</v>
      </c>
      <c r="J11" s="87">
        <f t="shared" si="1"/>
        <v>1570</v>
      </c>
      <c r="M11" s="89">
        <f>ROUNDUP((I11)*RPI,0)</f>
        <v>0</v>
      </c>
      <c r="N11" s="87">
        <f t="shared" si="2"/>
        <v>2049</v>
      </c>
      <c r="Q11" s="89">
        <f>ROUNDUP((M11)*RPI,0)</f>
        <v>0</v>
      </c>
      <c r="R11" s="87">
        <f>$Q$11</f>
        <v>0</v>
      </c>
      <c r="U11" s="89">
        <f>ROUNDUP((Q11)*RPI,0)</f>
        <v>0</v>
      </c>
      <c r="V11" s="87">
        <f>$U$11</f>
        <v>0</v>
      </c>
      <c r="Y11" s="89">
        <f>ROUNDUP((U11)*RPI,0)</f>
        <v>0</v>
      </c>
      <c r="Z11" s="87">
        <f>$Y$11</f>
        <v>0</v>
      </c>
      <c r="AC11" s="89">
        <f>ROUNDUP((Y11)*RPI,0)</f>
        <v>0</v>
      </c>
      <c r="AD11" s="87">
        <f>$AC$11</f>
        <v>0</v>
      </c>
    </row>
    <row r="12" spans="1:33" x14ac:dyDescent="0.35">
      <c r="E12" s="87"/>
    </row>
    <row r="13" spans="1:33" x14ac:dyDescent="0.35">
      <c r="E13" s="87"/>
    </row>
    <row r="14" spans="1:33" x14ac:dyDescent="0.35">
      <c r="E14" s="87"/>
    </row>
    <row r="15" spans="1:33" x14ac:dyDescent="0.35">
      <c r="A15" s="84" t="s">
        <v>487</v>
      </c>
      <c r="F15" s="93"/>
      <c r="G15" s="85"/>
      <c r="H15" s="87"/>
      <c r="I15" s="94"/>
      <c r="J15" s="93"/>
      <c r="K15" s="85"/>
      <c r="M15" s="94"/>
      <c r="N15" s="93"/>
      <c r="O15" s="85"/>
      <c r="Q15" s="94"/>
      <c r="R15" s="93"/>
      <c r="S15" s="85"/>
      <c r="U15" s="94"/>
      <c r="V15" s="93"/>
      <c r="W15" s="85"/>
      <c r="Y15" s="94"/>
      <c r="Z15" s="93"/>
      <c r="AA15" s="85"/>
      <c r="AC15" s="94"/>
      <c r="AD15" s="93"/>
      <c r="AE15" s="85"/>
    </row>
    <row r="16" spans="1:33" x14ac:dyDescent="0.35">
      <c r="E16" s="85" t="s">
        <v>484</v>
      </c>
      <c r="F16" s="93" t="s">
        <v>488</v>
      </c>
      <c r="G16" s="85" t="s">
        <v>489</v>
      </c>
      <c r="H16" s="87" t="s">
        <v>475</v>
      </c>
      <c r="I16" s="85" t="s">
        <v>484</v>
      </c>
      <c r="J16" s="93" t="s">
        <v>488</v>
      </c>
      <c r="K16" s="85" t="s">
        <v>489</v>
      </c>
      <c r="L16" s="87" t="s">
        <v>475</v>
      </c>
      <c r="M16" s="85" t="s">
        <v>484</v>
      </c>
      <c r="N16" s="93" t="s">
        <v>488</v>
      </c>
      <c r="O16" s="85" t="s">
        <v>489</v>
      </c>
      <c r="P16" s="87" t="s">
        <v>475</v>
      </c>
      <c r="Q16" s="94"/>
      <c r="R16" s="93"/>
      <c r="S16" s="85"/>
      <c r="U16" s="94"/>
      <c r="V16" s="93"/>
      <c r="W16" s="85"/>
      <c r="Y16" s="94"/>
      <c r="Z16" s="93"/>
      <c r="AA16" s="85"/>
      <c r="AC16" s="94"/>
      <c r="AD16" s="93"/>
      <c r="AE16" s="85"/>
    </row>
    <row r="17" spans="1:31" x14ac:dyDescent="0.35">
      <c r="A17" s="85"/>
      <c r="D17" s="85"/>
      <c r="E17" s="85">
        <v>3</v>
      </c>
      <c r="F17" s="93" t="s">
        <v>967</v>
      </c>
      <c r="G17" s="85" t="s">
        <v>1393</v>
      </c>
      <c r="H17" s="87">
        <v>294405.75</v>
      </c>
      <c r="I17" s="94">
        <v>3</v>
      </c>
      <c r="J17" s="93" t="s">
        <v>790</v>
      </c>
      <c r="K17" s="85" t="s">
        <v>1393</v>
      </c>
      <c r="L17" s="87">
        <v>689044.27</v>
      </c>
      <c r="M17" s="85">
        <v>1</v>
      </c>
      <c r="N17" s="93" t="s">
        <v>3103</v>
      </c>
      <c r="O17" s="93" t="s">
        <v>3103</v>
      </c>
      <c r="P17" s="87">
        <v>-20000</v>
      </c>
      <c r="Q17" s="94"/>
      <c r="R17" s="93"/>
      <c r="S17" s="85"/>
      <c r="U17" s="94"/>
      <c r="V17" s="93"/>
      <c r="W17" s="85"/>
      <c r="Y17" s="94"/>
      <c r="Z17" s="93"/>
      <c r="AA17" s="85"/>
      <c r="AC17" s="94"/>
      <c r="AD17" s="93"/>
      <c r="AE17" s="85"/>
    </row>
    <row r="18" spans="1:31" x14ac:dyDescent="0.35">
      <c r="E18" s="85">
        <v>4</v>
      </c>
      <c r="F18" s="93" t="s">
        <v>967</v>
      </c>
      <c r="G18" s="85" t="s">
        <v>1394</v>
      </c>
      <c r="H18" s="87">
        <v>30892.29</v>
      </c>
      <c r="I18" s="94">
        <v>6</v>
      </c>
      <c r="J18" s="93">
        <v>45125</v>
      </c>
      <c r="K18" s="85" t="s">
        <v>1395</v>
      </c>
      <c r="L18" s="87">
        <v>450</v>
      </c>
      <c r="M18" s="85">
        <v>3</v>
      </c>
      <c r="N18" s="93" t="s">
        <v>3103</v>
      </c>
      <c r="O18" s="93" t="s">
        <v>3103</v>
      </c>
      <c r="P18" s="87">
        <v>20000</v>
      </c>
      <c r="Q18" s="94"/>
      <c r="R18" s="93"/>
      <c r="S18" s="85"/>
      <c r="U18" s="94"/>
      <c r="V18" s="93"/>
      <c r="W18" s="85"/>
      <c r="Y18" s="94"/>
      <c r="Z18" s="93"/>
      <c r="AA18" s="85"/>
      <c r="AC18" s="94"/>
      <c r="AD18" s="93"/>
      <c r="AE18" s="85"/>
    </row>
    <row r="19" spans="1:31" x14ac:dyDescent="0.35">
      <c r="E19" s="85">
        <v>5</v>
      </c>
      <c r="F19" s="93" t="s">
        <v>967</v>
      </c>
      <c r="G19" s="85" t="s">
        <v>213</v>
      </c>
      <c r="H19" s="87">
        <v>66978.98</v>
      </c>
      <c r="I19" s="94">
        <v>1</v>
      </c>
      <c r="J19" s="93">
        <v>44978</v>
      </c>
      <c r="K19" s="93" t="s">
        <v>1397</v>
      </c>
      <c r="L19" s="87">
        <v>100</v>
      </c>
      <c r="M19" s="94">
        <v>3</v>
      </c>
      <c r="N19" s="93" t="s">
        <v>790</v>
      </c>
      <c r="O19" s="87" t="s">
        <v>1227</v>
      </c>
      <c r="P19" s="87">
        <v>950142</v>
      </c>
      <c r="Q19" s="94"/>
      <c r="R19" s="93"/>
      <c r="S19" s="85"/>
      <c r="U19" s="94"/>
      <c r="V19" s="93"/>
      <c r="W19" s="85"/>
      <c r="Y19" s="94"/>
      <c r="Z19" s="93"/>
      <c r="AA19" s="85"/>
      <c r="AC19" s="94"/>
      <c r="AD19" s="93"/>
      <c r="AE19" s="85"/>
    </row>
    <row r="20" spans="1:31" x14ac:dyDescent="0.35">
      <c r="E20" s="85">
        <v>6</v>
      </c>
      <c r="F20" s="93" t="s">
        <v>1186</v>
      </c>
      <c r="G20" s="85" t="s">
        <v>1396</v>
      </c>
      <c r="H20" s="87">
        <f>50+120+873.1+100</f>
        <v>1143.0999999999999</v>
      </c>
      <c r="I20" s="94">
        <v>6</v>
      </c>
      <c r="J20" s="93">
        <v>45114</v>
      </c>
      <c r="K20" s="85" t="s">
        <v>1395</v>
      </c>
      <c r="L20" s="87">
        <v>235</v>
      </c>
      <c r="M20" s="94">
        <v>7</v>
      </c>
      <c r="N20" s="93" t="s">
        <v>790</v>
      </c>
      <c r="O20" s="87" t="s">
        <v>1227</v>
      </c>
      <c r="P20" s="87">
        <v>15280</v>
      </c>
      <c r="Q20" s="94"/>
      <c r="R20" s="93"/>
      <c r="S20" s="85"/>
      <c r="U20" s="94"/>
      <c r="V20" s="93"/>
      <c r="W20" s="85"/>
      <c r="Y20" s="94"/>
      <c r="Z20" s="93"/>
      <c r="AA20" s="85"/>
      <c r="AC20" s="94"/>
      <c r="AD20" s="93"/>
      <c r="AE20" s="85"/>
    </row>
    <row r="21" spans="1:31" x14ac:dyDescent="0.35">
      <c r="F21" s="93" t="s">
        <v>790</v>
      </c>
      <c r="G21" s="85" t="s">
        <v>905</v>
      </c>
      <c r="H21" s="87">
        <v>9500</v>
      </c>
      <c r="I21" s="94">
        <v>6</v>
      </c>
      <c r="J21" s="93">
        <v>45343</v>
      </c>
      <c r="K21" s="85" t="s">
        <v>214</v>
      </c>
      <c r="L21" s="87">
        <v>250</v>
      </c>
      <c r="M21" s="94">
        <v>6</v>
      </c>
      <c r="N21" s="93">
        <v>45436</v>
      </c>
      <c r="O21" s="87" t="s">
        <v>214</v>
      </c>
      <c r="P21" s="148">
        <v>250</v>
      </c>
      <c r="Q21" s="94"/>
      <c r="R21" s="93"/>
      <c r="S21" s="85"/>
      <c r="U21" s="94"/>
      <c r="V21" s="93"/>
      <c r="W21" s="85"/>
      <c r="Y21" s="94"/>
      <c r="Z21" s="93"/>
      <c r="AA21" s="85"/>
      <c r="AC21" s="94"/>
      <c r="AD21" s="93"/>
      <c r="AE21" s="85"/>
    </row>
    <row r="22" spans="1:31" x14ac:dyDescent="0.35">
      <c r="E22" s="85">
        <v>6</v>
      </c>
      <c r="F22" s="93">
        <v>44885</v>
      </c>
      <c r="G22" s="85" t="s">
        <v>1398</v>
      </c>
      <c r="H22" s="87">
        <v>268.2</v>
      </c>
      <c r="I22" s="94">
        <v>6</v>
      </c>
      <c r="J22" s="93">
        <v>45349</v>
      </c>
      <c r="K22" s="85" t="s">
        <v>214</v>
      </c>
      <c r="L22" s="87">
        <v>635</v>
      </c>
      <c r="M22" s="94">
        <v>6</v>
      </c>
      <c r="N22" s="93">
        <v>45442</v>
      </c>
      <c r="O22" s="87" t="s">
        <v>214</v>
      </c>
      <c r="P22" s="148">
        <v>800</v>
      </c>
      <c r="Q22" s="94"/>
      <c r="R22" s="93"/>
      <c r="S22" s="85"/>
      <c r="U22" s="94"/>
      <c r="V22" s="93"/>
      <c r="W22" s="85"/>
      <c r="Y22" s="94"/>
      <c r="Z22" s="93"/>
      <c r="AA22" s="85"/>
      <c r="AC22" s="94"/>
      <c r="AD22" s="93"/>
      <c r="AE22" s="85"/>
    </row>
    <row r="23" spans="1:31" x14ac:dyDescent="0.35">
      <c r="E23" s="85">
        <v>6</v>
      </c>
      <c r="F23" s="93">
        <v>44916</v>
      </c>
      <c r="G23" s="85" t="s">
        <v>214</v>
      </c>
      <c r="H23" s="87">
        <v>298</v>
      </c>
      <c r="I23" s="94">
        <v>3</v>
      </c>
      <c r="J23" s="93" t="s">
        <v>775</v>
      </c>
      <c r="K23" s="85" t="s">
        <v>2786</v>
      </c>
      <c r="L23" s="151">
        <v>2214.04</v>
      </c>
      <c r="M23" s="94">
        <v>6</v>
      </c>
      <c r="N23" s="93">
        <v>45429</v>
      </c>
      <c r="O23" s="87" t="s">
        <v>214</v>
      </c>
      <c r="P23" s="148">
        <v>999</v>
      </c>
      <c r="Q23" s="94"/>
      <c r="R23" s="93"/>
      <c r="S23" s="85"/>
      <c r="U23" s="94"/>
      <c r="V23" s="93"/>
      <c r="W23" s="85"/>
      <c r="Y23" s="94"/>
      <c r="Z23" s="93"/>
      <c r="AA23" s="85"/>
      <c r="AC23" s="94"/>
      <c r="AD23" s="93"/>
      <c r="AE23" s="85"/>
    </row>
    <row r="24" spans="1:31" x14ac:dyDescent="0.35">
      <c r="E24" s="85">
        <v>6</v>
      </c>
      <c r="F24" s="93">
        <v>44945</v>
      </c>
      <c r="G24" s="85" t="s">
        <v>1399</v>
      </c>
      <c r="H24" s="87">
        <v>932</v>
      </c>
      <c r="I24" s="94">
        <v>4</v>
      </c>
      <c r="J24" s="93" t="s">
        <v>775</v>
      </c>
      <c r="K24" s="85" t="s">
        <v>2786</v>
      </c>
      <c r="L24" s="151">
        <v>305.54000000000002</v>
      </c>
      <c r="M24" s="94"/>
      <c r="N24" s="93"/>
      <c r="O24" s="85"/>
      <c r="Q24" s="94"/>
      <c r="R24" s="93"/>
      <c r="S24" s="85"/>
      <c r="U24" s="94"/>
      <c r="V24" s="93"/>
      <c r="W24" s="85"/>
      <c r="Y24" s="94"/>
      <c r="Z24" s="93"/>
      <c r="AA24" s="85"/>
      <c r="AC24" s="94"/>
      <c r="AD24" s="93"/>
      <c r="AE24" s="85"/>
    </row>
    <row r="25" spans="1:31" x14ac:dyDescent="0.35">
      <c r="E25" s="85">
        <v>6</v>
      </c>
      <c r="F25" s="93">
        <v>44949</v>
      </c>
      <c r="G25" s="85" t="s">
        <v>1399</v>
      </c>
      <c r="H25" s="87">
        <v>717.2</v>
      </c>
      <c r="I25" s="94">
        <v>5</v>
      </c>
      <c r="J25" s="93" t="s">
        <v>775</v>
      </c>
      <c r="K25" s="85" t="s">
        <v>2786</v>
      </c>
      <c r="L25" s="151">
        <v>487.09</v>
      </c>
      <c r="M25" s="94"/>
      <c r="N25" s="93"/>
      <c r="O25" s="85"/>
      <c r="Q25" s="94"/>
      <c r="R25" s="93"/>
      <c r="S25" s="85"/>
      <c r="U25" s="94"/>
      <c r="V25" s="93"/>
      <c r="W25" s="85"/>
      <c r="Y25" s="94"/>
      <c r="Z25" s="93"/>
      <c r="AA25" s="85"/>
      <c r="AC25" s="94"/>
      <c r="AD25" s="93"/>
      <c r="AE25" s="85"/>
    </row>
    <row r="26" spans="1:31" x14ac:dyDescent="0.35">
      <c r="E26" s="85">
        <v>6</v>
      </c>
      <c r="F26" s="93">
        <v>45006</v>
      </c>
      <c r="G26" s="85" t="s">
        <v>1395</v>
      </c>
      <c r="H26" s="87">
        <v>447.3</v>
      </c>
      <c r="I26" s="94"/>
      <c r="J26" s="93"/>
      <c r="K26" s="85"/>
      <c r="M26" s="94"/>
      <c r="N26" s="93"/>
      <c r="O26" s="85"/>
      <c r="Q26" s="94"/>
      <c r="R26" s="93"/>
      <c r="S26" s="85"/>
      <c r="U26" s="94"/>
      <c r="V26" s="93"/>
      <c r="W26" s="85"/>
      <c r="Y26" s="94"/>
      <c r="Z26" s="93"/>
      <c r="AA26" s="85"/>
      <c r="AC26" s="94"/>
      <c r="AD26" s="93"/>
      <c r="AE26" s="85"/>
    </row>
    <row r="27" spans="1:31" x14ac:dyDescent="0.35">
      <c r="E27" s="85">
        <v>6</v>
      </c>
      <c r="F27" s="93">
        <v>45014</v>
      </c>
      <c r="G27" s="85" t="s">
        <v>1399</v>
      </c>
      <c r="H27" s="87">
        <v>75</v>
      </c>
      <c r="I27" s="94"/>
      <c r="J27" s="93"/>
      <c r="K27" s="85"/>
      <c r="M27" s="94"/>
      <c r="N27" s="93"/>
      <c r="O27" s="85"/>
      <c r="Q27" s="94"/>
      <c r="R27" s="93"/>
      <c r="S27" s="85"/>
      <c r="U27" s="94"/>
      <c r="V27" s="93"/>
      <c r="W27" s="85"/>
      <c r="Y27" s="94"/>
      <c r="Z27" s="93"/>
      <c r="AA27" s="85"/>
      <c r="AC27" s="94"/>
      <c r="AD27" s="93"/>
      <c r="AE27" s="85"/>
    </row>
    <row r="28" spans="1:31" x14ac:dyDescent="0.35">
      <c r="F28" s="93"/>
      <c r="G28" s="85"/>
      <c r="H28" s="87"/>
      <c r="I28" s="94"/>
      <c r="J28" s="93"/>
      <c r="K28" s="85"/>
      <c r="M28" s="94"/>
      <c r="N28" s="93"/>
      <c r="O28" s="85"/>
      <c r="Q28" s="94"/>
      <c r="R28" s="93"/>
      <c r="S28" s="85"/>
      <c r="U28" s="94"/>
      <c r="V28" s="93"/>
      <c r="W28" s="85"/>
      <c r="Y28" s="94"/>
      <c r="Z28" s="93"/>
      <c r="AA28" s="85"/>
      <c r="AC28" s="94"/>
      <c r="AD28" s="93"/>
      <c r="AE28" s="85"/>
    </row>
    <row r="29" spans="1:31" x14ac:dyDescent="0.35">
      <c r="F29" s="93"/>
      <c r="G29" s="85"/>
      <c r="H29" s="87"/>
      <c r="I29" s="94"/>
      <c r="J29" s="93"/>
      <c r="K29" s="85"/>
      <c r="M29" s="94"/>
      <c r="N29" s="93"/>
      <c r="O29" s="85"/>
      <c r="Q29" s="94"/>
      <c r="R29" s="93"/>
      <c r="S29" s="85"/>
      <c r="U29" s="94"/>
      <c r="V29" s="93"/>
      <c r="W29" s="85"/>
      <c r="Y29" s="94"/>
      <c r="Z29" s="93"/>
      <c r="AA29" s="85"/>
      <c r="AC29" s="94"/>
      <c r="AD29" s="93"/>
      <c r="AE29" s="85"/>
    </row>
    <row r="30" spans="1:31" x14ac:dyDescent="0.35">
      <c r="F30" s="93"/>
      <c r="G30" s="85"/>
      <c r="H30" s="87"/>
      <c r="I30" s="94"/>
      <c r="J30" s="93"/>
      <c r="K30" s="85"/>
      <c r="M30" s="94"/>
      <c r="N30" s="93"/>
      <c r="O30" s="85"/>
      <c r="Q30" s="94"/>
      <c r="R30" s="93"/>
      <c r="S30" s="85"/>
      <c r="U30" s="94"/>
      <c r="V30" s="93"/>
      <c r="W30" s="85"/>
      <c r="Y30" s="94"/>
      <c r="Z30" s="93"/>
      <c r="AA30" s="85"/>
      <c r="AC30" s="94"/>
      <c r="AD30" s="93"/>
      <c r="AE30" s="85"/>
    </row>
    <row r="31" spans="1:31" x14ac:dyDescent="0.35">
      <c r="F31" s="93"/>
      <c r="G31" s="85"/>
      <c r="H31" s="87"/>
      <c r="I31" s="94"/>
      <c r="J31" s="93"/>
      <c r="K31" s="85"/>
      <c r="M31" s="94"/>
      <c r="N31" s="93"/>
      <c r="O31" s="85"/>
      <c r="Q31" s="94"/>
      <c r="R31" s="93"/>
      <c r="S31" s="85"/>
      <c r="U31" s="94"/>
      <c r="V31" s="93"/>
      <c r="W31" s="85"/>
      <c r="Y31" s="94"/>
      <c r="Z31" s="93"/>
      <c r="AA31" s="85"/>
      <c r="AC31" s="94"/>
      <c r="AD31" s="93"/>
      <c r="AE31" s="85"/>
    </row>
    <row r="32" spans="1: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6:31" x14ac:dyDescent="0.35">
      <c r="F1001" s="93"/>
      <c r="G1001" s="85"/>
      <c r="H1001" s="87"/>
      <c r="M1001" s="94"/>
      <c r="N1001" s="93"/>
      <c r="O1001" s="85"/>
      <c r="Q1001" s="94"/>
      <c r="R1001" s="93"/>
      <c r="S1001" s="85"/>
      <c r="U1001" s="94"/>
      <c r="V1001" s="93"/>
      <c r="W1001" s="85"/>
      <c r="Y1001" s="94"/>
      <c r="Z1001" s="93"/>
      <c r="AA1001" s="85"/>
      <c r="AC1001" s="94"/>
      <c r="AD1001" s="93"/>
      <c r="AE1001" s="85"/>
    </row>
    <row r="1002" spans="6:31" x14ac:dyDescent="0.35">
      <c r="M1002" s="94"/>
      <c r="N1002" s="93"/>
      <c r="O1002" s="85"/>
    </row>
    <row r="1003" spans="6:31" x14ac:dyDescent="0.35">
      <c r="M1003" s="94"/>
      <c r="N1003" s="93"/>
      <c r="O1003" s="85"/>
    </row>
  </sheetData>
  <conditionalFormatting sqref="A17:L1048576 Q17:AG1048576 M17:P18 A1:AG16">
    <cfRule type="expression" dxfId="27" priority="1">
      <formula>$A4="Spend to Date"</formula>
    </cfRule>
  </conditionalFormatting>
  <conditionalFormatting sqref="M19:P1048576">
    <cfRule type="expression" dxfId="26" priority="56">
      <formula>$A21="Spend to Date"</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AG1000"/>
  <sheetViews>
    <sheetView workbookViewId="0">
      <pane xSplit="2" ySplit="1" topLeftCell="J2" activePane="bottomRight" state="frozen"/>
      <selection pane="topRight" activeCell="C1" sqref="C1"/>
      <selection pane="bottomLeft" activeCell="A2" sqref="A2"/>
      <selection pane="bottomRight" activeCell="S27" sqref="S27"/>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89" bestFit="1" customWidth="1"/>
    <col min="10" max="10" width="19.54296875" style="87" bestFit="1" customWidth="1"/>
    <col min="11" max="11" width="29.453125" style="87" customWidth="1"/>
    <col min="12" max="12" width="13.453125" style="87" bestFit="1"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215</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-15943.37</v>
      </c>
      <c r="F2" s="87">
        <f>SUM(F3:F3)</f>
        <v>0</v>
      </c>
      <c r="I2" s="89">
        <f>SUM(I3:I3)</f>
        <v>-36000</v>
      </c>
      <c r="J2" s="87">
        <f>SUM(J3:J3)</f>
        <v>0</v>
      </c>
      <c r="M2" s="89">
        <f>SUM(M3:M3)</f>
        <v>-12500</v>
      </c>
      <c r="N2" s="87">
        <f>SUM(N3:N3)</f>
        <v>0</v>
      </c>
      <c r="Q2" s="89">
        <f>SUM(Q3:Q3)</f>
        <v>0</v>
      </c>
      <c r="R2" s="87">
        <f>SUM(R3:R3)</f>
        <v>0</v>
      </c>
      <c r="U2" s="89">
        <f>SUM(U3:U3)</f>
        <v>0</v>
      </c>
      <c r="V2" s="87">
        <f>SUM(V3:V3)</f>
        <v>0</v>
      </c>
      <c r="Y2" s="89">
        <f>SUM(Y3:Y3)</f>
        <v>0</v>
      </c>
      <c r="Z2" s="87">
        <f>SUM(Z3:Z3)</f>
        <v>0</v>
      </c>
      <c r="AC2" s="89">
        <f>SUM(AC3:AC3)</f>
        <v>0</v>
      </c>
      <c r="AD2" s="87">
        <f>SUM(AD3:AD3)</f>
        <v>0</v>
      </c>
    </row>
    <row r="3" spans="1:33" x14ac:dyDescent="0.35">
      <c r="A3" s="86" t="s">
        <v>216</v>
      </c>
      <c r="B3" s="85">
        <v>1</v>
      </c>
      <c r="D3" s="86">
        <v>29861.51</v>
      </c>
      <c r="E3" s="87">
        <v>-15943.37</v>
      </c>
      <c r="F3" s="87">
        <f>SUMIFS(H$14:H$999,E$14:E$999,$B3)</f>
        <v>0</v>
      </c>
      <c r="G3" s="87">
        <f>D3+E3-F3+SUMIFS(E$6:E$8,$C$6:$C$8,$A3)-SUMIFS(F$6:F$8,$C$6:$C$8,$A3)</f>
        <v>31913.620000000003</v>
      </c>
      <c r="I3" s="91">
        <v>-36000</v>
      </c>
      <c r="J3" s="87">
        <f>SUMIFS(L$14:L$999,I$14:I$999,$B3)</f>
        <v>0</v>
      </c>
      <c r="K3" s="87">
        <f>G3+I3-J3+SUMIFS(I$6:I$8,$C$6:$C$8,$A3)-SUMIFS(J$6:J$8,$C$6:$C$8,$A3)</f>
        <v>13515.520000000004</v>
      </c>
      <c r="L3" s="86"/>
      <c r="M3" s="89">
        <v>-12500</v>
      </c>
      <c r="N3" s="87">
        <f>SUMIFS(P$14:P$999,M$14:M$999,$B3)</f>
        <v>0</v>
      </c>
      <c r="O3" s="87">
        <f>K3+M3-N3+SUMIFS(M$6:M$8,$C$6:$C$8,$A3)-SUMIFS(N$6:N$8,$C$6:$C$8,$A3)</f>
        <v>18259.020000000004</v>
      </c>
      <c r="R3" s="87">
        <f>SUMIFS(T$14:T$999,Q$14:Q$999,$B3)</f>
        <v>0</v>
      </c>
      <c r="S3" s="87">
        <f>O3+Q3-R3+SUMIFS(Q$6:Q$8,$C$6:$C$8,$A3)-SUMIFS(R$6:R$8,$C$6:$C$8,$A3)</f>
        <v>18259.020000000004</v>
      </c>
      <c r="V3" s="87">
        <f>SUMIFS(X$14:X$999,U$14:U$999,$B3)</f>
        <v>0</v>
      </c>
      <c r="W3" s="87">
        <f>S3+U3-V3+SUMIFS(U$6:U$8,$C$6:$C$8,$A3)-SUMIFS(V$6:V$8,$C$6:$C$8,$A3)</f>
        <v>18259.020000000004</v>
      </c>
      <c r="Z3" s="87">
        <f>SUMIFS(AB$14:AB$999,Y$14:Y$999,$B3)</f>
        <v>0</v>
      </c>
      <c r="AA3" s="87">
        <f>W3+Y3-Z3+SUMIFS(Y$6:Y$8,$C$6:$C$8,$A3)-SUMIFS(Z$6:Z$8,$C$6:$C$8,$A3)</f>
        <v>18259.020000000004</v>
      </c>
      <c r="AD3" s="87">
        <f>SUMIFS(AF$14:AF$999,AC$14:AC$999,$B3)</f>
        <v>0</v>
      </c>
      <c r="AE3" s="87">
        <f>AA3+AC3-AD3+SUMIFS(AC$6:AC$8,$C$6:$C$8,$A3)-SUMIFS(AD$6:AD$8,$C$6:$C$8,$A3)</f>
        <v>18259.020000000004</v>
      </c>
      <c r="AG3" s="87">
        <v>60000</v>
      </c>
    </row>
    <row r="4" spans="1:33" x14ac:dyDescent="0.35">
      <c r="E4" s="87"/>
      <c r="F4" s="87"/>
    </row>
    <row r="5" spans="1:33" x14ac:dyDescent="0.35">
      <c r="A5" s="84" t="s">
        <v>217</v>
      </c>
      <c r="D5" s="84"/>
      <c r="E5" s="87">
        <f>SUM(E6:E8)</f>
        <v>30943.370000000003</v>
      </c>
      <c r="F5" s="87">
        <f>SUM(F6:F8)</f>
        <v>12947.89</v>
      </c>
      <c r="I5" s="89">
        <f>SUM(I6:I8)</f>
        <v>36000</v>
      </c>
      <c r="J5" s="87">
        <f>SUM(J6:J8)</f>
        <v>18398.099999999999</v>
      </c>
      <c r="M5" s="89">
        <f>SUM(M6:M8)</f>
        <v>24750</v>
      </c>
      <c r="N5" s="87">
        <f>SUM(N6:N8)</f>
        <v>7506.5</v>
      </c>
      <c r="Q5" s="89">
        <f>SUM(Q6:Q8)</f>
        <v>25493</v>
      </c>
      <c r="R5" s="87">
        <f>$Q$5</f>
        <v>25493</v>
      </c>
      <c r="U5" s="89">
        <f>SUM(U6:U8)</f>
        <v>26259</v>
      </c>
      <c r="V5" s="87">
        <f>$U$5</f>
        <v>26259</v>
      </c>
      <c r="Y5" s="89">
        <f>SUM(Y6:Y8)</f>
        <v>27048</v>
      </c>
      <c r="Z5" s="87">
        <f>$Y$5</f>
        <v>27048</v>
      </c>
      <c r="AC5" s="89">
        <f>SUM(AC6:AC8)</f>
        <v>27860</v>
      </c>
      <c r="AD5" s="87">
        <f>$AC$5</f>
        <v>27860</v>
      </c>
    </row>
    <row r="6" spans="1:33" x14ac:dyDescent="0.35">
      <c r="A6" s="84" t="s">
        <v>218</v>
      </c>
      <c r="B6" s="85">
        <v>2</v>
      </c>
      <c r="C6" s="85" t="s">
        <v>216</v>
      </c>
      <c r="D6" s="84"/>
      <c r="E6" s="87">
        <v>15943.37</v>
      </c>
      <c r="F6" s="87">
        <f>SUMIFS(H$14:H$999,E$14:E$999,$B6)</f>
        <v>8301.89</v>
      </c>
      <c r="I6" s="89">
        <v>20000</v>
      </c>
      <c r="J6" s="87">
        <f>SUMIFS(L$14:L$999,I$14:I$999,$B6)</f>
        <v>17043.099999999999</v>
      </c>
      <c r="M6" s="89">
        <v>19000</v>
      </c>
      <c r="N6" s="87">
        <f>SUMIFS(P$14:P$999,M$14:M$999,$B6)</f>
        <v>6651.5</v>
      </c>
      <c r="Q6" s="89">
        <f>ROUNDUP((M6)*RPI,0)</f>
        <v>19570</v>
      </c>
      <c r="R6" s="87">
        <f>$Q$6</f>
        <v>19570</v>
      </c>
      <c r="U6" s="89">
        <f>ROUNDUP((Q6)*RPI,0)</f>
        <v>20158</v>
      </c>
      <c r="V6" s="87">
        <f>$U$6</f>
        <v>20158</v>
      </c>
      <c r="Y6" s="89">
        <f>ROUNDUP((U6)*RPI,0)</f>
        <v>20763</v>
      </c>
      <c r="Z6" s="87">
        <f>$Y$6</f>
        <v>20763</v>
      </c>
      <c r="AC6" s="89">
        <f>ROUNDUP((Y6)*RPI,0)</f>
        <v>21386</v>
      </c>
      <c r="AD6" s="87">
        <f>$AC$6</f>
        <v>21386</v>
      </c>
    </row>
    <row r="7" spans="1:33" ht="29" x14ac:dyDescent="0.35">
      <c r="A7" s="84" t="s">
        <v>219</v>
      </c>
      <c r="B7" s="92">
        <v>3</v>
      </c>
      <c r="C7" s="92" t="s">
        <v>216</v>
      </c>
      <c r="E7" s="90">
        <v>0</v>
      </c>
      <c r="F7" s="87">
        <f>SUMIFS(H$14:H$999,E$14:E$999,$B7)</f>
        <v>0</v>
      </c>
      <c r="I7" s="91">
        <v>1000</v>
      </c>
      <c r="J7" s="90">
        <f>SUMIFS(L$14:L$999,I$14:I$999,$B7)</f>
        <v>0</v>
      </c>
      <c r="L7" s="86"/>
      <c r="M7" s="89">
        <v>2000</v>
      </c>
      <c r="N7" s="87">
        <f t="shared" ref="N7:N8" si="0">SUMIFS(P$14:P$999,M$14:M$999,$B7)</f>
        <v>200</v>
      </c>
      <c r="O7" s="87">
        <f>K7+M7-N7+SUMIFS(M$6:M$8,$C$6:$C$8,$A7)-SUMIFS(N$6:N$8,$C$6:$C$8,$A7)</f>
        <v>1800</v>
      </c>
      <c r="Q7" s="91">
        <f>ROUNDUP((M7)*RPI,0)</f>
        <v>2060</v>
      </c>
      <c r="R7" s="90">
        <f>$Q$7</f>
        <v>2060</v>
      </c>
      <c r="U7" s="91">
        <f>ROUNDUP((Q7)*RPI,0)</f>
        <v>2122</v>
      </c>
      <c r="V7" s="90">
        <f>$U$7</f>
        <v>2122</v>
      </c>
      <c r="Y7" s="91">
        <f>ROUNDUP((U7)*RPI,0)</f>
        <v>2186</v>
      </c>
      <c r="Z7" s="90">
        <f>$Y$7</f>
        <v>2186</v>
      </c>
      <c r="AC7" s="91">
        <f>ROUNDUP((Y7)*RPI,0)</f>
        <v>2252</v>
      </c>
      <c r="AD7" s="90">
        <f>$AC$7</f>
        <v>2252</v>
      </c>
    </row>
    <row r="8" spans="1:33" x14ac:dyDescent="0.35">
      <c r="A8" s="86" t="s">
        <v>220</v>
      </c>
      <c r="B8" s="92">
        <v>4</v>
      </c>
      <c r="C8" s="85" t="s">
        <v>216</v>
      </c>
      <c r="D8" s="84"/>
      <c r="E8" s="87">
        <v>15000</v>
      </c>
      <c r="F8" s="87">
        <f>SUMIFS(H$14:H$999,E$14:E$999,$B8)</f>
        <v>4646</v>
      </c>
      <c r="I8" s="89">
        <v>15000</v>
      </c>
      <c r="J8" s="87">
        <f>SUMIFS(L$14:L$999,I$14:I$999,$B8)</f>
        <v>1355</v>
      </c>
      <c r="M8" s="89">
        <v>3750</v>
      </c>
      <c r="N8" s="87">
        <f t="shared" si="0"/>
        <v>655</v>
      </c>
      <c r="Q8" s="89">
        <f>ROUNDUP((M8)*RPI,0)</f>
        <v>3863</v>
      </c>
      <c r="R8" s="87">
        <f>$Q$8</f>
        <v>3863</v>
      </c>
      <c r="U8" s="89">
        <f>ROUNDUP((Q8)*RPI,0)</f>
        <v>3979</v>
      </c>
      <c r="V8" s="87">
        <f>$U$8</f>
        <v>3979</v>
      </c>
      <c r="Y8" s="89">
        <f>ROUNDUP((U8)*RPI,0)</f>
        <v>4099</v>
      </c>
      <c r="Z8" s="87">
        <f>$Y$8</f>
        <v>4099</v>
      </c>
      <c r="AC8" s="89">
        <f>ROUNDUP((Y8)*RPI,0)</f>
        <v>4222</v>
      </c>
      <c r="AD8" s="87">
        <f>$AC$8</f>
        <v>4222</v>
      </c>
    </row>
    <row r="9" spans="1:33" x14ac:dyDescent="0.35">
      <c r="E9" s="87"/>
      <c r="F9" s="87"/>
    </row>
    <row r="10" spans="1:33" x14ac:dyDescent="0.35">
      <c r="E10" s="87"/>
      <c r="F10" s="87"/>
    </row>
    <row r="11" spans="1:33" x14ac:dyDescent="0.35">
      <c r="E11" s="87"/>
      <c r="F11" s="87"/>
    </row>
    <row r="12" spans="1:33" x14ac:dyDescent="0.35">
      <c r="A12" s="84" t="s">
        <v>487</v>
      </c>
      <c r="G12" s="85"/>
      <c r="H12" s="87"/>
      <c r="I12" s="94"/>
      <c r="J12" s="93"/>
      <c r="K12" s="85"/>
      <c r="M12" s="94"/>
      <c r="N12" s="93"/>
      <c r="O12" s="85"/>
      <c r="Q12" s="94"/>
      <c r="R12" s="93"/>
      <c r="S12" s="85"/>
      <c r="U12" s="94"/>
      <c r="V12" s="93"/>
      <c r="W12" s="85"/>
      <c r="Y12" s="94"/>
      <c r="Z12" s="93"/>
      <c r="AA12" s="85"/>
      <c r="AC12" s="94"/>
      <c r="AD12" s="93"/>
      <c r="AE12" s="85"/>
    </row>
    <row r="13" spans="1:33" x14ac:dyDescent="0.35">
      <c r="E13" s="85" t="s">
        <v>484</v>
      </c>
      <c r="F13" s="93" t="s">
        <v>488</v>
      </c>
      <c r="G13" s="85" t="s">
        <v>489</v>
      </c>
      <c r="H13" s="87" t="s">
        <v>475</v>
      </c>
      <c r="I13" s="94" t="s">
        <v>484</v>
      </c>
      <c r="J13" s="93" t="s">
        <v>488</v>
      </c>
      <c r="K13" s="85" t="s">
        <v>489</v>
      </c>
      <c r="L13" s="87" t="s">
        <v>475</v>
      </c>
      <c r="M13" s="94" t="s">
        <v>484</v>
      </c>
      <c r="N13" s="93" t="s">
        <v>488</v>
      </c>
      <c r="O13" s="85" t="s">
        <v>489</v>
      </c>
      <c r="P13" s="87" t="s">
        <v>475</v>
      </c>
      <c r="Q13" s="94"/>
      <c r="R13" s="93"/>
      <c r="S13" s="85"/>
      <c r="U13" s="94"/>
      <c r="V13" s="93"/>
      <c r="W13" s="85"/>
      <c r="Y13" s="94"/>
      <c r="Z13" s="93"/>
      <c r="AA13" s="85"/>
      <c r="AC13" s="94"/>
      <c r="AD13" s="93"/>
      <c r="AE13" s="85"/>
    </row>
    <row r="14" spans="1:33" x14ac:dyDescent="0.35">
      <c r="A14" s="85"/>
      <c r="D14" s="85"/>
      <c r="E14" s="85">
        <v>2</v>
      </c>
      <c r="F14" s="93" t="s">
        <v>1186</v>
      </c>
      <c r="G14" s="85" t="s">
        <v>332</v>
      </c>
      <c r="H14" s="87">
        <f>1575+30+505+60+192+192+500+15+2390+26</f>
        <v>5485</v>
      </c>
      <c r="I14" s="94">
        <v>2</v>
      </c>
      <c r="J14" s="93">
        <v>45028</v>
      </c>
      <c r="K14" s="85" t="s">
        <v>1400</v>
      </c>
      <c r="L14" s="87">
        <v>30</v>
      </c>
      <c r="M14" s="94">
        <v>2</v>
      </c>
      <c r="N14" s="93">
        <v>45393</v>
      </c>
      <c r="O14" s="85" t="s">
        <v>1401</v>
      </c>
      <c r="P14" s="148">
        <v>580</v>
      </c>
      <c r="Q14" s="94"/>
      <c r="R14" s="93"/>
      <c r="S14" s="85"/>
      <c r="U14" s="94"/>
      <c r="V14" s="93"/>
      <c r="W14" s="85"/>
      <c r="Y14" s="94"/>
      <c r="Z14" s="93"/>
      <c r="AA14" s="85"/>
      <c r="AC14" s="94"/>
      <c r="AD14" s="93"/>
      <c r="AE14" s="85"/>
    </row>
    <row r="15" spans="1:33" x14ac:dyDescent="0.35">
      <c r="E15" s="85">
        <v>4</v>
      </c>
      <c r="F15" s="93" t="s">
        <v>1186</v>
      </c>
      <c r="G15" s="85" t="s">
        <v>220</v>
      </c>
      <c r="H15" s="87">
        <f>60+560</f>
        <v>620</v>
      </c>
      <c r="I15" s="94">
        <v>2</v>
      </c>
      <c r="J15" s="93">
        <v>45063</v>
      </c>
      <c r="K15" s="85" t="s">
        <v>1401</v>
      </c>
      <c r="L15" s="87">
        <v>485</v>
      </c>
      <c r="M15" s="94">
        <v>2</v>
      </c>
      <c r="N15" s="93">
        <v>45404</v>
      </c>
      <c r="O15" s="85" t="s">
        <v>1436</v>
      </c>
      <c r="P15" s="148">
        <v>280</v>
      </c>
      <c r="Q15" s="94"/>
      <c r="R15" s="93"/>
      <c r="S15" s="85"/>
      <c r="U15" s="94"/>
      <c r="V15" s="93"/>
      <c r="W15" s="85"/>
      <c r="Y15" s="94"/>
      <c r="Z15" s="93"/>
      <c r="AA15" s="85"/>
      <c r="AC15" s="94"/>
      <c r="AD15" s="93"/>
      <c r="AE15" s="85"/>
    </row>
    <row r="16" spans="1:33" x14ac:dyDescent="0.35">
      <c r="E16" s="85">
        <v>4</v>
      </c>
      <c r="F16" s="93">
        <v>44867</v>
      </c>
      <c r="G16" s="85" t="s">
        <v>1402</v>
      </c>
      <c r="H16" s="87">
        <v>26</v>
      </c>
      <c r="I16" s="94">
        <v>2</v>
      </c>
      <c r="J16" s="93">
        <v>45063</v>
      </c>
      <c r="K16" s="85" t="s">
        <v>1401</v>
      </c>
      <c r="L16" s="87">
        <v>485</v>
      </c>
      <c r="M16" s="94">
        <v>2</v>
      </c>
      <c r="N16" s="93">
        <v>45408</v>
      </c>
      <c r="O16" s="85" t="s">
        <v>1407</v>
      </c>
      <c r="P16" s="148">
        <v>650</v>
      </c>
      <c r="Q16" s="94"/>
      <c r="R16" s="93"/>
      <c r="S16" s="85"/>
      <c r="U16" s="94"/>
      <c r="V16" s="93"/>
      <c r="W16" s="85"/>
      <c r="Y16" s="94"/>
      <c r="Z16" s="93"/>
      <c r="AA16" s="85"/>
      <c r="AC16" s="94"/>
      <c r="AD16" s="93"/>
      <c r="AE16" s="85"/>
    </row>
    <row r="17" spans="5:31" x14ac:dyDescent="0.35">
      <c r="E17" s="85">
        <v>2</v>
      </c>
      <c r="F17" s="93">
        <v>44879</v>
      </c>
      <c r="G17" s="85" t="s">
        <v>1403</v>
      </c>
      <c r="H17" s="87">
        <v>410</v>
      </c>
      <c r="I17" s="94">
        <v>4</v>
      </c>
      <c r="J17" s="93">
        <v>45093</v>
      </c>
      <c r="K17" s="85" t="s">
        <v>220</v>
      </c>
      <c r="L17" s="87">
        <v>60</v>
      </c>
      <c r="M17" s="94">
        <v>2</v>
      </c>
      <c r="N17" s="93">
        <v>45393</v>
      </c>
      <c r="O17" s="85" t="s">
        <v>1436</v>
      </c>
      <c r="P17" s="148">
        <v>424</v>
      </c>
      <c r="Q17" s="94"/>
      <c r="R17" s="93"/>
      <c r="S17" s="85"/>
      <c r="U17" s="94"/>
      <c r="V17" s="93"/>
      <c r="W17" s="85"/>
      <c r="Y17" s="94"/>
      <c r="Z17" s="93"/>
      <c r="AA17" s="85"/>
      <c r="AC17" s="94"/>
      <c r="AD17" s="93"/>
      <c r="AE17" s="85"/>
    </row>
    <row r="18" spans="5:31" x14ac:dyDescent="0.35">
      <c r="E18" s="85">
        <v>2</v>
      </c>
      <c r="F18" s="93">
        <v>44896</v>
      </c>
      <c r="G18" s="85" t="s">
        <v>1404</v>
      </c>
      <c r="H18" s="87">
        <v>30</v>
      </c>
      <c r="I18" s="94">
        <v>2</v>
      </c>
      <c r="J18" s="93">
        <v>45043</v>
      </c>
      <c r="K18" s="85" t="s">
        <v>1405</v>
      </c>
      <c r="L18" s="87">
        <f>100+100+50</f>
        <v>250</v>
      </c>
      <c r="M18" s="94">
        <v>2</v>
      </c>
      <c r="N18" s="93">
        <v>45425</v>
      </c>
      <c r="O18" s="85" t="s">
        <v>2892</v>
      </c>
      <c r="P18" s="148">
        <v>845</v>
      </c>
      <c r="Q18" s="94"/>
      <c r="R18" s="93"/>
      <c r="S18" s="85"/>
      <c r="U18" s="94"/>
      <c r="V18" s="93"/>
      <c r="W18" s="85"/>
      <c r="Y18" s="94"/>
      <c r="Z18" s="93"/>
      <c r="AA18" s="85"/>
      <c r="AC18" s="94"/>
      <c r="AD18" s="93"/>
      <c r="AE18" s="85"/>
    </row>
    <row r="19" spans="5:31" x14ac:dyDescent="0.35">
      <c r="E19" s="85">
        <v>2</v>
      </c>
      <c r="F19" s="93">
        <v>44896</v>
      </c>
      <c r="G19" s="85" t="s">
        <v>1406</v>
      </c>
      <c r="H19" s="87">
        <v>30</v>
      </c>
      <c r="I19" s="94">
        <v>2</v>
      </c>
      <c r="J19" s="93">
        <v>45131</v>
      </c>
      <c r="K19" s="85" t="s">
        <v>1407</v>
      </c>
      <c r="L19" s="87">
        <f>360*2</f>
        <v>720</v>
      </c>
      <c r="M19" s="94">
        <v>2</v>
      </c>
      <c r="N19" s="93">
        <v>45383</v>
      </c>
      <c r="O19" s="85" t="s">
        <v>2910</v>
      </c>
      <c r="P19" s="148">
        <v>3250</v>
      </c>
      <c r="Q19" s="94"/>
      <c r="R19" s="93"/>
      <c r="S19" s="85"/>
      <c r="U19" s="94"/>
      <c r="V19" s="93"/>
      <c r="W19" s="85"/>
      <c r="Y19" s="94"/>
      <c r="Z19" s="93"/>
      <c r="AA19" s="85"/>
      <c r="AC19" s="94"/>
      <c r="AD19" s="93"/>
      <c r="AE19" s="85"/>
    </row>
    <row r="20" spans="5:31" x14ac:dyDescent="0.35">
      <c r="E20" s="85">
        <v>2</v>
      </c>
      <c r="F20" s="93">
        <v>44896</v>
      </c>
      <c r="G20" s="85" t="s">
        <v>1408</v>
      </c>
      <c r="H20" s="87">
        <v>30</v>
      </c>
      <c r="I20" s="94">
        <v>4</v>
      </c>
      <c r="J20" s="93">
        <v>45138</v>
      </c>
      <c r="K20" s="85" t="s">
        <v>1409</v>
      </c>
      <c r="L20" s="87">
        <f>600</f>
        <v>600</v>
      </c>
      <c r="M20" s="94">
        <v>4</v>
      </c>
      <c r="N20" s="93">
        <v>45442</v>
      </c>
      <c r="O20" s="85" t="s">
        <v>2921</v>
      </c>
      <c r="P20" s="148">
        <v>65</v>
      </c>
      <c r="Q20" s="94"/>
      <c r="R20" s="93"/>
      <c r="S20" s="85"/>
      <c r="U20" s="94"/>
      <c r="V20" s="93"/>
      <c r="W20" s="85"/>
      <c r="Y20" s="94"/>
      <c r="Z20" s="93"/>
      <c r="AA20" s="85"/>
      <c r="AC20" s="94"/>
      <c r="AD20" s="93"/>
      <c r="AE20" s="85"/>
    </row>
    <row r="21" spans="5:31" x14ac:dyDescent="0.35">
      <c r="E21" s="85">
        <v>2</v>
      </c>
      <c r="F21" s="93">
        <v>44896</v>
      </c>
      <c r="G21" s="85" t="s">
        <v>1410</v>
      </c>
      <c r="H21" s="87">
        <v>35</v>
      </c>
      <c r="I21" s="94">
        <v>2</v>
      </c>
      <c r="J21" s="93">
        <v>45017</v>
      </c>
      <c r="K21" s="85" t="s">
        <v>1411</v>
      </c>
      <c r="L21" s="87">
        <v>2875</v>
      </c>
      <c r="M21" s="94">
        <v>2</v>
      </c>
      <c r="N21" s="93">
        <v>45385</v>
      </c>
      <c r="O21" s="85" t="s">
        <v>2924</v>
      </c>
      <c r="P21" s="148">
        <v>150</v>
      </c>
      <c r="Q21" s="94"/>
      <c r="R21" s="93"/>
      <c r="S21" s="85"/>
      <c r="U21" s="94"/>
      <c r="V21" s="93"/>
      <c r="W21" s="85"/>
      <c r="Y21" s="94"/>
      <c r="Z21" s="93"/>
      <c r="AA21" s="85"/>
      <c r="AC21" s="94"/>
      <c r="AD21" s="93"/>
      <c r="AE21" s="85"/>
    </row>
    <row r="22" spans="5:31" x14ac:dyDescent="0.35">
      <c r="E22" s="85">
        <v>2</v>
      </c>
      <c r="F22" s="93">
        <v>44896</v>
      </c>
      <c r="G22" s="85" t="s">
        <v>1412</v>
      </c>
      <c r="H22" s="87">
        <v>50</v>
      </c>
      <c r="I22" s="94">
        <v>2</v>
      </c>
      <c r="J22" s="93">
        <v>45196</v>
      </c>
      <c r="K22" s="85" t="s">
        <v>42</v>
      </c>
      <c r="L22" s="87">
        <v>1760</v>
      </c>
      <c r="M22" s="94">
        <v>2</v>
      </c>
      <c r="N22" s="93">
        <v>45429</v>
      </c>
      <c r="O22" s="85" t="s">
        <v>1440</v>
      </c>
      <c r="P22" s="148">
        <v>16.5</v>
      </c>
      <c r="Q22" s="94"/>
      <c r="R22" s="93"/>
      <c r="S22" s="85"/>
      <c r="U22" s="94"/>
      <c r="V22" s="93"/>
      <c r="W22" s="85"/>
      <c r="Y22" s="94"/>
      <c r="Z22" s="93"/>
      <c r="AA22" s="85"/>
      <c r="AC22" s="94"/>
      <c r="AD22" s="93"/>
      <c r="AE22" s="85"/>
    </row>
    <row r="23" spans="5:31" x14ac:dyDescent="0.35">
      <c r="E23" s="85">
        <v>2</v>
      </c>
      <c r="F23" s="93">
        <v>44895</v>
      </c>
      <c r="G23" s="85" t="s">
        <v>1413</v>
      </c>
      <c r="H23" s="87">
        <v>90</v>
      </c>
      <c r="I23" s="94">
        <v>2</v>
      </c>
      <c r="J23" s="93">
        <v>45153</v>
      </c>
      <c r="K23" s="85" t="s">
        <v>1414</v>
      </c>
      <c r="L23" s="87">
        <f>360+225</f>
        <v>585</v>
      </c>
      <c r="M23" s="94">
        <v>2</v>
      </c>
      <c r="N23" s="93">
        <v>45468</v>
      </c>
      <c r="O23" s="85" t="s">
        <v>1436</v>
      </c>
      <c r="P23" s="148">
        <v>106</v>
      </c>
      <c r="Q23" s="94"/>
      <c r="R23" s="93"/>
      <c r="S23" s="85"/>
      <c r="U23" s="94"/>
      <c r="V23" s="93"/>
      <c r="W23" s="85"/>
      <c r="Y23" s="94"/>
      <c r="Z23" s="93"/>
      <c r="AA23" s="85"/>
      <c r="AC23" s="94"/>
      <c r="AD23" s="93"/>
      <c r="AE23" s="85"/>
    </row>
    <row r="24" spans="5:31" x14ac:dyDescent="0.35">
      <c r="E24" s="85">
        <v>2</v>
      </c>
      <c r="F24" s="93">
        <v>44895</v>
      </c>
      <c r="G24" s="85" t="s">
        <v>1413</v>
      </c>
      <c r="H24" s="87">
        <v>90</v>
      </c>
      <c r="I24" s="94">
        <v>2</v>
      </c>
      <c r="J24" s="93">
        <v>45153</v>
      </c>
      <c r="K24" s="85" t="s">
        <v>1401</v>
      </c>
      <c r="L24" s="87">
        <v>485</v>
      </c>
      <c r="M24" s="94">
        <v>4</v>
      </c>
      <c r="N24" s="93">
        <v>45471</v>
      </c>
      <c r="O24" s="85" t="s">
        <v>1409</v>
      </c>
      <c r="P24" s="148">
        <v>450</v>
      </c>
      <c r="Q24" s="94"/>
      <c r="R24" s="93"/>
      <c r="S24" s="85"/>
      <c r="U24" s="94"/>
      <c r="V24" s="93"/>
      <c r="W24" s="85"/>
      <c r="Y24" s="94"/>
      <c r="Z24" s="93"/>
      <c r="AA24" s="85"/>
      <c r="AC24" s="94"/>
      <c r="AD24" s="93"/>
      <c r="AE24" s="85"/>
    </row>
    <row r="25" spans="5:31" x14ac:dyDescent="0.35">
      <c r="E25" s="85">
        <v>2</v>
      </c>
      <c r="F25" s="93">
        <v>44915</v>
      </c>
      <c r="G25" s="85" t="s">
        <v>1415</v>
      </c>
      <c r="H25" s="87">
        <v>520</v>
      </c>
      <c r="I25" s="94">
        <v>4</v>
      </c>
      <c r="J25" s="93">
        <v>45105</v>
      </c>
      <c r="K25" s="85" t="s">
        <v>1416</v>
      </c>
      <c r="L25" s="87">
        <v>228</v>
      </c>
      <c r="M25" s="94">
        <v>4</v>
      </c>
      <c r="N25" s="93">
        <v>45484</v>
      </c>
      <c r="O25" s="85" t="s">
        <v>1409</v>
      </c>
      <c r="P25" s="87">
        <v>70</v>
      </c>
      <c r="Q25" s="94"/>
      <c r="R25" s="93"/>
      <c r="S25" s="85"/>
      <c r="U25" s="94"/>
      <c r="V25" s="93"/>
      <c r="W25" s="85"/>
      <c r="Y25" s="94"/>
      <c r="Z25" s="93"/>
      <c r="AA25" s="85"/>
      <c r="AC25" s="94"/>
      <c r="AD25" s="93"/>
      <c r="AE25" s="85"/>
    </row>
    <row r="26" spans="5:31" x14ac:dyDescent="0.35">
      <c r="E26" s="85">
        <v>2</v>
      </c>
      <c r="F26" s="93">
        <v>44896</v>
      </c>
      <c r="G26" s="85" t="s">
        <v>1417</v>
      </c>
      <c r="H26" s="87">
        <v>70</v>
      </c>
      <c r="I26" s="94">
        <v>2</v>
      </c>
      <c r="J26" s="93">
        <v>45175</v>
      </c>
      <c r="K26" s="85" t="s">
        <v>1418</v>
      </c>
      <c r="L26" s="87">
        <v>2695.5</v>
      </c>
      <c r="M26" s="94">
        <v>4</v>
      </c>
      <c r="N26" s="93">
        <v>45450</v>
      </c>
      <c r="O26" s="85" t="s">
        <v>2924</v>
      </c>
      <c r="P26" s="148">
        <v>70</v>
      </c>
      <c r="Q26" s="94"/>
      <c r="R26" s="93"/>
      <c r="S26" s="85"/>
      <c r="U26" s="94"/>
      <c r="V26" s="93"/>
      <c r="W26" s="85"/>
      <c r="Y26" s="94"/>
      <c r="Z26" s="93"/>
      <c r="AA26" s="85"/>
      <c r="AC26" s="94"/>
      <c r="AD26" s="93"/>
      <c r="AE26" s="85"/>
    </row>
    <row r="27" spans="5:31" x14ac:dyDescent="0.35">
      <c r="E27" s="85">
        <v>2</v>
      </c>
      <c r="F27" s="93">
        <v>44896</v>
      </c>
      <c r="G27" s="85" t="s">
        <v>1419</v>
      </c>
      <c r="H27" s="87">
        <v>20</v>
      </c>
      <c r="I27" s="94">
        <v>2</v>
      </c>
      <c r="J27" s="93">
        <v>45118</v>
      </c>
      <c r="K27" s="85" t="s">
        <v>1420</v>
      </c>
      <c r="L27" s="87">
        <v>25</v>
      </c>
      <c r="M27" s="94">
        <v>2</v>
      </c>
      <c r="N27" s="93">
        <v>45497</v>
      </c>
      <c r="O27" s="85" t="s">
        <v>1436</v>
      </c>
      <c r="P27" s="87">
        <v>350</v>
      </c>
      <c r="Q27" s="94"/>
      <c r="R27" s="93"/>
      <c r="S27" s="85"/>
      <c r="U27" s="94"/>
      <c r="V27" s="93"/>
      <c r="W27" s="85"/>
      <c r="Y27" s="94"/>
      <c r="Z27" s="93"/>
      <c r="AA27" s="85"/>
      <c r="AC27" s="94"/>
      <c r="AD27" s="93"/>
      <c r="AE27" s="85"/>
    </row>
    <row r="28" spans="5:31" x14ac:dyDescent="0.35">
      <c r="E28" s="85">
        <v>2</v>
      </c>
      <c r="F28" s="93">
        <v>44872</v>
      </c>
      <c r="G28" s="85" t="s">
        <v>1420</v>
      </c>
      <c r="H28" s="87">
        <v>25</v>
      </c>
      <c r="I28" s="94">
        <v>2</v>
      </c>
      <c r="J28" s="93">
        <v>45118</v>
      </c>
      <c r="K28" s="85" t="s">
        <v>1421</v>
      </c>
      <c r="L28" s="87">
        <v>31.1</v>
      </c>
      <c r="M28" s="94">
        <v>3</v>
      </c>
      <c r="N28" s="93">
        <v>45502</v>
      </c>
      <c r="O28" s="85" t="s">
        <v>1409</v>
      </c>
      <c r="P28" s="87">
        <v>200</v>
      </c>
      <c r="Q28" s="94"/>
      <c r="R28" s="93"/>
      <c r="S28" s="85"/>
      <c r="U28" s="94"/>
      <c r="V28" s="93"/>
      <c r="W28" s="85"/>
      <c r="Y28" s="94"/>
      <c r="Z28" s="93"/>
      <c r="AA28" s="85"/>
      <c r="AC28" s="94"/>
      <c r="AD28" s="93"/>
      <c r="AE28" s="85"/>
    </row>
    <row r="29" spans="5:31" x14ac:dyDescent="0.35">
      <c r="E29" s="85">
        <v>2</v>
      </c>
      <c r="F29" s="93">
        <v>44872</v>
      </c>
      <c r="G29" s="85" t="s">
        <v>1422</v>
      </c>
      <c r="H29" s="87">
        <f>67+37</f>
        <v>104</v>
      </c>
      <c r="I29" s="94">
        <v>2</v>
      </c>
      <c r="J29" s="93">
        <v>45117</v>
      </c>
      <c r="K29" s="85" t="s">
        <v>1423</v>
      </c>
      <c r="L29" s="87">
        <v>200</v>
      </c>
      <c r="M29" s="94"/>
      <c r="N29" s="93"/>
      <c r="O29" s="85"/>
      <c r="Q29" s="94"/>
      <c r="R29" s="93"/>
      <c r="S29" s="85"/>
      <c r="U29" s="94"/>
      <c r="V29" s="93"/>
      <c r="W29" s="85"/>
      <c r="Y29" s="94"/>
      <c r="Z29" s="93"/>
      <c r="AA29" s="85"/>
      <c r="AC29" s="94"/>
      <c r="AD29" s="93"/>
      <c r="AE29" s="85"/>
    </row>
    <row r="30" spans="5:31" x14ac:dyDescent="0.35">
      <c r="E30" s="85">
        <v>2</v>
      </c>
      <c r="F30" s="93">
        <v>44872</v>
      </c>
      <c r="G30" s="85" t="s">
        <v>1424</v>
      </c>
      <c r="H30" s="87">
        <f>64*2</f>
        <v>128</v>
      </c>
      <c r="I30" s="94">
        <v>2</v>
      </c>
      <c r="J30" s="93">
        <v>45118</v>
      </c>
      <c r="K30" s="85" t="s">
        <v>1425</v>
      </c>
      <c r="L30" s="87">
        <v>185</v>
      </c>
      <c r="M30" s="94"/>
      <c r="N30" s="93"/>
      <c r="O30" s="85"/>
      <c r="Q30" s="94"/>
      <c r="R30" s="93"/>
      <c r="S30" s="85"/>
      <c r="U30" s="94"/>
      <c r="V30" s="93"/>
      <c r="W30" s="85"/>
      <c r="Y30" s="94"/>
      <c r="Z30" s="93"/>
      <c r="AA30" s="85"/>
      <c r="AC30" s="94"/>
      <c r="AD30" s="93"/>
      <c r="AE30" s="85"/>
    </row>
    <row r="31" spans="5:31" x14ac:dyDescent="0.35">
      <c r="E31" s="85">
        <v>2</v>
      </c>
      <c r="F31" s="93">
        <v>44896</v>
      </c>
      <c r="G31" s="85" t="s">
        <v>1426</v>
      </c>
      <c r="H31" s="87">
        <v>30</v>
      </c>
      <c r="I31" s="94">
        <v>2</v>
      </c>
      <c r="J31" s="93">
        <v>45199</v>
      </c>
      <c r="K31" s="85" t="s">
        <v>1427</v>
      </c>
      <c r="L31" s="87">
        <v>520</v>
      </c>
      <c r="M31" s="94"/>
      <c r="N31" s="93"/>
      <c r="O31" s="85"/>
      <c r="Q31" s="94"/>
      <c r="R31" s="93"/>
      <c r="S31" s="85"/>
      <c r="U31" s="94"/>
      <c r="V31" s="93"/>
      <c r="W31" s="85"/>
      <c r="Y31" s="94"/>
      <c r="Z31" s="93"/>
      <c r="AA31" s="85"/>
      <c r="AC31" s="94"/>
      <c r="AD31" s="93"/>
      <c r="AE31" s="85"/>
    </row>
    <row r="32" spans="5:31" x14ac:dyDescent="0.35">
      <c r="E32" s="85">
        <v>2</v>
      </c>
      <c r="F32" s="93">
        <v>44908</v>
      </c>
      <c r="G32" s="85" t="s">
        <v>1428</v>
      </c>
      <c r="H32" s="87">
        <v>51</v>
      </c>
      <c r="I32" s="94">
        <v>2</v>
      </c>
      <c r="J32" s="93">
        <v>45148</v>
      </c>
      <c r="K32" s="85" t="s">
        <v>1401</v>
      </c>
      <c r="L32" s="87">
        <v>25</v>
      </c>
      <c r="M32" s="94"/>
      <c r="N32" s="93"/>
      <c r="O32" s="85"/>
      <c r="Q32" s="94"/>
      <c r="R32" s="93"/>
      <c r="S32" s="85"/>
      <c r="U32" s="94"/>
      <c r="V32" s="93"/>
      <c r="W32" s="85"/>
      <c r="Y32" s="94"/>
      <c r="Z32" s="93"/>
      <c r="AA32" s="85"/>
      <c r="AC32" s="94"/>
      <c r="AD32" s="93"/>
      <c r="AE32" s="85"/>
    </row>
    <row r="33" spans="5:31" x14ac:dyDescent="0.35">
      <c r="E33" s="85">
        <v>2</v>
      </c>
      <c r="F33" s="93">
        <v>44939</v>
      </c>
      <c r="G33" s="85" t="s">
        <v>1429</v>
      </c>
      <c r="H33" s="87">
        <v>375</v>
      </c>
      <c r="I33" s="94">
        <v>2</v>
      </c>
      <c r="J33" s="93">
        <v>45140</v>
      </c>
      <c r="K33" s="85" t="s">
        <v>1430</v>
      </c>
      <c r="L33" s="87">
        <v>75</v>
      </c>
      <c r="M33" s="94"/>
      <c r="N33" s="93"/>
      <c r="O33" s="85"/>
      <c r="Q33" s="94"/>
      <c r="R33" s="93"/>
      <c r="S33" s="85"/>
      <c r="U33" s="94"/>
      <c r="V33" s="93"/>
      <c r="W33" s="85"/>
      <c r="Y33" s="94"/>
      <c r="Z33" s="93"/>
      <c r="AA33" s="85"/>
      <c r="AC33" s="94"/>
      <c r="AD33" s="93"/>
      <c r="AE33" s="85"/>
    </row>
    <row r="34" spans="5:31" x14ac:dyDescent="0.35">
      <c r="E34" s="85">
        <v>2</v>
      </c>
      <c r="F34" s="93">
        <v>44959</v>
      </c>
      <c r="G34" s="85" t="s">
        <v>1431</v>
      </c>
      <c r="H34" s="87">
        <v>30</v>
      </c>
      <c r="I34" s="94">
        <v>2</v>
      </c>
      <c r="J34" s="93">
        <v>45167</v>
      </c>
      <c r="K34" s="85" t="s">
        <v>1432</v>
      </c>
      <c r="L34" s="87">
        <v>80</v>
      </c>
      <c r="M34" s="94"/>
      <c r="N34" s="93"/>
      <c r="O34" s="85"/>
      <c r="Q34" s="94"/>
      <c r="R34" s="93"/>
      <c r="S34" s="85"/>
      <c r="U34" s="94"/>
      <c r="V34" s="93"/>
      <c r="W34" s="85"/>
      <c r="Y34" s="94"/>
      <c r="Z34" s="93"/>
      <c r="AA34" s="85"/>
      <c r="AC34" s="94"/>
      <c r="AD34" s="93"/>
      <c r="AE34" s="85"/>
    </row>
    <row r="35" spans="5:31" x14ac:dyDescent="0.35">
      <c r="E35" s="85">
        <v>2</v>
      </c>
      <c r="F35" s="93">
        <v>44964</v>
      </c>
      <c r="G35" s="85" t="s">
        <v>1418</v>
      </c>
      <c r="H35" s="87">
        <v>69</v>
      </c>
      <c r="I35" s="94">
        <v>2</v>
      </c>
      <c r="J35" s="93">
        <v>45174</v>
      </c>
      <c r="K35" s="85" t="s">
        <v>1423</v>
      </c>
      <c r="L35" s="87">
        <v>100</v>
      </c>
      <c r="M35" s="94"/>
      <c r="N35" s="93"/>
      <c r="O35" s="85"/>
      <c r="Q35" s="94"/>
      <c r="R35" s="93"/>
      <c r="S35" s="85"/>
      <c r="U35" s="94"/>
      <c r="V35" s="93"/>
      <c r="W35" s="85"/>
      <c r="Y35" s="94"/>
      <c r="Z35" s="93"/>
      <c r="AA35" s="85"/>
      <c r="AC35" s="94"/>
      <c r="AD35" s="93"/>
      <c r="AE35" s="85"/>
    </row>
    <row r="36" spans="5:31" x14ac:dyDescent="0.35">
      <c r="E36" s="85">
        <v>2</v>
      </c>
      <c r="F36" s="93">
        <v>44926</v>
      </c>
      <c r="G36" s="85" t="s">
        <v>1433</v>
      </c>
      <c r="H36" s="87">
        <v>175</v>
      </c>
      <c r="I36" s="94">
        <v>2</v>
      </c>
      <c r="J36" s="93">
        <v>45176</v>
      </c>
      <c r="K36" s="85" t="s">
        <v>1425</v>
      </c>
      <c r="L36" s="87">
        <v>370</v>
      </c>
      <c r="M36" s="94"/>
      <c r="N36" s="93"/>
      <c r="O36" s="85"/>
      <c r="Q36" s="94"/>
      <c r="R36" s="93"/>
      <c r="S36" s="85"/>
      <c r="U36" s="94"/>
      <c r="V36" s="93"/>
      <c r="W36" s="85"/>
      <c r="Y36" s="94"/>
      <c r="Z36" s="93"/>
      <c r="AA36" s="85"/>
      <c r="AC36" s="94"/>
      <c r="AD36" s="93"/>
      <c r="AE36" s="85"/>
    </row>
    <row r="37" spans="5:31" x14ac:dyDescent="0.35">
      <c r="E37" s="85">
        <v>2</v>
      </c>
      <c r="F37" s="93">
        <v>44966</v>
      </c>
      <c r="G37" s="85" t="s">
        <v>1434</v>
      </c>
      <c r="H37" s="87">
        <v>140</v>
      </c>
      <c r="I37" s="94">
        <v>2</v>
      </c>
      <c r="J37" s="93">
        <v>44652</v>
      </c>
      <c r="K37" s="85" t="s">
        <v>1435</v>
      </c>
      <c r="L37" s="87">
        <v>1575</v>
      </c>
      <c r="M37" s="94"/>
      <c r="N37" s="93"/>
      <c r="O37" s="85"/>
      <c r="Q37" s="94"/>
      <c r="R37" s="93"/>
      <c r="S37" s="85"/>
      <c r="U37" s="94"/>
      <c r="V37" s="93"/>
      <c r="W37" s="85"/>
      <c r="Y37" s="94"/>
      <c r="Z37" s="93"/>
      <c r="AA37" s="85"/>
      <c r="AC37" s="94"/>
      <c r="AD37" s="93"/>
      <c r="AE37" s="85"/>
    </row>
    <row r="38" spans="5:31" x14ac:dyDescent="0.35">
      <c r="E38" s="85">
        <v>2</v>
      </c>
      <c r="F38" s="93">
        <v>44931</v>
      </c>
      <c r="G38" s="85" t="s">
        <v>1420</v>
      </c>
      <c r="H38" s="87">
        <v>25</v>
      </c>
      <c r="I38" s="94">
        <v>2</v>
      </c>
      <c r="J38" s="93">
        <v>45205</v>
      </c>
      <c r="K38" s="85" t="s">
        <v>1436</v>
      </c>
      <c r="L38" s="87">
        <v>69</v>
      </c>
      <c r="M38" s="94"/>
      <c r="N38" s="93"/>
      <c r="O38" s="85"/>
      <c r="Q38" s="94"/>
      <c r="R38" s="93"/>
      <c r="S38" s="85"/>
      <c r="U38" s="94"/>
      <c r="V38" s="93"/>
      <c r="W38" s="85"/>
      <c r="Y38" s="94"/>
      <c r="Z38" s="93"/>
      <c r="AA38" s="85"/>
      <c r="AC38" s="94"/>
      <c r="AD38" s="93"/>
      <c r="AE38" s="85"/>
    </row>
    <row r="39" spans="5:31" x14ac:dyDescent="0.35">
      <c r="E39" s="85">
        <v>2</v>
      </c>
      <c r="F39" s="93">
        <v>44932</v>
      </c>
      <c r="G39" s="85" t="s">
        <v>1437</v>
      </c>
      <c r="H39" s="87">
        <v>75</v>
      </c>
      <c r="I39" s="94">
        <v>4</v>
      </c>
      <c r="J39" s="93">
        <v>45200</v>
      </c>
      <c r="K39" s="85" t="s">
        <v>2182</v>
      </c>
      <c r="L39" s="87">
        <v>450</v>
      </c>
      <c r="M39" s="94"/>
      <c r="N39" s="93"/>
      <c r="O39" s="85"/>
      <c r="Q39" s="94"/>
      <c r="R39" s="93"/>
      <c r="S39" s="85"/>
      <c r="U39" s="94"/>
      <c r="V39" s="93"/>
      <c r="W39" s="85"/>
      <c r="Y39" s="94"/>
      <c r="Z39" s="93"/>
      <c r="AA39" s="85"/>
      <c r="AC39" s="94"/>
      <c r="AD39" s="93"/>
      <c r="AE39" s="85"/>
    </row>
    <row r="40" spans="5:31" x14ac:dyDescent="0.35">
      <c r="E40" s="85">
        <v>4</v>
      </c>
      <c r="F40" s="93" t="s">
        <v>676</v>
      </c>
      <c r="G40" s="85" t="s">
        <v>1438</v>
      </c>
      <c r="H40" s="87">
        <v>4000</v>
      </c>
      <c r="I40" s="94">
        <v>2</v>
      </c>
      <c r="J40" s="93">
        <v>45231</v>
      </c>
      <c r="K40" s="85" t="s">
        <v>2183</v>
      </c>
      <c r="L40" s="87">
        <v>450</v>
      </c>
      <c r="M40" s="94"/>
      <c r="N40" s="93"/>
      <c r="O40" s="85"/>
      <c r="Q40" s="94"/>
      <c r="R40" s="93"/>
      <c r="S40" s="85"/>
      <c r="U40" s="94"/>
      <c r="V40" s="93"/>
      <c r="W40" s="85"/>
      <c r="Y40" s="94"/>
      <c r="Z40" s="93"/>
      <c r="AA40" s="85"/>
      <c r="AC40" s="94"/>
      <c r="AD40" s="93"/>
      <c r="AE40" s="85"/>
    </row>
    <row r="41" spans="5:31" x14ac:dyDescent="0.35">
      <c r="E41" s="85">
        <v>2</v>
      </c>
      <c r="F41" s="93">
        <v>44959</v>
      </c>
      <c r="G41" s="85" t="s">
        <v>1439</v>
      </c>
      <c r="H41" s="87">
        <v>63</v>
      </c>
      <c r="I41" s="94">
        <v>2</v>
      </c>
      <c r="J41" s="93">
        <v>45239</v>
      </c>
      <c r="K41" s="85" t="s">
        <v>1436</v>
      </c>
      <c r="L41" s="87">
        <v>207</v>
      </c>
      <c r="M41" s="94"/>
      <c r="N41" s="93"/>
      <c r="O41" s="85"/>
      <c r="Q41" s="94"/>
      <c r="R41" s="93"/>
      <c r="S41" s="85"/>
      <c r="U41" s="94"/>
      <c r="V41" s="93"/>
      <c r="W41" s="85"/>
      <c r="Y41" s="94"/>
      <c r="Z41" s="93"/>
      <c r="AA41" s="85"/>
      <c r="AC41" s="94"/>
      <c r="AD41" s="93"/>
      <c r="AE41" s="85"/>
    </row>
    <row r="42" spans="5:31" x14ac:dyDescent="0.35">
      <c r="E42" s="85">
        <v>2</v>
      </c>
      <c r="F42" s="93">
        <v>44985</v>
      </c>
      <c r="G42" s="85" t="s">
        <v>1423</v>
      </c>
      <c r="H42" s="87">
        <v>107</v>
      </c>
      <c r="I42" s="94">
        <v>4</v>
      </c>
      <c r="J42" s="93">
        <v>45300</v>
      </c>
      <c r="K42" s="85" t="s">
        <v>1409</v>
      </c>
      <c r="L42" s="87">
        <v>17</v>
      </c>
      <c r="M42" s="94"/>
      <c r="N42" s="93"/>
      <c r="O42" s="85"/>
      <c r="Q42" s="94"/>
      <c r="R42" s="93"/>
      <c r="S42" s="85"/>
      <c r="U42" s="94"/>
      <c r="V42" s="93"/>
      <c r="W42" s="85"/>
      <c r="Y42" s="94"/>
      <c r="Z42" s="93"/>
      <c r="AA42" s="85"/>
      <c r="AC42" s="94"/>
      <c r="AD42" s="93"/>
      <c r="AE42" s="85"/>
    </row>
    <row r="43" spans="5:31" x14ac:dyDescent="0.35">
      <c r="E43" s="85">
        <v>2</v>
      </c>
      <c r="F43" s="93">
        <v>44959</v>
      </c>
      <c r="G43" s="85" t="s">
        <v>1440</v>
      </c>
      <c r="H43" s="87">
        <v>44.89</v>
      </c>
      <c r="I43" s="94">
        <v>2</v>
      </c>
      <c r="J43" s="93">
        <v>45210</v>
      </c>
      <c r="K43" s="85" t="s">
        <v>2362</v>
      </c>
      <c r="L43" s="87">
        <v>180</v>
      </c>
      <c r="M43" s="94"/>
      <c r="N43" s="93"/>
      <c r="O43" s="85"/>
      <c r="Q43" s="94"/>
      <c r="R43" s="93"/>
      <c r="S43" s="85"/>
      <c r="U43" s="94"/>
      <c r="V43" s="93"/>
      <c r="W43" s="85"/>
      <c r="Y43" s="94"/>
      <c r="Z43" s="93"/>
      <c r="AA43" s="85"/>
      <c r="AC43" s="94"/>
      <c r="AD43" s="93"/>
      <c r="AE43" s="85"/>
    </row>
    <row r="44" spans="5:31" x14ac:dyDescent="0.35">
      <c r="G44" s="85"/>
      <c r="H44" s="87"/>
      <c r="I44" s="94">
        <v>2</v>
      </c>
      <c r="J44" s="93">
        <v>45303</v>
      </c>
      <c r="K44" s="85" t="s">
        <v>2401</v>
      </c>
      <c r="L44" s="87">
        <v>65</v>
      </c>
      <c r="M44" s="94"/>
      <c r="N44" s="93"/>
      <c r="O44" s="85"/>
      <c r="Q44" s="94"/>
      <c r="R44" s="93"/>
      <c r="S44" s="85"/>
      <c r="U44" s="94"/>
      <c r="V44" s="93"/>
      <c r="W44" s="85"/>
      <c r="Y44" s="94"/>
      <c r="Z44" s="93"/>
      <c r="AA44" s="85"/>
      <c r="AC44" s="94"/>
      <c r="AD44" s="93"/>
      <c r="AE44" s="85"/>
    </row>
    <row r="45" spans="5:31" x14ac:dyDescent="0.35">
      <c r="G45" s="85"/>
      <c r="H45" s="87"/>
      <c r="I45" s="94">
        <v>2</v>
      </c>
      <c r="J45" s="93">
        <v>45275</v>
      </c>
      <c r="K45" s="85" t="s">
        <v>1425</v>
      </c>
      <c r="L45" s="87">
        <v>40</v>
      </c>
      <c r="M45" s="94"/>
      <c r="N45" s="93"/>
      <c r="O45" s="85"/>
      <c r="Q45" s="94"/>
      <c r="R45" s="93"/>
      <c r="S45" s="85"/>
      <c r="U45" s="94"/>
      <c r="V45" s="93"/>
      <c r="W45" s="85"/>
      <c r="Y45" s="94"/>
      <c r="Z45" s="93"/>
      <c r="AA45" s="85"/>
      <c r="AC45" s="94"/>
      <c r="AD45" s="93"/>
      <c r="AE45" s="85"/>
    </row>
    <row r="46" spans="5:31" x14ac:dyDescent="0.35">
      <c r="G46" s="85"/>
      <c r="H46" s="87"/>
      <c r="I46" s="94">
        <v>2</v>
      </c>
      <c r="J46" s="93">
        <v>45313</v>
      </c>
      <c r="K46" s="85" t="s">
        <v>1409</v>
      </c>
      <c r="L46" s="87">
        <v>17</v>
      </c>
      <c r="M46" s="94"/>
      <c r="N46" s="93"/>
      <c r="O46" s="85"/>
      <c r="Q46" s="94"/>
      <c r="R46" s="93"/>
      <c r="S46" s="85"/>
      <c r="U46" s="94"/>
      <c r="V46" s="93"/>
      <c r="W46" s="85"/>
      <c r="Y46" s="94"/>
      <c r="Z46" s="93"/>
      <c r="AA46" s="85"/>
      <c r="AC46" s="94"/>
      <c r="AD46" s="93"/>
      <c r="AE46" s="85"/>
    </row>
    <row r="47" spans="5:31" x14ac:dyDescent="0.35">
      <c r="G47" s="85"/>
      <c r="H47" s="87"/>
      <c r="I47" s="94">
        <v>2</v>
      </c>
      <c r="J47" s="93">
        <v>45327</v>
      </c>
      <c r="K47" s="85" t="s">
        <v>2543</v>
      </c>
      <c r="L47" s="87">
        <v>2200</v>
      </c>
      <c r="M47" s="94"/>
      <c r="N47" s="93"/>
      <c r="O47" s="85"/>
      <c r="Q47" s="94"/>
      <c r="R47" s="93"/>
      <c r="S47" s="85"/>
      <c r="U47" s="94"/>
      <c r="V47" s="93"/>
      <c r="W47" s="85"/>
      <c r="Y47" s="94"/>
      <c r="Z47" s="93"/>
      <c r="AA47" s="85"/>
      <c r="AC47" s="94"/>
      <c r="AD47" s="93"/>
      <c r="AE47" s="85"/>
    </row>
    <row r="48" spans="5:31" x14ac:dyDescent="0.35">
      <c r="G48" s="85"/>
      <c r="H48" s="87"/>
      <c r="I48" s="94">
        <v>2</v>
      </c>
      <c r="J48" s="93">
        <v>45341</v>
      </c>
      <c r="K48" s="85" t="s">
        <v>2592</v>
      </c>
      <c r="L48" s="87">
        <v>44</v>
      </c>
      <c r="M48" s="94"/>
      <c r="N48" s="93"/>
      <c r="O48" s="85"/>
      <c r="Q48" s="94"/>
      <c r="R48" s="93"/>
      <c r="S48" s="85"/>
      <c r="U48" s="94"/>
      <c r="V48" s="93"/>
      <c r="W48" s="85"/>
      <c r="Y48" s="94"/>
      <c r="Z48" s="93"/>
      <c r="AA48" s="85"/>
      <c r="AC48" s="94"/>
      <c r="AD48" s="93"/>
      <c r="AE48" s="85"/>
    </row>
    <row r="49" spans="7:31" x14ac:dyDescent="0.35">
      <c r="G49" s="85"/>
      <c r="H49" s="87"/>
      <c r="I49" s="94">
        <v>2</v>
      </c>
      <c r="J49" s="93">
        <v>45355</v>
      </c>
      <c r="K49" s="85" t="s">
        <v>2628</v>
      </c>
      <c r="L49" s="87">
        <v>88.5</v>
      </c>
      <c r="M49" s="94"/>
      <c r="N49" s="93"/>
      <c r="O49" s="85"/>
      <c r="Q49" s="94"/>
      <c r="R49" s="93"/>
      <c r="S49" s="85"/>
      <c r="U49" s="94"/>
      <c r="V49" s="93"/>
      <c r="W49" s="85"/>
      <c r="Y49" s="94"/>
      <c r="Z49" s="93"/>
      <c r="AA49" s="85"/>
      <c r="AC49" s="94"/>
      <c r="AD49" s="93"/>
      <c r="AE49" s="85"/>
    </row>
    <row r="50" spans="7:31" x14ac:dyDescent="0.35">
      <c r="G50" s="85"/>
      <c r="H50" s="87"/>
      <c r="I50" s="94">
        <v>2</v>
      </c>
      <c r="J50" s="93">
        <v>45330</v>
      </c>
      <c r="K50" s="85" t="s">
        <v>2767</v>
      </c>
      <c r="L50" s="87">
        <v>106</v>
      </c>
      <c r="M50" s="94"/>
      <c r="N50" s="93"/>
      <c r="O50" s="85"/>
      <c r="Q50" s="94"/>
      <c r="R50" s="93"/>
      <c r="S50" s="85"/>
      <c r="U50" s="94"/>
      <c r="V50" s="93"/>
      <c r="W50" s="85"/>
      <c r="Y50" s="94"/>
      <c r="Z50" s="93"/>
      <c r="AA50" s="85"/>
      <c r="AC50" s="94"/>
      <c r="AD50" s="93"/>
      <c r="AE50" s="85"/>
    </row>
    <row r="51" spans="7:31" x14ac:dyDescent="0.35">
      <c r="G51" s="85"/>
      <c r="H51" s="87"/>
      <c r="I51" s="94">
        <v>2</v>
      </c>
      <c r="J51" s="93" t="s">
        <v>775</v>
      </c>
      <c r="K51" s="85" t="s">
        <v>1425</v>
      </c>
      <c r="L51" s="151">
        <v>20</v>
      </c>
      <c r="M51" s="94"/>
      <c r="N51" s="93"/>
      <c r="O51" s="85"/>
      <c r="Q51" s="94"/>
      <c r="R51" s="93"/>
      <c r="S51" s="85"/>
      <c r="U51" s="94"/>
      <c r="V51" s="93"/>
      <c r="W51" s="85"/>
      <c r="Y51" s="94"/>
      <c r="Z51" s="93"/>
      <c r="AA51" s="85"/>
      <c r="AC51" s="94"/>
      <c r="AD51" s="93"/>
      <c r="AE51" s="85"/>
    </row>
    <row r="52" spans="7:31" x14ac:dyDescent="0.35">
      <c r="G52" s="85"/>
      <c r="H52" s="87"/>
      <c r="I52" s="94"/>
      <c r="J52" s="93"/>
      <c r="K52" s="85"/>
      <c r="M52" s="94"/>
      <c r="N52" s="93"/>
      <c r="O52" s="85"/>
      <c r="Q52" s="94"/>
      <c r="R52" s="93"/>
      <c r="S52" s="85"/>
      <c r="U52" s="94"/>
      <c r="V52" s="93"/>
      <c r="W52" s="85"/>
      <c r="Y52" s="94"/>
      <c r="Z52" s="93"/>
      <c r="AA52" s="85"/>
      <c r="AC52" s="94"/>
      <c r="AD52" s="93"/>
      <c r="AE52" s="85"/>
    </row>
    <row r="53" spans="7:31" x14ac:dyDescent="0.35">
      <c r="G53" s="85"/>
      <c r="H53" s="87"/>
      <c r="I53" s="94"/>
      <c r="J53" s="93"/>
      <c r="K53" s="85"/>
      <c r="M53" s="94"/>
      <c r="N53" s="93"/>
      <c r="O53" s="85"/>
      <c r="Q53" s="94"/>
      <c r="R53" s="93"/>
      <c r="S53" s="85"/>
      <c r="U53" s="94"/>
      <c r="V53" s="93"/>
      <c r="W53" s="85"/>
      <c r="Y53" s="94"/>
      <c r="Z53" s="93"/>
      <c r="AA53" s="85"/>
      <c r="AC53" s="94"/>
      <c r="AD53" s="93"/>
      <c r="AE53" s="85"/>
    </row>
    <row r="54" spans="7:31" x14ac:dyDescent="0.35">
      <c r="G54" s="85"/>
      <c r="H54" s="87"/>
      <c r="I54" s="94"/>
      <c r="J54" s="93"/>
      <c r="K54" s="85"/>
      <c r="M54" s="94"/>
      <c r="N54" s="93"/>
      <c r="O54" s="85"/>
      <c r="Q54" s="94"/>
      <c r="R54" s="93"/>
      <c r="S54" s="85"/>
      <c r="U54" s="94"/>
      <c r="V54" s="93"/>
      <c r="W54" s="85"/>
      <c r="Y54" s="94"/>
      <c r="Z54" s="93"/>
      <c r="AA54" s="85"/>
      <c r="AC54" s="94"/>
      <c r="AD54" s="93"/>
      <c r="AE54" s="85"/>
    </row>
    <row r="55" spans="7:31" x14ac:dyDescent="0.35">
      <c r="G55" s="85"/>
      <c r="H55" s="87"/>
      <c r="I55" s="94"/>
      <c r="J55" s="93"/>
      <c r="K55" s="85"/>
      <c r="M55" s="94"/>
      <c r="N55" s="93"/>
      <c r="O55" s="85"/>
      <c r="Q55" s="94"/>
      <c r="R55" s="93"/>
      <c r="S55" s="85"/>
      <c r="U55" s="94"/>
      <c r="V55" s="93"/>
      <c r="W55" s="85"/>
      <c r="Y55" s="94"/>
      <c r="Z55" s="93"/>
      <c r="AA55" s="85"/>
      <c r="AC55" s="94"/>
      <c r="AD55" s="93"/>
      <c r="AE55" s="85"/>
    </row>
    <row r="56" spans="7:31" x14ac:dyDescent="0.35">
      <c r="G56" s="85"/>
      <c r="H56" s="87"/>
      <c r="I56" s="94"/>
      <c r="J56" s="93"/>
      <c r="K56" s="85"/>
      <c r="M56" s="94"/>
      <c r="N56" s="93"/>
      <c r="O56" s="85"/>
      <c r="Q56" s="94"/>
      <c r="R56" s="93"/>
      <c r="S56" s="85"/>
      <c r="U56" s="94"/>
      <c r="V56" s="93"/>
      <c r="W56" s="85"/>
      <c r="Y56" s="94"/>
      <c r="Z56" s="93"/>
      <c r="AA56" s="85"/>
      <c r="AC56" s="94"/>
      <c r="AD56" s="93"/>
      <c r="AE56" s="85"/>
    </row>
    <row r="57" spans="7:31" x14ac:dyDescent="0.35">
      <c r="G57" s="85"/>
      <c r="H57" s="87"/>
      <c r="I57" s="94"/>
      <c r="J57" s="93"/>
      <c r="K57" s="85"/>
      <c r="M57" s="94"/>
      <c r="N57" s="93"/>
      <c r="O57" s="85"/>
      <c r="Q57" s="94"/>
      <c r="R57" s="93"/>
      <c r="S57" s="85"/>
      <c r="U57" s="94"/>
      <c r="V57" s="93"/>
      <c r="W57" s="85"/>
      <c r="Y57" s="94"/>
      <c r="Z57" s="93"/>
      <c r="AA57" s="85"/>
      <c r="AC57" s="94"/>
      <c r="AD57" s="93"/>
      <c r="AE57" s="85"/>
    </row>
    <row r="58" spans="7:31" x14ac:dyDescent="0.35">
      <c r="G58" s="85"/>
      <c r="H58" s="87"/>
      <c r="I58" s="94"/>
      <c r="J58" s="93"/>
      <c r="K58" s="85"/>
      <c r="M58" s="94"/>
      <c r="N58" s="93"/>
      <c r="O58" s="85"/>
      <c r="Q58" s="94"/>
      <c r="R58" s="93"/>
      <c r="S58" s="85"/>
      <c r="U58" s="94"/>
      <c r="V58" s="93"/>
      <c r="W58" s="85"/>
      <c r="Y58" s="94"/>
      <c r="Z58" s="93"/>
      <c r="AA58" s="85"/>
      <c r="AC58" s="94"/>
      <c r="AD58" s="93"/>
      <c r="AE58" s="85"/>
    </row>
    <row r="59" spans="7:31" x14ac:dyDescent="0.35">
      <c r="G59" s="85"/>
      <c r="H59" s="87"/>
      <c r="I59" s="94"/>
      <c r="J59" s="93"/>
      <c r="K59" s="85"/>
      <c r="M59" s="94"/>
      <c r="N59" s="93"/>
      <c r="O59" s="85"/>
      <c r="Q59" s="94"/>
      <c r="R59" s="93"/>
      <c r="S59" s="85"/>
      <c r="U59" s="94"/>
      <c r="V59" s="93"/>
      <c r="W59" s="85"/>
      <c r="Y59" s="94"/>
      <c r="Z59" s="93"/>
      <c r="AA59" s="85"/>
      <c r="AC59" s="94"/>
      <c r="AD59" s="93"/>
      <c r="AE59" s="85"/>
    </row>
    <row r="60" spans="7:31" x14ac:dyDescent="0.35">
      <c r="G60" s="85"/>
      <c r="H60" s="87"/>
      <c r="I60" s="94"/>
      <c r="J60" s="93"/>
      <c r="K60" s="85"/>
      <c r="M60" s="94"/>
      <c r="N60" s="93"/>
      <c r="O60" s="85"/>
      <c r="Q60" s="94"/>
      <c r="R60" s="93"/>
      <c r="S60" s="85"/>
      <c r="U60" s="94"/>
      <c r="V60" s="93"/>
      <c r="W60" s="85"/>
      <c r="Y60" s="94"/>
      <c r="Z60" s="93"/>
      <c r="AA60" s="85"/>
      <c r="AC60" s="94"/>
      <c r="AD60" s="93"/>
      <c r="AE60" s="85"/>
    </row>
    <row r="61" spans="7:31" x14ac:dyDescent="0.35">
      <c r="G61" s="85"/>
      <c r="H61" s="87"/>
      <c r="I61" s="94"/>
      <c r="J61" s="93"/>
      <c r="K61" s="85"/>
      <c r="M61" s="94"/>
      <c r="N61" s="93"/>
      <c r="O61" s="85"/>
      <c r="Q61" s="94"/>
      <c r="R61" s="93"/>
      <c r="S61" s="85"/>
      <c r="U61" s="94"/>
      <c r="V61" s="93"/>
      <c r="W61" s="85"/>
      <c r="Y61" s="94"/>
      <c r="Z61" s="93"/>
      <c r="AA61" s="85"/>
      <c r="AC61" s="94"/>
      <c r="AD61" s="93"/>
      <c r="AE61" s="85"/>
    </row>
    <row r="62" spans="7:31" x14ac:dyDescent="0.35">
      <c r="G62" s="85"/>
      <c r="H62" s="87"/>
      <c r="I62" s="94"/>
      <c r="J62" s="93"/>
      <c r="K62" s="85"/>
      <c r="M62" s="94"/>
      <c r="N62" s="93"/>
      <c r="O62" s="85"/>
      <c r="Q62" s="94"/>
      <c r="R62" s="93"/>
      <c r="S62" s="85"/>
      <c r="U62" s="94"/>
      <c r="V62" s="93"/>
      <c r="W62" s="85"/>
      <c r="Y62" s="94"/>
      <c r="Z62" s="93"/>
      <c r="AA62" s="85"/>
      <c r="AC62" s="94"/>
      <c r="AD62" s="93"/>
      <c r="AE62" s="85"/>
    </row>
    <row r="63" spans="7:31" x14ac:dyDescent="0.35">
      <c r="G63" s="85"/>
      <c r="H63" s="87"/>
      <c r="I63" s="94"/>
      <c r="J63" s="93"/>
      <c r="K63" s="85"/>
      <c r="M63" s="94"/>
      <c r="N63" s="93"/>
      <c r="O63" s="85"/>
      <c r="Q63" s="94"/>
      <c r="R63" s="93"/>
      <c r="S63" s="85"/>
      <c r="U63" s="94"/>
      <c r="V63" s="93"/>
      <c r="W63" s="85"/>
      <c r="Y63" s="94"/>
      <c r="Z63" s="93"/>
      <c r="AA63" s="85"/>
      <c r="AC63" s="94"/>
      <c r="AD63" s="93"/>
      <c r="AE63" s="85"/>
    </row>
    <row r="64" spans="7:31" x14ac:dyDescent="0.35">
      <c r="G64" s="85"/>
      <c r="H64" s="87"/>
      <c r="I64" s="94"/>
      <c r="J64" s="93"/>
      <c r="K64" s="85"/>
      <c r="M64" s="94"/>
      <c r="N64" s="93"/>
      <c r="O64" s="85"/>
      <c r="Q64" s="94"/>
      <c r="R64" s="93"/>
      <c r="S64" s="85"/>
      <c r="U64" s="94"/>
      <c r="V64" s="93"/>
      <c r="W64" s="85"/>
      <c r="Y64" s="94"/>
      <c r="Z64" s="93"/>
      <c r="AA64" s="85"/>
      <c r="AC64" s="94"/>
      <c r="AD64" s="93"/>
      <c r="AE64" s="85"/>
    </row>
    <row r="65" spans="7:31" x14ac:dyDescent="0.35">
      <c r="G65" s="85"/>
      <c r="H65" s="87"/>
      <c r="I65" s="94"/>
      <c r="J65" s="93"/>
      <c r="K65" s="85"/>
      <c r="M65" s="94"/>
      <c r="N65" s="93"/>
      <c r="O65" s="85"/>
      <c r="Q65" s="94"/>
      <c r="R65" s="93"/>
      <c r="S65" s="85"/>
      <c r="U65" s="94"/>
      <c r="V65" s="93"/>
      <c r="W65" s="85"/>
      <c r="Y65" s="94"/>
      <c r="Z65" s="93"/>
      <c r="AA65" s="85"/>
      <c r="AC65" s="94"/>
      <c r="AD65" s="93"/>
      <c r="AE65" s="85"/>
    </row>
    <row r="66" spans="7:31" x14ac:dyDescent="0.35">
      <c r="G66" s="85"/>
      <c r="H66" s="87"/>
      <c r="I66" s="94"/>
      <c r="J66" s="93"/>
      <c r="K66" s="85"/>
      <c r="M66" s="94"/>
      <c r="N66" s="93"/>
      <c r="O66" s="85"/>
      <c r="Q66" s="94"/>
      <c r="R66" s="93"/>
      <c r="S66" s="85"/>
      <c r="U66" s="94"/>
      <c r="V66" s="93"/>
      <c r="W66" s="85"/>
      <c r="Y66" s="94"/>
      <c r="Z66" s="93"/>
      <c r="AA66" s="85"/>
      <c r="AC66" s="94"/>
      <c r="AD66" s="93"/>
      <c r="AE66" s="85"/>
    </row>
    <row r="67" spans="7:31" x14ac:dyDescent="0.35">
      <c r="G67" s="85"/>
      <c r="H67" s="87"/>
      <c r="I67" s="94"/>
      <c r="J67" s="93"/>
      <c r="K67" s="85"/>
      <c r="M67" s="94"/>
      <c r="N67" s="93"/>
      <c r="O67" s="85"/>
      <c r="Q67" s="94"/>
      <c r="R67" s="93"/>
      <c r="S67" s="85"/>
      <c r="U67" s="94"/>
      <c r="V67" s="93"/>
      <c r="W67" s="85"/>
      <c r="Y67" s="94"/>
      <c r="Z67" s="93"/>
      <c r="AA67" s="85"/>
      <c r="AC67" s="94"/>
      <c r="AD67" s="93"/>
      <c r="AE67" s="85"/>
    </row>
    <row r="68" spans="7:31" x14ac:dyDescent="0.35">
      <c r="G68" s="85"/>
      <c r="H68" s="87"/>
      <c r="I68" s="94"/>
      <c r="J68" s="93"/>
      <c r="K68" s="85"/>
      <c r="M68" s="94"/>
      <c r="N68" s="93"/>
      <c r="O68" s="85"/>
      <c r="Q68" s="94"/>
      <c r="R68" s="93"/>
      <c r="S68" s="85"/>
      <c r="U68" s="94"/>
      <c r="V68" s="93"/>
      <c r="W68" s="85"/>
      <c r="Y68" s="94"/>
      <c r="Z68" s="93"/>
      <c r="AA68" s="85"/>
      <c r="AC68" s="94"/>
      <c r="AD68" s="93"/>
      <c r="AE68" s="85"/>
    </row>
    <row r="69" spans="7:31" x14ac:dyDescent="0.35">
      <c r="G69" s="85"/>
      <c r="H69" s="87"/>
      <c r="I69" s="94"/>
      <c r="J69" s="93"/>
      <c r="K69" s="85"/>
      <c r="M69" s="94"/>
      <c r="N69" s="93"/>
      <c r="O69" s="85"/>
      <c r="Q69" s="94"/>
      <c r="R69" s="93"/>
      <c r="S69" s="85"/>
      <c r="U69" s="94"/>
      <c r="V69" s="93"/>
      <c r="W69" s="85"/>
      <c r="Y69" s="94"/>
      <c r="Z69" s="93"/>
      <c r="AA69" s="85"/>
      <c r="AC69" s="94"/>
      <c r="AD69" s="93"/>
      <c r="AE69" s="85"/>
    </row>
    <row r="70" spans="7:31" x14ac:dyDescent="0.35">
      <c r="G70" s="85"/>
      <c r="H70" s="87"/>
      <c r="I70" s="94"/>
      <c r="J70" s="93"/>
      <c r="K70" s="85"/>
      <c r="M70" s="94"/>
      <c r="N70" s="93"/>
      <c r="O70" s="85"/>
      <c r="Q70" s="94"/>
      <c r="R70" s="93"/>
      <c r="S70" s="85"/>
      <c r="U70" s="94"/>
      <c r="V70" s="93"/>
      <c r="W70" s="85"/>
      <c r="Y70" s="94"/>
      <c r="Z70" s="93"/>
      <c r="AA70" s="85"/>
      <c r="AC70" s="94"/>
      <c r="AD70" s="93"/>
      <c r="AE70" s="85"/>
    </row>
    <row r="71" spans="7:31" x14ac:dyDescent="0.35">
      <c r="G71" s="85"/>
      <c r="H71" s="87"/>
      <c r="I71" s="94"/>
      <c r="J71" s="93"/>
      <c r="K71" s="85"/>
      <c r="M71" s="94"/>
      <c r="N71" s="93"/>
      <c r="O71" s="85"/>
      <c r="Q71" s="94"/>
      <c r="R71" s="93"/>
      <c r="S71" s="85"/>
      <c r="U71" s="94"/>
      <c r="V71" s="93"/>
      <c r="W71" s="85"/>
      <c r="Y71" s="94"/>
      <c r="Z71" s="93"/>
      <c r="AA71" s="85"/>
      <c r="AC71" s="94"/>
      <c r="AD71" s="93"/>
      <c r="AE71" s="85"/>
    </row>
    <row r="72" spans="7:31" x14ac:dyDescent="0.35">
      <c r="G72" s="85"/>
      <c r="H72" s="87"/>
      <c r="I72" s="94"/>
      <c r="J72" s="93"/>
      <c r="K72" s="85"/>
      <c r="M72" s="94"/>
      <c r="N72" s="93"/>
      <c r="O72" s="85"/>
      <c r="Q72" s="94"/>
      <c r="R72" s="93"/>
      <c r="S72" s="85"/>
      <c r="U72" s="94"/>
      <c r="V72" s="93"/>
      <c r="W72" s="85"/>
      <c r="Y72" s="94"/>
      <c r="Z72" s="93"/>
      <c r="AA72" s="85"/>
      <c r="AC72" s="94"/>
      <c r="AD72" s="93"/>
      <c r="AE72" s="85"/>
    </row>
    <row r="73" spans="7:31" x14ac:dyDescent="0.35">
      <c r="G73" s="85"/>
      <c r="H73" s="87"/>
      <c r="I73" s="94"/>
      <c r="J73" s="93"/>
      <c r="K73" s="85"/>
      <c r="M73" s="94"/>
      <c r="N73" s="93"/>
      <c r="O73" s="85"/>
      <c r="Q73" s="94"/>
      <c r="R73" s="93"/>
      <c r="S73" s="85"/>
      <c r="U73" s="94"/>
      <c r="V73" s="93"/>
      <c r="W73" s="85"/>
      <c r="Y73" s="94"/>
      <c r="Z73" s="93"/>
      <c r="AA73" s="85"/>
      <c r="AC73" s="94"/>
      <c r="AD73" s="93"/>
      <c r="AE73" s="85"/>
    </row>
    <row r="74" spans="7:31" x14ac:dyDescent="0.35">
      <c r="G74" s="85"/>
      <c r="H74" s="87"/>
      <c r="I74" s="94"/>
      <c r="J74" s="93"/>
      <c r="K74" s="85"/>
      <c r="M74" s="94"/>
      <c r="N74" s="93"/>
      <c r="O74" s="85"/>
      <c r="Q74" s="94"/>
      <c r="R74" s="93"/>
      <c r="S74" s="85"/>
      <c r="U74" s="94"/>
      <c r="V74" s="93"/>
      <c r="W74" s="85"/>
      <c r="Y74" s="94"/>
      <c r="Z74" s="93"/>
      <c r="AA74" s="85"/>
      <c r="AC74" s="94"/>
      <c r="AD74" s="93"/>
      <c r="AE74" s="85"/>
    </row>
    <row r="75" spans="7:31" x14ac:dyDescent="0.35">
      <c r="G75" s="85"/>
      <c r="H75" s="87"/>
      <c r="I75" s="94"/>
      <c r="J75" s="93"/>
      <c r="K75" s="85"/>
      <c r="M75" s="94"/>
      <c r="N75" s="93"/>
      <c r="O75" s="85"/>
      <c r="Q75" s="94"/>
      <c r="R75" s="93"/>
      <c r="S75" s="85"/>
      <c r="U75" s="94"/>
      <c r="V75" s="93"/>
      <c r="W75" s="85"/>
      <c r="Y75" s="94"/>
      <c r="Z75" s="93"/>
      <c r="AA75" s="85"/>
      <c r="AC75" s="94"/>
      <c r="AD75" s="93"/>
      <c r="AE75" s="85"/>
    </row>
    <row r="76" spans="7:31" x14ac:dyDescent="0.35">
      <c r="G76" s="85"/>
      <c r="H76" s="87"/>
      <c r="I76" s="94"/>
      <c r="J76" s="93"/>
      <c r="K76" s="85"/>
      <c r="M76" s="94"/>
      <c r="N76" s="93"/>
      <c r="O76" s="85"/>
      <c r="Q76" s="94"/>
      <c r="R76" s="93"/>
      <c r="S76" s="85"/>
      <c r="U76" s="94"/>
      <c r="V76" s="93"/>
      <c r="W76" s="85"/>
      <c r="Y76" s="94"/>
      <c r="Z76" s="93"/>
      <c r="AA76" s="85"/>
      <c r="AC76" s="94"/>
      <c r="AD76" s="93"/>
      <c r="AE76" s="85"/>
    </row>
    <row r="77" spans="7:31" x14ac:dyDescent="0.35">
      <c r="G77" s="85"/>
      <c r="H77" s="87"/>
      <c r="I77" s="94"/>
      <c r="J77" s="93"/>
      <c r="K77" s="85"/>
      <c r="M77" s="94"/>
      <c r="N77" s="93"/>
      <c r="O77" s="85"/>
      <c r="Q77" s="94"/>
      <c r="R77" s="93"/>
      <c r="S77" s="85"/>
      <c r="U77" s="94"/>
      <c r="V77" s="93"/>
      <c r="W77" s="85"/>
      <c r="Y77" s="94"/>
      <c r="Z77" s="93"/>
      <c r="AA77" s="85"/>
      <c r="AC77" s="94"/>
      <c r="AD77" s="93"/>
      <c r="AE77" s="85"/>
    </row>
    <row r="78" spans="7:31" x14ac:dyDescent="0.35">
      <c r="G78" s="85"/>
      <c r="H78" s="87"/>
      <c r="I78" s="94"/>
      <c r="J78" s="93"/>
      <c r="K78" s="85"/>
      <c r="M78" s="94"/>
      <c r="N78" s="93"/>
      <c r="O78" s="85"/>
      <c r="Q78" s="94"/>
      <c r="R78" s="93"/>
      <c r="S78" s="85"/>
      <c r="U78" s="94"/>
      <c r="V78" s="93"/>
      <c r="W78" s="85"/>
      <c r="Y78" s="94"/>
      <c r="Z78" s="93"/>
      <c r="AA78" s="85"/>
      <c r="AC78" s="94"/>
      <c r="AD78" s="93"/>
      <c r="AE78" s="85"/>
    </row>
    <row r="79" spans="7:31" x14ac:dyDescent="0.35">
      <c r="G79" s="85"/>
      <c r="H79" s="87"/>
      <c r="I79" s="94"/>
      <c r="J79" s="93"/>
      <c r="K79" s="85"/>
      <c r="M79" s="94"/>
      <c r="N79" s="93"/>
      <c r="O79" s="85"/>
      <c r="Q79" s="94"/>
      <c r="R79" s="93"/>
      <c r="S79" s="85"/>
      <c r="U79" s="94"/>
      <c r="V79" s="93"/>
      <c r="W79" s="85"/>
      <c r="Y79" s="94"/>
      <c r="Z79" s="93"/>
      <c r="AA79" s="85"/>
      <c r="AC79" s="94"/>
      <c r="AD79" s="93"/>
      <c r="AE79" s="85"/>
    </row>
    <row r="80" spans="7: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25" priority="1">
      <formula>$A4="Spend to Date"</formula>
    </cfRule>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55E-8709-4597-BFF9-3A918DE53868}">
  <sheetPr codeName="Sheet65">
    <pageSetUpPr fitToPage="1"/>
  </sheetPr>
  <dimension ref="A1:AG1012"/>
  <sheetViews>
    <sheetView zoomScale="79" zoomScaleNormal="100" workbookViewId="0">
      <pane xSplit="2" ySplit="1" topLeftCell="C447" activePane="bottomRight" state="frozen"/>
      <selection pane="topRight" activeCell="C1" sqref="C1"/>
      <selection pane="bottomLeft" activeCell="A2" sqref="A2"/>
      <selection pane="bottomRight" activeCell="K470" sqref="K470"/>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94" bestFit="1" customWidth="1"/>
    <col min="10" max="10" width="19.54296875" style="93" bestFit="1" customWidth="1"/>
    <col min="11" max="11" width="32.54296875" style="87" customWidth="1"/>
    <col min="12" max="12" width="39.54296875" style="87" customWidth="1"/>
    <col min="13" max="13" width="31.1796875" style="89" customWidth="1"/>
    <col min="14" max="14" width="13.81640625" style="87" customWidth="1"/>
    <col min="15" max="15" width="11.81640625" style="87" bestFit="1" customWidth="1"/>
    <col min="16" max="16" width="35.17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3019</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SUM(E3:E6)</f>
        <v>-13150</v>
      </c>
      <c r="F2" s="87">
        <f>SUM(F3:F6)</f>
        <v>-60020</v>
      </c>
      <c r="I2" s="89">
        <f>SUM(I3:I6)</f>
        <v>-211004</v>
      </c>
      <c r="J2" s="87">
        <f>SUM(J3:J6)</f>
        <v>8433.2999999999993</v>
      </c>
      <c r="K2" s="113"/>
      <c r="M2" s="89">
        <f>SUM(M3:M6)</f>
        <v>0</v>
      </c>
      <c r="N2" s="87">
        <f>SUM(N3:N6)</f>
        <v>2849</v>
      </c>
      <c r="Q2" s="89">
        <f>SUM(Q3:Q6)</f>
        <v>0</v>
      </c>
      <c r="R2" s="87">
        <f>SUM(R3:R6)</f>
        <v>0</v>
      </c>
      <c r="U2" s="89">
        <f>SUM(U3:U6)</f>
        <v>0</v>
      </c>
      <c r="V2" s="87">
        <f>SUM(V3:V6)</f>
        <v>0</v>
      </c>
      <c r="Y2" s="89">
        <f>SUM(Y3:Y6)</f>
        <v>0</v>
      </c>
      <c r="Z2" s="87">
        <f>SUM(Z3:Z6)</f>
        <v>0</v>
      </c>
      <c r="AC2" s="89">
        <f>SUM(AC3:AC6)</f>
        <v>0</v>
      </c>
      <c r="AD2" s="87">
        <f>SUM(AD3:AD6)</f>
        <v>0</v>
      </c>
    </row>
    <row r="3" spans="1:33" ht="26.5" customHeight="1" x14ac:dyDescent="0.35">
      <c r="A3" s="86" t="s">
        <v>221</v>
      </c>
      <c r="B3" s="85">
        <v>1</v>
      </c>
      <c r="D3" s="86">
        <v>134217.12</v>
      </c>
      <c r="E3" s="87">
        <f>4456-1000-8000-1500-5356-1250-500</f>
        <v>-13150</v>
      </c>
      <c r="F3" s="87">
        <f>SUMIFS(H$28:H$1004,E$28:E$1004,$B3)</f>
        <v>-60020</v>
      </c>
      <c r="G3" s="87">
        <f>D3+E3-F3+SUMIFS(E$9:E$21,$C$9:$C$21,$A3)-SUMIFS(F$9:F$21,$C$9:$C$21,$A3)</f>
        <v>184394.28</v>
      </c>
      <c r="I3" s="91">
        <f>-(11480+118000+32000+12924)-1000-10000</f>
        <v>-185404</v>
      </c>
      <c r="J3" s="87">
        <f>SUMIFS(L$28:L$1017,I$28:I$1017,$B3)</f>
        <v>0</v>
      </c>
      <c r="K3" s="87">
        <f>G3+I3-J3+SUMIFS(I$9:I$21,$C$9:$C$21,$A3)-SUMIFS(J$9:J$21,$C$9:$C$21,$A3)+'2-Unit Two'!I5-'2-Unit Two'!J5+'2-Grounds Maintenance'!I5-'2-Grounds Maintenance'!J5</f>
        <v>9995.568833333411</v>
      </c>
      <c r="L3" s="84" t="s">
        <v>222</v>
      </c>
      <c r="M3" s="89">
        <v>0</v>
      </c>
      <c r="N3" s="87">
        <f>SUMIFS(P$28:P$1006,M$28:M$1006,$B3)</f>
        <v>500</v>
      </c>
      <c r="O3" s="87">
        <f>K3+M3-N3+SUMIFS(M$9:M$21,$C$9:$C$21,$A3)-SUMIFS(N$9:N$21,$C$9:$C$21,$A3)</f>
        <v>42118.59883333341</v>
      </c>
      <c r="P3" s="85"/>
      <c r="R3" s="87">
        <f>SUMIFS(T$28:T$1004,Q$28:Q$1004,$B3)</f>
        <v>0</v>
      </c>
      <c r="S3" s="87">
        <f>O3+Q3-R3+SUMIFS(Q$9:Q$21,$C$9:$C$21,$A3)-SUMIFS(R$9:R$21,$C$9:$C$21,$A3)</f>
        <v>42118.59883333341</v>
      </c>
      <c r="V3" s="87">
        <f>SUMIFS(X$28:X$1004,U$28:U$1004,$B3)</f>
        <v>0</v>
      </c>
      <c r="W3" s="87">
        <f>S3+U3-V3+SUMIFS(U$9:U$21,$C$9:$C$21,$A3)-SUMIFS(V$9:V$21,$C$9:$C$21,$A3)</f>
        <v>42118.59883333341</v>
      </c>
      <c r="Z3" s="87">
        <f>SUMIFS(AB$28:AB$1004,Y$28:Y$1004,$B3)</f>
        <v>0</v>
      </c>
      <c r="AA3" s="87">
        <f>W3+Y3-Z3+SUMIFS(Y$9:Y$21,$C$9:$C$21,$A3)-SUMIFS(Z$9:Z$21,$C$9:$C$21,$A3)</f>
        <v>42118.59883333341</v>
      </c>
      <c r="AD3" s="87">
        <f>SUMIFS(AF$28:AF$1004,AC$28:AC$1004,$B3)</f>
        <v>0</v>
      </c>
      <c r="AE3" s="87">
        <f>AA3+AC3-AD3+SUMIFS(AC$9:AC$21,$C$9:$C$21,$A3)-SUMIFS(AD$9:AD$21,$C$9:$C$21,$A3)</f>
        <v>42118.59883333341</v>
      </c>
      <c r="AG3" s="87">
        <v>100000</v>
      </c>
    </row>
    <row r="4" spans="1:33" ht="26.5" customHeight="1" x14ac:dyDescent="0.35">
      <c r="A4" s="86" t="s">
        <v>223</v>
      </c>
      <c r="B4" s="85">
        <v>2</v>
      </c>
      <c r="D4" s="86">
        <v>16000</v>
      </c>
      <c r="E4" s="87">
        <v>0</v>
      </c>
      <c r="F4" s="87">
        <f>SUMIFS(H$28:H$1004,E$28:E$1004,$B4)</f>
        <v>0</v>
      </c>
      <c r="G4" s="87">
        <f>D4+E4-F4+SUMIFS(E$9:E$21,$C$9:$C$21,$A4)-SUMIFS(F$9:F$21,$C$9:$C$21,$A4)</f>
        <v>9336.77</v>
      </c>
      <c r="H4" s="88" t="s">
        <v>1441</v>
      </c>
      <c r="I4" s="91">
        <v>-5600</v>
      </c>
      <c r="J4" s="87">
        <f>SUMIFS(L$28:L$1017,I$28:I$1017,$B4)</f>
        <v>1476.5</v>
      </c>
      <c r="K4" s="87">
        <f>G4+I4-J4+SUMIFS(I$9:I$21,$C$9:$C$21,$A4)-SUMIFS(J$9:J$21,$C$9:$C$21,$A4)</f>
        <v>2260.2700000000004</v>
      </c>
      <c r="L4" s="84" t="s">
        <v>224</v>
      </c>
      <c r="M4" s="89">
        <v>0</v>
      </c>
      <c r="N4" s="87">
        <f>SUMIFS(P$28:P$1006,M$28:M$1006,$B4)</f>
        <v>2260.27</v>
      </c>
      <c r="O4" s="87">
        <f>K4+M4-N4+SUMIFS(M$9:M$21,$C$9:$C$21,$A4)-SUMIFS(N$9:N$21,$C$9:$C$21,$A4)</f>
        <v>4.5474735088646412E-13</v>
      </c>
      <c r="P4" s="85"/>
      <c r="R4" s="87">
        <f>SUMIFS(T$28:T$1004,Q$28:Q$1004,$B4)</f>
        <v>0</v>
      </c>
      <c r="S4" s="87">
        <f>O4+Q4-R4+SUMIFS(Q$9:Q$21,$C$9:$C$21,$A4)-SUMIFS(R$9:R$21,$C$9:$C$21,$A4)</f>
        <v>4.5474735088646412E-13</v>
      </c>
      <c r="V4" s="87">
        <f>SUMIFS(X$28:X$1004,U$28:U$1004,$B4)</f>
        <v>0</v>
      </c>
      <c r="W4" s="87">
        <f>S4+U4-V4+SUMIFS(U$9:U$21,$C$9:$C$21,$A4)-SUMIFS(V$9:V$21,$C$9:$C$21,$A4)</f>
        <v>4.5474735088646412E-13</v>
      </c>
      <c r="Z4" s="87">
        <f>SUMIFS(AB$28:AB$1004,Y$28:Y$1004,$B4)</f>
        <v>0</v>
      </c>
      <c r="AA4" s="87">
        <f>W4+Y4-Z4+SUMIFS(Y$9:Y$21,$C$9:$C$21,$A4)-SUMIFS(Z$9:Z$21,$C$9:$C$21,$A4)</f>
        <v>4.5474735088646412E-13</v>
      </c>
      <c r="AD4" s="87">
        <f>SUMIFS(AF$28:AF$1004,AC$28:AC$1004,$B4)</f>
        <v>0</v>
      </c>
      <c r="AE4" s="87">
        <f>AA4+AC4-AD4+SUMIFS(AC$9:AC$21,$C$9:$C$21,$A4)-SUMIFS(AD$9:AD$21,$C$9:$C$21,$A4)</f>
        <v>4.5474735088646412E-13</v>
      </c>
    </row>
    <row r="5" spans="1:33" ht="26.5" customHeight="1" x14ac:dyDescent="0.35">
      <c r="A5" s="86" t="s">
        <v>225</v>
      </c>
      <c r="B5" s="85">
        <v>3</v>
      </c>
      <c r="D5" s="86">
        <v>9763</v>
      </c>
      <c r="E5" s="87">
        <v>0</v>
      </c>
      <c r="F5" s="87">
        <f>SUMIFS(H$28:H$1004,E$28:E$1004,$B5)</f>
        <v>0</v>
      </c>
      <c r="G5" s="87">
        <f>D5+E5-F5+SUMIFS(E$9:E$21,$C$9:$C$21,$A5)-SUMIFS(F$9:F$21,$C$9:$C$21,$A5)</f>
        <v>19089</v>
      </c>
      <c r="I5" s="89">
        <v>-20000</v>
      </c>
      <c r="J5" s="87">
        <f>SUMIFS(L$28:L$1017,I$28:I$1017,$B5)</f>
        <v>6956.8</v>
      </c>
      <c r="K5" s="87">
        <f>G5+I5-J5+SUMIFS(I$9:I$21,$C$9:$C$21,$A5)-SUMIFS(J$9:J$21,$C$9:$C$21,$A5)</f>
        <v>2030.5300000000025</v>
      </c>
      <c r="L5" s="84" t="s">
        <v>226</v>
      </c>
      <c r="M5" s="89">
        <v>0</v>
      </c>
      <c r="N5" s="87">
        <f>SUMIFS(P$28:P$1006,M$28:M$1006,$B5)</f>
        <v>88.730000000000018</v>
      </c>
      <c r="O5" s="87">
        <f>K5+M5-N5+SUMIFS(M$9:M$21,$C$9:$C$21,$A5)-SUMIFS(N$9:N$21,$C$9:$C$21,$A5)</f>
        <v>15262.440000000002</v>
      </c>
      <c r="P5" s="85"/>
      <c r="R5" s="87">
        <f>SUMIFS(T$28:T$1004,Q$28:Q$1004,$B5)</f>
        <v>0</v>
      </c>
      <c r="S5" s="87">
        <f>O5+Q5-R5+SUMIFS(Q$9:Q$21,$C$9:$C$21,$A5)-SUMIFS(R$9:R$21,$C$9:$C$21,$A5)</f>
        <v>15262.440000000002</v>
      </c>
      <c r="V5" s="87">
        <f>SUMIFS(X$28:X$1004,U$28:U$1004,$B5)</f>
        <v>0</v>
      </c>
      <c r="W5" s="87">
        <f>S5+U5-V5+SUMIFS(U$9:U$21,$C$9:$C$21,$A5)-SUMIFS(V$9:V$21,$C$9:$C$21,$A5)</f>
        <v>15262.440000000002</v>
      </c>
      <c r="Z5" s="87">
        <f>SUMIFS(AB$28:AB$1004,Y$28:Y$1004,$B5)</f>
        <v>0</v>
      </c>
      <c r="AA5" s="87">
        <f>W5+Y5-Z5+SUMIFS(Y$9:Y$21,$C$9:$C$21,$A5)-SUMIFS(Z$9:Z$21,$C$9:$C$21,$A5)</f>
        <v>15262.440000000002</v>
      </c>
      <c r="AD5" s="87">
        <f>SUMIFS(AF$28:AF$1004,AC$28:AC$1004,$B5)</f>
        <v>0</v>
      </c>
      <c r="AE5" s="87">
        <f>AA5+AC5-AD5+SUMIFS(AC$9:AC$21,$C$9:$C$21,$A5)-SUMIFS(AD$9:AD$21,$C$9:$C$21,$A5)</f>
        <v>15262.440000000002</v>
      </c>
      <c r="AG5" s="87">
        <v>30000</v>
      </c>
    </row>
    <row r="6" spans="1:33" ht="26.5" customHeight="1" x14ac:dyDescent="0.35">
      <c r="A6" s="86" t="s">
        <v>72</v>
      </c>
      <c r="B6" s="85">
        <v>4</v>
      </c>
      <c r="D6" s="86">
        <v>0</v>
      </c>
      <c r="E6" s="87">
        <v>0</v>
      </c>
      <c r="F6" s="87">
        <f>SUMIFS(H$28:H$1004,E$28:E$1004,$B6)</f>
        <v>0</v>
      </c>
      <c r="G6" s="87">
        <f>D6+E6-F6+SUMIFS(E$9:E$21,$C$9:$C$21,$A6)-SUMIFS(F$9:F$21,$C$9:$C$21,$A6)</f>
        <v>0</v>
      </c>
      <c r="I6" s="89"/>
      <c r="J6" s="87">
        <f>SUMIFS(L$28:L$1017,I$28:I$1017,$B6)</f>
        <v>0</v>
      </c>
      <c r="K6" s="87">
        <f>G6+I6-J6+SUMIFS(I$9:I$21,$C$9:$C$21,$A6)-SUMIFS(J$9:J$21,$C$9:$C$21,$A6)</f>
        <v>0</v>
      </c>
      <c r="L6" s="86"/>
      <c r="M6" s="89">
        <v>0</v>
      </c>
      <c r="N6" s="87">
        <f>SUMIFS(P$28:P$1006,M$28:M$1006,$B6)</f>
        <v>0</v>
      </c>
      <c r="O6" s="87">
        <f>K6+M6-N6+SUMIFS(M$9:M$21,$C$9:$C$21,$A6)-SUMIFS(N$9:N$21,$C$9:$C$21,$A6)</f>
        <v>0</v>
      </c>
      <c r="P6" s="85"/>
      <c r="R6" s="87">
        <f>SUMIFS(T$28:T$1004,Q$28:Q$1004,$B6)</f>
        <v>0</v>
      </c>
      <c r="S6" s="87">
        <f>O6+Q6-R6+SUMIFS(Q$9:Q$21,$C$9:$C$21,$A6)-SUMIFS(R$9:R$21,$C$9:$C$21,$A6)</f>
        <v>0</v>
      </c>
      <c r="V6" s="87">
        <f>SUMIFS(X$28:X$1004,U$28:U$1004,$B6)</f>
        <v>0</v>
      </c>
      <c r="W6" s="87">
        <f>S6+U6-V6+SUMIFS(U$9:U$21,$C$9:$C$21,$A6)-SUMIFS(V$9:V$21,$C$9:$C$21,$A6)</f>
        <v>0</v>
      </c>
      <c r="Z6" s="87">
        <f>SUMIFS(AB$28:AB$1004,Y$28:Y$1004,$B6)</f>
        <v>0</v>
      </c>
      <c r="AA6" s="87">
        <f>W6+Y6-Z6+SUMIFS(Y$9:Y$21,$C$9:$C$21,$A6)-SUMIFS(Z$9:Z$21,$C$9:$C$21,$A6)</f>
        <v>0</v>
      </c>
      <c r="AD6" s="87">
        <f>SUMIFS(AF$28:AF$1004,AC$28:AC$1004,$B6)</f>
        <v>0</v>
      </c>
      <c r="AE6" s="87">
        <f>AA6+AC6-AD6+SUMIFS(AC$9:AC$21,$C$9:$C$21,$A6)-SUMIFS(AD$9:AD$21,$C$9:$C$21,$A6)</f>
        <v>0</v>
      </c>
    </row>
    <row r="7" spans="1:33" ht="26.5" customHeight="1" x14ac:dyDescent="0.35">
      <c r="E7" s="87"/>
      <c r="F7" s="87"/>
      <c r="I7" s="89"/>
      <c r="J7" s="87"/>
      <c r="P7" s="85"/>
    </row>
    <row r="8" spans="1:33" x14ac:dyDescent="0.35">
      <c r="A8" s="84" t="s">
        <v>3016</v>
      </c>
      <c r="D8" s="84"/>
      <c r="E8" s="87">
        <f>SUM(E9:E21)</f>
        <v>118359.81000000001</v>
      </c>
      <c r="F8" s="87">
        <f>SUM(F9:F21)</f>
        <v>112389.87999999999</v>
      </c>
      <c r="I8" s="87">
        <f>SUM(I9:I21)</f>
        <v>137671</v>
      </c>
      <c r="J8" s="87">
        <f>SUM(J9:J21)</f>
        <v>113575.51</v>
      </c>
      <c r="M8" s="89">
        <f>SUM(M9:M21)</f>
        <v>126323</v>
      </c>
      <c r="N8" s="87">
        <f>SUM(N9:N21)</f>
        <v>80379.33</v>
      </c>
      <c r="Q8" s="89">
        <f>SUM(Q9:Q21)</f>
        <v>130115</v>
      </c>
      <c r="R8" s="87">
        <f>$Q$8</f>
        <v>130115</v>
      </c>
      <c r="U8" s="89">
        <f>SUM(U9:U21)</f>
        <v>134023</v>
      </c>
      <c r="V8" s="87">
        <f>$U$8</f>
        <v>134023</v>
      </c>
      <c r="Y8" s="89">
        <f>SUM(Y9:Y21)</f>
        <v>138048</v>
      </c>
      <c r="Z8" s="87">
        <f>$Y$8</f>
        <v>138048</v>
      </c>
      <c r="AC8" s="89">
        <f>SUM(AC9:AC21)</f>
        <v>142193</v>
      </c>
      <c r="AD8" s="87">
        <f>$AC$8</f>
        <v>142193</v>
      </c>
    </row>
    <row r="9" spans="1:33" x14ac:dyDescent="0.35">
      <c r="A9" s="86" t="s">
        <v>227</v>
      </c>
      <c r="B9" s="85">
        <v>5</v>
      </c>
      <c r="C9" s="85" t="s">
        <v>221</v>
      </c>
      <c r="D9" s="84"/>
      <c r="E9" s="87">
        <v>1000</v>
      </c>
      <c r="F9" s="87">
        <f t="shared" ref="F9:F21" si="0">SUMIFS(H$28:H$1004,E$28:E$1004,$B9)</f>
        <v>3100.32</v>
      </c>
      <c r="I9" s="89">
        <v>0</v>
      </c>
      <c r="J9" s="87">
        <f t="shared" ref="J9:J21" si="1">SUMIFS(L$28:L$1017,I$28:I$1017,$B9)</f>
        <v>0</v>
      </c>
      <c r="M9" s="89">
        <v>0</v>
      </c>
      <c r="N9" s="87">
        <f t="shared" ref="N9:N21" si="2">SUMIFS(P$28:P$1021,M$28:M$1021,$B9)</f>
        <v>0</v>
      </c>
      <c r="Q9" s="89">
        <f t="shared" ref="Q9:Q21" si="3">ROUNDUP((M9)*RPI,0)</f>
        <v>0</v>
      </c>
      <c r="R9" s="87">
        <f>$Q$9</f>
        <v>0</v>
      </c>
      <c r="U9" s="89">
        <f t="shared" ref="U9:U21" si="4">ROUNDUP((Q9)*RPI,0)</f>
        <v>0</v>
      </c>
      <c r="V9" s="87">
        <f>$U$9</f>
        <v>0</v>
      </c>
      <c r="Y9" s="89">
        <f t="shared" ref="Y9:Y21" si="5">ROUNDUP((U9)*RPI,0)</f>
        <v>0</v>
      </c>
      <c r="Z9" s="87">
        <f>$Y$9</f>
        <v>0</v>
      </c>
      <c r="AC9" s="89">
        <f t="shared" ref="AC9:AC21" si="6">ROUNDUP((Y9)*RPI,0)</f>
        <v>0</v>
      </c>
      <c r="AD9" s="87">
        <f>$AC$9</f>
        <v>0</v>
      </c>
    </row>
    <row r="10" spans="1:33" x14ac:dyDescent="0.35">
      <c r="A10" s="86" t="s">
        <v>2313</v>
      </c>
      <c r="B10" s="85">
        <v>6</v>
      </c>
      <c r="C10" s="85" t="s">
        <v>225</v>
      </c>
      <c r="D10" s="84"/>
      <c r="E10" s="87">
        <v>12924</v>
      </c>
      <c r="F10" s="87">
        <f t="shared" si="0"/>
        <v>13439</v>
      </c>
      <c r="H10" s="88" t="s">
        <v>1442</v>
      </c>
      <c r="I10" s="89">
        <v>12924</v>
      </c>
      <c r="J10" s="87">
        <f t="shared" si="1"/>
        <v>12699.359999999999</v>
      </c>
      <c r="M10" s="89">
        <v>19000</v>
      </c>
      <c r="N10" s="87">
        <f t="shared" si="2"/>
        <v>8908.4000000000015</v>
      </c>
      <c r="P10" s="86"/>
      <c r="Q10" s="89">
        <f t="shared" si="3"/>
        <v>19570</v>
      </c>
      <c r="R10" s="87">
        <f>$Q$10</f>
        <v>19570</v>
      </c>
      <c r="U10" s="89">
        <f t="shared" si="4"/>
        <v>20158</v>
      </c>
      <c r="V10" s="87">
        <f>$U$10</f>
        <v>20158</v>
      </c>
      <c r="Y10" s="89">
        <f t="shared" si="5"/>
        <v>20763</v>
      </c>
      <c r="Z10" s="87">
        <f>$Y$10</f>
        <v>20763</v>
      </c>
      <c r="AC10" s="89">
        <f t="shared" si="6"/>
        <v>21386</v>
      </c>
      <c r="AD10" s="87">
        <f>$AC$10</f>
        <v>21386</v>
      </c>
    </row>
    <row r="11" spans="1:33" x14ac:dyDescent="0.35">
      <c r="A11" s="86" t="s">
        <v>229</v>
      </c>
      <c r="B11" s="85">
        <v>7</v>
      </c>
      <c r="C11" s="85" t="s">
        <v>221</v>
      </c>
      <c r="D11" s="84"/>
      <c r="E11" s="87">
        <v>5356</v>
      </c>
      <c r="F11" s="87">
        <f t="shared" si="0"/>
        <v>738.63</v>
      </c>
      <c r="I11" s="91">
        <v>3000</v>
      </c>
      <c r="J11" s="87">
        <f t="shared" si="1"/>
        <v>803.43000000000018</v>
      </c>
      <c r="M11" s="89">
        <v>1500</v>
      </c>
      <c r="N11" s="87">
        <f t="shared" si="2"/>
        <v>22.9</v>
      </c>
      <c r="P11" s="105"/>
      <c r="Q11" s="89">
        <f t="shared" si="3"/>
        <v>1545</v>
      </c>
      <c r="R11" s="87">
        <f>$Q$11</f>
        <v>1545</v>
      </c>
      <c r="U11" s="89">
        <f t="shared" si="4"/>
        <v>1592</v>
      </c>
      <c r="V11" s="87">
        <f>$U$11</f>
        <v>1592</v>
      </c>
      <c r="Y11" s="89">
        <f t="shared" si="5"/>
        <v>1640</v>
      </c>
      <c r="Z11" s="87">
        <f>$Y$11</f>
        <v>1640</v>
      </c>
      <c r="AC11" s="89">
        <f t="shared" si="6"/>
        <v>1690</v>
      </c>
      <c r="AD11" s="87">
        <f>$AC$11</f>
        <v>1690</v>
      </c>
    </row>
    <row r="12" spans="1:33" x14ac:dyDescent="0.35">
      <c r="A12" s="86" t="s">
        <v>230</v>
      </c>
      <c r="B12" s="85">
        <v>8</v>
      </c>
      <c r="C12" s="85" t="s">
        <v>221</v>
      </c>
      <c r="D12" s="84"/>
      <c r="E12" s="87">
        <v>1250</v>
      </c>
      <c r="F12" s="87">
        <f t="shared" si="0"/>
        <v>999.93</v>
      </c>
      <c r="I12" s="89">
        <f>ROUNDUP((E12)*RPICurrent,0)</f>
        <v>1357</v>
      </c>
      <c r="J12" s="87">
        <f t="shared" si="1"/>
        <v>1670.09</v>
      </c>
      <c r="M12" s="89">
        <v>1398</v>
      </c>
      <c r="N12" s="87">
        <f t="shared" si="2"/>
        <v>276.05</v>
      </c>
      <c r="P12" s="105"/>
      <c r="Q12" s="89">
        <f t="shared" si="3"/>
        <v>1440</v>
      </c>
      <c r="R12" s="87">
        <f>$Q$12</f>
        <v>1440</v>
      </c>
      <c r="U12" s="89">
        <f t="shared" si="4"/>
        <v>1484</v>
      </c>
      <c r="V12" s="87">
        <f>$U$12</f>
        <v>1484</v>
      </c>
      <c r="Y12" s="89">
        <f t="shared" si="5"/>
        <v>1529</v>
      </c>
      <c r="Z12" s="87">
        <f>$Y$12</f>
        <v>1529</v>
      </c>
      <c r="AC12" s="89">
        <f t="shared" si="6"/>
        <v>1575</v>
      </c>
      <c r="AD12" s="87">
        <f>$AC$12</f>
        <v>1575</v>
      </c>
    </row>
    <row r="13" spans="1:33" x14ac:dyDescent="0.35">
      <c r="A13" s="105" t="s">
        <v>1009</v>
      </c>
      <c r="B13" s="85">
        <v>9</v>
      </c>
      <c r="C13" s="85" t="s">
        <v>221</v>
      </c>
      <c r="D13" s="84"/>
      <c r="E13" s="87">
        <v>0</v>
      </c>
      <c r="F13" s="87">
        <f t="shared" si="0"/>
        <v>0</v>
      </c>
      <c r="I13" s="89">
        <v>8400</v>
      </c>
      <c r="J13" s="87">
        <f t="shared" si="1"/>
        <v>9632</v>
      </c>
      <c r="L13" s="105"/>
      <c r="M13" s="89">
        <v>10800</v>
      </c>
      <c r="N13" s="87">
        <f t="shared" si="2"/>
        <v>10800</v>
      </c>
      <c r="P13" s="105"/>
      <c r="Q13" s="89">
        <f t="shared" si="3"/>
        <v>11124</v>
      </c>
      <c r="R13" s="87">
        <f>$Q$13</f>
        <v>11124</v>
      </c>
      <c r="U13" s="89">
        <f t="shared" si="4"/>
        <v>11458</v>
      </c>
      <c r="V13" s="87">
        <f>$U$13</f>
        <v>11458</v>
      </c>
      <c r="Y13" s="89">
        <f t="shared" si="5"/>
        <v>11802</v>
      </c>
      <c r="Z13" s="87">
        <f>$Y$13</f>
        <v>11802</v>
      </c>
      <c r="AC13" s="89">
        <f t="shared" si="6"/>
        <v>12157</v>
      </c>
      <c r="AD13" s="87">
        <f>$AC$13</f>
        <v>12157</v>
      </c>
    </row>
    <row r="14" spans="1:33" x14ac:dyDescent="0.35">
      <c r="A14" s="105" t="s">
        <v>1443</v>
      </c>
      <c r="B14" s="85">
        <v>10</v>
      </c>
      <c r="C14" s="85" t="s">
        <v>221</v>
      </c>
      <c r="D14" s="84"/>
      <c r="E14" s="87">
        <v>8000</v>
      </c>
      <c r="F14" s="87">
        <f t="shared" si="0"/>
        <v>3780.4299999999994</v>
      </c>
      <c r="I14" s="91">
        <f>ROUNDUP((E14)*RPICurrent,0)+3800</f>
        <v>12480</v>
      </c>
      <c r="J14" s="87">
        <f t="shared" si="1"/>
        <v>375.26</v>
      </c>
      <c r="L14" s="105"/>
      <c r="M14" s="89">
        <v>8941</v>
      </c>
      <c r="N14" s="87">
        <f t="shared" si="2"/>
        <v>6386.35</v>
      </c>
      <c r="Q14" s="89">
        <f>ROUNDUP((M14)*RPI,0)</f>
        <v>9210</v>
      </c>
      <c r="R14" s="87">
        <f>$Q$14</f>
        <v>9210</v>
      </c>
      <c r="U14" s="89">
        <f>ROUNDUP((Q14)*RPI,0)</f>
        <v>9487</v>
      </c>
      <c r="V14" s="87">
        <f>$U$14</f>
        <v>9487</v>
      </c>
      <c r="Y14" s="89">
        <f>ROUNDUP((U14)*RPI,0)</f>
        <v>9772</v>
      </c>
      <c r="Z14" s="87">
        <f>$Y$14</f>
        <v>9772</v>
      </c>
      <c r="AC14" s="89">
        <f>ROUNDUP((Y14)*RPI,0)</f>
        <v>10066</v>
      </c>
      <c r="AD14" s="87">
        <f>$AC$14</f>
        <v>10066</v>
      </c>
    </row>
    <row r="15" spans="1:33" x14ac:dyDescent="0.35">
      <c r="A15" s="86" t="s">
        <v>232</v>
      </c>
      <c r="B15" s="85">
        <v>11</v>
      </c>
      <c r="C15" s="85" t="s">
        <v>221</v>
      </c>
      <c r="D15" s="84"/>
      <c r="E15" s="87">
        <v>0</v>
      </c>
      <c r="F15" s="87">
        <f t="shared" si="0"/>
        <v>4373</v>
      </c>
      <c r="I15" s="89">
        <f>ROUNDUP((E15)*RPICurrent,0)</f>
        <v>0</v>
      </c>
      <c r="J15" s="87">
        <f t="shared" si="1"/>
        <v>0</v>
      </c>
      <c r="M15" s="89">
        <v>0</v>
      </c>
      <c r="N15" s="87">
        <f t="shared" si="2"/>
        <v>0</v>
      </c>
      <c r="Q15" s="89">
        <f>ROUNDUP((M15)*RPI,0)</f>
        <v>0</v>
      </c>
      <c r="R15" s="87">
        <f>$Q$15</f>
        <v>0</v>
      </c>
      <c r="U15" s="89">
        <f>ROUNDUP((Q15)*RPI,0)</f>
        <v>0</v>
      </c>
      <c r="V15" s="87">
        <f>$U$15</f>
        <v>0</v>
      </c>
      <c r="Y15" s="89">
        <f>ROUNDUP((U15)*RPI,0)</f>
        <v>0</v>
      </c>
      <c r="Z15" s="87">
        <f>$Y$15</f>
        <v>0</v>
      </c>
      <c r="AC15" s="89">
        <f>ROUNDUP((Y15)*RPI,0)</f>
        <v>0</v>
      </c>
      <c r="AD15" s="87">
        <f>$AC$15</f>
        <v>0</v>
      </c>
    </row>
    <row r="16" spans="1:33" x14ac:dyDescent="0.35">
      <c r="A16" s="86" t="s">
        <v>233</v>
      </c>
      <c r="B16" s="85">
        <v>12</v>
      </c>
      <c r="C16" s="85" t="s">
        <v>221</v>
      </c>
      <c r="D16" s="84"/>
      <c r="E16" s="87">
        <f>14700+13429.6+18460</f>
        <v>46589.599999999999</v>
      </c>
      <c r="F16" s="87">
        <f t="shared" si="0"/>
        <v>57659.369999999995</v>
      </c>
      <c r="I16" s="89">
        <f>ROUNDUP(14700+13429.6+33250,0)</f>
        <v>61380</v>
      </c>
      <c r="J16" s="87">
        <f t="shared" si="1"/>
        <v>60009.82</v>
      </c>
      <c r="L16" s="105"/>
      <c r="M16" s="89">
        <v>62378</v>
      </c>
      <c r="N16" s="87">
        <f t="shared" si="2"/>
        <v>36112.35</v>
      </c>
      <c r="O16" s="96"/>
      <c r="P16" s="86"/>
      <c r="Q16" s="89">
        <f>ROUNDUP((M16)*RPI,0)</f>
        <v>64250</v>
      </c>
      <c r="R16" s="87">
        <f>$Q$16</f>
        <v>64250</v>
      </c>
      <c r="U16" s="89">
        <f>ROUNDUP((Q16)*RPI,0)</f>
        <v>66178</v>
      </c>
      <c r="V16" s="87">
        <f>$U$16</f>
        <v>66178</v>
      </c>
      <c r="Y16" s="89">
        <f>ROUNDUP((U16)*RPI,0)</f>
        <v>68164</v>
      </c>
      <c r="Z16" s="87">
        <f>$Y$16</f>
        <v>68164</v>
      </c>
      <c r="AC16" s="89">
        <f>ROUNDUP((Y16)*RPI,0)</f>
        <v>70209</v>
      </c>
      <c r="AD16" s="87">
        <f>$AC$16</f>
        <v>70209</v>
      </c>
    </row>
    <row r="17" spans="1:31" x14ac:dyDescent="0.35">
      <c r="A17" s="86" t="s">
        <v>239</v>
      </c>
      <c r="B17" s="92">
        <v>16</v>
      </c>
      <c r="C17" s="85" t="s">
        <v>221</v>
      </c>
      <c r="D17" s="84"/>
      <c r="E17" s="87">
        <v>1500</v>
      </c>
      <c r="F17" s="87">
        <f t="shared" si="0"/>
        <v>1710.9700000000003</v>
      </c>
      <c r="I17" s="89">
        <v>2250</v>
      </c>
      <c r="J17" s="87">
        <f t="shared" si="1"/>
        <v>2154.1900000000005</v>
      </c>
      <c r="M17" s="89">
        <v>2000</v>
      </c>
      <c r="N17" s="87">
        <f t="shared" si="2"/>
        <v>772.32</v>
      </c>
      <c r="P17" s="105"/>
      <c r="Q17" s="89">
        <f t="shared" si="3"/>
        <v>2060</v>
      </c>
      <c r="R17" s="87">
        <f>$Q$17</f>
        <v>2060</v>
      </c>
      <c r="U17" s="89">
        <f t="shared" si="4"/>
        <v>2122</v>
      </c>
      <c r="V17" s="87">
        <f>$U$17</f>
        <v>2122</v>
      </c>
      <c r="Y17" s="89">
        <f t="shared" si="5"/>
        <v>2186</v>
      </c>
      <c r="Z17" s="87">
        <f>$Y$17</f>
        <v>2186</v>
      </c>
      <c r="AC17" s="89">
        <f t="shared" si="6"/>
        <v>2252</v>
      </c>
      <c r="AD17" s="87">
        <f>$AC$17</f>
        <v>2252</v>
      </c>
    </row>
    <row r="18" spans="1:31" ht="29" x14ac:dyDescent="0.35">
      <c r="A18" s="86" t="s">
        <v>2112</v>
      </c>
      <c r="B18" s="92">
        <v>17</v>
      </c>
      <c r="C18" s="85" t="s">
        <v>221</v>
      </c>
      <c r="D18" s="84"/>
      <c r="E18" s="87">
        <f>20682.4+1057.81</f>
        <v>21740.210000000003</v>
      </c>
      <c r="F18" s="87">
        <f t="shared" si="0"/>
        <v>9766</v>
      </c>
      <c r="I18" s="89">
        <f>9980+300</f>
        <v>10280</v>
      </c>
      <c r="J18" s="87">
        <f t="shared" si="1"/>
        <v>10305.049999999999</v>
      </c>
      <c r="M18" s="89">
        <v>10306</v>
      </c>
      <c r="N18" s="87">
        <f t="shared" si="2"/>
        <v>10330</v>
      </c>
      <c r="Q18" s="89">
        <f t="shared" si="3"/>
        <v>10616</v>
      </c>
      <c r="R18" s="87">
        <f>$Q$18</f>
        <v>10616</v>
      </c>
      <c r="U18" s="89">
        <f t="shared" si="4"/>
        <v>10935</v>
      </c>
      <c r="V18" s="87">
        <f>$U$18</f>
        <v>10935</v>
      </c>
      <c r="Y18" s="89">
        <f t="shared" si="5"/>
        <v>11264</v>
      </c>
      <c r="Z18" s="87">
        <f>$Y$18</f>
        <v>11264</v>
      </c>
      <c r="AC18" s="89">
        <f t="shared" si="6"/>
        <v>11602</v>
      </c>
      <c r="AD18" s="87">
        <f>$AC$18</f>
        <v>11602</v>
      </c>
    </row>
    <row r="19" spans="1:31" s="102" customFormat="1" x14ac:dyDescent="0.35">
      <c r="A19" s="102" t="s">
        <v>75</v>
      </c>
      <c r="B19" s="124"/>
      <c r="C19" s="101" t="s">
        <v>72</v>
      </c>
      <c r="D19" s="118"/>
      <c r="E19" s="102">
        <v>0</v>
      </c>
      <c r="F19" s="102">
        <f t="shared" si="0"/>
        <v>0</v>
      </c>
      <c r="H19" s="103"/>
      <c r="I19" s="104">
        <f>ROUNDUP((E19)*RPICurrent,0)</f>
        <v>0</v>
      </c>
      <c r="J19" s="102">
        <f t="shared" si="1"/>
        <v>0</v>
      </c>
      <c r="M19" s="104">
        <v>0</v>
      </c>
      <c r="N19" s="87">
        <f t="shared" si="2"/>
        <v>0</v>
      </c>
      <c r="Q19" s="104">
        <f>ROUNDUP((M19)*RPI,0)</f>
        <v>0</v>
      </c>
      <c r="R19" s="102">
        <f>$Q$19</f>
        <v>0</v>
      </c>
      <c r="U19" s="104">
        <f>ROUNDUP((Q19)*RPI,0)</f>
        <v>0</v>
      </c>
      <c r="V19" s="102">
        <f>$U$19</f>
        <v>0</v>
      </c>
      <c r="Y19" s="104">
        <f>ROUNDUP((U19)*RPI,0)</f>
        <v>0</v>
      </c>
      <c r="Z19" s="102">
        <f>$Y$19</f>
        <v>0</v>
      </c>
      <c r="AC19" s="104">
        <f>ROUNDUP((Y19)*RPI,0)</f>
        <v>0</v>
      </c>
      <c r="AD19" s="102">
        <f>$AC$19</f>
        <v>0</v>
      </c>
    </row>
    <row r="20" spans="1:31" x14ac:dyDescent="0.35">
      <c r="A20" s="87" t="s">
        <v>240</v>
      </c>
      <c r="B20" s="92">
        <v>19</v>
      </c>
      <c r="C20" s="85" t="s">
        <v>223</v>
      </c>
      <c r="D20" s="84"/>
      <c r="E20" s="87">
        <v>0</v>
      </c>
      <c r="F20" s="87">
        <f t="shared" si="0"/>
        <v>6663.23</v>
      </c>
      <c r="I20" s="91">
        <v>5600</v>
      </c>
      <c r="J20" s="87">
        <f t="shared" si="1"/>
        <v>5600</v>
      </c>
      <c r="M20" s="89">
        <v>0</v>
      </c>
      <c r="N20" s="87">
        <f t="shared" si="2"/>
        <v>0</v>
      </c>
      <c r="P20" s="105"/>
      <c r="Q20" s="89">
        <f t="shared" si="3"/>
        <v>0</v>
      </c>
      <c r="R20" s="87">
        <f>$Q$20</f>
        <v>0</v>
      </c>
      <c r="U20" s="89">
        <f t="shared" si="4"/>
        <v>0</v>
      </c>
      <c r="V20" s="87">
        <f>$U$20</f>
        <v>0</v>
      </c>
      <c r="Y20" s="89">
        <f t="shared" si="5"/>
        <v>0</v>
      </c>
      <c r="Z20" s="87">
        <f>$Y$20</f>
        <v>0</v>
      </c>
      <c r="AC20" s="89">
        <f t="shared" si="6"/>
        <v>0</v>
      </c>
      <c r="AD20" s="87">
        <f>$AC$20</f>
        <v>0</v>
      </c>
    </row>
    <row r="21" spans="1:31" x14ac:dyDescent="0.35">
      <c r="A21" s="86" t="s">
        <v>241</v>
      </c>
      <c r="B21" s="92">
        <v>20</v>
      </c>
      <c r="C21" s="85" t="s">
        <v>225</v>
      </c>
      <c r="D21" s="84"/>
      <c r="E21" s="87">
        <v>20000</v>
      </c>
      <c r="F21" s="87">
        <f t="shared" si="0"/>
        <v>10159</v>
      </c>
      <c r="I21" s="89">
        <v>20000</v>
      </c>
      <c r="J21" s="87">
        <f t="shared" si="1"/>
        <v>10326.310000000001</v>
      </c>
      <c r="M21" s="89">
        <v>10000</v>
      </c>
      <c r="N21" s="87">
        <f t="shared" si="2"/>
        <v>6770.96</v>
      </c>
      <c r="P21" s="105"/>
      <c r="Q21" s="89">
        <f t="shared" si="3"/>
        <v>10300</v>
      </c>
      <c r="R21" s="87">
        <f>$Q$21</f>
        <v>10300</v>
      </c>
      <c r="U21" s="89">
        <f t="shared" si="4"/>
        <v>10609</v>
      </c>
      <c r="V21" s="87">
        <f>$U$21</f>
        <v>10609</v>
      </c>
      <c r="Y21" s="89">
        <f t="shared" si="5"/>
        <v>10928</v>
      </c>
      <c r="Z21" s="87">
        <f>$Y$21</f>
        <v>10928</v>
      </c>
      <c r="AC21" s="89">
        <f t="shared" si="6"/>
        <v>11256</v>
      </c>
      <c r="AD21" s="87">
        <f>$AC$21</f>
        <v>11256</v>
      </c>
    </row>
    <row r="22" spans="1:31" x14ac:dyDescent="0.35">
      <c r="B22" s="92"/>
      <c r="D22" s="84"/>
      <c r="E22" s="87"/>
      <c r="F22" s="87"/>
      <c r="I22" s="89"/>
      <c r="J22" s="87"/>
    </row>
    <row r="23" spans="1:31" x14ac:dyDescent="0.35">
      <c r="E23" s="87"/>
      <c r="F23" s="87"/>
      <c r="I23" s="89"/>
      <c r="J23" s="87"/>
    </row>
    <row r="24" spans="1:31" x14ac:dyDescent="0.35">
      <c r="E24" s="87"/>
      <c r="F24" s="87"/>
      <c r="I24" s="89"/>
      <c r="J24" s="87"/>
    </row>
    <row r="25" spans="1:31" x14ac:dyDescent="0.35">
      <c r="E25" s="87"/>
      <c r="F25" s="87"/>
      <c r="I25" s="89"/>
      <c r="J25" s="87"/>
    </row>
    <row r="26" spans="1:31" x14ac:dyDescent="0.35">
      <c r="A26" s="84" t="s">
        <v>487</v>
      </c>
      <c r="G26" s="85"/>
      <c r="H26" s="87"/>
      <c r="K26" s="85"/>
      <c r="M26" s="94"/>
      <c r="N26" s="93"/>
      <c r="O26" s="85"/>
      <c r="Q26" s="94"/>
      <c r="R26" s="93"/>
      <c r="S26" s="85"/>
      <c r="U26" s="94"/>
      <c r="V26" s="93"/>
      <c r="W26" s="85"/>
      <c r="Y26" s="94"/>
      <c r="Z26" s="93"/>
      <c r="AA26" s="85"/>
      <c r="AC26" s="94"/>
      <c r="AD26" s="93"/>
      <c r="AE26" s="85"/>
    </row>
    <row r="27" spans="1:31" x14ac:dyDescent="0.35">
      <c r="E27" s="85" t="s">
        <v>484</v>
      </c>
      <c r="F27" s="93" t="s">
        <v>488</v>
      </c>
      <c r="G27" s="85" t="s">
        <v>489</v>
      </c>
      <c r="H27" s="87" t="s">
        <v>475</v>
      </c>
      <c r="I27" s="85" t="s">
        <v>484</v>
      </c>
      <c r="J27" s="93" t="s">
        <v>488</v>
      </c>
      <c r="K27" s="85" t="s">
        <v>489</v>
      </c>
      <c r="L27" s="87" t="s">
        <v>475</v>
      </c>
      <c r="M27" s="85" t="s">
        <v>484</v>
      </c>
      <c r="N27" s="93" t="s">
        <v>488</v>
      </c>
      <c r="O27" s="85" t="s">
        <v>489</v>
      </c>
      <c r="P27" s="87" t="s">
        <v>475</v>
      </c>
      <c r="Q27" s="94"/>
      <c r="R27" s="93"/>
      <c r="S27" s="85"/>
      <c r="U27" s="94"/>
      <c r="V27" s="93"/>
      <c r="W27" s="85"/>
      <c r="Y27" s="94"/>
      <c r="Z27" s="93"/>
      <c r="AA27" s="85"/>
      <c r="AC27" s="94"/>
      <c r="AD27" s="93"/>
      <c r="AE27" s="85"/>
    </row>
    <row r="28" spans="1:31" x14ac:dyDescent="0.35">
      <c r="A28" s="85"/>
      <c r="D28" s="85"/>
      <c r="E28" s="85">
        <v>10</v>
      </c>
      <c r="F28" s="93" t="s">
        <v>947</v>
      </c>
      <c r="G28" s="85" t="s">
        <v>1447</v>
      </c>
      <c r="H28" s="87">
        <v>13</v>
      </c>
      <c r="I28" s="94">
        <v>6</v>
      </c>
      <c r="J28" s="93">
        <v>45017</v>
      </c>
      <c r="K28" s="85" t="s">
        <v>1448</v>
      </c>
      <c r="L28" s="87">
        <v>100</v>
      </c>
      <c r="M28" s="85">
        <v>20</v>
      </c>
      <c r="N28" s="93" t="s">
        <v>491</v>
      </c>
      <c r="O28" s="85" t="s">
        <v>2241</v>
      </c>
      <c r="P28" s="87">
        <v>1851</v>
      </c>
      <c r="Q28" s="94"/>
      <c r="R28" s="93"/>
      <c r="S28" s="85"/>
      <c r="U28" s="94"/>
      <c r="V28" s="93"/>
      <c r="W28" s="85"/>
      <c r="Y28" s="94"/>
      <c r="Z28" s="93"/>
      <c r="AA28" s="85"/>
      <c r="AC28" s="94"/>
      <c r="AD28" s="93"/>
      <c r="AE28" s="85"/>
    </row>
    <row r="29" spans="1:31" ht="58" x14ac:dyDescent="0.35">
      <c r="E29" s="92">
        <v>16</v>
      </c>
      <c r="F29" s="93" t="s">
        <v>891</v>
      </c>
      <c r="G29" s="85" t="s">
        <v>1449</v>
      </c>
      <c r="H29" s="87">
        <f>1466.18-21.23</f>
        <v>1444.95</v>
      </c>
      <c r="I29" s="94">
        <v>6</v>
      </c>
      <c r="J29" s="93">
        <v>45017</v>
      </c>
      <c r="K29" s="85" t="s">
        <v>1450</v>
      </c>
      <c r="L29" s="87">
        <v>1300</v>
      </c>
      <c r="M29" s="94" t="s">
        <v>2803</v>
      </c>
      <c r="N29" s="93" t="s">
        <v>719</v>
      </c>
      <c r="O29" s="86" t="s">
        <v>1612</v>
      </c>
      <c r="P29" s="87">
        <v>17000</v>
      </c>
      <c r="Q29" s="94"/>
      <c r="R29" s="93"/>
      <c r="S29" s="85"/>
      <c r="U29" s="94"/>
      <c r="V29" s="93"/>
      <c r="W29" s="85"/>
      <c r="Y29" s="94"/>
      <c r="Z29" s="93"/>
      <c r="AA29" s="85"/>
      <c r="AC29" s="94"/>
      <c r="AD29" s="93"/>
      <c r="AE29" s="85"/>
    </row>
    <row r="30" spans="1:31" x14ac:dyDescent="0.35">
      <c r="E30" s="92">
        <v>20</v>
      </c>
      <c r="F30" s="93" t="s">
        <v>1186</v>
      </c>
      <c r="G30" s="85" t="s">
        <v>1451</v>
      </c>
      <c r="H30" s="87">
        <f>43.78+724.55</f>
        <v>768.32999999999993</v>
      </c>
      <c r="I30" s="94">
        <v>20</v>
      </c>
      <c r="J30" s="93">
        <v>45017</v>
      </c>
      <c r="K30" s="85" t="s">
        <v>1452</v>
      </c>
      <c r="L30" s="87">
        <v>176.4</v>
      </c>
      <c r="M30" s="94">
        <v>1</v>
      </c>
      <c r="N30" s="93" t="s">
        <v>676</v>
      </c>
      <c r="O30" s="87" t="s">
        <v>2193</v>
      </c>
      <c r="P30" s="87">
        <v>500</v>
      </c>
      <c r="Q30" s="94"/>
      <c r="R30" s="93"/>
      <c r="S30" s="85"/>
      <c r="U30" s="94"/>
      <c r="V30" s="93"/>
      <c r="W30" s="85"/>
      <c r="Y30" s="94"/>
      <c r="Z30" s="93"/>
      <c r="AA30" s="85"/>
      <c r="AC30" s="94"/>
      <c r="AD30" s="93"/>
      <c r="AE30" s="85"/>
    </row>
    <row r="31" spans="1:31" x14ac:dyDescent="0.35">
      <c r="E31" s="85">
        <v>8</v>
      </c>
      <c r="F31" s="93" t="s">
        <v>891</v>
      </c>
      <c r="G31" s="85" t="s">
        <v>1453</v>
      </c>
      <c r="H31" s="87">
        <f>9.27+5.86+3.5+43.99+10.1+8.99+43.99+12.87+43.99+36+14.7+43.99+32.88+72+43.99+37.98+8.4+30+43.99+6.25+0.95+12.63+43.99+43.99+16.6+6.5+4.15+7.8+43.99</f>
        <v>733.34</v>
      </c>
      <c r="I31" s="94">
        <v>12</v>
      </c>
      <c r="J31" s="93" t="s">
        <v>790</v>
      </c>
      <c r="K31" s="85" t="s">
        <v>1454</v>
      </c>
      <c r="L31" s="87">
        <v>15174.22</v>
      </c>
      <c r="M31" s="94">
        <v>2</v>
      </c>
      <c r="N31" s="93" t="s">
        <v>699</v>
      </c>
      <c r="O31" s="93" t="s">
        <v>699</v>
      </c>
      <c r="P31" s="87">
        <v>2260.27</v>
      </c>
      <c r="Q31" s="94"/>
      <c r="R31" s="93"/>
      <c r="S31" s="85"/>
      <c r="U31" s="94"/>
      <c r="V31" s="93"/>
      <c r="W31" s="85"/>
      <c r="Y31" s="94"/>
      <c r="Z31" s="93"/>
      <c r="AA31" s="85"/>
      <c r="AC31" s="94"/>
      <c r="AD31" s="93"/>
      <c r="AE31" s="85"/>
    </row>
    <row r="32" spans="1:31" x14ac:dyDescent="0.35">
      <c r="E32" s="92">
        <v>19</v>
      </c>
      <c r="F32" s="93" t="s">
        <v>1186</v>
      </c>
      <c r="G32" s="85" t="s">
        <v>240</v>
      </c>
      <c r="H32" s="87">
        <f>400*9+106+21.23</f>
        <v>3727.23</v>
      </c>
      <c r="I32" s="94">
        <v>12</v>
      </c>
      <c r="J32" s="93" t="s">
        <v>790</v>
      </c>
      <c r="K32" s="85" t="s">
        <v>1455</v>
      </c>
      <c r="L32" s="87">
        <f>3357.4*4</f>
        <v>13429.6</v>
      </c>
      <c r="M32" s="94">
        <v>3</v>
      </c>
      <c r="N32" s="93" t="s">
        <v>699</v>
      </c>
      <c r="O32" s="93" t="s">
        <v>699</v>
      </c>
      <c r="P32" s="87">
        <v>-2260.27</v>
      </c>
      <c r="Q32" s="94"/>
      <c r="R32" s="93"/>
      <c r="S32" s="85"/>
      <c r="U32" s="94"/>
      <c r="V32" s="93"/>
      <c r="W32" s="85"/>
      <c r="Y32" s="94"/>
      <c r="Z32" s="93"/>
      <c r="AA32" s="85"/>
      <c r="AC32" s="94"/>
      <c r="AD32" s="93"/>
      <c r="AE32" s="85"/>
    </row>
    <row r="33" spans="5:31" x14ac:dyDescent="0.35">
      <c r="E33" s="85">
        <v>7</v>
      </c>
      <c r="F33" s="93" t="s">
        <v>891</v>
      </c>
      <c r="G33" s="85" t="s">
        <v>229</v>
      </c>
      <c r="H33" s="87">
        <v>504.69</v>
      </c>
      <c r="I33" s="94">
        <v>12</v>
      </c>
      <c r="J33" s="93" t="s">
        <v>790</v>
      </c>
      <c r="K33" s="85" t="s">
        <v>1456</v>
      </c>
      <c r="L33" s="87">
        <v>30542</v>
      </c>
      <c r="M33" s="94">
        <v>3</v>
      </c>
      <c r="N33" s="93" t="s">
        <v>1929</v>
      </c>
      <c r="O33" s="87" t="s">
        <v>2627</v>
      </c>
      <c r="P33" s="87">
        <v>2349</v>
      </c>
      <c r="Q33" s="94"/>
      <c r="R33" s="93"/>
      <c r="S33" s="85"/>
      <c r="U33" s="94"/>
      <c r="V33" s="93"/>
      <c r="W33" s="85"/>
      <c r="Y33" s="94"/>
      <c r="Z33" s="93"/>
      <c r="AA33" s="85"/>
      <c r="AC33" s="94"/>
      <c r="AD33" s="93"/>
      <c r="AE33" s="85"/>
    </row>
    <row r="34" spans="5:31" x14ac:dyDescent="0.35">
      <c r="E34" s="92">
        <v>17</v>
      </c>
      <c r="F34" s="93" t="s">
        <v>891</v>
      </c>
      <c r="G34" s="85" t="s">
        <v>1457</v>
      </c>
      <c r="H34" s="87">
        <v>9481</v>
      </c>
      <c r="I34" s="94">
        <v>17</v>
      </c>
      <c r="J34" s="93">
        <v>45017</v>
      </c>
      <c r="K34" s="85" t="s">
        <v>151</v>
      </c>
      <c r="L34" s="87">
        <v>9955.0499999999993</v>
      </c>
      <c r="M34" s="85">
        <v>6</v>
      </c>
      <c r="N34" s="93">
        <v>45383</v>
      </c>
      <c r="O34" s="85" t="s">
        <v>2815</v>
      </c>
      <c r="P34" s="148">
        <v>1443</v>
      </c>
      <c r="Q34" s="94"/>
      <c r="R34" s="93"/>
      <c r="S34" s="85"/>
      <c r="U34" s="94"/>
      <c r="V34" s="93"/>
      <c r="W34" s="85"/>
      <c r="Y34" s="94"/>
      <c r="Z34" s="93"/>
      <c r="AA34" s="85"/>
      <c r="AC34" s="94"/>
      <c r="AD34" s="93"/>
      <c r="AE34" s="85"/>
    </row>
    <row r="35" spans="5:31" x14ac:dyDescent="0.35">
      <c r="E35" s="92">
        <v>17</v>
      </c>
      <c r="F35" s="93">
        <v>44652</v>
      </c>
      <c r="G35" s="85" t="s">
        <v>1458</v>
      </c>
      <c r="H35" s="87">
        <v>285</v>
      </c>
      <c r="I35" s="94">
        <v>19</v>
      </c>
      <c r="J35" s="93">
        <v>45042</v>
      </c>
      <c r="K35" s="85" t="s">
        <v>1459</v>
      </c>
      <c r="L35" s="87">
        <v>421</v>
      </c>
      <c r="M35" s="85">
        <v>20</v>
      </c>
      <c r="N35" s="93">
        <v>45386</v>
      </c>
      <c r="O35" s="85" t="s">
        <v>2816</v>
      </c>
      <c r="P35" s="148">
        <v>847.5</v>
      </c>
      <c r="Q35" s="94"/>
      <c r="R35" s="93"/>
      <c r="S35" s="85"/>
      <c r="U35" s="94"/>
      <c r="V35" s="93"/>
      <c r="W35" s="85"/>
      <c r="Y35" s="94"/>
      <c r="Z35" s="93"/>
      <c r="AA35" s="85"/>
      <c r="AC35" s="94"/>
      <c r="AD35" s="93"/>
      <c r="AE35" s="85"/>
    </row>
    <row r="36" spans="5:31" x14ac:dyDescent="0.35">
      <c r="E36" s="85">
        <v>10</v>
      </c>
      <c r="F36" s="93" t="s">
        <v>1186</v>
      </c>
      <c r="G36" s="85" t="s">
        <v>525</v>
      </c>
      <c r="H36" s="87">
        <f>132.48+61.4+158.97+337.25+433.33+13.58+21.66+10.81+9.99+69.72+54.64+19.17+67.06+103.4+11.9+48.69+439+74.99+26.65+20.83+40.87+11.24+113.66+42.63+12.16+14.99+186.86-18.33+24.99+113.97+164.55+44.76+5.42+3.66+42.77+6.65+14.1+132.28</f>
        <v>3072.75</v>
      </c>
      <c r="I36" s="94">
        <v>7</v>
      </c>
      <c r="J36" s="93">
        <v>45019</v>
      </c>
      <c r="K36" s="85" t="s">
        <v>1460</v>
      </c>
      <c r="L36" s="87">
        <v>6.66</v>
      </c>
      <c r="M36" s="85">
        <v>6</v>
      </c>
      <c r="N36" s="93">
        <v>45383</v>
      </c>
      <c r="O36" s="85" t="s">
        <v>2817</v>
      </c>
      <c r="P36" s="148">
        <v>110</v>
      </c>
      <c r="Q36" s="94"/>
      <c r="R36" s="93"/>
      <c r="S36" s="85"/>
      <c r="U36" s="94"/>
      <c r="V36" s="93"/>
      <c r="W36" s="85"/>
      <c r="Y36" s="94"/>
      <c r="Z36" s="93"/>
      <c r="AA36" s="85"/>
      <c r="AC36" s="94"/>
      <c r="AD36" s="93"/>
      <c r="AE36" s="85"/>
    </row>
    <row r="37" spans="5:31" x14ac:dyDescent="0.35">
      <c r="E37" s="85">
        <v>11</v>
      </c>
      <c r="F37" s="93">
        <v>44833</v>
      </c>
      <c r="G37" s="85" t="s">
        <v>1461</v>
      </c>
      <c r="H37" s="87">
        <v>3570.6</v>
      </c>
      <c r="I37" s="94">
        <v>20</v>
      </c>
      <c r="J37" s="93">
        <v>45034</v>
      </c>
      <c r="K37" s="85" t="s">
        <v>1462</v>
      </c>
      <c r="L37" s="87">
        <v>367.77</v>
      </c>
      <c r="M37" s="85">
        <v>10</v>
      </c>
      <c r="N37" s="93">
        <v>45387</v>
      </c>
      <c r="O37" s="85" t="s">
        <v>1607</v>
      </c>
      <c r="P37" s="148">
        <v>307</v>
      </c>
      <c r="Q37" s="94"/>
      <c r="R37" s="93"/>
      <c r="S37" s="85"/>
      <c r="U37" s="94"/>
      <c r="V37" s="93"/>
      <c r="W37" s="85"/>
      <c r="Y37" s="94"/>
      <c r="Z37" s="93"/>
      <c r="AA37" s="85"/>
      <c r="AC37" s="94"/>
      <c r="AD37" s="93"/>
      <c r="AE37" s="85"/>
    </row>
    <row r="38" spans="5:31" x14ac:dyDescent="0.35">
      <c r="E38" s="85">
        <v>10</v>
      </c>
      <c r="F38" s="93">
        <v>44762</v>
      </c>
      <c r="G38" s="85" t="s">
        <v>1463</v>
      </c>
      <c r="H38" s="87">
        <f>95.82+13.57+438.73</f>
        <v>548.12</v>
      </c>
      <c r="I38" s="94">
        <v>8</v>
      </c>
      <c r="J38" s="93">
        <v>45040</v>
      </c>
      <c r="K38" s="85" t="s">
        <v>1449</v>
      </c>
      <c r="L38" s="87">
        <v>4.95</v>
      </c>
      <c r="M38" s="85">
        <v>9</v>
      </c>
      <c r="N38" s="93" t="s">
        <v>790</v>
      </c>
      <c r="O38" s="85" t="s">
        <v>1009</v>
      </c>
      <c r="P38" s="148">
        <v>10800</v>
      </c>
      <c r="Q38" s="94"/>
      <c r="R38" s="93"/>
      <c r="S38" s="85"/>
      <c r="U38" s="94"/>
      <c r="V38" s="93"/>
      <c r="W38" s="85"/>
      <c r="Y38" s="94"/>
      <c r="Z38" s="93"/>
      <c r="AA38" s="85"/>
      <c r="AC38" s="94"/>
      <c r="AD38" s="93"/>
      <c r="AE38" s="85"/>
    </row>
    <row r="39" spans="5:31" x14ac:dyDescent="0.35">
      <c r="E39" s="85">
        <v>10</v>
      </c>
      <c r="F39" s="93">
        <v>44817</v>
      </c>
      <c r="G39" s="85" t="s">
        <v>1464</v>
      </c>
      <c r="H39" s="87">
        <f>6.13+5.67</f>
        <v>11.8</v>
      </c>
      <c r="I39" s="94">
        <v>7</v>
      </c>
      <c r="J39" s="93">
        <v>45040</v>
      </c>
      <c r="K39" s="85" t="s">
        <v>1465</v>
      </c>
      <c r="L39" s="87">
        <v>13.32</v>
      </c>
      <c r="M39" s="85">
        <v>10</v>
      </c>
      <c r="N39" s="93">
        <v>45391</v>
      </c>
      <c r="O39" s="85" t="s">
        <v>1607</v>
      </c>
      <c r="P39" s="148">
        <v>42</v>
      </c>
      <c r="Q39" s="94"/>
      <c r="R39" s="93"/>
      <c r="S39" s="85"/>
      <c r="U39" s="94"/>
      <c r="V39" s="93"/>
      <c r="W39" s="85"/>
      <c r="Y39" s="94"/>
      <c r="Z39" s="93"/>
      <c r="AA39" s="85"/>
      <c r="AC39" s="94"/>
      <c r="AD39" s="93"/>
      <c r="AE39" s="85"/>
    </row>
    <row r="40" spans="5:31" x14ac:dyDescent="0.35">
      <c r="E40" s="85">
        <v>10</v>
      </c>
      <c r="F40" s="93">
        <v>44871</v>
      </c>
      <c r="G40" s="85" t="s">
        <v>1466</v>
      </c>
      <c r="H40" s="87">
        <v>14.99</v>
      </c>
      <c r="I40" s="94">
        <v>14</v>
      </c>
      <c r="J40" s="93">
        <v>45064</v>
      </c>
      <c r="K40" s="85" t="s">
        <v>1467</v>
      </c>
      <c r="L40" s="87">
        <v>45.46</v>
      </c>
      <c r="M40" s="85">
        <v>10</v>
      </c>
      <c r="N40" s="93">
        <v>45392</v>
      </c>
      <c r="O40" s="85" t="s">
        <v>1607</v>
      </c>
      <c r="P40" s="148">
        <v>219</v>
      </c>
      <c r="Q40" s="94"/>
      <c r="R40" s="93"/>
      <c r="S40" s="85"/>
      <c r="U40" s="94"/>
      <c r="V40" s="93"/>
      <c r="W40" s="85"/>
      <c r="Y40" s="94"/>
      <c r="Z40" s="93"/>
      <c r="AA40" s="85"/>
      <c r="AC40" s="94"/>
      <c r="AD40" s="93"/>
      <c r="AE40" s="85"/>
    </row>
    <row r="41" spans="5:31" x14ac:dyDescent="0.35">
      <c r="E41" s="85">
        <v>10</v>
      </c>
      <c r="F41" s="93">
        <v>44875</v>
      </c>
      <c r="G41" s="85" t="s">
        <v>1468</v>
      </c>
      <c r="H41" s="87">
        <v>12.87</v>
      </c>
      <c r="I41" s="94">
        <v>19</v>
      </c>
      <c r="J41" s="93">
        <v>45063</v>
      </c>
      <c r="K41" s="85" t="s">
        <v>1469</v>
      </c>
      <c r="L41" s="87">
        <v>420</v>
      </c>
      <c r="M41" s="85">
        <v>10</v>
      </c>
      <c r="N41" s="93">
        <v>45393</v>
      </c>
      <c r="O41" s="85" t="s">
        <v>1607</v>
      </c>
      <c r="P41" s="148">
        <v>1235.5999999999999</v>
      </c>
      <c r="Q41" s="94"/>
      <c r="R41" s="93"/>
      <c r="S41" s="85"/>
      <c r="U41" s="94"/>
      <c r="V41" s="93"/>
      <c r="W41" s="85"/>
      <c r="Y41" s="94"/>
      <c r="Z41" s="93"/>
      <c r="AA41" s="85"/>
      <c r="AC41" s="94"/>
      <c r="AD41" s="93"/>
      <c r="AE41" s="85"/>
    </row>
    <row r="42" spans="5:31" x14ac:dyDescent="0.35">
      <c r="E42" s="85">
        <v>6</v>
      </c>
      <c r="F42" s="93" t="s">
        <v>790</v>
      </c>
      <c r="G42" s="85" t="s">
        <v>1470</v>
      </c>
      <c r="H42" s="87">
        <f>3231*4</f>
        <v>12924</v>
      </c>
      <c r="I42" s="94">
        <v>16</v>
      </c>
      <c r="J42" s="93">
        <v>45050</v>
      </c>
      <c r="K42" s="85" t="s">
        <v>1471</v>
      </c>
      <c r="L42" s="87">
        <f>231.08-96.68</f>
        <v>134.4</v>
      </c>
      <c r="M42" s="85">
        <v>12</v>
      </c>
      <c r="N42" s="93" t="s">
        <v>790</v>
      </c>
      <c r="O42" s="85" t="s">
        <v>1454</v>
      </c>
      <c r="P42" s="148">
        <f>3858.75*4</f>
        <v>15435</v>
      </c>
      <c r="Q42" s="94"/>
      <c r="R42" s="93"/>
      <c r="S42" s="85"/>
      <c r="U42" s="94"/>
      <c r="V42" s="93"/>
      <c r="W42" s="85"/>
      <c r="Y42" s="94"/>
      <c r="Z42" s="93"/>
      <c r="AA42" s="85"/>
      <c r="AC42" s="94"/>
      <c r="AD42" s="93"/>
      <c r="AE42" s="85"/>
    </row>
    <row r="43" spans="5:31" x14ac:dyDescent="0.35">
      <c r="E43" s="85">
        <v>12</v>
      </c>
      <c r="F43" s="93" t="s">
        <v>790</v>
      </c>
      <c r="G43" s="85" t="s">
        <v>1472</v>
      </c>
      <c r="H43" s="87">
        <f>3357.4*4</f>
        <v>13429.6</v>
      </c>
      <c r="I43" s="94">
        <v>14</v>
      </c>
      <c r="J43" s="93">
        <v>45046</v>
      </c>
      <c r="K43" s="85" t="s">
        <v>1473</v>
      </c>
      <c r="L43" s="87">
        <v>1031.17</v>
      </c>
      <c r="M43" s="85">
        <v>12</v>
      </c>
      <c r="N43" s="93" t="s">
        <v>790</v>
      </c>
      <c r="O43" s="85" t="s">
        <v>1455</v>
      </c>
      <c r="P43" s="148">
        <f>3357.4*4</f>
        <v>13429.6</v>
      </c>
      <c r="Q43" s="94"/>
      <c r="R43" s="93"/>
      <c r="S43" s="85"/>
      <c r="U43" s="94"/>
      <c r="V43" s="93"/>
      <c r="W43" s="85"/>
      <c r="Y43" s="94"/>
      <c r="Z43" s="93"/>
      <c r="AA43" s="85"/>
      <c r="AC43" s="94"/>
      <c r="AD43" s="93"/>
      <c r="AE43" s="85"/>
    </row>
    <row r="44" spans="5:31" x14ac:dyDescent="0.35">
      <c r="E44" s="85">
        <v>12</v>
      </c>
      <c r="F44" s="93" t="s">
        <v>790</v>
      </c>
      <c r="G44" s="85" t="s">
        <v>1454</v>
      </c>
      <c r="H44" s="87">
        <f>3675*4</f>
        <v>14700</v>
      </c>
      <c r="I44" s="94">
        <v>14</v>
      </c>
      <c r="J44" s="93">
        <v>45036</v>
      </c>
      <c r="K44" s="85" t="s">
        <v>1474</v>
      </c>
      <c r="L44" s="87">
        <v>33.33</v>
      </c>
      <c r="M44" s="85">
        <v>17</v>
      </c>
      <c r="N44" s="93" t="s">
        <v>1878</v>
      </c>
      <c r="O44" s="85" t="s">
        <v>3122</v>
      </c>
      <c r="P44" s="148">
        <v>9980</v>
      </c>
      <c r="Q44" s="94"/>
      <c r="R44" s="93"/>
      <c r="S44" s="85"/>
      <c r="U44" s="94"/>
      <c r="V44" s="93"/>
      <c r="W44" s="85"/>
      <c r="Y44" s="94"/>
      <c r="Z44" s="93"/>
      <c r="AA44" s="85"/>
      <c r="AC44" s="94"/>
      <c r="AD44" s="93"/>
      <c r="AE44" s="85"/>
    </row>
    <row r="45" spans="5:31" x14ac:dyDescent="0.35">
      <c r="E45" s="85">
        <v>12</v>
      </c>
      <c r="F45" s="93" t="s">
        <v>790</v>
      </c>
      <c r="G45" s="85" t="s">
        <v>1475</v>
      </c>
      <c r="H45" s="87">
        <f>8312.25*2+7591.25*2</f>
        <v>31807</v>
      </c>
      <c r="I45" s="94">
        <v>14</v>
      </c>
      <c r="J45" s="93">
        <v>45021</v>
      </c>
      <c r="K45" s="85" t="s">
        <v>1476</v>
      </c>
      <c r="L45" s="87">
        <v>37.49</v>
      </c>
      <c r="M45" s="85">
        <v>17</v>
      </c>
      <c r="N45" s="93">
        <v>45387</v>
      </c>
      <c r="O45" s="85" t="s">
        <v>2832</v>
      </c>
      <c r="P45" s="148">
        <v>350</v>
      </c>
      <c r="Q45" s="94"/>
      <c r="R45" s="93"/>
      <c r="S45" s="85"/>
      <c r="U45" s="94"/>
      <c r="V45" s="93"/>
      <c r="W45" s="85"/>
      <c r="Y45" s="94"/>
      <c r="Z45" s="93"/>
      <c r="AA45" s="85"/>
      <c r="AC45" s="94"/>
      <c r="AD45" s="93"/>
      <c r="AE45" s="85"/>
    </row>
    <row r="46" spans="5:31" x14ac:dyDescent="0.35">
      <c r="E46" s="85">
        <v>5</v>
      </c>
      <c r="F46" s="93">
        <v>44797</v>
      </c>
      <c r="G46" s="85" t="s">
        <v>1477</v>
      </c>
      <c r="H46" s="87">
        <f>737+17</f>
        <v>754</v>
      </c>
      <c r="I46" s="94">
        <v>14</v>
      </c>
      <c r="J46" s="93">
        <v>45021</v>
      </c>
      <c r="K46" s="85" t="s">
        <v>1478</v>
      </c>
      <c r="L46" s="87">
        <v>29.66</v>
      </c>
      <c r="M46" s="85">
        <v>16</v>
      </c>
      <c r="N46" s="93">
        <v>45392</v>
      </c>
      <c r="O46" s="85" t="s">
        <v>1471</v>
      </c>
      <c r="P46" s="148">
        <v>134.4</v>
      </c>
      <c r="Q46" s="94"/>
      <c r="R46" s="93"/>
      <c r="S46" s="85"/>
      <c r="U46" s="94"/>
      <c r="V46" s="93"/>
      <c r="W46" s="85"/>
      <c r="Y46" s="94"/>
      <c r="Z46" s="93"/>
      <c r="AA46" s="85"/>
      <c r="AC46" s="94"/>
      <c r="AD46" s="93"/>
      <c r="AE46" s="85"/>
    </row>
    <row r="47" spans="5:31" x14ac:dyDescent="0.35">
      <c r="E47" s="85">
        <v>5</v>
      </c>
      <c r="F47" s="93">
        <v>44797</v>
      </c>
      <c r="G47" s="85" t="s">
        <v>1479</v>
      </c>
      <c r="H47" s="87">
        <f>2096.32+250</f>
        <v>2346.3200000000002</v>
      </c>
      <c r="I47" s="94">
        <v>14</v>
      </c>
      <c r="J47" s="93">
        <v>45021</v>
      </c>
      <c r="K47" s="85" t="s">
        <v>1476</v>
      </c>
      <c r="L47" s="87">
        <v>37.49</v>
      </c>
      <c r="M47" s="85">
        <v>10</v>
      </c>
      <c r="N47" s="93">
        <v>45398</v>
      </c>
      <c r="O47" s="85" t="s">
        <v>1607</v>
      </c>
      <c r="P47" s="148">
        <v>90</v>
      </c>
      <c r="Q47" s="94"/>
      <c r="R47" s="93"/>
      <c r="S47" s="85"/>
      <c r="U47" s="94"/>
      <c r="V47" s="93"/>
      <c r="W47" s="85"/>
      <c r="Y47" s="94"/>
      <c r="Z47" s="93"/>
      <c r="AA47" s="85"/>
      <c r="AC47" s="94"/>
      <c r="AD47" s="93"/>
      <c r="AE47" s="85"/>
    </row>
    <row r="48" spans="5:31" x14ac:dyDescent="0.35">
      <c r="E48" s="85">
        <v>6</v>
      </c>
      <c r="F48" s="93">
        <v>44652</v>
      </c>
      <c r="G48" s="85" t="s">
        <v>1450</v>
      </c>
      <c r="H48" s="87">
        <v>959</v>
      </c>
      <c r="I48" s="94">
        <v>14</v>
      </c>
      <c r="J48" s="93">
        <v>45028</v>
      </c>
      <c r="K48" s="85" t="s">
        <v>1480</v>
      </c>
      <c r="L48" s="87">
        <v>348.14</v>
      </c>
      <c r="M48" s="85">
        <v>10</v>
      </c>
      <c r="N48" s="93">
        <v>45398</v>
      </c>
      <c r="O48" s="85" t="s">
        <v>1607</v>
      </c>
      <c r="P48" s="148">
        <v>40</v>
      </c>
      <c r="Q48" s="94"/>
      <c r="R48" s="93"/>
      <c r="S48" s="85"/>
      <c r="U48" s="94"/>
      <c r="V48" s="93"/>
      <c r="W48" s="85"/>
      <c r="Y48" s="94"/>
      <c r="Z48" s="93"/>
      <c r="AA48" s="85"/>
      <c r="AC48" s="94"/>
      <c r="AD48" s="93"/>
      <c r="AE48" s="85"/>
    </row>
    <row r="49" spans="5:31" x14ac:dyDescent="0.35">
      <c r="E49" s="85">
        <v>6</v>
      </c>
      <c r="F49" s="93">
        <v>44876</v>
      </c>
      <c r="G49" s="85" t="s">
        <v>1481</v>
      </c>
      <c r="H49" s="87">
        <f>-3231/6</f>
        <v>-538.5</v>
      </c>
      <c r="I49" s="94">
        <v>14</v>
      </c>
      <c r="J49" s="93">
        <v>45028</v>
      </c>
      <c r="K49" s="85" t="s">
        <v>1482</v>
      </c>
      <c r="L49" s="87">
        <v>24.99</v>
      </c>
      <c r="M49" s="85">
        <v>6</v>
      </c>
      <c r="N49" s="93">
        <v>45399</v>
      </c>
      <c r="O49" s="85" t="s">
        <v>2838</v>
      </c>
      <c r="P49" s="148">
        <v>25.29</v>
      </c>
      <c r="Q49" s="94"/>
      <c r="R49" s="93"/>
      <c r="S49" s="85"/>
      <c r="U49" s="94"/>
      <c r="V49" s="93"/>
      <c r="W49" s="85"/>
      <c r="Y49" s="94"/>
      <c r="Z49" s="93"/>
      <c r="AA49" s="85"/>
      <c r="AC49" s="94"/>
      <c r="AD49" s="93"/>
      <c r="AE49" s="85"/>
    </row>
    <row r="50" spans="5:31" x14ac:dyDescent="0.35">
      <c r="E50" s="85">
        <v>12</v>
      </c>
      <c r="F50" s="93">
        <v>44876</v>
      </c>
      <c r="G50" s="85" t="s">
        <v>1483</v>
      </c>
      <c r="H50" s="87">
        <v>-2277.23</v>
      </c>
      <c r="I50" s="94">
        <v>14</v>
      </c>
      <c r="J50" s="93">
        <v>45033</v>
      </c>
      <c r="K50" s="85" t="s">
        <v>1484</v>
      </c>
      <c r="L50" s="87">
        <v>49.99</v>
      </c>
      <c r="M50" s="85">
        <v>6</v>
      </c>
      <c r="N50" s="93">
        <v>45400</v>
      </c>
      <c r="O50" s="85" t="s">
        <v>2845</v>
      </c>
      <c r="P50" s="148">
        <v>557.89</v>
      </c>
      <c r="Q50" s="94"/>
      <c r="R50" s="93"/>
      <c r="S50" s="85"/>
      <c r="U50" s="94"/>
      <c r="V50" s="93"/>
      <c r="W50" s="85"/>
      <c r="Y50" s="94"/>
      <c r="Z50" s="93"/>
      <c r="AA50" s="85"/>
      <c r="AC50" s="94"/>
      <c r="AD50" s="93"/>
      <c r="AE50" s="85"/>
    </row>
    <row r="51" spans="5:31" x14ac:dyDescent="0.35">
      <c r="E51" s="92">
        <v>19</v>
      </c>
      <c r="F51" s="93">
        <v>44882</v>
      </c>
      <c r="G51" s="85" t="s">
        <v>240</v>
      </c>
      <c r="H51" s="87">
        <v>400</v>
      </c>
      <c r="I51" s="94">
        <v>14</v>
      </c>
      <c r="J51" s="93">
        <v>45036</v>
      </c>
      <c r="K51" s="85" t="s">
        <v>1476</v>
      </c>
      <c r="L51" s="87">
        <v>43.7</v>
      </c>
      <c r="M51" s="85">
        <v>20</v>
      </c>
      <c r="N51" s="93">
        <v>45411</v>
      </c>
      <c r="O51" s="85" t="s">
        <v>2816</v>
      </c>
      <c r="P51" s="148">
        <v>847.5</v>
      </c>
      <c r="Q51" s="94"/>
      <c r="R51" s="93"/>
      <c r="S51" s="85"/>
      <c r="U51" s="94"/>
      <c r="V51" s="93"/>
      <c r="W51" s="85"/>
      <c r="Y51" s="94"/>
      <c r="Z51" s="93"/>
      <c r="AA51" s="85"/>
      <c r="AC51" s="94"/>
      <c r="AD51" s="93"/>
      <c r="AE51" s="85"/>
    </row>
    <row r="52" spans="5:31" ht="43.5" x14ac:dyDescent="0.35">
      <c r="E52" s="85">
        <v>1</v>
      </c>
      <c r="F52" s="93" t="s">
        <v>1485</v>
      </c>
      <c r="G52" s="98" t="s">
        <v>235</v>
      </c>
      <c r="H52" s="87">
        <v>100000</v>
      </c>
      <c r="I52" s="94">
        <v>14</v>
      </c>
      <c r="J52" s="93">
        <v>45040</v>
      </c>
      <c r="K52" s="85" t="s">
        <v>1476</v>
      </c>
      <c r="L52" s="87">
        <v>64.959999999999994</v>
      </c>
      <c r="M52" s="85">
        <v>10</v>
      </c>
      <c r="N52" s="93">
        <v>45405</v>
      </c>
      <c r="O52" s="85" t="s">
        <v>1607</v>
      </c>
      <c r="P52" s="148">
        <v>53.5</v>
      </c>
      <c r="Q52" s="94"/>
      <c r="R52" s="93"/>
      <c r="S52" s="85"/>
      <c r="U52" s="94"/>
      <c r="V52" s="93"/>
      <c r="W52" s="85"/>
      <c r="Y52" s="94"/>
      <c r="Z52" s="93"/>
      <c r="AA52" s="85"/>
      <c r="AC52" s="94"/>
      <c r="AD52" s="93"/>
      <c r="AE52" s="85"/>
    </row>
    <row r="53" spans="5:31" x14ac:dyDescent="0.35">
      <c r="E53" s="85">
        <v>1</v>
      </c>
      <c r="F53" s="93" t="s">
        <v>1485</v>
      </c>
      <c r="G53" s="85" t="s">
        <v>1486</v>
      </c>
      <c r="H53" s="87">
        <v>10000</v>
      </c>
      <c r="I53" s="94">
        <v>14</v>
      </c>
      <c r="J53" s="93">
        <v>45043</v>
      </c>
      <c r="K53" s="85" t="s">
        <v>1476</v>
      </c>
      <c r="L53" s="87">
        <v>263.91000000000003</v>
      </c>
      <c r="M53" s="85">
        <v>10</v>
      </c>
      <c r="N53" s="93">
        <v>45407</v>
      </c>
      <c r="O53" s="85" t="s">
        <v>1607</v>
      </c>
      <c r="P53" s="148">
        <v>50</v>
      </c>
      <c r="Q53" s="94"/>
      <c r="R53" s="93"/>
      <c r="S53" s="85"/>
      <c r="U53" s="94"/>
      <c r="V53" s="93"/>
      <c r="W53" s="85"/>
      <c r="Y53" s="94"/>
      <c r="Z53" s="93"/>
      <c r="AA53" s="85"/>
      <c r="AC53" s="94"/>
      <c r="AD53" s="93"/>
      <c r="AE53" s="85"/>
    </row>
    <row r="54" spans="5:31" x14ac:dyDescent="0.35">
      <c r="E54" s="92">
        <v>20</v>
      </c>
      <c r="F54" s="93">
        <v>44896</v>
      </c>
      <c r="G54" s="85" t="s">
        <v>1487</v>
      </c>
      <c r="H54" s="87">
        <v>5669.5</v>
      </c>
      <c r="I54" s="94">
        <v>3</v>
      </c>
      <c r="J54" s="93">
        <v>45058</v>
      </c>
      <c r="K54" s="85" t="s">
        <v>1488</v>
      </c>
      <c r="L54" s="87">
        <v>1416.8</v>
      </c>
      <c r="M54" s="85">
        <v>6</v>
      </c>
      <c r="N54" s="93">
        <v>45413</v>
      </c>
      <c r="O54" s="87" t="s">
        <v>1559</v>
      </c>
      <c r="P54" s="148">
        <v>949.7</v>
      </c>
      <c r="Q54" s="94"/>
      <c r="R54" s="93"/>
      <c r="S54" s="85"/>
      <c r="U54" s="94"/>
      <c r="V54" s="93"/>
      <c r="W54" s="85"/>
      <c r="Y54" s="94"/>
      <c r="Z54" s="93"/>
      <c r="AA54" s="85"/>
      <c r="AC54" s="94"/>
      <c r="AD54" s="93"/>
      <c r="AE54" s="85"/>
    </row>
    <row r="55" spans="5:31" x14ac:dyDescent="0.35">
      <c r="E55" s="92">
        <v>19</v>
      </c>
      <c r="F55" s="93">
        <v>44896</v>
      </c>
      <c r="G55" s="85" t="s">
        <v>240</v>
      </c>
      <c r="H55" s="87">
        <v>400</v>
      </c>
      <c r="I55" s="94">
        <v>17</v>
      </c>
      <c r="J55" s="93">
        <v>45042</v>
      </c>
      <c r="K55" s="85" t="s">
        <v>1371</v>
      </c>
      <c r="L55" s="87">
        <v>350</v>
      </c>
      <c r="M55" s="85">
        <v>10</v>
      </c>
      <c r="N55" s="93">
        <v>45392</v>
      </c>
      <c r="O55" s="85" t="s">
        <v>1607</v>
      </c>
      <c r="P55" s="148">
        <v>45.83</v>
      </c>
      <c r="Q55" s="94"/>
      <c r="R55" s="93"/>
      <c r="S55" s="85"/>
      <c r="U55" s="94"/>
      <c r="V55" s="93"/>
      <c r="W55" s="85"/>
      <c r="Y55" s="94"/>
      <c r="Z55" s="93"/>
      <c r="AA55" s="85"/>
      <c r="AC55" s="94"/>
      <c r="AD55" s="93"/>
      <c r="AE55" s="85"/>
    </row>
    <row r="56" spans="5:31" x14ac:dyDescent="0.35">
      <c r="E56" s="92">
        <v>1</v>
      </c>
      <c r="F56" s="97" t="s">
        <v>784</v>
      </c>
      <c r="G56" s="92" t="s">
        <v>1154</v>
      </c>
      <c r="H56" s="90">
        <v>-118000</v>
      </c>
      <c r="I56" s="94">
        <v>8</v>
      </c>
      <c r="J56" s="93">
        <v>45061</v>
      </c>
      <c r="K56" s="85" t="s">
        <v>1489</v>
      </c>
      <c r="L56" s="87">
        <v>14.23</v>
      </c>
      <c r="M56" s="85">
        <v>10</v>
      </c>
      <c r="N56" s="93">
        <v>45393</v>
      </c>
      <c r="O56" s="85" t="s">
        <v>1607</v>
      </c>
      <c r="P56" s="148">
        <v>41.66</v>
      </c>
      <c r="Q56" s="94"/>
      <c r="R56" s="93"/>
      <c r="S56" s="85"/>
      <c r="U56" s="94"/>
      <c r="V56" s="93"/>
      <c r="W56" s="85"/>
      <c r="Y56" s="94"/>
      <c r="Z56" s="93"/>
      <c r="AA56" s="85"/>
      <c r="AC56" s="94"/>
      <c r="AD56" s="93"/>
      <c r="AE56" s="85"/>
    </row>
    <row r="57" spans="5:31" x14ac:dyDescent="0.35">
      <c r="E57" s="92">
        <v>1</v>
      </c>
      <c r="F57" s="97" t="s">
        <v>699</v>
      </c>
      <c r="G57" s="92" t="s">
        <v>1490</v>
      </c>
      <c r="H57" s="90">
        <v>-32000</v>
      </c>
      <c r="I57" s="94">
        <v>16</v>
      </c>
      <c r="J57" s="93">
        <v>45061</v>
      </c>
      <c r="K57" s="85" t="s">
        <v>1489</v>
      </c>
      <c r="L57" s="87">
        <v>12</v>
      </c>
      <c r="M57" s="85">
        <v>10</v>
      </c>
      <c r="N57" s="93">
        <v>45394</v>
      </c>
      <c r="O57" s="85" t="s">
        <v>2890</v>
      </c>
      <c r="P57" s="148">
        <v>67.489999999999995</v>
      </c>
      <c r="Q57" s="94"/>
      <c r="R57" s="93"/>
      <c r="S57" s="85"/>
      <c r="U57" s="94"/>
      <c r="V57" s="93"/>
      <c r="W57" s="85"/>
      <c r="Y57" s="94"/>
      <c r="Z57" s="93"/>
      <c r="AA57" s="85"/>
      <c r="AC57" s="94"/>
      <c r="AD57" s="93"/>
      <c r="AE57" s="85"/>
    </row>
    <row r="58" spans="5:31" x14ac:dyDescent="0.35">
      <c r="E58" s="92">
        <v>1</v>
      </c>
      <c r="F58" s="97" t="s">
        <v>1199</v>
      </c>
      <c r="G58" s="92" t="s">
        <v>1491</v>
      </c>
      <c r="H58" s="90">
        <v>-10000</v>
      </c>
      <c r="I58" s="117">
        <v>7</v>
      </c>
      <c r="J58" s="93">
        <v>45061</v>
      </c>
      <c r="K58" s="85" t="s">
        <v>1465</v>
      </c>
      <c r="L58" s="87">
        <v>16.649999999999999</v>
      </c>
      <c r="M58" s="85">
        <v>10</v>
      </c>
      <c r="N58" s="93">
        <v>45426</v>
      </c>
      <c r="O58" s="85" t="s">
        <v>1607</v>
      </c>
      <c r="P58" s="148">
        <v>225</v>
      </c>
      <c r="Q58" s="94"/>
      <c r="R58" s="93"/>
      <c r="S58" s="85"/>
      <c r="U58" s="94"/>
      <c r="V58" s="93"/>
      <c r="W58" s="85"/>
      <c r="Y58" s="94"/>
      <c r="Z58" s="93"/>
      <c r="AA58" s="85"/>
      <c r="AC58" s="94"/>
      <c r="AD58" s="93"/>
      <c r="AE58" s="85"/>
    </row>
    <row r="59" spans="5:31" x14ac:dyDescent="0.35">
      <c r="E59" s="92">
        <v>1</v>
      </c>
      <c r="F59" s="97" t="s">
        <v>784</v>
      </c>
      <c r="G59" s="92" t="s">
        <v>1154</v>
      </c>
      <c r="H59" s="90">
        <v>-10000</v>
      </c>
      <c r="I59" s="117">
        <v>7</v>
      </c>
      <c r="J59" s="93">
        <v>45061</v>
      </c>
      <c r="K59" s="85" t="s">
        <v>1492</v>
      </c>
      <c r="L59" s="87">
        <v>11.66</v>
      </c>
      <c r="M59" s="85">
        <v>10</v>
      </c>
      <c r="N59" s="93">
        <v>45427</v>
      </c>
      <c r="O59" s="85" t="s">
        <v>1607</v>
      </c>
      <c r="P59" s="148">
        <v>24</v>
      </c>
      <c r="Q59" s="94"/>
      <c r="R59" s="93"/>
      <c r="S59" s="85"/>
      <c r="U59" s="94"/>
      <c r="V59" s="93"/>
      <c r="W59" s="85"/>
      <c r="Y59" s="94"/>
      <c r="Z59" s="93"/>
      <c r="AA59" s="85"/>
      <c r="AC59" s="94"/>
      <c r="AD59" s="93"/>
      <c r="AE59" s="85"/>
    </row>
    <row r="60" spans="5:31" x14ac:dyDescent="0.35">
      <c r="E60" s="85">
        <v>19</v>
      </c>
      <c r="F60" s="93">
        <v>44942</v>
      </c>
      <c r="G60" s="85" t="s">
        <v>240</v>
      </c>
      <c r="H60" s="87">
        <v>400</v>
      </c>
      <c r="I60" s="94">
        <v>19</v>
      </c>
      <c r="J60" s="93">
        <v>45069</v>
      </c>
      <c r="K60" s="85" t="s">
        <v>1493</v>
      </c>
      <c r="L60" s="87">
        <v>420</v>
      </c>
      <c r="M60" s="85">
        <v>20</v>
      </c>
      <c r="N60" s="93">
        <v>45432</v>
      </c>
      <c r="O60" s="85" t="s">
        <v>2904</v>
      </c>
      <c r="P60" s="148">
        <v>340</v>
      </c>
      <c r="Q60" s="94"/>
      <c r="R60" s="93"/>
      <c r="S60" s="85"/>
      <c r="U60" s="94"/>
      <c r="V60" s="93"/>
      <c r="W60" s="85"/>
      <c r="Y60" s="94"/>
      <c r="Z60" s="93"/>
      <c r="AA60" s="85"/>
      <c r="AC60" s="94"/>
      <c r="AD60" s="93"/>
      <c r="AE60" s="85"/>
    </row>
    <row r="61" spans="5:31" x14ac:dyDescent="0.35">
      <c r="E61" s="85">
        <v>19</v>
      </c>
      <c r="F61" s="93">
        <v>44949</v>
      </c>
      <c r="G61" s="85" t="s">
        <v>240</v>
      </c>
      <c r="H61" s="87">
        <v>400</v>
      </c>
      <c r="I61" s="94">
        <v>14</v>
      </c>
      <c r="J61" s="93">
        <v>45058</v>
      </c>
      <c r="K61" s="85" t="s">
        <v>1010</v>
      </c>
      <c r="L61" s="87">
        <v>440</v>
      </c>
      <c r="M61" s="85">
        <v>6</v>
      </c>
      <c r="N61" s="93">
        <v>45383</v>
      </c>
      <c r="O61" s="85" t="s">
        <v>2838</v>
      </c>
      <c r="P61" s="148">
        <v>903.75</v>
      </c>
      <c r="Q61" s="94"/>
      <c r="R61" s="93"/>
      <c r="S61" s="85"/>
      <c r="U61" s="94"/>
      <c r="V61" s="93"/>
      <c r="W61" s="85"/>
      <c r="Y61" s="94"/>
      <c r="Z61" s="93"/>
      <c r="AA61" s="85"/>
      <c r="AC61" s="94"/>
      <c r="AD61" s="93"/>
      <c r="AE61" s="85"/>
    </row>
    <row r="62" spans="5:31" x14ac:dyDescent="0.35">
      <c r="E62" s="85">
        <v>19</v>
      </c>
      <c r="F62" s="93">
        <v>44985</v>
      </c>
      <c r="G62" s="85" t="s">
        <v>240</v>
      </c>
      <c r="H62" s="87">
        <v>400</v>
      </c>
      <c r="I62" s="94">
        <v>3</v>
      </c>
      <c r="J62" s="93">
        <v>45069</v>
      </c>
      <c r="K62" s="85" t="s">
        <v>1494</v>
      </c>
      <c r="L62" s="87">
        <v>5540</v>
      </c>
      <c r="M62" s="85">
        <v>6</v>
      </c>
      <c r="N62" s="93">
        <v>45430</v>
      </c>
      <c r="O62" s="85" t="s">
        <v>1497</v>
      </c>
      <c r="P62" s="148">
        <v>721.13</v>
      </c>
      <c r="Q62" s="94"/>
      <c r="R62" s="93"/>
      <c r="S62" s="85"/>
      <c r="U62" s="94"/>
      <c r="V62" s="93"/>
      <c r="W62" s="85"/>
      <c r="Y62" s="94"/>
      <c r="Z62" s="93"/>
      <c r="AA62" s="85"/>
      <c r="AC62" s="94"/>
      <c r="AD62" s="93"/>
      <c r="AE62" s="85"/>
    </row>
    <row r="63" spans="5:31" x14ac:dyDescent="0.35">
      <c r="E63" s="85">
        <v>19</v>
      </c>
      <c r="F63" s="93">
        <v>45013</v>
      </c>
      <c r="G63" s="85" t="s">
        <v>240</v>
      </c>
      <c r="H63" s="87">
        <v>430</v>
      </c>
      <c r="I63" s="94">
        <v>14</v>
      </c>
      <c r="J63" s="93">
        <v>45068</v>
      </c>
      <c r="K63" s="85" t="s">
        <v>1495</v>
      </c>
      <c r="L63" s="87">
        <v>2105</v>
      </c>
      <c r="M63" s="85">
        <v>8</v>
      </c>
      <c r="N63" s="93">
        <v>45393</v>
      </c>
      <c r="O63" s="85" t="s">
        <v>1579</v>
      </c>
      <c r="P63" s="148">
        <v>3.65</v>
      </c>
      <c r="Q63" s="94"/>
      <c r="R63" s="93"/>
      <c r="S63" s="85"/>
      <c r="U63" s="94"/>
      <c r="V63" s="93"/>
      <c r="W63" s="85"/>
      <c r="Y63" s="94"/>
      <c r="Z63" s="93"/>
      <c r="AA63" s="85"/>
      <c r="AC63" s="94"/>
      <c r="AD63" s="93"/>
      <c r="AE63" s="85"/>
    </row>
    <row r="64" spans="5:31" x14ac:dyDescent="0.35">
      <c r="E64" s="85">
        <v>19</v>
      </c>
      <c r="F64" s="93">
        <v>44767</v>
      </c>
      <c r="G64" s="85" t="s">
        <v>1496</v>
      </c>
      <c r="H64" s="87">
        <v>106</v>
      </c>
      <c r="I64" s="94">
        <v>20</v>
      </c>
      <c r="J64" s="93">
        <v>45064</v>
      </c>
      <c r="K64" s="85" t="s">
        <v>1497</v>
      </c>
      <c r="L64" s="87">
        <v>598.16999999999996</v>
      </c>
      <c r="M64" s="85">
        <v>8</v>
      </c>
      <c r="N64" s="93">
        <v>45407</v>
      </c>
      <c r="O64" s="85" t="s">
        <v>1579</v>
      </c>
      <c r="P64" s="148">
        <v>11.8</v>
      </c>
      <c r="Q64" s="94"/>
      <c r="R64" s="93"/>
      <c r="S64" s="85"/>
      <c r="U64" s="94"/>
      <c r="V64" s="93"/>
      <c r="W64" s="85"/>
      <c r="Y64" s="94"/>
      <c r="Z64" s="93"/>
      <c r="AA64" s="85"/>
      <c r="AC64" s="94"/>
      <c r="AD64" s="93"/>
      <c r="AE64" s="85"/>
    </row>
    <row r="65" spans="5:31" x14ac:dyDescent="0.35">
      <c r="E65" s="85">
        <v>19</v>
      </c>
      <c r="F65" s="93">
        <v>44987</v>
      </c>
      <c r="G65" s="85" t="s">
        <v>240</v>
      </c>
      <c r="H65" s="87">
        <v>400</v>
      </c>
      <c r="I65" s="94">
        <v>14</v>
      </c>
      <c r="J65" s="93">
        <v>45068</v>
      </c>
      <c r="K65" s="85" t="s">
        <v>1498</v>
      </c>
      <c r="L65" s="87">
        <v>1996.5</v>
      </c>
      <c r="M65" s="85">
        <v>8</v>
      </c>
      <c r="N65" s="93">
        <v>45407</v>
      </c>
      <c r="O65" s="85" t="s">
        <v>1579</v>
      </c>
      <c r="P65" s="148">
        <v>4.99</v>
      </c>
      <c r="Q65" s="94"/>
      <c r="R65" s="93"/>
      <c r="S65" s="85"/>
      <c r="U65" s="94"/>
      <c r="V65" s="93"/>
      <c r="W65" s="85"/>
      <c r="Y65" s="94"/>
      <c r="Z65" s="93"/>
      <c r="AA65" s="85"/>
      <c r="AC65" s="94"/>
      <c r="AD65" s="93"/>
      <c r="AE65" s="85"/>
    </row>
    <row r="66" spans="5:31" x14ac:dyDescent="0.35">
      <c r="E66" s="85">
        <v>20</v>
      </c>
      <c r="F66" s="93">
        <v>44799</v>
      </c>
      <c r="G66" s="85" t="s">
        <v>1499</v>
      </c>
      <c r="H66" s="87">
        <v>798</v>
      </c>
      <c r="I66" s="94">
        <v>14</v>
      </c>
      <c r="J66" s="93">
        <v>45019</v>
      </c>
      <c r="K66" s="85" t="s">
        <v>1500</v>
      </c>
      <c r="L66" s="87">
        <v>5900</v>
      </c>
      <c r="M66" s="85">
        <v>8</v>
      </c>
      <c r="N66" s="93">
        <v>45411</v>
      </c>
      <c r="O66" s="85" t="s">
        <v>1579</v>
      </c>
      <c r="P66" s="148">
        <v>3.07</v>
      </c>
      <c r="Q66" s="94"/>
      <c r="R66" s="93"/>
      <c r="S66" s="85"/>
      <c r="U66" s="94"/>
      <c r="V66" s="93"/>
      <c r="W66" s="85"/>
      <c r="Y66" s="94"/>
      <c r="Z66" s="93"/>
      <c r="AA66" s="85"/>
      <c r="AC66" s="94"/>
      <c r="AD66" s="93"/>
      <c r="AE66" s="85"/>
    </row>
    <row r="67" spans="5:31" x14ac:dyDescent="0.35">
      <c r="E67" s="85">
        <v>20</v>
      </c>
      <c r="F67" s="93">
        <v>44946</v>
      </c>
      <c r="G67" s="85" t="s">
        <v>1501</v>
      </c>
      <c r="H67" s="87">
        <v>342.37</v>
      </c>
      <c r="I67" s="94">
        <v>14</v>
      </c>
      <c r="J67" s="93">
        <v>45071</v>
      </c>
      <c r="K67" s="85" t="s">
        <v>1502</v>
      </c>
      <c r="L67" s="87">
        <v>2759</v>
      </c>
      <c r="M67" s="85">
        <v>16</v>
      </c>
      <c r="N67" s="93">
        <v>45386</v>
      </c>
      <c r="O67" s="85" t="s">
        <v>1516</v>
      </c>
      <c r="P67" s="148">
        <v>20.239999999999998</v>
      </c>
      <c r="Q67" s="94"/>
      <c r="R67" s="93"/>
      <c r="S67" s="85"/>
      <c r="U67" s="94"/>
      <c r="V67" s="93"/>
      <c r="W67" s="85"/>
      <c r="Y67" s="94"/>
      <c r="Z67" s="93"/>
      <c r="AA67" s="85"/>
      <c r="AC67" s="94"/>
      <c r="AD67" s="93"/>
      <c r="AE67" s="85"/>
    </row>
    <row r="68" spans="5:31" x14ac:dyDescent="0.35">
      <c r="E68" s="85">
        <v>20</v>
      </c>
      <c r="F68" s="93">
        <v>44971</v>
      </c>
      <c r="G68" s="85" t="s">
        <v>1448</v>
      </c>
      <c r="H68" s="87">
        <v>12.38</v>
      </c>
      <c r="I68" s="94">
        <v>9</v>
      </c>
      <c r="J68" s="93">
        <v>45026</v>
      </c>
      <c r="K68" s="85" t="s">
        <v>1503</v>
      </c>
      <c r="L68" s="87">
        <v>650</v>
      </c>
      <c r="M68" s="85">
        <v>16</v>
      </c>
      <c r="N68" s="93">
        <v>45390</v>
      </c>
      <c r="O68" s="85" t="s">
        <v>2933</v>
      </c>
      <c r="P68" s="148">
        <v>27.67</v>
      </c>
      <c r="Q68" s="94"/>
      <c r="R68" s="93"/>
      <c r="S68" s="85"/>
      <c r="U68" s="94"/>
      <c r="V68" s="93"/>
      <c r="W68" s="85"/>
      <c r="Y68" s="94"/>
      <c r="Z68" s="93"/>
      <c r="AA68" s="85"/>
      <c r="AC68" s="94"/>
      <c r="AD68" s="93"/>
      <c r="AE68" s="85"/>
    </row>
    <row r="69" spans="5:31" x14ac:dyDescent="0.35">
      <c r="E69" s="85">
        <v>20</v>
      </c>
      <c r="F69" s="93">
        <v>44972</v>
      </c>
      <c r="G69" s="85" t="s">
        <v>1487</v>
      </c>
      <c r="H69" s="87">
        <v>2101.48</v>
      </c>
      <c r="I69" s="94">
        <v>9</v>
      </c>
      <c r="J69" s="93">
        <v>45056</v>
      </c>
      <c r="K69" s="85" t="s">
        <v>1504</v>
      </c>
      <c r="L69" s="87">
        <v>650</v>
      </c>
      <c r="M69" s="85">
        <v>16</v>
      </c>
      <c r="N69" s="93">
        <v>45392</v>
      </c>
      <c r="O69" s="85" t="s">
        <v>2934</v>
      </c>
      <c r="P69" s="148">
        <v>10.82</v>
      </c>
      <c r="Q69" s="94"/>
      <c r="R69" s="93"/>
      <c r="S69" s="85"/>
      <c r="U69" s="94"/>
      <c r="V69" s="93"/>
      <c r="W69" s="85"/>
      <c r="Y69" s="94"/>
      <c r="Z69" s="93"/>
      <c r="AA69" s="85"/>
      <c r="AC69" s="94"/>
      <c r="AD69" s="93"/>
      <c r="AE69" s="85"/>
    </row>
    <row r="70" spans="5:31" x14ac:dyDescent="0.35">
      <c r="E70" s="85">
        <v>8</v>
      </c>
      <c r="F70" s="93">
        <v>44939</v>
      </c>
      <c r="G70" s="85" t="s">
        <v>1505</v>
      </c>
      <c r="H70" s="87">
        <v>1.1000000000000001</v>
      </c>
      <c r="I70" s="94">
        <v>9</v>
      </c>
      <c r="J70" s="93">
        <v>45087</v>
      </c>
      <c r="K70" s="85" t="s">
        <v>1506</v>
      </c>
      <c r="L70" s="87">
        <v>650</v>
      </c>
      <c r="M70" s="85">
        <v>16</v>
      </c>
      <c r="N70" s="93">
        <v>45399</v>
      </c>
      <c r="O70" s="85" t="s">
        <v>2936</v>
      </c>
      <c r="P70" s="148">
        <v>3.32</v>
      </c>
      <c r="Q70" s="94"/>
      <c r="R70" s="93"/>
      <c r="S70" s="85"/>
      <c r="U70" s="94"/>
      <c r="V70" s="93"/>
      <c r="W70" s="85"/>
      <c r="Y70" s="94"/>
      <c r="Z70" s="93"/>
      <c r="AA70" s="85"/>
      <c r="AC70" s="94"/>
      <c r="AD70" s="93"/>
      <c r="AE70" s="85"/>
    </row>
    <row r="71" spans="5:31" x14ac:dyDescent="0.35">
      <c r="E71" s="85">
        <v>8</v>
      </c>
      <c r="F71" s="93">
        <v>44944</v>
      </c>
      <c r="G71" s="85" t="s">
        <v>1507</v>
      </c>
      <c r="H71" s="87">
        <v>17.420000000000002</v>
      </c>
      <c r="I71" s="94">
        <v>9</v>
      </c>
      <c r="J71" s="93">
        <v>45087</v>
      </c>
      <c r="K71" s="85" t="s">
        <v>1508</v>
      </c>
      <c r="L71" s="87">
        <v>650</v>
      </c>
      <c r="M71" s="85">
        <v>8</v>
      </c>
      <c r="N71" s="93">
        <v>45405</v>
      </c>
      <c r="O71" s="85" t="s">
        <v>1512</v>
      </c>
      <c r="P71" s="148">
        <v>44.99</v>
      </c>
      <c r="Q71" s="94"/>
      <c r="R71" s="93"/>
      <c r="S71" s="85"/>
      <c r="U71" s="94"/>
      <c r="V71" s="93"/>
      <c r="W71" s="85"/>
      <c r="Y71" s="94"/>
      <c r="Z71" s="93"/>
      <c r="AA71" s="85"/>
      <c r="AC71" s="94"/>
      <c r="AD71" s="93"/>
      <c r="AE71" s="85"/>
    </row>
    <row r="72" spans="5:31" x14ac:dyDescent="0.35">
      <c r="E72" s="85">
        <v>16</v>
      </c>
      <c r="F72" s="93">
        <v>44950</v>
      </c>
      <c r="G72" s="85" t="s">
        <v>1509</v>
      </c>
      <c r="H72" s="87">
        <v>55.34</v>
      </c>
      <c r="I72" s="94">
        <v>7</v>
      </c>
      <c r="J72" s="93">
        <v>45072</v>
      </c>
      <c r="K72" s="85" t="s">
        <v>1510</v>
      </c>
      <c r="L72" s="87">
        <v>49.95</v>
      </c>
      <c r="M72" s="85">
        <v>16</v>
      </c>
      <c r="N72" s="93">
        <v>45407</v>
      </c>
      <c r="O72" s="85" t="s">
        <v>2937</v>
      </c>
      <c r="P72" s="148">
        <v>31.96</v>
      </c>
      <c r="Q72" s="94"/>
      <c r="R72" s="93"/>
      <c r="S72" s="85"/>
      <c r="U72" s="94"/>
      <c r="V72" s="93"/>
      <c r="W72" s="85"/>
      <c r="Y72" s="94"/>
      <c r="Z72" s="93"/>
      <c r="AA72" s="85"/>
      <c r="AC72" s="94"/>
      <c r="AD72" s="93"/>
      <c r="AE72" s="85"/>
    </row>
    <row r="73" spans="5:31" x14ac:dyDescent="0.35">
      <c r="E73" s="85">
        <v>16</v>
      </c>
      <c r="F73" s="93">
        <v>44950</v>
      </c>
      <c r="G73" s="85" t="s">
        <v>1511</v>
      </c>
      <c r="H73" s="87">
        <v>9.4600000000000009</v>
      </c>
      <c r="I73" s="94">
        <v>7</v>
      </c>
      <c r="J73" s="93">
        <v>45072</v>
      </c>
      <c r="K73" s="85" t="s">
        <v>1492</v>
      </c>
      <c r="L73" s="87">
        <v>5.83</v>
      </c>
      <c r="M73" s="85">
        <v>16</v>
      </c>
      <c r="N73" s="93">
        <v>45407</v>
      </c>
      <c r="O73" s="85" t="s">
        <v>2938</v>
      </c>
      <c r="P73" s="148">
        <v>22.13</v>
      </c>
      <c r="Q73" s="94"/>
      <c r="R73" s="93"/>
      <c r="S73" s="85"/>
      <c r="U73" s="94"/>
      <c r="V73" s="93"/>
      <c r="W73" s="85"/>
      <c r="Y73" s="94"/>
      <c r="Z73" s="93"/>
      <c r="AA73" s="85"/>
      <c r="AC73" s="94"/>
      <c r="AD73" s="93"/>
      <c r="AE73" s="85"/>
    </row>
    <row r="74" spans="5:31" x14ac:dyDescent="0.35">
      <c r="E74" s="85">
        <v>8</v>
      </c>
      <c r="F74" s="93">
        <v>44950</v>
      </c>
      <c r="G74" s="85" t="s">
        <v>1512</v>
      </c>
      <c r="H74" s="87">
        <v>43.99</v>
      </c>
      <c r="I74" s="94">
        <v>14</v>
      </c>
      <c r="J74" s="93">
        <v>45072</v>
      </c>
      <c r="K74" s="85" t="s">
        <v>1513</v>
      </c>
      <c r="L74" s="87">
        <v>122.95</v>
      </c>
      <c r="M74" s="85">
        <v>7</v>
      </c>
      <c r="N74" s="93">
        <v>45419</v>
      </c>
      <c r="O74" s="85" t="s">
        <v>1510</v>
      </c>
      <c r="P74" s="148">
        <v>9.99</v>
      </c>
      <c r="Q74" s="94"/>
      <c r="R74" s="93"/>
      <c r="S74" s="85"/>
      <c r="U74" s="94"/>
      <c r="V74" s="93"/>
      <c r="W74" s="85"/>
      <c r="Y74" s="94"/>
      <c r="Z74" s="93"/>
      <c r="AA74" s="85"/>
      <c r="AC74" s="94"/>
      <c r="AD74" s="93"/>
      <c r="AE74" s="85"/>
    </row>
    <row r="75" spans="5:31" x14ac:dyDescent="0.35">
      <c r="E75" s="85">
        <v>16</v>
      </c>
      <c r="F75" s="93">
        <v>44952</v>
      </c>
      <c r="G75" s="85" t="s">
        <v>1514</v>
      </c>
      <c r="H75" s="87">
        <v>8.91</v>
      </c>
      <c r="I75" s="94">
        <v>8</v>
      </c>
      <c r="J75" s="93">
        <v>45072</v>
      </c>
      <c r="K75" s="85" t="s">
        <v>1515</v>
      </c>
      <c r="L75" s="87">
        <v>9.65</v>
      </c>
      <c r="M75" s="85">
        <v>16</v>
      </c>
      <c r="N75" s="93">
        <v>45419</v>
      </c>
      <c r="O75" s="85" t="s">
        <v>1553</v>
      </c>
      <c r="P75" s="148">
        <v>4.4000000000000004</v>
      </c>
      <c r="Q75" s="94"/>
      <c r="R75" s="93"/>
      <c r="S75" s="85"/>
      <c r="U75" s="94"/>
      <c r="V75" s="93"/>
      <c r="W75" s="85"/>
      <c r="Y75" s="94"/>
      <c r="Z75" s="93"/>
      <c r="AA75" s="85"/>
      <c r="AC75" s="94"/>
      <c r="AD75" s="93"/>
      <c r="AE75" s="85"/>
    </row>
    <row r="76" spans="5:31" x14ac:dyDescent="0.35">
      <c r="E76" s="85">
        <v>16</v>
      </c>
      <c r="F76" s="93">
        <v>44952</v>
      </c>
      <c r="G76" s="85" t="s">
        <v>1516</v>
      </c>
      <c r="H76" s="87">
        <v>25.95</v>
      </c>
      <c r="I76" s="94">
        <v>7</v>
      </c>
      <c r="J76" s="93">
        <v>45072</v>
      </c>
      <c r="K76" s="85" t="s">
        <v>1465</v>
      </c>
      <c r="L76" s="87">
        <v>13.32</v>
      </c>
      <c r="M76" s="85">
        <v>8</v>
      </c>
      <c r="N76" s="93">
        <v>45419</v>
      </c>
      <c r="O76" s="85" t="s">
        <v>1579</v>
      </c>
      <c r="P76" s="148">
        <v>2.4500000000000002</v>
      </c>
      <c r="Q76" s="94"/>
      <c r="R76" s="93"/>
      <c r="S76" s="85"/>
      <c r="U76" s="94"/>
      <c r="V76" s="93"/>
      <c r="W76" s="85"/>
      <c r="Y76" s="94"/>
      <c r="Z76" s="93"/>
      <c r="AA76" s="85"/>
      <c r="AC76" s="94"/>
      <c r="AD76" s="93"/>
      <c r="AE76" s="85"/>
    </row>
    <row r="77" spans="5:31" x14ac:dyDescent="0.35">
      <c r="E77" s="85">
        <v>16</v>
      </c>
      <c r="F77" s="93">
        <v>44952</v>
      </c>
      <c r="G77" s="85" t="s">
        <v>1517</v>
      </c>
      <c r="H77" s="87">
        <v>3.99</v>
      </c>
      <c r="I77" s="94">
        <v>16</v>
      </c>
      <c r="J77" s="93">
        <v>45072</v>
      </c>
      <c r="K77" s="85" t="s">
        <v>1449</v>
      </c>
      <c r="L77" s="87">
        <v>11.99</v>
      </c>
      <c r="M77" s="85">
        <v>7</v>
      </c>
      <c r="N77" s="93">
        <v>45419</v>
      </c>
      <c r="O77" s="85" t="s">
        <v>1465</v>
      </c>
      <c r="P77" s="148">
        <v>10.41</v>
      </c>
      <c r="Q77" s="94"/>
      <c r="R77" s="93"/>
      <c r="S77" s="85"/>
      <c r="U77" s="94"/>
      <c r="V77" s="93"/>
      <c r="W77" s="85"/>
      <c r="Y77" s="94"/>
      <c r="Z77" s="93"/>
      <c r="AA77" s="85"/>
      <c r="AC77" s="94"/>
      <c r="AD77" s="93"/>
      <c r="AE77" s="85"/>
    </row>
    <row r="78" spans="5:31" x14ac:dyDescent="0.35">
      <c r="E78" s="85">
        <v>10</v>
      </c>
      <c r="F78" s="93">
        <v>44952</v>
      </c>
      <c r="G78" s="85" t="s">
        <v>1518</v>
      </c>
      <c r="H78" s="87">
        <v>39.97</v>
      </c>
      <c r="I78" s="94">
        <v>8</v>
      </c>
      <c r="J78" s="93">
        <v>45072</v>
      </c>
      <c r="K78" s="85" t="s">
        <v>1519</v>
      </c>
      <c r="L78" s="87">
        <v>5.15</v>
      </c>
      <c r="M78" s="85">
        <v>8</v>
      </c>
      <c r="N78" s="93">
        <v>45429</v>
      </c>
      <c r="O78" s="85" t="s">
        <v>1579</v>
      </c>
      <c r="P78" s="148">
        <v>7.85</v>
      </c>
      <c r="Q78" s="94"/>
      <c r="R78" s="93"/>
      <c r="S78" s="85"/>
      <c r="U78" s="94"/>
      <c r="V78" s="93"/>
      <c r="W78" s="85"/>
      <c r="Y78" s="94"/>
      <c r="Z78" s="93"/>
      <c r="AA78" s="85"/>
      <c r="AC78" s="94"/>
      <c r="AD78" s="93"/>
      <c r="AE78" s="85"/>
    </row>
    <row r="79" spans="5:31" x14ac:dyDescent="0.35">
      <c r="E79" s="85">
        <v>10</v>
      </c>
      <c r="F79" s="93">
        <v>44952</v>
      </c>
      <c r="G79" s="85" t="s">
        <v>1520</v>
      </c>
      <c r="H79" s="87">
        <v>27.49</v>
      </c>
      <c r="I79" s="94">
        <v>15</v>
      </c>
      <c r="J79" s="93">
        <v>45121</v>
      </c>
      <c r="K79" s="85" t="s">
        <v>1521</v>
      </c>
      <c r="L79" s="87">
        <v>1630</v>
      </c>
      <c r="M79" s="85">
        <v>7</v>
      </c>
      <c r="N79" s="93">
        <v>45440</v>
      </c>
      <c r="O79" s="85" t="s">
        <v>1604</v>
      </c>
      <c r="P79" s="148">
        <v>2.5</v>
      </c>
      <c r="Q79" s="94"/>
      <c r="R79" s="93"/>
      <c r="S79" s="85"/>
      <c r="U79" s="94"/>
      <c r="V79" s="93"/>
      <c r="W79" s="85"/>
      <c r="Y79" s="94"/>
      <c r="Z79" s="93"/>
      <c r="AA79" s="85"/>
      <c r="AC79" s="94"/>
      <c r="AD79" s="93"/>
      <c r="AE79" s="85"/>
    </row>
    <row r="80" spans="5:31" x14ac:dyDescent="0.35">
      <c r="E80" s="85">
        <v>10</v>
      </c>
      <c r="F80" s="93">
        <v>44952</v>
      </c>
      <c r="G80" s="85" t="s">
        <v>1522</v>
      </c>
      <c r="H80" s="87">
        <v>4.16</v>
      </c>
      <c r="I80" s="94">
        <v>14</v>
      </c>
      <c r="J80" s="93">
        <v>45093</v>
      </c>
      <c r="K80" s="85" t="s">
        <v>1523</v>
      </c>
      <c r="L80" s="87">
        <v>17596</v>
      </c>
      <c r="M80" s="85">
        <v>10</v>
      </c>
      <c r="N80" s="93">
        <v>45443</v>
      </c>
      <c r="O80" s="85" t="s">
        <v>2206</v>
      </c>
      <c r="P80" s="148">
        <v>142.63999999999999</v>
      </c>
      <c r="Q80" s="94"/>
      <c r="R80" s="93"/>
      <c r="S80" s="85"/>
      <c r="U80" s="94"/>
      <c r="V80" s="93"/>
      <c r="W80" s="85"/>
      <c r="Y80" s="94"/>
      <c r="Z80" s="93"/>
      <c r="AA80" s="85"/>
      <c r="AC80" s="94"/>
      <c r="AD80" s="93"/>
      <c r="AE80" s="85"/>
    </row>
    <row r="81" spans="5:31" x14ac:dyDescent="0.35">
      <c r="G81" s="85"/>
      <c r="H81" s="87"/>
      <c r="K81" s="85"/>
      <c r="M81" s="85">
        <v>10</v>
      </c>
      <c r="N81" s="93">
        <v>45449</v>
      </c>
      <c r="O81" s="85" t="s">
        <v>1607</v>
      </c>
      <c r="P81" s="148">
        <v>102.3</v>
      </c>
      <c r="Q81" s="94"/>
      <c r="R81" s="93"/>
      <c r="S81" s="85"/>
      <c r="U81" s="94"/>
      <c r="V81" s="93"/>
      <c r="W81" s="85"/>
      <c r="Y81" s="94"/>
      <c r="Z81" s="93"/>
      <c r="AA81" s="85"/>
      <c r="AC81" s="94"/>
      <c r="AD81" s="93"/>
      <c r="AE81" s="85"/>
    </row>
    <row r="82" spans="5:31" x14ac:dyDescent="0.35">
      <c r="E82" s="85">
        <v>7</v>
      </c>
      <c r="F82" s="93">
        <v>44959</v>
      </c>
      <c r="G82" s="85" t="s">
        <v>1527</v>
      </c>
      <c r="H82" s="87">
        <v>13.32</v>
      </c>
      <c r="I82" s="94">
        <v>14</v>
      </c>
      <c r="J82" s="93">
        <v>45047</v>
      </c>
      <c r="K82" s="85" t="s">
        <v>1528</v>
      </c>
      <c r="L82" s="87">
        <v>37885</v>
      </c>
      <c r="M82" s="85">
        <v>10</v>
      </c>
      <c r="N82" s="93">
        <v>45448</v>
      </c>
      <c r="O82" s="85" t="s">
        <v>1607</v>
      </c>
      <c r="P82" s="148">
        <v>15</v>
      </c>
      <c r="Q82" s="94"/>
      <c r="R82" s="93"/>
      <c r="S82" s="85"/>
      <c r="U82" s="94"/>
      <c r="V82" s="93"/>
      <c r="W82" s="85"/>
      <c r="Y82" s="94"/>
      <c r="Z82" s="93"/>
      <c r="AA82" s="85"/>
      <c r="AC82" s="94"/>
      <c r="AD82" s="93"/>
      <c r="AE82" s="85"/>
    </row>
    <row r="83" spans="5:31" x14ac:dyDescent="0.35">
      <c r="G83" s="85"/>
      <c r="H83" s="87"/>
      <c r="I83" s="94">
        <v>14</v>
      </c>
      <c r="J83" s="93">
        <v>45086</v>
      </c>
      <c r="K83" s="85" t="s">
        <v>1529</v>
      </c>
      <c r="L83" s="87">
        <v>3225</v>
      </c>
      <c r="M83" s="85">
        <v>6</v>
      </c>
      <c r="N83" s="93">
        <v>45461</v>
      </c>
      <c r="O83" s="85" t="s">
        <v>1600</v>
      </c>
      <c r="P83" s="148">
        <v>667.79</v>
      </c>
      <c r="Q83" s="94"/>
      <c r="R83" s="93"/>
      <c r="S83" s="85"/>
      <c r="U83" s="94"/>
      <c r="V83" s="93"/>
      <c r="W83" s="85"/>
      <c r="Y83" s="94"/>
      <c r="Z83" s="93"/>
      <c r="AA83" s="85"/>
      <c r="AC83" s="94"/>
      <c r="AD83" s="93"/>
      <c r="AE83" s="85"/>
    </row>
    <row r="84" spans="5:31" x14ac:dyDescent="0.35">
      <c r="E84" s="85">
        <v>8</v>
      </c>
      <c r="F84" s="93">
        <v>44974</v>
      </c>
      <c r="G84" s="85" t="s">
        <v>1530</v>
      </c>
      <c r="H84" s="87">
        <f>0.95+0.95+1.75+1.1+1.1</f>
        <v>5.85</v>
      </c>
      <c r="I84" s="94">
        <v>14</v>
      </c>
      <c r="J84" s="93" t="s">
        <v>1104</v>
      </c>
      <c r="K84" s="85" t="s">
        <v>1531</v>
      </c>
      <c r="L84" s="87">
        <f>46580-5000+1641+(11954+1027)*2/3</f>
        <v>51875</v>
      </c>
      <c r="M84" s="85">
        <v>10</v>
      </c>
      <c r="N84" s="93">
        <v>45463</v>
      </c>
      <c r="O84" s="85" t="s">
        <v>1607</v>
      </c>
      <c r="P84" s="148">
        <v>449.8</v>
      </c>
      <c r="Q84" s="94"/>
      <c r="R84" s="93"/>
      <c r="S84" s="85"/>
      <c r="U84" s="94"/>
      <c r="V84" s="93"/>
      <c r="W84" s="85"/>
      <c r="Y84" s="94"/>
      <c r="Z84" s="93"/>
      <c r="AA84" s="85"/>
      <c r="AC84" s="94"/>
      <c r="AD84" s="93"/>
      <c r="AE84" s="85"/>
    </row>
    <row r="85" spans="5:31" x14ac:dyDescent="0.35">
      <c r="E85" s="85">
        <v>16</v>
      </c>
      <c r="F85" s="93">
        <v>44974</v>
      </c>
      <c r="G85" s="85" t="s">
        <v>1533</v>
      </c>
      <c r="H85" s="87">
        <v>10.42</v>
      </c>
      <c r="I85" s="94">
        <v>15</v>
      </c>
      <c r="J85" s="93" t="s">
        <v>1104</v>
      </c>
      <c r="K85" s="85" t="s">
        <v>1534</v>
      </c>
      <c r="L85" s="87">
        <v>5000</v>
      </c>
      <c r="M85" s="85">
        <v>8</v>
      </c>
      <c r="N85" s="93">
        <v>45471</v>
      </c>
      <c r="O85" s="85" t="s">
        <v>1579</v>
      </c>
      <c r="P85" s="148">
        <v>1.3</v>
      </c>
      <c r="Q85" s="94"/>
      <c r="R85" s="93"/>
      <c r="S85" s="85"/>
      <c r="U85" s="94"/>
      <c r="V85" s="93"/>
      <c r="W85" s="85"/>
      <c r="Y85" s="94"/>
      <c r="Z85" s="93"/>
      <c r="AA85" s="85"/>
      <c r="AC85" s="94"/>
      <c r="AD85" s="93"/>
      <c r="AE85" s="85"/>
    </row>
    <row r="86" spans="5:31" x14ac:dyDescent="0.35">
      <c r="E86" s="85">
        <v>7</v>
      </c>
      <c r="F86" s="93">
        <v>44974</v>
      </c>
      <c r="G86" s="85" t="s">
        <v>1535</v>
      </c>
      <c r="H86" s="87">
        <f>13.32+3.33</f>
        <v>16.649999999999999</v>
      </c>
      <c r="I86" s="94">
        <v>14</v>
      </c>
      <c r="J86" s="93">
        <v>45096</v>
      </c>
      <c r="K86" s="85" t="s">
        <v>1536</v>
      </c>
      <c r="L86" s="87">
        <v>2250</v>
      </c>
      <c r="M86" s="85">
        <v>10</v>
      </c>
      <c r="N86" s="93">
        <v>45421</v>
      </c>
      <c r="O86" s="85" t="s">
        <v>1644</v>
      </c>
      <c r="P86" s="148">
        <v>20</v>
      </c>
      <c r="Q86" s="94"/>
      <c r="R86" s="93"/>
      <c r="S86" s="85"/>
      <c r="U86" s="94"/>
      <c r="V86" s="93"/>
      <c r="W86" s="85"/>
      <c r="Y86" s="94"/>
      <c r="Z86" s="93"/>
      <c r="AA86" s="85"/>
      <c r="AC86" s="94"/>
      <c r="AD86" s="93"/>
      <c r="AE86" s="85"/>
    </row>
    <row r="87" spans="5:31" x14ac:dyDescent="0.35">
      <c r="E87" s="85">
        <v>20</v>
      </c>
      <c r="F87" s="93">
        <v>44975</v>
      </c>
      <c r="G87" s="85" t="s">
        <v>1537</v>
      </c>
      <c r="H87" s="87">
        <v>321.67</v>
      </c>
      <c r="I87" s="94">
        <v>14</v>
      </c>
      <c r="J87" s="93">
        <v>45096</v>
      </c>
      <c r="K87" s="85" t="s">
        <v>1538</v>
      </c>
      <c r="L87" s="87">
        <v>847</v>
      </c>
      <c r="M87" s="85">
        <v>8</v>
      </c>
      <c r="N87" s="93">
        <v>45421</v>
      </c>
      <c r="O87" s="85" t="s">
        <v>1576</v>
      </c>
      <c r="P87" s="148">
        <v>1.45</v>
      </c>
      <c r="Q87" s="94"/>
      <c r="R87" s="93"/>
      <c r="S87" s="85"/>
      <c r="U87" s="94"/>
      <c r="V87" s="93"/>
      <c r="W87" s="85"/>
      <c r="Y87" s="94"/>
      <c r="Z87" s="93"/>
      <c r="AA87" s="85"/>
      <c r="AC87" s="94"/>
      <c r="AD87" s="93"/>
      <c r="AE87" s="85"/>
    </row>
    <row r="88" spans="5:31" x14ac:dyDescent="0.35">
      <c r="E88" s="85">
        <v>7</v>
      </c>
      <c r="F88" s="93">
        <v>44984</v>
      </c>
      <c r="G88" s="85" t="s">
        <v>1539</v>
      </c>
      <c r="H88" s="87">
        <v>15.82</v>
      </c>
      <c r="K88" s="85"/>
      <c r="M88" s="85">
        <v>16</v>
      </c>
      <c r="N88" s="93">
        <v>45422</v>
      </c>
      <c r="O88" s="85" t="s">
        <v>1553</v>
      </c>
      <c r="P88" s="148">
        <v>6.8</v>
      </c>
      <c r="Q88" s="94"/>
      <c r="R88" s="93"/>
      <c r="S88" s="85"/>
      <c r="U88" s="94"/>
      <c r="V88" s="93"/>
      <c r="W88" s="85"/>
      <c r="Y88" s="94"/>
      <c r="Z88" s="93"/>
      <c r="AA88" s="85"/>
      <c r="AC88" s="94"/>
      <c r="AD88" s="93"/>
      <c r="AE88" s="85"/>
    </row>
    <row r="89" spans="5:31" x14ac:dyDescent="0.35">
      <c r="E89" s="85">
        <v>11</v>
      </c>
      <c r="F89" s="93">
        <v>44988</v>
      </c>
      <c r="G89" s="85" t="s">
        <v>1543</v>
      </c>
      <c r="H89" s="87">
        <v>415</v>
      </c>
      <c r="I89" s="94">
        <v>14</v>
      </c>
      <c r="J89" s="93">
        <v>45048</v>
      </c>
      <c r="K89" s="85" t="s">
        <v>1544</v>
      </c>
      <c r="L89" s="87">
        <v>124.13</v>
      </c>
      <c r="M89" s="85">
        <v>8</v>
      </c>
      <c r="N89" s="93">
        <v>45425</v>
      </c>
      <c r="O89" s="85" t="s">
        <v>1579</v>
      </c>
      <c r="P89" s="148">
        <v>3.65</v>
      </c>
      <c r="Q89" s="94"/>
      <c r="R89" s="93"/>
      <c r="S89" s="85"/>
      <c r="U89" s="94"/>
      <c r="V89" s="93"/>
      <c r="W89" s="85"/>
      <c r="Y89" s="94"/>
      <c r="Z89" s="93"/>
      <c r="AA89" s="85"/>
      <c r="AC89" s="94"/>
      <c r="AD89" s="93"/>
      <c r="AE89" s="85"/>
    </row>
    <row r="90" spans="5:31" x14ac:dyDescent="0.35">
      <c r="E90" s="85">
        <v>16</v>
      </c>
      <c r="F90" s="93">
        <v>44993</v>
      </c>
      <c r="G90" s="85" t="s">
        <v>1545</v>
      </c>
      <c r="H90" s="87">
        <v>4.99</v>
      </c>
      <c r="I90" s="94">
        <v>14</v>
      </c>
      <c r="J90" s="93">
        <v>45062</v>
      </c>
      <c r="K90" s="85" t="s">
        <v>1546</v>
      </c>
      <c r="L90" s="87">
        <v>18.149999999999999</v>
      </c>
      <c r="M90" s="85">
        <v>16</v>
      </c>
      <c r="N90" s="93">
        <v>45425</v>
      </c>
      <c r="O90" s="85" t="s">
        <v>1553</v>
      </c>
      <c r="P90" s="148">
        <v>3.05</v>
      </c>
      <c r="Q90" s="94"/>
      <c r="R90" s="93"/>
      <c r="S90" s="85"/>
      <c r="U90" s="94"/>
      <c r="V90" s="93"/>
      <c r="W90" s="85"/>
      <c r="Y90" s="94"/>
      <c r="Z90" s="93"/>
      <c r="AA90" s="85"/>
      <c r="AC90" s="94"/>
      <c r="AD90" s="93"/>
      <c r="AE90" s="85"/>
    </row>
    <row r="91" spans="5:31" x14ac:dyDescent="0.35">
      <c r="E91" s="85">
        <v>7</v>
      </c>
      <c r="F91" s="93">
        <v>44993</v>
      </c>
      <c r="G91" s="85" t="s">
        <v>1547</v>
      </c>
      <c r="H91" s="87">
        <v>43.29</v>
      </c>
      <c r="I91" s="94">
        <v>14</v>
      </c>
      <c r="J91" s="93">
        <v>45064</v>
      </c>
      <c r="K91" s="85" t="s">
        <v>1548</v>
      </c>
      <c r="L91" s="87">
        <v>58.3</v>
      </c>
      <c r="M91" s="85">
        <v>8</v>
      </c>
      <c r="N91" s="93">
        <v>45429</v>
      </c>
      <c r="O91" s="85" t="s">
        <v>1579</v>
      </c>
      <c r="P91" s="148">
        <v>8.9</v>
      </c>
      <c r="Q91" s="94"/>
      <c r="R91" s="93"/>
      <c r="S91" s="85"/>
      <c r="U91" s="94"/>
      <c r="V91" s="93"/>
      <c r="W91" s="85"/>
      <c r="Y91" s="94"/>
      <c r="Z91" s="93"/>
      <c r="AA91" s="85"/>
      <c r="AC91" s="94"/>
      <c r="AD91" s="93"/>
      <c r="AE91" s="85"/>
    </row>
    <row r="92" spans="5:31" x14ac:dyDescent="0.35">
      <c r="E92" s="85">
        <v>11</v>
      </c>
      <c r="F92" s="93">
        <v>44998</v>
      </c>
      <c r="G92" s="85" t="s">
        <v>1549</v>
      </c>
      <c r="H92" s="87">
        <v>387.4</v>
      </c>
      <c r="I92" s="94">
        <v>14</v>
      </c>
      <c r="J92" s="93">
        <v>45068</v>
      </c>
      <c r="K92" s="85" t="s">
        <v>1550</v>
      </c>
      <c r="L92" s="87">
        <v>49.99</v>
      </c>
      <c r="M92" s="85">
        <v>16</v>
      </c>
      <c r="N92" s="93">
        <v>45429</v>
      </c>
      <c r="O92" s="85" t="s">
        <v>1541</v>
      </c>
      <c r="P92" s="148">
        <v>9.99</v>
      </c>
      <c r="Q92" s="94"/>
      <c r="R92" s="93"/>
      <c r="S92" s="85"/>
      <c r="U92" s="94"/>
      <c r="V92" s="93"/>
      <c r="W92" s="85"/>
      <c r="Y92" s="94"/>
      <c r="Z92" s="93"/>
      <c r="AA92" s="85"/>
      <c r="AC92" s="94"/>
      <c r="AD92" s="93"/>
      <c r="AE92" s="85"/>
    </row>
    <row r="93" spans="5:31" x14ac:dyDescent="0.35">
      <c r="E93" s="85">
        <v>7</v>
      </c>
      <c r="F93" s="93">
        <v>45002</v>
      </c>
      <c r="G93" s="85" t="s">
        <v>1535</v>
      </c>
      <c r="H93" s="87">
        <v>6.66</v>
      </c>
      <c r="I93" s="94">
        <v>14</v>
      </c>
      <c r="J93" s="93">
        <v>45070</v>
      </c>
      <c r="K93" s="85" t="s">
        <v>1551</v>
      </c>
      <c r="L93" s="87">
        <v>74.400000000000006</v>
      </c>
      <c r="M93" s="85">
        <v>8</v>
      </c>
      <c r="N93" s="93">
        <v>45435</v>
      </c>
      <c r="O93" s="85" t="s">
        <v>1579</v>
      </c>
      <c r="P93" s="148">
        <v>26.5</v>
      </c>
      <c r="Q93" s="94"/>
      <c r="R93" s="93"/>
      <c r="S93" s="85"/>
      <c r="U93" s="94"/>
      <c r="V93" s="93"/>
      <c r="W93" s="85"/>
      <c r="Y93" s="94"/>
      <c r="Z93" s="93"/>
      <c r="AA93" s="85"/>
      <c r="AC93" s="94"/>
      <c r="AD93" s="93"/>
      <c r="AE93" s="85"/>
    </row>
    <row r="94" spans="5:31" x14ac:dyDescent="0.35">
      <c r="E94" s="85">
        <v>8</v>
      </c>
      <c r="F94" s="93">
        <v>45002</v>
      </c>
      <c r="G94" s="85" t="s">
        <v>1552</v>
      </c>
      <c r="H94" s="87">
        <v>17.84</v>
      </c>
      <c r="I94" s="94">
        <v>16</v>
      </c>
      <c r="J94" s="93">
        <v>45127</v>
      </c>
      <c r="K94" s="85" t="s">
        <v>1553</v>
      </c>
      <c r="L94" s="87">
        <v>2.25</v>
      </c>
      <c r="M94" s="85">
        <v>10</v>
      </c>
      <c r="N94" s="93">
        <v>45424</v>
      </c>
      <c r="O94" s="85" t="s">
        <v>2996</v>
      </c>
      <c r="P94" s="148">
        <v>12.49</v>
      </c>
      <c r="Q94" s="94"/>
      <c r="R94" s="93"/>
      <c r="S94" s="85"/>
      <c r="U94" s="94"/>
      <c r="V94" s="93"/>
      <c r="W94" s="85"/>
      <c r="Y94" s="94"/>
      <c r="Z94" s="93"/>
      <c r="AA94" s="85"/>
      <c r="AC94" s="94"/>
      <c r="AD94" s="93"/>
      <c r="AE94" s="85"/>
    </row>
    <row r="95" spans="5:31" x14ac:dyDescent="0.35">
      <c r="E95" s="85">
        <v>10</v>
      </c>
      <c r="F95" s="93">
        <v>45002</v>
      </c>
      <c r="G95" s="85" t="s">
        <v>1554</v>
      </c>
      <c r="H95" s="87">
        <v>12</v>
      </c>
      <c r="I95" s="94">
        <v>6</v>
      </c>
      <c r="J95" s="93">
        <v>45085</v>
      </c>
      <c r="K95" s="85" t="s">
        <v>1555</v>
      </c>
      <c r="L95" s="87">
        <v>55</v>
      </c>
      <c r="M95" s="85">
        <v>16</v>
      </c>
      <c r="N95" s="93">
        <v>45422</v>
      </c>
      <c r="O95" s="85" t="s">
        <v>1516</v>
      </c>
      <c r="P95" s="148">
        <v>19.82</v>
      </c>
      <c r="Q95" s="94"/>
      <c r="R95" s="93"/>
      <c r="S95" s="85"/>
      <c r="U95" s="94"/>
      <c r="V95" s="93"/>
      <c r="W95" s="85"/>
      <c r="Y95" s="94"/>
      <c r="Z95" s="93"/>
      <c r="AA95" s="85"/>
      <c r="AC95" s="94"/>
      <c r="AD95" s="93"/>
      <c r="AE95" s="85"/>
    </row>
    <row r="96" spans="5:31" x14ac:dyDescent="0.35">
      <c r="E96" s="85">
        <v>7</v>
      </c>
      <c r="F96" s="93">
        <v>45002</v>
      </c>
      <c r="G96" s="85" t="s">
        <v>1556</v>
      </c>
      <c r="H96" s="87">
        <v>2.08</v>
      </c>
      <c r="I96" s="94">
        <v>6</v>
      </c>
      <c r="J96" s="93">
        <v>45085</v>
      </c>
      <c r="K96" s="85" t="s">
        <v>1557</v>
      </c>
      <c r="L96" s="87">
        <v>91.2</v>
      </c>
      <c r="M96" s="85">
        <v>20</v>
      </c>
      <c r="N96" s="93">
        <v>45436</v>
      </c>
      <c r="O96" s="85" t="s">
        <v>3000</v>
      </c>
      <c r="P96" s="148">
        <v>8.32</v>
      </c>
      <c r="Q96" s="94"/>
      <c r="R96" s="93"/>
      <c r="S96" s="85"/>
      <c r="U96" s="94"/>
      <c r="V96" s="93"/>
      <c r="W96" s="85"/>
      <c r="Y96" s="94"/>
      <c r="Z96" s="93"/>
      <c r="AA96" s="85"/>
      <c r="AC96" s="94"/>
      <c r="AD96" s="93"/>
      <c r="AE96" s="85"/>
    </row>
    <row r="97" spans="5:31" x14ac:dyDescent="0.35">
      <c r="E97" s="85">
        <v>8</v>
      </c>
      <c r="F97" s="93">
        <v>45002</v>
      </c>
      <c r="G97" s="85" t="s">
        <v>1558</v>
      </c>
      <c r="H97" s="87">
        <v>6</v>
      </c>
      <c r="I97" s="94">
        <v>6</v>
      </c>
      <c r="J97" s="93">
        <v>45085</v>
      </c>
      <c r="K97" s="85" t="s">
        <v>1559</v>
      </c>
      <c r="L97" s="87">
        <v>812.39</v>
      </c>
      <c r="M97" s="85">
        <v>8</v>
      </c>
      <c r="N97" s="93">
        <v>45436</v>
      </c>
      <c r="O97" s="85" t="s">
        <v>1512</v>
      </c>
      <c r="P97" s="148">
        <v>44.99</v>
      </c>
      <c r="Q97" s="94"/>
      <c r="R97" s="93"/>
      <c r="S97" s="85"/>
      <c r="U97" s="94"/>
      <c r="V97" s="93"/>
      <c r="W97" s="85"/>
      <c r="Y97" s="94"/>
      <c r="Z97" s="93"/>
      <c r="AA97" s="85"/>
      <c r="AC97" s="94"/>
      <c r="AD97" s="93"/>
      <c r="AE97" s="85"/>
    </row>
    <row r="98" spans="5:31" x14ac:dyDescent="0.35">
      <c r="E98" s="85">
        <v>7</v>
      </c>
      <c r="F98" s="93">
        <v>45002</v>
      </c>
      <c r="G98" s="85" t="s">
        <v>1560</v>
      </c>
      <c r="H98" s="87">
        <v>16.649999999999999</v>
      </c>
      <c r="I98" s="94">
        <v>6</v>
      </c>
      <c r="J98" s="93">
        <v>45085</v>
      </c>
      <c r="K98" s="85" t="s">
        <v>1561</v>
      </c>
      <c r="L98" s="87">
        <v>930.39</v>
      </c>
      <c r="M98" s="85">
        <v>16</v>
      </c>
      <c r="N98" s="93">
        <v>45437</v>
      </c>
      <c r="O98" s="85" t="s">
        <v>3002</v>
      </c>
      <c r="P98" s="148">
        <v>26.47</v>
      </c>
      <c r="Q98" s="94"/>
      <c r="R98" s="93"/>
      <c r="S98" s="85"/>
      <c r="U98" s="94"/>
      <c r="V98" s="93"/>
      <c r="W98" s="85"/>
      <c r="Y98" s="94"/>
      <c r="Z98" s="93"/>
      <c r="AA98" s="85"/>
      <c r="AC98" s="94"/>
      <c r="AD98" s="93"/>
      <c r="AE98" s="85"/>
    </row>
    <row r="99" spans="5:31" x14ac:dyDescent="0.35">
      <c r="E99" s="85">
        <v>7</v>
      </c>
      <c r="F99" s="93">
        <v>45002</v>
      </c>
      <c r="G99" s="85" t="s">
        <v>1562</v>
      </c>
      <c r="H99" s="87">
        <v>38.299999999999997</v>
      </c>
      <c r="I99" s="94">
        <v>20</v>
      </c>
      <c r="J99" s="93">
        <v>45090</v>
      </c>
      <c r="K99" s="85" t="s">
        <v>1563</v>
      </c>
      <c r="L99" s="87">
        <v>528</v>
      </c>
      <c r="M99" s="85">
        <v>20</v>
      </c>
      <c r="N99" s="93">
        <v>45442</v>
      </c>
      <c r="O99" s="85" t="s">
        <v>3003</v>
      </c>
      <c r="P99" s="148">
        <v>13.64</v>
      </c>
      <c r="Q99" s="94"/>
      <c r="R99" s="93"/>
      <c r="S99" s="85"/>
      <c r="U99" s="94"/>
      <c r="V99" s="93"/>
      <c r="W99" s="85"/>
      <c r="Y99" s="94"/>
      <c r="Z99" s="93"/>
      <c r="AA99" s="85"/>
      <c r="AC99" s="94"/>
      <c r="AD99" s="93"/>
      <c r="AE99" s="85"/>
    </row>
    <row r="100" spans="5:31" x14ac:dyDescent="0.35">
      <c r="E100" s="85">
        <v>6</v>
      </c>
      <c r="F100" s="93">
        <v>44989</v>
      </c>
      <c r="G100" s="85" t="s">
        <v>1450</v>
      </c>
      <c r="H100" s="87">
        <v>94.5</v>
      </c>
      <c r="I100" s="94">
        <v>6</v>
      </c>
      <c r="J100" s="93">
        <v>45092</v>
      </c>
      <c r="K100" s="85" t="s">
        <v>1564</v>
      </c>
      <c r="L100" s="87">
        <v>1077</v>
      </c>
      <c r="M100" s="85">
        <v>16</v>
      </c>
      <c r="N100" s="93">
        <v>45442</v>
      </c>
      <c r="O100" s="85" t="s">
        <v>3005</v>
      </c>
      <c r="P100" s="148">
        <v>38.01</v>
      </c>
      <c r="Q100" s="94"/>
      <c r="R100" s="93"/>
      <c r="S100" s="85"/>
      <c r="U100" s="94"/>
      <c r="V100" s="93"/>
      <c r="W100" s="85"/>
      <c r="Y100" s="94"/>
      <c r="Z100" s="93"/>
      <c r="AA100" s="85"/>
      <c r="AC100" s="94"/>
      <c r="AD100" s="93"/>
      <c r="AE100" s="85"/>
    </row>
    <row r="101" spans="5:31" x14ac:dyDescent="0.35">
      <c r="E101" s="85">
        <v>10</v>
      </c>
      <c r="F101" s="93">
        <v>44980</v>
      </c>
      <c r="G101" s="85" t="s">
        <v>1565</v>
      </c>
      <c r="H101" s="87">
        <v>23.28</v>
      </c>
      <c r="I101" s="94">
        <v>7</v>
      </c>
      <c r="J101" s="93">
        <v>45086</v>
      </c>
      <c r="K101" s="85" t="s">
        <v>1465</v>
      </c>
      <c r="L101" s="87">
        <v>13.32</v>
      </c>
      <c r="M101" s="85">
        <v>16</v>
      </c>
      <c r="N101" s="93">
        <v>45442</v>
      </c>
      <c r="O101" s="85" t="s">
        <v>3006</v>
      </c>
      <c r="P101" s="148">
        <v>12.14</v>
      </c>
      <c r="Q101" s="94"/>
      <c r="R101" s="93"/>
      <c r="S101" s="85"/>
      <c r="U101" s="94"/>
      <c r="V101" s="93"/>
      <c r="W101" s="85"/>
      <c r="Y101" s="94"/>
      <c r="Z101" s="93"/>
      <c r="AA101" s="85"/>
      <c r="AC101" s="94"/>
      <c r="AD101" s="93"/>
      <c r="AE101" s="85"/>
    </row>
    <row r="102" spans="5:31" x14ac:dyDescent="0.35">
      <c r="E102" s="85">
        <v>7</v>
      </c>
      <c r="F102" s="93">
        <v>45016</v>
      </c>
      <c r="G102" s="85" t="s">
        <v>1566</v>
      </c>
      <c r="H102" s="87">
        <v>19.98</v>
      </c>
      <c r="I102" s="94">
        <v>8</v>
      </c>
      <c r="J102" s="93">
        <v>45096</v>
      </c>
      <c r="K102" s="85" t="s">
        <v>1567</v>
      </c>
      <c r="L102" s="87">
        <v>7.6</v>
      </c>
      <c r="M102" s="85">
        <v>16</v>
      </c>
      <c r="N102" s="93">
        <v>45442</v>
      </c>
      <c r="O102" s="85" t="s">
        <v>1593</v>
      </c>
      <c r="P102" s="148">
        <v>8.52</v>
      </c>
      <c r="Q102" s="94"/>
      <c r="R102" s="93"/>
      <c r="S102" s="85"/>
      <c r="U102" s="94"/>
      <c r="V102" s="93"/>
      <c r="W102" s="85"/>
      <c r="Y102" s="94"/>
      <c r="Z102" s="93"/>
      <c r="AA102" s="85"/>
      <c r="AC102" s="94"/>
      <c r="AD102" s="93"/>
      <c r="AE102" s="85"/>
    </row>
    <row r="103" spans="5:31" x14ac:dyDescent="0.35">
      <c r="E103" s="85">
        <v>7</v>
      </c>
      <c r="F103" s="93">
        <v>45016</v>
      </c>
      <c r="G103" s="85" t="s">
        <v>1568</v>
      </c>
      <c r="H103" s="87">
        <v>33.299999999999997</v>
      </c>
      <c r="I103" s="94">
        <v>16</v>
      </c>
      <c r="J103" s="93">
        <v>45096</v>
      </c>
      <c r="K103" s="85" t="s">
        <v>1569</v>
      </c>
      <c r="L103" s="87">
        <v>3.3</v>
      </c>
      <c r="M103" s="85">
        <v>16</v>
      </c>
      <c r="N103" s="93">
        <v>45442</v>
      </c>
      <c r="O103" s="85" t="s">
        <v>1516</v>
      </c>
      <c r="P103" s="148">
        <v>7.32</v>
      </c>
      <c r="Q103" s="94"/>
      <c r="R103" s="93"/>
      <c r="S103" s="85"/>
      <c r="U103" s="94"/>
      <c r="V103" s="93"/>
      <c r="W103" s="85"/>
      <c r="Y103" s="94"/>
      <c r="Z103" s="93"/>
      <c r="AA103" s="85"/>
      <c r="AC103" s="94"/>
      <c r="AD103" s="93"/>
      <c r="AE103" s="85"/>
    </row>
    <row r="104" spans="5:31" x14ac:dyDescent="0.35">
      <c r="E104" s="85">
        <v>8</v>
      </c>
      <c r="F104" s="93">
        <v>45016</v>
      </c>
      <c r="G104" s="85" t="s">
        <v>1570</v>
      </c>
      <c r="H104" s="87">
        <v>5.05</v>
      </c>
      <c r="I104" s="94">
        <v>14</v>
      </c>
      <c r="J104" s="93">
        <v>45096</v>
      </c>
      <c r="K104" s="85" t="s">
        <v>1571</v>
      </c>
      <c r="L104" s="87">
        <v>14</v>
      </c>
      <c r="M104" s="85">
        <v>16</v>
      </c>
      <c r="N104" s="93">
        <v>45442</v>
      </c>
      <c r="O104" s="85" t="s">
        <v>3008</v>
      </c>
      <c r="P104" s="148">
        <v>4.99</v>
      </c>
      <c r="Q104" s="94"/>
      <c r="R104" s="93"/>
      <c r="S104" s="85"/>
      <c r="U104" s="94"/>
      <c r="V104" s="93"/>
      <c r="W104" s="85"/>
      <c r="Y104" s="94"/>
      <c r="Z104" s="93"/>
      <c r="AA104" s="85"/>
      <c r="AC104" s="94"/>
      <c r="AD104" s="93"/>
      <c r="AE104" s="85"/>
    </row>
    <row r="105" spans="5:31" x14ac:dyDescent="0.35">
      <c r="E105" s="85">
        <v>7</v>
      </c>
      <c r="F105" s="93">
        <v>45016</v>
      </c>
      <c r="G105" s="85" t="s">
        <v>1560</v>
      </c>
      <c r="H105" s="87">
        <v>9.99</v>
      </c>
      <c r="I105" s="94">
        <v>14</v>
      </c>
      <c r="J105" s="93">
        <v>45096</v>
      </c>
      <c r="K105" s="85" t="s">
        <v>1572</v>
      </c>
      <c r="L105" s="87">
        <v>55.37</v>
      </c>
      <c r="M105" s="85">
        <v>6</v>
      </c>
      <c r="N105" s="93">
        <v>45474</v>
      </c>
      <c r="O105" s="85" t="s">
        <v>1632</v>
      </c>
      <c r="P105" s="148">
        <v>999.35</v>
      </c>
      <c r="Q105" s="94"/>
      <c r="R105" s="93"/>
      <c r="S105" s="85"/>
      <c r="U105" s="94"/>
      <c r="V105" s="93"/>
      <c r="W105" s="85"/>
      <c r="Y105" s="94"/>
      <c r="Z105" s="93"/>
      <c r="AA105" s="85"/>
      <c r="AC105" s="94"/>
      <c r="AD105" s="93"/>
      <c r="AE105" s="85"/>
    </row>
    <row r="106" spans="5:31" x14ac:dyDescent="0.35">
      <c r="E106" s="85">
        <v>7</v>
      </c>
      <c r="F106" s="93">
        <v>45016</v>
      </c>
      <c r="G106" s="85" t="s">
        <v>1573</v>
      </c>
      <c r="H106" s="87">
        <v>14.57</v>
      </c>
      <c r="I106" s="94">
        <v>7</v>
      </c>
      <c r="J106" s="93">
        <v>45096</v>
      </c>
      <c r="K106" s="85" t="s">
        <v>1492</v>
      </c>
      <c r="L106" s="87">
        <v>6.66</v>
      </c>
      <c r="M106" s="85">
        <v>10</v>
      </c>
      <c r="N106" s="93">
        <v>45471</v>
      </c>
      <c r="O106" s="85" t="s">
        <v>1607</v>
      </c>
      <c r="P106" s="148">
        <v>189</v>
      </c>
      <c r="Q106" s="94"/>
      <c r="R106" s="93"/>
      <c r="S106" s="85"/>
      <c r="U106" s="94"/>
      <c r="V106" s="93"/>
      <c r="W106" s="85"/>
      <c r="Y106" s="94"/>
      <c r="Z106" s="93"/>
      <c r="AA106" s="85"/>
      <c r="AC106" s="94"/>
      <c r="AD106" s="93"/>
      <c r="AE106" s="85"/>
    </row>
    <row r="107" spans="5:31" x14ac:dyDescent="0.35">
      <c r="E107" s="85">
        <v>7</v>
      </c>
      <c r="F107" s="93">
        <v>45016</v>
      </c>
      <c r="G107" s="85" t="s">
        <v>1574</v>
      </c>
      <c r="H107" s="87">
        <v>3.33</v>
      </c>
      <c r="I107" s="94">
        <v>7</v>
      </c>
      <c r="J107" s="93">
        <v>45096</v>
      </c>
      <c r="K107" s="85" t="s">
        <v>1465</v>
      </c>
      <c r="L107" s="87">
        <v>9.16</v>
      </c>
      <c r="M107" s="85">
        <v>10</v>
      </c>
      <c r="N107" s="93">
        <v>45427</v>
      </c>
      <c r="O107" s="85" t="s">
        <v>1607</v>
      </c>
      <c r="P107" s="148">
        <v>16.71</v>
      </c>
      <c r="Q107" s="94"/>
      <c r="R107" s="93"/>
      <c r="S107" s="85"/>
      <c r="U107" s="94"/>
      <c r="V107" s="93"/>
      <c r="W107" s="85"/>
      <c r="Y107" s="94"/>
      <c r="Z107" s="93"/>
      <c r="AA107" s="85"/>
      <c r="AC107" s="94"/>
      <c r="AD107" s="93"/>
      <c r="AE107" s="85"/>
    </row>
    <row r="108" spans="5:31" x14ac:dyDescent="0.35">
      <c r="E108" s="85">
        <v>16</v>
      </c>
      <c r="F108" s="93">
        <v>44971</v>
      </c>
      <c r="G108" s="85" t="s">
        <v>1541</v>
      </c>
      <c r="H108" s="87">
        <v>5.62</v>
      </c>
      <c r="I108" s="94">
        <v>15</v>
      </c>
      <c r="J108" s="93">
        <v>45215</v>
      </c>
      <c r="K108" s="85" t="s">
        <v>1575</v>
      </c>
      <c r="L108" s="87">
        <f>7*80*1.5</f>
        <v>840</v>
      </c>
      <c r="M108" s="85">
        <v>10</v>
      </c>
      <c r="N108" s="93">
        <v>45482</v>
      </c>
      <c r="O108" s="85" t="s">
        <v>1607</v>
      </c>
      <c r="P108" s="87">
        <v>34.5</v>
      </c>
      <c r="Q108" s="94"/>
      <c r="R108" s="93"/>
      <c r="S108" s="85"/>
      <c r="U108" s="94"/>
      <c r="V108" s="93"/>
      <c r="W108" s="85"/>
      <c r="Y108" s="94"/>
      <c r="Z108" s="93"/>
      <c r="AA108" s="85"/>
      <c r="AC108" s="94"/>
      <c r="AD108" s="93"/>
      <c r="AE108" s="85"/>
    </row>
    <row r="109" spans="5:31" x14ac:dyDescent="0.35">
      <c r="E109" s="85">
        <v>8</v>
      </c>
      <c r="F109" s="93">
        <v>44974</v>
      </c>
      <c r="G109" s="85" t="s">
        <v>1576</v>
      </c>
      <c r="H109" s="87">
        <v>2.8</v>
      </c>
      <c r="I109" s="94">
        <v>14</v>
      </c>
      <c r="J109" s="93">
        <v>45137</v>
      </c>
      <c r="K109" s="85" t="s">
        <v>2382</v>
      </c>
      <c r="L109" s="87">
        <v>1160.1199999999999</v>
      </c>
      <c r="M109" s="85">
        <v>16</v>
      </c>
      <c r="N109" s="93">
        <v>45481</v>
      </c>
      <c r="O109" s="85" t="s">
        <v>1471</v>
      </c>
      <c r="P109" s="87">
        <v>293.82</v>
      </c>
      <c r="Q109" s="94"/>
      <c r="R109" s="93"/>
      <c r="S109" s="85"/>
      <c r="U109" s="94"/>
      <c r="V109" s="93"/>
      <c r="W109" s="85"/>
      <c r="Y109" s="94"/>
      <c r="Z109" s="93"/>
      <c r="AA109" s="85"/>
      <c r="AC109" s="94"/>
      <c r="AD109" s="93"/>
      <c r="AE109" s="85"/>
    </row>
    <row r="110" spans="5:31" x14ac:dyDescent="0.35">
      <c r="E110" s="85">
        <v>8</v>
      </c>
      <c r="F110" s="93">
        <v>44974</v>
      </c>
      <c r="G110" s="85" t="s">
        <v>1578</v>
      </c>
      <c r="H110" s="87">
        <v>5.0199999999999996</v>
      </c>
      <c r="I110" s="94">
        <v>8</v>
      </c>
      <c r="J110" s="93">
        <v>45029</v>
      </c>
      <c r="K110" s="85" t="s">
        <v>1579</v>
      </c>
      <c r="L110" s="87">
        <f>1.35+6.68</f>
        <v>8.0299999999999994</v>
      </c>
      <c r="M110" s="85">
        <v>10</v>
      </c>
      <c r="N110" s="93">
        <v>45481</v>
      </c>
      <c r="O110" s="85" t="s">
        <v>1607</v>
      </c>
      <c r="P110" s="87">
        <v>35</v>
      </c>
      <c r="Q110" s="94"/>
      <c r="R110" s="93"/>
      <c r="S110" s="85"/>
      <c r="U110" s="94"/>
      <c r="V110" s="93"/>
      <c r="W110" s="85"/>
      <c r="Y110" s="94"/>
      <c r="Z110" s="93"/>
      <c r="AA110" s="85"/>
      <c r="AC110" s="94"/>
      <c r="AD110" s="93"/>
      <c r="AE110" s="85"/>
    </row>
    <row r="111" spans="5:31" x14ac:dyDescent="0.35">
      <c r="E111" s="85">
        <v>16</v>
      </c>
      <c r="F111" s="93">
        <v>44974</v>
      </c>
      <c r="G111" s="85" t="s">
        <v>1580</v>
      </c>
      <c r="H111" s="87">
        <v>2.65</v>
      </c>
      <c r="I111" s="94">
        <v>14</v>
      </c>
      <c r="J111" s="93">
        <v>45029</v>
      </c>
      <c r="K111" s="85" t="s">
        <v>1581</v>
      </c>
      <c r="L111" s="87">
        <v>17.5</v>
      </c>
      <c r="M111" s="85">
        <v>10</v>
      </c>
      <c r="N111" s="93">
        <v>45474</v>
      </c>
      <c r="O111" s="85" t="s">
        <v>3067</v>
      </c>
      <c r="P111" s="87">
        <v>2193.15</v>
      </c>
      <c r="Q111" s="94"/>
      <c r="R111" s="93"/>
      <c r="S111" s="85"/>
      <c r="U111" s="94"/>
      <c r="V111" s="93"/>
      <c r="W111" s="85"/>
      <c r="Y111" s="94"/>
      <c r="Z111" s="93"/>
      <c r="AA111" s="85"/>
      <c r="AC111" s="94"/>
      <c r="AD111" s="93"/>
      <c r="AE111" s="85"/>
    </row>
    <row r="112" spans="5:31" x14ac:dyDescent="0.35">
      <c r="E112" s="85">
        <v>8</v>
      </c>
      <c r="F112" s="93">
        <v>44980</v>
      </c>
      <c r="G112" s="85" t="s">
        <v>1512</v>
      </c>
      <c r="H112" s="87">
        <v>43.99</v>
      </c>
      <c r="I112" s="94">
        <v>14</v>
      </c>
      <c r="J112" s="93">
        <v>45030</v>
      </c>
      <c r="K112" s="85" t="s">
        <v>1582</v>
      </c>
      <c r="L112" s="87">
        <v>5.57</v>
      </c>
      <c r="M112" s="85">
        <v>16</v>
      </c>
      <c r="N112" s="93">
        <v>45456</v>
      </c>
      <c r="O112" s="85" t="s">
        <v>3079</v>
      </c>
      <c r="P112" s="148">
        <v>14.99</v>
      </c>
      <c r="Q112" s="94"/>
      <c r="R112" s="93"/>
      <c r="S112" s="85"/>
      <c r="U112" s="94"/>
      <c r="V112" s="93"/>
      <c r="W112" s="85"/>
      <c r="Y112" s="94"/>
      <c r="Z112" s="93"/>
      <c r="AA112" s="85"/>
      <c r="AC112" s="94"/>
      <c r="AD112" s="93"/>
      <c r="AE112" s="85"/>
    </row>
    <row r="113" spans="5:31" x14ac:dyDescent="0.35">
      <c r="E113" s="85">
        <v>1</v>
      </c>
      <c r="F113" s="93">
        <v>44966</v>
      </c>
      <c r="G113" s="85" t="s">
        <v>1583</v>
      </c>
      <c r="H113" s="87">
        <v>-20</v>
      </c>
      <c r="I113" s="94">
        <v>8</v>
      </c>
      <c r="J113" s="93">
        <v>45042</v>
      </c>
      <c r="K113" s="85" t="s">
        <v>1579</v>
      </c>
      <c r="L113" s="87">
        <v>6</v>
      </c>
      <c r="M113" s="85">
        <v>8</v>
      </c>
      <c r="N113" s="93">
        <v>45466</v>
      </c>
      <c r="O113" s="85" t="s">
        <v>1512</v>
      </c>
      <c r="P113" s="148">
        <v>44.99</v>
      </c>
      <c r="Q113" s="94"/>
      <c r="R113" s="93"/>
      <c r="S113" s="85"/>
      <c r="U113" s="94"/>
      <c r="V113" s="93"/>
      <c r="W113" s="85"/>
      <c r="Y113" s="94"/>
      <c r="Z113" s="93"/>
      <c r="AA113" s="85"/>
      <c r="AC113" s="94"/>
      <c r="AD113" s="93"/>
      <c r="AE113" s="85"/>
    </row>
    <row r="114" spans="5:31" x14ac:dyDescent="0.35">
      <c r="E114" s="85">
        <v>20</v>
      </c>
      <c r="F114" s="93">
        <v>45004</v>
      </c>
      <c r="G114" s="85" t="s">
        <v>1584</v>
      </c>
      <c r="H114" s="87">
        <v>145.27000000000001</v>
      </c>
      <c r="I114" s="94">
        <v>20</v>
      </c>
      <c r="J114" s="93">
        <v>45043</v>
      </c>
      <c r="K114" s="85" t="s">
        <v>1585</v>
      </c>
      <c r="L114" s="87">
        <v>56.2</v>
      </c>
      <c r="M114" s="85">
        <v>16</v>
      </c>
      <c r="N114" s="93">
        <v>45468</v>
      </c>
      <c r="O114" s="85" t="s">
        <v>1516</v>
      </c>
      <c r="P114" s="148">
        <v>38.979999999999997</v>
      </c>
      <c r="Q114" s="94"/>
      <c r="R114" s="93"/>
      <c r="S114" s="85"/>
      <c r="U114" s="94"/>
      <c r="V114" s="93"/>
      <c r="W114" s="85"/>
      <c r="Y114" s="94"/>
      <c r="Z114" s="93"/>
      <c r="AA114" s="85"/>
      <c r="AC114" s="94"/>
      <c r="AD114" s="93"/>
      <c r="AE114" s="85"/>
    </row>
    <row r="115" spans="5:31" x14ac:dyDescent="0.35">
      <c r="E115" s="85">
        <v>16</v>
      </c>
      <c r="F115" s="93" t="s">
        <v>775</v>
      </c>
      <c r="G115" s="85" t="s">
        <v>1586</v>
      </c>
      <c r="H115" s="87">
        <v>96.68</v>
      </c>
      <c r="I115" s="94">
        <v>16</v>
      </c>
      <c r="J115" s="93">
        <v>45043</v>
      </c>
      <c r="K115" s="85" t="s">
        <v>1587</v>
      </c>
      <c r="L115" s="87">
        <v>8.4600000000000009</v>
      </c>
      <c r="M115" s="85">
        <v>16</v>
      </c>
      <c r="N115" s="93">
        <v>45448</v>
      </c>
      <c r="O115" s="85" t="s">
        <v>3115</v>
      </c>
      <c r="P115" s="148">
        <v>11.66</v>
      </c>
      <c r="Q115" s="94"/>
      <c r="R115" s="93"/>
      <c r="S115" s="85"/>
      <c r="U115" s="94"/>
      <c r="V115" s="93"/>
      <c r="W115" s="85"/>
      <c r="Y115" s="94"/>
      <c r="Z115" s="93"/>
      <c r="AA115" s="85"/>
      <c r="AC115" s="94"/>
      <c r="AD115" s="93"/>
      <c r="AE115" s="85"/>
    </row>
    <row r="116" spans="5:31" x14ac:dyDescent="0.35">
      <c r="E116" s="85">
        <v>8</v>
      </c>
      <c r="F116" s="93">
        <v>45000</v>
      </c>
      <c r="G116" s="85" t="s">
        <v>1588</v>
      </c>
      <c r="H116" s="87">
        <v>11.4</v>
      </c>
      <c r="I116" s="94">
        <v>16</v>
      </c>
      <c r="J116" s="93">
        <v>45043</v>
      </c>
      <c r="K116" s="85" t="s">
        <v>1589</v>
      </c>
      <c r="L116" s="87">
        <v>16.57</v>
      </c>
      <c r="M116" s="85">
        <v>8</v>
      </c>
      <c r="N116" s="93">
        <v>45448</v>
      </c>
      <c r="O116" s="85" t="s">
        <v>3118</v>
      </c>
      <c r="P116" s="148">
        <v>3.33</v>
      </c>
      <c r="Q116" s="94"/>
      <c r="R116" s="93"/>
      <c r="S116" s="85"/>
      <c r="U116" s="94"/>
      <c r="V116" s="93"/>
      <c r="W116" s="85"/>
      <c r="Y116" s="94"/>
      <c r="Z116" s="93"/>
      <c r="AA116" s="85"/>
      <c r="AC116" s="94"/>
      <c r="AD116" s="93"/>
      <c r="AE116" s="85"/>
    </row>
    <row r="117" spans="5:31" x14ac:dyDescent="0.35">
      <c r="E117" s="85">
        <v>16</v>
      </c>
      <c r="F117" s="93">
        <v>45001</v>
      </c>
      <c r="G117" s="85" t="s">
        <v>1553</v>
      </c>
      <c r="H117" s="87">
        <v>1.9</v>
      </c>
      <c r="I117" s="94">
        <v>16</v>
      </c>
      <c r="J117" s="93">
        <v>45043</v>
      </c>
      <c r="K117" s="85" t="s">
        <v>1590</v>
      </c>
      <c r="L117" s="87">
        <v>12.3</v>
      </c>
      <c r="M117" s="85">
        <v>10</v>
      </c>
      <c r="N117" s="93">
        <v>45398</v>
      </c>
      <c r="O117" s="85" t="s">
        <v>3137</v>
      </c>
      <c r="P117" s="148">
        <v>-42</v>
      </c>
      <c r="Q117" s="94"/>
      <c r="R117" s="93"/>
      <c r="S117" s="85"/>
      <c r="U117" s="94"/>
      <c r="V117" s="93"/>
      <c r="W117" s="85"/>
      <c r="Y117" s="94"/>
      <c r="Z117" s="93"/>
      <c r="AA117" s="85"/>
      <c r="AC117" s="94"/>
      <c r="AD117" s="93"/>
      <c r="AE117" s="85"/>
    </row>
    <row r="118" spans="5:31" x14ac:dyDescent="0.35">
      <c r="E118" s="85">
        <v>16</v>
      </c>
      <c r="F118" s="93">
        <v>45001</v>
      </c>
      <c r="G118" s="85" t="s">
        <v>715</v>
      </c>
      <c r="H118" s="87">
        <v>8.33</v>
      </c>
      <c r="I118" s="94">
        <v>16</v>
      </c>
      <c r="J118" s="93">
        <v>45043</v>
      </c>
      <c r="K118" s="85" t="s">
        <v>1516</v>
      </c>
      <c r="L118" s="87">
        <v>27.92</v>
      </c>
      <c r="M118" s="85">
        <v>6</v>
      </c>
      <c r="N118" s="93">
        <v>45491</v>
      </c>
      <c r="O118" s="85" t="s">
        <v>1617</v>
      </c>
      <c r="P118" s="87">
        <v>733.05</v>
      </c>
      <c r="Q118" s="94"/>
      <c r="R118" s="93"/>
      <c r="S118" s="85"/>
      <c r="U118" s="94"/>
      <c r="V118" s="93"/>
      <c r="W118" s="85"/>
      <c r="Y118" s="94"/>
      <c r="Z118" s="93"/>
      <c r="AA118" s="85"/>
      <c r="AC118" s="94"/>
      <c r="AD118" s="93"/>
      <c r="AE118" s="85"/>
    </row>
    <row r="119" spans="5:31" x14ac:dyDescent="0.35">
      <c r="E119" s="85">
        <v>8</v>
      </c>
      <c r="F119" s="93">
        <v>45002</v>
      </c>
      <c r="G119" s="85" t="s">
        <v>1579</v>
      </c>
      <c r="H119" s="87">
        <v>3.9</v>
      </c>
      <c r="I119" s="94">
        <v>14</v>
      </c>
      <c r="J119" s="93">
        <v>45043</v>
      </c>
      <c r="K119" s="85" t="s">
        <v>1591</v>
      </c>
      <c r="L119" s="87">
        <v>33.840000000000003</v>
      </c>
      <c r="M119" s="85">
        <v>20</v>
      </c>
      <c r="N119" s="93">
        <v>45488</v>
      </c>
      <c r="O119" s="85" t="s">
        <v>3141</v>
      </c>
      <c r="P119" s="87">
        <v>2863</v>
      </c>
      <c r="Q119" s="94"/>
      <c r="R119" s="93"/>
      <c r="S119" s="85"/>
      <c r="U119" s="94"/>
      <c r="V119" s="93"/>
      <c r="W119" s="85"/>
      <c r="Y119" s="94"/>
      <c r="Z119" s="93"/>
      <c r="AA119" s="85"/>
      <c r="AC119" s="94"/>
      <c r="AD119" s="93"/>
      <c r="AE119" s="85"/>
    </row>
    <row r="120" spans="5:31" x14ac:dyDescent="0.35">
      <c r="E120" s="85">
        <v>8</v>
      </c>
      <c r="F120" s="93">
        <v>45002</v>
      </c>
      <c r="G120" s="85" t="s">
        <v>1592</v>
      </c>
      <c r="H120" s="87">
        <v>58.24</v>
      </c>
      <c r="I120" s="94">
        <v>16</v>
      </c>
      <c r="J120" s="93">
        <v>45047</v>
      </c>
      <c r="K120" s="85" t="s">
        <v>1593</v>
      </c>
      <c r="L120" s="87">
        <v>9.1199999999999992</v>
      </c>
      <c r="M120" s="85">
        <v>10</v>
      </c>
      <c r="N120" s="93">
        <v>45498</v>
      </c>
      <c r="O120" s="85" t="s">
        <v>1607</v>
      </c>
      <c r="P120" s="87">
        <v>677.8</v>
      </c>
      <c r="Q120" s="94"/>
      <c r="R120" s="93"/>
      <c r="S120" s="85"/>
      <c r="U120" s="94"/>
      <c r="V120" s="93"/>
      <c r="W120" s="85"/>
      <c r="Y120" s="94"/>
      <c r="Z120" s="93"/>
      <c r="AA120" s="85"/>
      <c r="AC120" s="94"/>
      <c r="AD120" s="93"/>
      <c r="AE120" s="85"/>
    </row>
    <row r="121" spans="5:31" x14ac:dyDescent="0.35">
      <c r="E121" s="85">
        <v>16</v>
      </c>
      <c r="F121" s="93">
        <v>45011</v>
      </c>
      <c r="G121" s="85" t="s">
        <v>1516</v>
      </c>
      <c r="H121" s="87">
        <v>24.46</v>
      </c>
      <c r="I121" s="94">
        <v>8</v>
      </c>
      <c r="J121" s="93">
        <v>45039</v>
      </c>
      <c r="K121" s="85" t="s">
        <v>1512</v>
      </c>
      <c r="L121" s="87">
        <v>44.99</v>
      </c>
      <c r="M121" s="85">
        <v>8</v>
      </c>
      <c r="N121" s="93">
        <v>45497</v>
      </c>
      <c r="O121" s="85" t="s">
        <v>3166</v>
      </c>
      <c r="P121" s="87">
        <v>53.5</v>
      </c>
      <c r="Q121" s="94"/>
      <c r="R121" s="93"/>
      <c r="S121" s="85"/>
      <c r="U121" s="94"/>
      <c r="V121" s="93"/>
      <c r="W121" s="85"/>
      <c r="Y121" s="94"/>
      <c r="Z121" s="93"/>
      <c r="AA121" s="85"/>
      <c r="AC121" s="94"/>
      <c r="AD121" s="93"/>
      <c r="AE121" s="85"/>
    </row>
    <row r="122" spans="5:31" x14ac:dyDescent="0.35">
      <c r="E122" s="85">
        <v>16</v>
      </c>
      <c r="F122" s="93">
        <v>45011</v>
      </c>
      <c r="G122" s="85" t="s">
        <v>1594</v>
      </c>
      <c r="H122" s="87">
        <v>5.82</v>
      </c>
      <c r="I122" s="94">
        <v>16</v>
      </c>
      <c r="J122" s="93">
        <v>45058</v>
      </c>
      <c r="K122" s="85" t="s">
        <v>1595</v>
      </c>
      <c r="L122" s="87">
        <v>8.32</v>
      </c>
      <c r="M122" s="85">
        <v>16</v>
      </c>
      <c r="N122" s="93">
        <v>45499</v>
      </c>
      <c r="O122" s="85" t="s">
        <v>1553</v>
      </c>
      <c r="P122" s="87">
        <v>2.5</v>
      </c>
      <c r="Q122" s="94"/>
      <c r="R122" s="93"/>
      <c r="S122" s="85"/>
      <c r="U122" s="94"/>
      <c r="V122" s="93"/>
      <c r="W122" s="85"/>
      <c r="Y122" s="94"/>
      <c r="Z122" s="93"/>
      <c r="AA122" s="85"/>
      <c r="AC122" s="94"/>
      <c r="AD122" s="93"/>
      <c r="AE122" s="85"/>
    </row>
    <row r="123" spans="5:31" x14ac:dyDescent="0.35">
      <c r="E123" s="85">
        <v>8</v>
      </c>
      <c r="F123" s="93">
        <v>45008</v>
      </c>
      <c r="G123" s="85" t="s">
        <v>1512</v>
      </c>
      <c r="H123" s="87">
        <v>43.99</v>
      </c>
      <c r="I123" s="94">
        <v>20</v>
      </c>
      <c r="J123" s="93">
        <v>45059</v>
      </c>
      <c r="K123" s="85" t="s">
        <v>1596</v>
      </c>
      <c r="L123" s="87">
        <v>23.71</v>
      </c>
      <c r="M123" s="85">
        <v>8</v>
      </c>
      <c r="N123" s="93">
        <v>45499</v>
      </c>
      <c r="O123" s="85" t="s">
        <v>1579</v>
      </c>
      <c r="P123" s="87">
        <v>8.64</v>
      </c>
      <c r="Q123" s="94"/>
      <c r="R123" s="93"/>
      <c r="S123" s="85"/>
      <c r="U123" s="94"/>
      <c r="V123" s="93"/>
      <c r="W123" s="85"/>
      <c r="Y123" s="94"/>
      <c r="Z123" s="93"/>
      <c r="AA123" s="85"/>
      <c r="AC123" s="94"/>
      <c r="AD123" s="93"/>
      <c r="AE123" s="85"/>
    </row>
    <row r="124" spans="5:31" x14ac:dyDescent="0.35">
      <c r="E124" s="85">
        <v>16</v>
      </c>
      <c r="F124" s="93">
        <v>45012</v>
      </c>
      <c r="G124" s="85" t="s">
        <v>1580</v>
      </c>
      <c r="H124" s="87">
        <v>1.5</v>
      </c>
      <c r="I124" s="94">
        <v>8</v>
      </c>
      <c r="J124" s="93">
        <v>45071</v>
      </c>
      <c r="K124" s="85" t="s">
        <v>1579</v>
      </c>
      <c r="L124" s="87">
        <v>29.59</v>
      </c>
      <c r="M124" s="85">
        <v>16</v>
      </c>
      <c r="N124" s="93">
        <v>45502</v>
      </c>
      <c r="O124" s="85" t="s">
        <v>3171</v>
      </c>
      <c r="P124" s="87">
        <v>18.32</v>
      </c>
      <c r="Q124" s="94"/>
      <c r="R124" s="93"/>
      <c r="S124" s="85"/>
      <c r="U124" s="94"/>
      <c r="V124" s="93"/>
      <c r="W124" s="85"/>
      <c r="Y124" s="94"/>
      <c r="Z124" s="93"/>
      <c r="AA124" s="85"/>
      <c r="AC124" s="94"/>
      <c r="AD124" s="93"/>
      <c r="AE124" s="85"/>
    </row>
    <row r="125" spans="5:31" x14ac:dyDescent="0.35">
      <c r="E125" s="85" t="s">
        <v>1597</v>
      </c>
      <c r="G125" s="85" t="s">
        <v>1598</v>
      </c>
      <c r="H125" s="87">
        <v>1.77</v>
      </c>
      <c r="I125" s="94">
        <v>16</v>
      </c>
      <c r="J125" s="93">
        <v>45072</v>
      </c>
      <c r="K125" s="87" t="s">
        <v>1553</v>
      </c>
      <c r="L125" s="87">
        <v>1.1000000000000001</v>
      </c>
      <c r="M125" s="85">
        <v>12</v>
      </c>
      <c r="N125" s="93">
        <v>45399</v>
      </c>
      <c r="O125" s="85" t="s">
        <v>3178</v>
      </c>
      <c r="P125" s="87">
        <v>7247.75</v>
      </c>
      <c r="Q125" s="94"/>
      <c r="R125" s="93"/>
      <c r="S125" s="85"/>
      <c r="U125" s="94"/>
      <c r="V125" s="93"/>
      <c r="W125" s="85"/>
      <c r="Y125" s="94"/>
      <c r="Z125" s="93"/>
      <c r="AA125" s="85"/>
      <c r="AC125" s="94"/>
      <c r="AD125" s="93"/>
      <c r="AE125" s="85"/>
    </row>
    <row r="126" spans="5:31" x14ac:dyDescent="0.35">
      <c r="E126" s="85" t="s">
        <v>1597</v>
      </c>
      <c r="G126" s="85" t="s">
        <v>1599</v>
      </c>
      <c r="H126" s="87">
        <f>30.81+48.15</f>
        <v>78.959999999999994</v>
      </c>
      <c r="I126" s="94">
        <v>8</v>
      </c>
      <c r="J126" s="93">
        <v>45069</v>
      </c>
      <c r="K126" s="85" t="s">
        <v>1512</v>
      </c>
      <c r="L126" s="87">
        <v>44.99</v>
      </c>
      <c r="M126" s="85">
        <v>10</v>
      </c>
      <c r="N126" s="93">
        <v>45499</v>
      </c>
      <c r="O126" s="85" t="s">
        <v>1607</v>
      </c>
      <c r="P126" s="87">
        <v>59.5</v>
      </c>
      <c r="Q126" s="94"/>
      <c r="R126" s="93"/>
      <c r="S126" s="85"/>
      <c r="U126" s="94"/>
      <c r="V126" s="93"/>
      <c r="W126" s="85"/>
      <c r="Y126" s="94"/>
      <c r="Z126" s="93"/>
      <c r="AA126" s="85"/>
      <c r="AC126" s="94"/>
      <c r="AD126" s="93"/>
      <c r="AE126" s="85"/>
    </row>
    <row r="127" spans="5:31" x14ac:dyDescent="0.35">
      <c r="G127" s="85"/>
      <c r="H127" s="87"/>
      <c r="I127" s="94">
        <v>20</v>
      </c>
      <c r="J127" s="93">
        <v>45095</v>
      </c>
      <c r="K127" s="87" t="s">
        <v>1600</v>
      </c>
      <c r="L127" s="87">
        <v>495.77</v>
      </c>
      <c r="M127" s="85">
        <v>10</v>
      </c>
      <c r="N127" s="93">
        <v>45504</v>
      </c>
      <c r="O127" s="85" t="s">
        <v>1607</v>
      </c>
      <c r="P127" s="87">
        <v>39.380000000000003</v>
      </c>
      <c r="Q127" s="94"/>
      <c r="R127" s="93"/>
      <c r="S127" s="85"/>
      <c r="U127" s="94"/>
      <c r="V127" s="93"/>
      <c r="W127" s="85"/>
      <c r="Y127" s="94"/>
      <c r="Z127" s="93"/>
      <c r="AA127" s="85"/>
      <c r="AC127" s="94"/>
      <c r="AD127" s="93"/>
      <c r="AE127" s="85"/>
    </row>
    <row r="128" spans="5:31" x14ac:dyDescent="0.35">
      <c r="G128" s="85"/>
      <c r="H128" s="87"/>
      <c r="I128" s="94">
        <v>14</v>
      </c>
      <c r="J128" s="93">
        <v>45106</v>
      </c>
      <c r="K128" s="87" t="s">
        <v>1601</v>
      </c>
      <c r="L128" s="87">
        <v>729.77</v>
      </c>
      <c r="M128" s="85">
        <v>6</v>
      </c>
      <c r="N128" s="93">
        <v>45489</v>
      </c>
      <c r="O128" s="85" t="s">
        <v>1632</v>
      </c>
      <c r="P128" s="87">
        <v>68.930000000000007</v>
      </c>
      <c r="Q128" s="94"/>
      <c r="R128" s="93"/>
      <c r="S128" s="85"/>
      <c r="U128" s="94"/>
      <c r="V128" s="93"/>
      <c r="W128" s="85"/>
      <c r="Y128" s="94"/>
      <c r="Z128" s="93"/>
      <c r="AA128" s="85"/>
      <c r="AC128" s="94"/>
      <c r="AD128" s="93"/>
      <c r="AE128" s="85"/>
    </row>
    <row r="129" spans="7:31" x14ac:dyDescent="0.35">
      <c r="G129" s="85"/>
      <c r="H129" s="87"/>
      <c r="I129" s="94">
        <v>14</v>
      </c>
      <c r="J129" s="93">
        <v>45104</v>
      </c>
      <c r="K129" s="87" t="s">
        <v>1602</v>
      </c>
      <c r="L129" s="87">
        <v>529.65</v>
      </c>
      <c r="M129" s="85">
        <v>6</v>
      </c>
      <c r="N129" s="93">
        <v>45489</v>
      </c>
      <c r="O129" s="85" t="s">
        <v>1631</v>
      </c>
      <c r="P129" s="87">
        <v>1728.52</v>
      </c>
      <c r="Q129" s="94"/>
      <c r="R129" s="93"/>
      <c r="S129" s="85"/>
      <c r="U129" s="94"/>
      <c r="V129" s="93"/>
      <c r="W129" s="85"/>
      <c r="Y129" s="94"/>
      <c r="Z129" s="93"/>
      <c r="AA129" s="85"/>
      <c r="AC129" s="94"/>
      <c r="AD129" s="93"/>
      <c r="AE129" s="85"/>
    </row>
    <row r="130" spans="7:31" x14ac:dyDescent="0.35">
      <c r="G130" s="85"/>
      <c r="H130" s="87"/>
      <c r="I130" s="94">
        <v>16</v>
      </c>
      <c r="J130" s="93">
        <v>45099</v>
      </c>
      <c r="K130" s="87" t="s">
        <v>1603</v>
      </c>
      <c r="L130" s="87">
        <v>90.7</v>
      </c>
      <c r="M130" s="85"/>
      <c r="N130" s="93"/>
      <c r="O130" s="85"/>
      <c r="Q130" s="94"/>
      <c r="R130" s="93"/>
      <c r="S130" s="85"/>
      <c r="U130" s="94"/>
      <c r="V130" s="93"/>
      <c r="W130" s="85"/>
      <c r="Y130" s="94"/>
      <c r="Z130" s="93"/>
      <c r="AA130" s="85"/>
      <c r="AC130" s="94"/>
      <c r="AD130" s="93"/>
      <c r="AE130" s="85"/>
    </row>
    <row r="131" spans="7:31" x14ac:dyDescent="0.35">
      <c r="G131" s="85"/>
      <c r="H131" s="87"/>
      <c r="I131" s="94">
        <v>8</v>
      </c>
      <c r="J131" s="93">
        <v>45106</v>
      </c>
      <c r="K131" s="87" t="s">
        <v>1579</v>
      </c>
      <c r="L131" s="87">
        <v>16.05</v>
      </c>
      <c r="M131" s="85"/>
      <c r="N131" s="93"/>
      <c r="O131" s="85"/>
      <c r="Q131" s="94"/>
      <c r="R131" s="93"/>
      <c r="S131" s="85"/>
      <c r="U131" s="94"/>
      <c r="V131" s="93"/>
      <c r="W131" s="85"/>
      <c r="Y131" s="94"/>
      <c r="Z131" s="93"/>
      <c r="AA131" s="85"/>
      <c r="AC131" s="94"/>
      <c r="AD131" s="93"/>
      <c r="AE131" s="85"/>
    </row>
    <row r="132" spans="7:31" x14ac:dyDescent="0.35">
      <c r="G132" s="85"/>
      <c r="H132" s="87"/>
      <c r="I132" s="94">
        <v>7</v>
      </c>
      <c r="J132" s="93">
        <v>45112</v>
      </c>
      <c r="K132" s="87" t="s">
        <v>1510</v>
      </c>
      <c r="L132" s="87">
        <v>56.61</v>
      </c>
      <c r="M132" s="85"/>
      <c r="N132" s="93"/>
      <c r="O132" s="85"/>
      <c r="Q132" s="94"/>
      <c r="R132" s="93"/>
      <c r="S132" s="85"/>
      <c r="U132" s="94"/>
      <c r="V132" s="93"/>
      <c r="W132" s="85"/>
      <c r="Y132" s="94"/>
      <c r="Z132" s="93"/>
      <c r="AA132" s="85"/>
      <c r="AC132" s="94"/>
      <c r="AD132" s="93"/>
      <c r="AE132" s="85"/>
    </row>
    <row r="133" spans="7:31" x14ac:dyDescent="0.35">
      <c r="G133" s="85"/>
      <c r="H133" s="87"/>
      <c r="I133" s="94">
        <v>7</v>
      </c>
      <c r="J133" s="93">
        <v>45112</v>
      </c>
      <c r="K133" s="87" t="s">
        <v>1604</v>
      </c>
      <c r="L133" s="87">
        <v>6.66</v>
      </c>
      <c r="M133" s="85"/>
      <c r="N133" s="93"/>
      <c r="O133" s="85"/>
      <c r="Q133" s="94"/>
      <c r="R133" s="93"/>
      <c r="S133" s="85"/>
      <c r="U133" s="94"/>
      <c r="V133" s="93"/>
      <c r="W133" s="85"/>
      <c r="Y133" s="94"/>
      <c r="Z133" s="93"/>
      <c r="AA133" s="85"/>
      <c r="AC133" s="94"/>
      <c r="AD133" s="93"/>
      <c r="AE133" s="85"/>
    </row>
    <row r="134" spans="7:31" x14ac:dyDescent="0.35">
      <c r="G134" s="85"/>
      <c r="H134" s="87"/>
      <c r="I134" s="94">
        <v>14</v>
      </c>
      <c r="J134" s="93">
        <v>45112</v>
      </c>
      <c r="K134" s="87" t="s">
        <v>1605</v>
      </c>
      <c r="L134" s="87">
        <v>10.75</v>
      </c>
      <c r="M134" s="85"/>
      <c r="N134" s="93"/>
      <c r="O134" s="85"/>
      <c r="Q134" s="94"/>
      <c r="R134" s="93"/>
      <c r="S134" s="85"/>
      <c r="U134" s="94"/>
      <c r="V134" s="93"/>
      <c r="W134" s="85"/>
      <c r="Y134" s="94"/>
      <c r="Z134" s="93"/>
      <c r="AA134" s="85"/>
      <c r="AC134" s="94"/>
      <c r="AD134" s="93"/>
      <c r="AE134" s="85"/>
    </row>
    <row r="135" spans="7:31" x14ac:dyDescent="0.35">
      <c r="G135" s="85"/>
      <c r="H135" s="87"/>
      <c r="I135" s="94">
        <v>15</v>
      </c>
      <c r="J135" s="93">
        <v>45107</v>
      </c>
      <c r="K135" s="87" t="s">
        <v>1606</v>
      </c>
      <c r="L135" s="87">
        <f>19+4</f>
        <v>23</v>
      </c>
      <c r="M135" s="85"/>
      <c r="N135" s="93"/>
      <c r="O135" s="85"/>
      <c r="Q135" s="94"/>
      <c r="R135" s="93"/>
      <c r="S135" s="85"/>
      <c r="U135" s="94"/>
      <c r="V135" s="93"/>
      <c r="W135" s="85"/>
      <c r="Y135" s="94"/>
      <c r="Z135" s="93"/>
      <c r="AA135" s="85"/>
      <c r="AC135" s="94"/>
      <c r="AD135" s="93"/>
      <c r="AE135" s="85"/>
    </row>
    <row r="136" spans="7:31" x14ac:dyDescent="0.35">
      <c r="G136" s="85"/>
      <c r="H136" s="87"/>
      <c r="I136" s="94">
        <v>14</v>
      </c>
      <c r="J136" s="93">
        <v>45107</v>
      </c>
      <c r="K136" s="87" t="s">
        <v>1607</v>
      </c>
      <c r="L136" s="87">
        <v>24</v>
      </c>
      <c r="M136" s="85"/>
      <c r="N136" s="93"/>
      <c r="O136" s="85"/>
      <c r="Q136" s="94"/>
      <c r="R136" s="93"/>
      <c r="S136" s="85"/>
      <c r="U136" s="94"/>
      <c r="V136" s="93"/>
      <c r="W136" s="85"/>
      <c r="Y136" s="94"/>
      <c r="Z136" s="93"/>
      <c r="AA136" s="85"/>
      <c r="AC136" s="94"/>
      <c r="AD136" s="93"/>
      <c r="AE136" s="85"/>
    </row>
    <row r="137" spans="7:31" x14ac:dyDescent="0.35">
      <c r="G137" s="85"/>
      <c r="H137" s="87"/>
      <c r="I137" s="94">
        <v>15</v>
      </c>
      <c r="J137" s="93">
        <v>45125</v>
      </c>
      <c r="K137" s="87" t="s">
        <v>1606</v>
      </c>
      <c r="L137" s="87">
        <v>57</v>
      </c>
      <c r="M137" s="85"/>
      <c r="N137" s="93"/>
      <c r="O137" s="85"/>
      <c r="Q137" s="94"/>
      <c r="R137" s="93"/>
      <c r="S137" s="85"/>
      <c r="U137" s="94"/>
      <c r="V137" s="93"/>
      <c r="W137" s="85"/>
      <c r="Y137" s="94"/>
      <c r="Z137" s="93"/>
      <c r="AA137" s="85"/>
      <c r="AC137" s="94"/>
      <c r="AD137" s="93"/>
      <c r="AE137" s="85"/>
    </row>
    <row r="138" spans="7:31" x14ac:dyDescent="0.35">
      <c r="G138" s="85"/>
      <c r="H138" s="87"/>
      <c r="I138" s="94">
        <v>14</v>
      </c>
      <c r="J138" s="93">
        <v>45118</v>
      </c>
      <c r="K138" s="87" t="s">
        <v>1607</v>
      </c>
      <c r="L138" s="87">
        <v>193</v>
      </c>
      <c r="M138" s="85"/>
      <c r="N138" s="93"/>
      <c r="O138" s="85"/>
      <c r="Q138" s="94"/>
      <c r="R138" s="93"/>
      <c r="S138" s="85"/>
      <c r="U138" s="94"/>
      <c r="V138" s="93"/>
      <c r="W138" s="85"/>
      <c r="Y138" s="94"/>
      <c r="Z138" s="93"/>
      <c r="AA138" s="85"/>
      <c r="AC138" s="94"/>
      <c r="AD138" s="93"/>
      <c r="AE138" s="85"/>
    </row>
    <row r="139" spans="7:31" x14ac:dyDescent="0.35">
      <c r="G139" s="85"/>
      <c r="H139" s="87"/>
      <c r="I139" s="94">
        <v>15</v>
      </c>
      <c r="J139" s="93">
        <v>45118</v>
      </c>
      <c r="K139" s="87" t="s">
        <v>1606</v>
      </c>
      <c r="L139" s="87">
        <v>28.5</v>
      </c>
      <c r="M139" s="85"/>
      <c r="N139" s="93"/>
      <c r="O139" s="85"/>
      <c r="Q139" s="94"/>
      <c r="R139" s="93"/>
      <c r="S139" s="85"/>
      <c r="U139" s="94"/>
      <c r="V139" s="93"/>
      <c r="W139" s="85"/>
      <c r="Y139" s="94"/>
      <c r="Z139" s="93"/>
      <c r="AA139" s="85"/>
      <c r="AC139" s="94"/>
      <c r="AD139" s="93"/>
      <c r="AE139" s="85"/>
    </row>
    <row r="140" spans="7:31" x14ac:dyDescent="0.35">
      <c r="G140" s="85"/>
      <c r="H140" s="87"/>
      <c r="I140" s="94">
        <v>14</v>
      </c>
      <c r="J140" s="93">
        <v>45127</v>
      </c>
      <c r="K140" s="87" t="s">
        <v>1608</v>
      </c>
      <c r="L140" s="87">
        <v>610</v>
      </c>
      <c r="M140" s="85"/>
      <c r="N140" s="93"/>
      <c r="O140" s="85"/>
      <c r="Q140" s="94"/>
      <c r="R140" s="93"/>
      <c r="S140" s="85"/>
      <c r="U140" s="94"/>
      <c r="V140" s="93"/>
      <c r="W140" s="85"/>
      <c r="Y140" s="94"/>
      <c r="Z140" s="93"/>
      <c r="AA140" s="85"/>
      <c r="AC140" s="94"/>
      <c r="AD140" s="93"/>
      <c r="AE140" s="85"/>
    </row>
    <row r="141" spans="7:31" x14ac:dyDescent="0.35">
      <c r="G141" s="85"/>
      <c r="H141" s="87"/>
      <c r="I141" s="94">
        <v>14</v>
      </c>
      <c r="J141" s="93">
        <v>45120</v>
      </c>
      <c r="K141" s="87" t="s">
        <v>1607</v>
      </c>
      <c r="L141" s="87">
        <v>199.47</v>
      </c>
      <c r="M141" s="85"/>
      <c r="N141" s="93"/>
      <c r="O141" s="85"/>
      <c r="Q141" s="94"/>
      <c r="R141" s="93"/>
      <c r="S141" s="85"/>
      <c r="U141" s="94"/>
      <c r="V141" s="93"/>
      <c r="W141" s="85"/>
      <c r="Y141" s="94"/>
      <c r="Z141" s="93"/>
      <c r="AA141" s="85"/>
      <c r="AC141" s="94"/>
      <c r="AD141" s="93"/>
      <c r="AE141" s="85"/>
    </row>
    <row r="142" spans="7:31" x14ac:dyDescent="0.35">
      <c r="G142" s="85"/>
      <c r="H142" s="87"/>
      <c r="I142" s="94">
        <v>14</v>
      </c>
      <c r="J142" s="93">
        <v>45079</v>
      </c>
      <c r="K142" s="87" t="s">
        <v>1609</v>
      </c>
      <c r="L142" s="87">
        <f>179.95+29.13+29.16+124.92+154.3+16.66</f>
        <v>534.12</v>
      </c>
      <c r="M142" s="85"/>
      <c r="N142" s="93"/>
      <c r="O142" s="85"/>
      <c r="Q142" s="94"/>
      <c r="R142" s="93"/>
      <c r="S142" s="85"/>
      <c r="U142" s="94"/>
      <c r="V142" s="93"/>
      <c r="W142" s="85"/>
      <c r="Y142" s="94"/>
      <c r="Z142" s="93"/>
      <c r="AA142" s="85"/>
      <c r="AC142" s="94"/>
      <c r="AD142" s="93"/>
      <c r="AE142" s="85"/>
    </row>
    <row r="143" spans="7:31" x14ac:dyDescent="0.35">
      <c r="G143" s="85"/>
      <c r="H143" s="87"/>
      <c r="I143" s="94">
        <v>19</v>
      </c>
      <c r="J143" s="93">
        <v>45110</v>
      </c>
      <c r="K143" s="87" t="s">
        <v>1610</v>
      </c>
      <c r="L143" s="87">
        <v>445</v>
      </c>
      <c r="M143" s="85"/>
      <c r="N143" s="93"/>
      <c r="O143" s="85"/>
      <c r="Q143" s="94"/>
      <c r="R143" s="93"/>
      <c r="S143" s="85"/>
      <c r="U143" s="94"/>
      <c r="V143" s="93"/>
      <c r="W143" s="85"/>
      <c r="Y143" s="94"/>
      <c r="Z143" s="93"/>
      <c r="AA143" s="85"/>
      <c r="AC143" s="94"/>
      <c r="AD143" s="93"/>
      <c r="AE143" s="85"/>
    </row>
    <row r="144" spans="7:31" x14ac:dyDescent="0.35">
      <c r="G144" s="85"/>
      <c r="H144" s="87"/>
      <c r="I144" s="94">
        <v>14</v>
      </c>
      <c r="J144" s="93">
        <v>45148</v>
      </c>
      <c r="K144" s="87" t="s">
        <v>1611</v>
      </c>
      <c r="L144" s="87">
        <v>537.57000000000005</v>
      </c>
      <c r="M144" s="85"/>
      <c r="N144" s="93"/>
      <c r="O144" s="85"/>
      <c r="Q144" s="94"/>
      <c r="R144" s="93"/>
      <c r="S144" s="85"/>
      <c r="U144" s="94"/>
      <c r="V144" s="93"/>
      <c r="W144" s="85"/>
      <c r="Y144" s="94"/>
      <c r="Z144" s="93"/>
      <c r="AA144" s="85"/>
      <c r="AC144" s="94"/>
      <c r="AD144" s="93"/>
      <c r="AE144" s="85"/>
    </row>
    <row r="145" spans="7:31" ht="29" x14ac:dyDescent="0.35">
      <c r="G145" s="85"/>
      <c r="H145" s="87"/>
      <c r="I145" s="94" t="s">
        <v>23</v>
      </c>
      <c r="J145" s="93" t="s">
        <v>719</v>
      </c>
      <c r="K145" s="86" t="s">
        <v>1612</v>
      </c>
      <c r="L145" s="87">
        <v>17000</v>
      </c>
      <c r="M145" s="85"/>
      <c r="N145" s="93"/>
      <c r="O145" s="85"/>
      <c r="Q145" s="94"/>
      <c r="R145" s="93"/>
      <c r="S145" s="85"/>
      <c r="U145" s="94"/>
      <c r="V145" s="93"/>
      <c r="W145" s="85"/>
      <c r="Y145" s="94"/>
      <c r="Z145" s="93"/>
      <c r="AA145" s="85"/>
      <c r="AC145" s="94"/>
      <c r="AD145" s="93"/>
      <c r="AE145" s="85"/>
    </row>
    <row r="146" spans="7:31" x14ac:dyDescent="0.35">
      <c r="G146" s="85"/>
      <c r="H146" s="87"/>
      <c r="I146" s="94">
        <v>14</v>
      </c>
      <c r="J146" s="93">
        <v>45118</v>
      </c>
      <c r="K146" s="87" t="s">
        <v>1614</v>
      </c>
      <c r="L146" s="87">
        <v>4950</v>
      </c>
      <c r="M146" s="85"/>
      <c r="N146" s="93"/>
      <c r="O146" s="85"/>
      <c r="Q146" s="94"/>
      <c r="R146" s="93"/>
      <c r="S146" s="85"/>
      <c r="U146" s="94"/>
      <c r="V146" s="93"/>
      <c r="W146" s="85"/>
      <c r="Y146" s="94"/>
      <c r="Z146" s="93"/>
      <c r="AA146" s="85"/>
      <c r="AC146" s="94"/>
      <c r="AD146" s="93"/>
      <c r="AE146" s="85"/>
    </row>
    <row r="147" spans="7:31" x14ac:dyDescent="0.35">
      <c r="G147" s="85"/>
      <c r="H147" s="87"/>
      <c r="I147" s="94">
        <v>14</v>
      </c>
      <c r="J147" s="93">
        <v>45152</v>
      </c>
      <c r="K147" s="87" t="s">
        <v>1615</v>
      </c>
      <c r="L147" s="87">
        <v>5950</v>
      </c>
      <c r="M147" s="85"/>
      <c r="N147" s="93"/>
      <c r="O147" s="85"/>
      <c r="Q147" s="94"/>
      <c r="R147" s="93"/>
      <c r="S147" s="85"/>
      <c r="U147" s="94"/>
      <c r="V147" s="93"/>
      <c r="W147" s="85"/>
      <c r="Y147" s="94"/>
      <c r="Z147" s="93"/>
      <c r="AA147" s="85"/>
      <c r="AC147" s="94"/>
      <c r="AD147" s="93"/>
      <c r="AE147" s="85"/>
    </row>
    <row r="148" spans="7:31" x14ac:dyDescent="0.35">
      <c r="G148" s="85"/>
      <c r="H148" s="87"/>
      <c r="I148" s="94">
        <v>19</v>
      </c>
      <c r="J148" s="93">
        <v>45133</v>
      </c>
      <c r="K148" s="87" t="s">
        <v>1616</v>
      </c>
      <c r="L148" s="87">
        <v>445</v>
      </c>
      <c r="M148" s="85"/>
      <c r="N148" s="93"/>
      <c r="O148" s="85"/>
      <c r="Q148" s="94"/>
      <c r="R148" s="93"/>
      <c r="S148" s="85"/>
      <c r="U148" s="94"/>
      <c r="V148" s="93"/>
      <c r="W148" s="85"/>
      <c r="Y148" s="94"/>
      <c r="Z148" s="93"/>
      <c r="AA148" s="85"/>
      <c r="AC148" s="94"/>
      <c r="AD148" s="93"/>
      <c r="AE148" s="85"/>
    </row>
    <row r="149" spans="7:31" ht="58" x14ac:dyDescent="0.35">
      <c r="G149" s="85"/>
      <c r="H149" s="87"/>
      <c r="I149" s="94">
        <v>15</v>
      </c>
      <c r="J149" s="93">
        <v>45132</v>
      </c>
      <c r="K149" s="87" t="s">
        <v>1606</v>
      </c>
      <c r="L149" s="87">
        <v>57</v>
      </c>
      <c r="M149" s="119" t="s">
        <v>1613</v>
      </c>
      <c r="N149" s="93"/>
      <c r="O149" s="85"/>
      <c r="Q149" s="94"/>
      <c r="R149" s="93"/>
      <c r="S149" s="85"/>
      <c r="U149" s="94"/>
      <c r="V149" s="93"/>
      <c r="W149" s="85"/>
      <c r="Y149" s="94"/>
      <c r="Z149" s="93"/>
      <c r="AA149" s="85"/>
      <c r="AC149" s="94"/>
      <c r="AD149" s="93"/>
      <c r="AE149" s="85"/>
    </row>
    <row r="150" spans="7:31" x14ac:dyDescent="0.35">
      <c r="G150" s="85"/>
      <c r="H150" s="87"/>
      <c r="I150" s="94">
        <v>20</v>
      </c>
      <c r="J150" s="93">
        <v>45125</v>
      </c>
      <c r="K150" s="87" t="s">
        <v>1617</v>
      </c>
      <c r="L150" s="87">
        <v>495.77</v>
      </c>
      <c r="M150" s="87"/>
      <c r="N150" s="93"/>
      <c r="O150" s="85"/>
      <c r="Q150" s="94"/>
      <c r="R150" s="93"/>
      <c r="S150" s="85"/>
      <c r="U150" s="94"/>
      <c r="V150" s="93"/>
      <c r="W150" s="85"/>
      <c r="Y150" s="94"/>
      <c r="Z150" s="93"/>
      <c r="AA150" s="85"/>
      <c r="AC150" s="94"/>
      <c r="AD150" s="93"/>
      <c r="AE150" s="85"/>
    </row>
    <row r="151" spans="7:31" x14ac:dyDescent="0.35">
      <c r="G151" s="85"/>
      <c r="H151" s="87"/>
      <c r="I151" s="94">
        <v>14</v>
      </c>
      <c r="J151" s="93">
        <v>45133</v>
      </c>
      <c r="K151" s="87" t="s">
        <v>1618</v>
      </c>
      <c r="L151" s="87">
        <v>10.58</v>
      </c>
      <c r="M151" s="87"/>
      <c r="N151" s="93"/>
      <c r="O151" s="85"/>
      <c r="Q151" s="94"/>
      <c r="R151" s="93"/>
      <c r="S151" s="85"/>
      <c r="U151" s="94"/>
      <c r="V151" s="93"/>
      <c r="W151" s="85"/>
      <c r="Y151" s="94"/>
      <c r="Z151" s="93"/>
      <c r="AA151" s="85"/>
      <c r="AC151" s="94"/>
      <c r="AD151" s="93"/>
      <c r="AE151" s="85"/>
    </row>
    <row r="152" spans="7:31" x14ac:dyDescent="0.35">
      <c r="G152" s="85"/>
      <c r="H152" s="87"/>
      <c r="I152" s="94">
        <v>15</v>
      </c>
      <c r="J152" s="93">
        <v>45133</v>
      </c>
      <c r="K152" s="87" t="s">
        <v>1619</v>
      </c>
      <c r="L152" s="87">
        <v>44.28</v>
      </c>
      <c r="M152" s="87"/>
      <c r="N152" s="93"/>
      <c r="O152" s="85"/>
      <c r="Q152" s="94"/>
      <c r="R152" s="93"/>
      <c r="S152" s="85"/>
      <c r="U152" s="94"/>
      <c r="V152" s="93"/>
      <c r="W152" s="85"/>
      <c r="Y152" s="94"/>
      <c r="Z152" s="93"/>
      <c r="AA152" s="85"/>
      <c r="AC152" s="94"/>
      <c r="AD152" s="93"/>
      <c r="AE152" s="85"/>
    </row>
    <row r="153" spans="7:31" x14ac:dyDescent="0.35">
      <c r="G153" s="85"/>
      <c r="H153" s="87"/>
      <c r="I153" s="94">
        <v>16</v>
      </c>
      <c r="J153" s="93">
        <v>45083</v>
      </c>
      <c r="K153" s="87" t="s">
        <v>1620</v>
      </c>
      <c r="L153" s="87">
        <v>0.83</v>
      </c>
      <c r="M153" s="87"/>
      <c r="N153" s="93"/>
      <c r="O153" s="85"/>
      <c r="Q153" s="94"/>
      <c r="R153" s="93"/>
      <c r="S153" s="85"/>
      <c r="U153" s="94"/>
      <c r="V153" s="93"/>
      <c r="W153" s="85"/>
      <c r="Y153" s="94"/>
      <c r="Z153" s="93"/>
      <c r="AA153" s="85"/>
      <c r="AC153" s="94"/>
      <c r="AD153" s="93"/>
      <c r="AE153" s="85"/>
    </row>
    <row r="154" spans="7:31" x14ac:dyDescent="0.35">
      <c r="G154" s="85"/>
      <c r="H154" s="87"/>
      <c r="I154" s="94">
        <v>16</v>
      </c>
      <c r="J154" s="93">
        <v>45083</v>
      </c>
      <c r="K154" s="87" t="s">
        <v>1516</v>
      </c>
      <c r="L154" s="87">
        <v>24.46</v>
      </c>
      <c r="M154" s="87"/>
      <c r="N154" s="93"/>
      <c r="O154" s="85"/>
      <c r="Q154" s="94"/>
      <c r="R154" s="93"/>
      <c r="S154" s="85"/>
      <c r="U154" s="94"/>
      <c r="V154" s="93"/>
      <c r="W154" s="85"/>
      <c r="Y154" s="94"/>
      <c r="Z154" s="93"/>
      <c r="AA154" s="85"/>
      <c r="AC154" s="94"/>
      <c r="AD154" s="93"/>
      <c r="AE154" s="85"/>
    </row>
    <row r="155" spans="7:31" x14ac:dyDescent="0.35">
      <c r="G155" s="85"/>
      <c r="H155" s="87"/>
      <c r="I155" s="94">
        <v>15</v>
      </c>
      <c r="J155" s="93">
        <v>45083</v>
      </c>
      <c r="K155" s="87" t="s">
        <v>1447</v>
      </c>
      <c r="L155" s="87">
        <v>12.52</v>
      </c>
      <c r="M155" s="87"/>
      <c r="N155" s="93"/>
      <c r="O155" s="85"/>
      <c r="Q155" s="94"/>
      <c r="R155" s="93"/>
      <c r="S155" s="85"/>
      <c r="U155" s="94"/>
      <c r="V155" s="93"/>
      <c r="W155" s="85"/>
      <c r="Y155" s="94"/>
      <c r="Z155" s="93"/>
      <c r="AA155" s="85"/>
      <c r="AC155" s="94"/>
      <c r="AD155" s="93"/>
      <c r="AE155" s="85"/>
    </row>
    <row r="156" spans="7:31" x14ac:dyDescent="0.35">
      <c r="G156" s="85"/>
      <c r="H156" s="87"/>
      <c r="I156" s="94">
        <v>16</v>
      </c>
      <c r="J156" s="93">
        <v>45086</v>
      </c>
      <c r="K156" s="87" t="s">
        <v>1595</v>
      </c>
      <c r="L156" s="87">
        <v>28.32</v>
      </c>
      <c r="M156" s="87"/>
      <c r="N156" s="93"/>
      <c r="O156" s="85"/>
      <c r="Q156" s="94"/>
      <c r="R156" s="93"/>
      <c r="S156" s="85"/>
      <c r="U156" s="94"/>
      <c r="V156" s="93"/>
      <c r="W156" s="85"/>
      <c r="Y156" s="94"/>
      <c r="Z156" s="93"/>
      <c r="AA156" s="85"/>
      <c r="AC156" s="94"/>
      <c r="AD156" s="93"/>
      <c r="AE156" s="85"/>
    </row>
    <row r="157" spans="7:31" x14ac:dyDescent="0.35">
      <c r="G157" s="85"/>
      <c r="H157" s="87"/>
      <c r="I157" s="94">
        <v>16</v>
      </c>
      <c r="J157" s="93">
        <v>45085</v>
      </c>
      <c r="K157" s="87" t="s">
        <v>1620</v>
      </c>
      <c r="L157" s="87">
        <v>5.81</v>
      </c>
      <c r="M157" s="87"/>
      <c r="N157" s="93"/>
      <c r="O157" s="85"/>
      <c r="Q157" s="94"/>
      <c r="R157" s="93"/>
      <c r="S157" s="85"/>
      <c r="U157" s="94"/>
      <c r="V157" s="93"/>
      <c r="W157" s="85"/>
      <c r="Y157" s="94"/>
      <c r="Z157" s="93"/>
      <c r="AA157" s="85"/>
      <c r="AC157" s="94"/>
      <c r="AD157" s="93"/>
      <c r="AE157" s="85"/>
    </row>
    <row r="158" spans="7:31" x14ac:dyDescent="0.35">
      <c r="G158" s="85"/>
      <c r="H158" s="87"/>
      <c r="I158" s="94">
        <v>14</v>
      </c>
      <c r="J158" s="93">
        <v>45090</v>
      </c>
      <c r="K158" s="87" t="s">
        <v>1621</v>
      </c>
      <c r="L158" s="87">
        <v>24.16</v>
      </c>
      <c r="M158" s="87"/>
      <c r="N158" s="93"/>
      <c r="O158" s="85"/>
      <c r="Q158" s="94"/>
      <c r="R158" s="93"/>
      <c r="S158" s="85"/>
      <c r="U158" s="94"/>
      <c r="V158" s="93"/>
      <c r="W158" s="85"/>
      <c r="Y158" s="94"/>
      <c r="Z158" s="93"/>
      <c r="AA158" s="85"/>
      <c r="AC158" s="94"/>
      <c r="AD158" s="93"/>
      <c r="AE158" s="85"/>
    </row>
    <row r="159" spans="7:31" x14ac:dyDescent="0.35">
      <c r="G159" s="85"/>
      <c r="H159" s="87"/>
      <c r="I159" s="94">
        <v>16</v>
      </c>
      <c r="J159" s="93">
        <v>45097</v>
      </c>
      <c r="K159" s="87" t="s">
        <v>1587</v>
      </c>
      <c r="L159" s="87">
        <v>18.16</v>
      </c>
      <c r="M159" s="87"/>
      <c r="N159" s="93"/>
      <c r="O159" s="85"/>
      <c r="Q159" s="94"/>
      <c r="R159" s="93"/>
      <c r="S159" s="85"/>
      <c r="U159" s="94"/>
      <c r="V159" s="93"/>
      <c r="W159" s="85"/>
      <c r="Y159" s="94"/>
      <c r="Z159" s="93"/>
      <c r="AA159" s="85"/>
      <c r="AC159" s="94"/>
      <c r="AD159" s="93"/>
      <c r="AE159" s="85"/>
    </row>
    <row r="160" spans="7:31" x14ac:dyDescent="0.35">
      <c r="G160" s="85"/>
      <c r="H160" s="87"/>
      <c r="I160" s="94">
        <v>20</v>
      </c>
      <c r="J160" s="93">
        <v>45097</v>
      </c>
      <c r="K160" s="87" t="s">
        <v>1622</v>
      </c>
      <c r="L160" s="87">
        <v>7.07</v>
      </c>
      <c r="M160" s="87"/>
      <c r="N160" s="93"/>
      <c r="O160" s="85"/>
      <c r="Q160" s="94"/>
      <c r="R160" s="93"/>
      <c r="S160" s="85"/>
      <c r="U160" s="94"/>
      <c r="V160" s="93"/>
      <c r="W160" s="85"/>
      <c r="Y160" s="94"/>
      <c r="Z160" s="93"/>
      <c r="AA160" s="85"/>
      <c r="AC160" s="94"/>
      <c r="AD160" s="93"/>
      <c r="AE160" s="85"/>
    </row>
    <row r="161" spans="7:31" x14ac:dyDescent="0.35">
      <c r="G161" s="85"/>
      <c r="H161" s="87"/>
      <c r="I161" s="94">
        <v>14</v>
      </c>
      <c r="J161" s="93">
        <v>45103</v>
      </c>
      <c r="K161" s="87" t="s">
        <v>1623</v>
      </c>
      <c r="L161" s="87">
        <v>131.85</v>
      </c>
      <c r="M161" s="87"/>
      <c r="N161" s="93"/>
      <c r="O161" s="85"/>
      <c r="Q161" s="94"/>
      <c r="R161" s="93"/>
      <c r="S161" s="85"/>
      <c r="U161" s="94"/>
      <c r="V161" s="93"/>
      <c r="W161" s="85"/>
      <c r="Y161" s="94"/>
      <c r="Z161" s="93"/>
      <c r="AA161" s="85"/>
      <c r="AC161" s="94"/>
      <c r="AD161" s="93"/>
      <c r="AE161" s="85"/>
    </row>
    <row r="162" spans="7:31" x14ac:dyDescent="0.35">
      <c r="G162" s="85"/>
      <c r="H162" s="87"/>
      <c r="I162" s="94">
        <v>15</v>
      </c>
      <c r="J162" s="93">
        <v>45103</v>
      </c>
      <c r="K162" s="87" t="s">
        <v>1624</v>
      </c>
      <c r="L162" s="87">
        <v>375.2</v>
      </c>
      <c r="M162" s="87"/>
      <c r="N162" s="93"/>
      <c r="O162" s="85"/>
      <c r="Q162" s="94"/>
      <c r="R162" s="93"/>
      <c r="S162" s="85"/>
      <c r="U162" s="94"/>
      <c r="V162" s="93"/>
      <c r="W162" s="85"/>
      <c r="Y162" s="94"/>
      <c r="Z162" s="93"/>
      <c r="AA162" s="85"/>
      <c r="AC162" s="94"/>
      <c r="AD162" s="93"/>
      <c r="AE162" s="85"/>
    </row>
    <row r="163" spans="7:31" x14ac:dyDescent="0.35">
      <c r="G163" s="85"/>
      <c r="H163" s="87"/>
      <c r="I163" s="94">
        <v>8</v>
      </c>
      <c r="J163" s="93">
        <v>45100</v>
      </c>
      <c r="K163" s="87" t="s">
        <v>1512</v>
      </c>
      <c r="L163" s="87">
        <v>44.99</v>
      </c>
      <c r="M163" s="87"/>
      <c r="N163" s="93"/>
      <c r="O163" s="85"/>
      <c r="Q163" s="94"/>
      <c r="R163" s="93"/>
      <c r="S163" s="85"/>
      <c r="U163" s="94"/>
      <c r="V163" s="93"/>
      <c r="W163" s="85"/>
      <c r="Y163" s="94"/>
      <c r="Z163" s="93"/>
      <c r="AA163" s="85"/>
      <c r="AC163" s="94"/>
      <c r="AD163" s="93"/>
      <c r="AE163" s="85"/>
    </row>
    <row r="164" spans="7:31" x14ac:dyDescent="0.35">
      <c r="G164" s="85"/>
      <c r="H164" s="87"/>
      <c r="I164" s="94">
        <v>7</v>
      </c>
      <c r="J164" s="93">
        <v>45142</v>
      </c>
      <c r="K164" s="87" t="s">
        <v>1465</v>
      </c>
      <c r="L164" s="87">
        <v>19.98</v>
      </c>
      <c r="M164" s="87"/>
      <c r="N164" s="93"/>
      <c r="O164" s="85"/>
      <c r="Q164" s="94"/>
      <c r="R164" s="93"/>
      <c r="S164" s="85"/>
      <c r="U164" s="94"/>
      <c r="V164" s="93"/>
      <c r="W164" s="85"/>
      <c r="Y164" s="94"/>
      <c r="Z164" s="93"/>
      <c r="AA164" s="85"/>
      <c r="AC164" s="94"/>
      <c r="AD164" s="93"/>
      <c r="AE164" s="85"/>
    </row>
    <row r="165" spans="7:31" x14ac:dyDescent="0.35">
      <c r="G165" s="85"/>
      <c r="H165" s="87"/>
      <c r="I165" s="94">
        <v>14</v>
      </c>
      <c r="J165" s="93">
        <v>45142</v>
      </c>
      <c r="K165" s="87" t="s">
        <v>1626</v>
      </c>
      <c r="L165" s="87">
        <v>84.97</v>
      </c>
      <c r="M165" s="87"/>
      <c r="N165" s="93"/>
      <c r="O165" s="85"/>
      <c r="Q165" s="94"/>
      <c r="R165" s="93"/>
      <c r="S165" s="85"/>
      <c r="U165" s="94"/>
      <c r="V165" s="93"/>
      <c r="W165" s="85"/>
      <c r="Y165" s="94"/>
      <c r="Z165" s="93"/>
      <c r="AA165" s="85"/>
      <c r="AC165" s="94"/>
      <c r="AD165" s="93"/>
      <c r="AE165" s="85"/>
    </row>
    <row r="166" spans="7:31" x14ac:dyDescent="0.35">
      <c r="G166" s="85"/>
      <c r="H166" s="87"/>
      <c r="I166" s="94">
        <v>8</v>
      </c>
      <c r="J166" s="93">
        <v>45142</v>
      </c>
      <c r="K166" s="87" t="s">
        <v>1558</v>
      </c>
      <c r="L166" s="87">
        <v>16.48</v>
      </c>
      <c r="M166" s="87"/>
      <c r="N166" s="93"/>
      <c r="O166" s="85"/>
      <c r="Q166" s="94"/>
      <c r="R166" s="93"/>
      <c r="S166" s="85"/>
      <c r="U166" s="94"/>
      <c r="V166" s="93"/>
      <c r="W166" s="85"/>
      <c r="Y166" s="94"/>
      <c r="Z166" s="93"/>
      <c r="AA166" s="85"/>
      <c r="AC166" s="94"/>
      <c r="AD166" s="93"/>
      <c r="AE166" s="85"/>
    </row>
    <row r="167" spans="7:31" x14ac:dyDescent="0.35">
      <c r="G167" s="85"/>
      <c r="H167" s="87"/>
      <c r="I167" s="94">
        <v>16</v>
      </c>
      <c r="J167" s="93">
        <v>45142</v>
      </c>
      <c r="K167" s="87" t="s">
        <v>1627</v>
      </c>
      <c r="L167" s="87">
        <v>4.4000000000000004</v>
      </c>
      <c r="M167" s="87"/>
      <c r="N167" s="93"/>
      <c r="O167" s="85"/>
      <c r="Q167" s="94"/>
      <c r="R167" s="93"/>
      <c r="S167" s="85"/>
      <c r="U167" s="94"/>
      <c r="V167" s="93"/>
      <c r="W167" s="85"/>
      <c r="Y167" s="94"/>
      <c r="Z167" s="93"/>
      <c r="AA167" s="85"/>
      <c r="AC167" s="94"/>
      <c r="AD167" s="93"/>
      <c r="AE167" s="85"/>
    </row>
    <row r="168" spans="7:31" x14ac:dyDescent="0.35">
      <c r="G168" s="85"/>
      <c r="H168" s="87"/>
      <c r="I168" s="94">
        <v>16</v>
      </c>
      <c r="J168" s="93">
        <v>45142</v>
      </c>
      <c r="K168" s="87" t="s">
        <v>1628</v>
      </c>
      <c r="L168" s="87">
        <v>44.97</v>
      </c>
      <c r="M168" s="87"/>
      <c r="N168" s="93"/>
      <c r="O168" s="85"/>
      <c r="Q168" s="94"/>
      <c r="R168" s="93"/>
      <c r="S168" s="85"/>
      <c r="U168" s="94"/>
      <c r="V168" s="93"/>
      <c r="W168" s="85"/>
      <c r="Y168" s="94"/>
      <c r="Z168" s="93"/>
      <c r="AA168" s="85"/>
      <c r="AC168" s="94"/>
      <c r="AD168" s="93"/>
      <c r="AE168" s="85"/>
    </row>
    <row r="169" spans="7:31" x14ac:dyDescent="0.35">
      <c r="G169" s="85"/>
      <c r="H169" s="87"/>
      <c r="I169" s="94">
        <v>7</v>
      </c>
      <c r="J169" s="93">
        <v>45145</v>
      </c>
      <c r="K169" s="87" t="s">
        <v>1515</v>
      </c>
      <c r="L169" s="87">
        <v>6.66</v>
      </c>
      <c r="M169" s="87"/>
      <c r="N169" s="93"/>
      <c r="O169" s="85"/>
      <c r="Q169" s="94"/>
      <c r="R169" s="93"/>
      <c r="S169" s="85"/>
      <c r="U169" s="94"/>
      <c r="V169" s="93"/>
      <c r="W169" s="85"/>
      <c r="Y169" s="94"/>
      <c r="Z169" s="93"/>
      <c r="AA169" s="85"/>
      <c r="AC169" s="94"/>
      <c r="AD169" s="93"/>
      <c r="AE169" s="85"/>
    </row>
    <row r="170" spans="7:31" x14ac:dyDescent="0.35">
      <c r="G170" s="85"/>
      <c r="H170" s="87"/>
      <c r="I170" s="94">
        <v>7</v>
      </c>
      <c r="J170" s="93">
        <v>45145</v>
      </c>
      <c r="K170" s="87" t="s">
        <v>1510</v>
      </c>
      <c r="L170" s="87">
        <f>3.33*15</f>
        <v>49.95</v>
      </c>
      <c r="M170" s="87"/>
      <c r="N170" s="93"/>
      <c r="O170" s="85"/>
      <c r="Q170" s="94"/>
      <c r="R170" s="93"/>
      <c r="S170" s="85"/>
      <c r="U170" s="94"/>
      <c r="V170" s="93"/>
      <c r="W170" s="85"/>
      <c r="Y170" s="94"/>
      <c r="Z170" s="93"/>
      <c r="AA170" s="85"/>
      <c r="AC170" s="94"/>
      <c r="AD170" s="93"/>
      <c r="AE170" s="85"/>
    </row>
    <row r="171" spans="7:31" x14ac:dyDescent="0.35">
      <c r="G171" s="85"/>
      <c r="H171" s="87"/>
      <c r="I171" s="94">
        <v>14</v>
      </c>
      <c r="J171" s="93">
        <v>45139</v>
      </c>
      <c r="K171" s="87" t="s">
        <v>1607</v>
      </c>
      <c r="L171" s="87">
        <v>30</v>
      </c>
      <c r="M171" s="87"/>
      <c r="N171" s="93"/>
      <c r="O171" s="85"/>
      <c r="Q171" s="94"/>
      <c r="R171" s="93"/>
      <c r="S171" s="85"/>
      <c r="U171" s="94"/>
      <c r="V171" s="93"/>
      <c r="W171" s="85"/>
      <c r="Y171" s="94"/>
      <c r="Z171" s="93"/>
      <c r="AA171" s="85"/>
      <c r="AC171" s="94"/>
      <c r="AD171" s="93"/>
      <c r="AE171" s="85"/>
    </row>
    <row r="172" spans="7:31" x14ac:dyDescent="0.35">
      <c r="G172" s="85"/>
      <c r="H172" s="87"/>
      <c r="I172" s="94">
        <v>14</v>
      </c>
      <c r="J172" s="93">
        <v>45111</v>
      </c>
      <c r="K172" s="87" t="s">
        <v>1629</v>
      </c>
      <c r="L172" s="87">
        <v>1490</v>
      </c>
      <c r="M172" s="87"/>
      <c r="N172" s="93"/>
      <c r="O172" s="85"/>
      <c r="Q172" s="94"/>
      <c r="R172" s="93"/>
      <c r="S172" s="85"/>
      <c r="U172" s="94"/>
      <c r="V172" s="93"/>
      <c r="W172" s="85"/>
      <c r="Y172" s="94"/>
      <c r="Z172" s="93"/>
      <c r="AA172" s="85"/>
      <c r="AC172" s="94"/>
      <c r="AD172" s="93"/>
      <c r="AE172" s="85"/>
    </row>
    <row r="173" spans="7:31" x14ac:dyDescent="0.35">
      <c r="G173" s="85"/>
      <c r="H173" s="87"/>
      <c r="I173" s="94">
        <v>14</v>
      </c>
      <c r="J173" s="93">
        <v>45152</v>
      </c>
      <c r="K173" s="87" t="s">
        <v>1630</v>
      </c>
      <c r="L173" s="87">
        <v>112</v>
      </c>
      <c r="M173" s="87"/>
      <c r="N173" s="93"/>
      <c r="O173" s="85"/>
      <c r="Q173" s="94"/>
      <c r="R173" s="93"/>
      <c r="S173" s="85"/>
      <c r="U173" s="94"/>
      <c r="V173" s="93"/>
      <c r="W173" s="85"/>
      <c r="Y173" s="94"/>
      <c r="Z173" s="93"/>
      <c r="AA173" s="85"/>
      <c r="AC173" s="94"/>
      <c r="AD173" s="93"/>
      <c r="AE173" s="85"/>
    </row>
    <row r="174" spans="7:31" x14ac:dyDescent="0.35">
      <c r="G174" s="85"/>
      <c r="H174" s="87"/>
      <c r="I174" s="94">
        <v>6</v>
      </c>
      <c r="J174" s="93">
        <v>45139</v>
      </c>
      <c r="K174" s="85" t="s">
        <v>1631</v>
      </c>
      <c r="L174" s="87">
        <v>930.39</v>
      </c>
      <c r="M174" s="87"/>
      <c r="N174" s="93"/>
      <c r="O174" s="85"/>
      <c r="Q174" s="94"/>
      <c r="R174" s="93"/>
      <c r="S174" s="85"/>
      <c r="U174" s="94"/>
      <c r="V174" s="93"/>
      <c r="W174" s="85"/>
      <c r="Y174" s="94"/>
      <c r="Z174" s="93"/>
      <c r="AA174" s="85"/>
      <c r="AC174" s="94"/>
      <c r="AD174" s="93"/>
      <c r="AE174" s="85"/>
    </row>
    <row r="175" spans="7:31" x14ac:dyDescent="0.35">
      <c r="G175" s="85"/>
      <c r="H175" s="87"/>
      <c r="I175" s="94">
        <v>6</v>
      </c>
      <c r="J175" s="93">
        <v>45108</v>
      </c>
      <c r="K175" s="85" t="s">
        <v>1632</v>
      </c>
      <c r="L175" s="87">
        <v>930.39</v>
      </c>
      <c r="M175" s="87"/>
      <c r="N175" s="93"/>
      <c r="O175" s="85"/>
      <c r="Q175" s="94"/>
      <c r="R175" s="93"/>
      <c r="S175" s="85"/>
      <c r="U175" s="94"/>
      <c r="V175" s="93"/>
      <c r="W175" s="85"/>
      <c r="Y175" s="94"/>
      <c r="Z175" s="93"/>
      <c r="AA175" s="85"/>
      <c r="AC175" s="94"/>
      <c r="AD175" s="93"/>
      <c r="AE175" s="85"/>
    </row>
    <row r="176" spans="7:31" x14ac:dyDescent="0.35">
      <c r="G176" s="85"/>
      <c r="H176" s="87"/>
      <c r="I176" s="94">
        <v>9</v>
      </c>
      <c r="J176" s="93">
        <v>45147</v>
      </c>
      <c r="K176" s="87" t="s">
        <v>1633</v>
      </c>
      <c r="L176" s="87">
        <v>700</v>
      </c>
      <c r="M176" s="87"/>
      <c r="N176" s="93"/>
      <c r="O176" s="85"/>
      <c r="Q176" s="94"/>
      <c r="R176" s="93"/>
      <c r="S176" s="85"/>
      <c r="U176" s="94"/>
      <c r="V176" s="93"/>
      <c r="W176" s="85"/>
      <c r="Y176" s="94"/>
      <c r="Z176" s="93"/>
      <c r="AA176" s="85"/>
      <c r="AC176" s="94"/>
      <c r="AD176" s="93"/>
      <c r="AE176" s="85"/>
    </row>
    <row r="177" spans="7:31" x14ac:dyDescent="0.35">
      <c r="G177" s="85"/>
      <c r="H177" s="87"/>
      <c r="I177" s="94">
        <v>7</v>
      </c>
      <c r="J177" s="93">
        <v>45117</v>
      </c>
      <c r="K177" s="87" t="s">
        <v>1634</v>
      </c>
      <c r="L177" s="87">
        <v>13.32</v>
      </c>
      <c r="M177" s="87"/>
      <c r="N177" s="93"/>
      <c r="O177" s="85"/>
      <c r="Q177" s="94"/>
      <c r="R177" s="93"/>
      <c r="S177" s="85"/>
      <c r="U177" s="94"/>
      <c r="V177" s="93"/>
      <c r="W177" s="85"/>
      <c r="Y177" s="94"/>
      <c r="Z177" s="93"/>
      <c r="AA177" s="85"/>
      <c r="AC177" s="94"/>
      <c r="AD177" s="93"/>
      <c r="AE177" s="85"/>
    </row>
    <row r="178" spans="7:31" x14ac:dyDescent="0.35">
      <c r="G178" s="85"/>
      <c r="H178" s="87"/>
      <c r="I178" s="94">
        <v>7</v>
      </c>
      <c r="J178" s="93">
        <v>45127</v>
      </c>
      <c r="K178" s="87" t="s">
        <v>1634</v>
      </c>
      <c r="L178" s="87">
        <v>9.99</v>
      </c>
      <c r="M178" s="87"/>
      <c r="N178" s="93"/>
      <c r="O178" s="85"/>
      <c r="Q178" s="94"/>
      <c r="R178" s="93"/>
      <c r="S178" s="85"/>
      <c r="U178" s="94"/>
      <c r="V178" s="93"/>
      <c r="W178" s="85"/>
      <c r="Y178" s="94"/>
      <c r="Z178" s="93"/>
      <c r="AA178" s="85"/>
      <c r="AC178" s="94"/>
      <c r="AD178" s="93"/>
      <c r="AE178" s="85"/>
    </row>
    <row r="179" spans="7:31" x14ac:dyDescent="0.35">
      <c r="G179" s="85"/>
      <c r="H179" s="87"/>
      <c r="I179" s="94">
        <v>7</v>
      </c>
      <c r="J179" s="93">
        <v>45127</v>
      </c>
      <c r="K179" s="87" t="s">
        <v>1634</v>
      </c>
      <c r="L179" s="87">
        <v>46.66</v>
      </c>
      <c r="M179" s="87"/>
      <c r="N179" s="93"/>
      <c r="O179" s="85"/>
      <c r="Q179" s="94"/>
      <c r="R179" s="93"/>
      <c r="S179" s="85"/>
      <c r="U179" s="94"/>
      <c r="V179" s="93"/>
      <c r="W179" s="85"/>
      <c r="Y179" s="94"/>
      <c r="Z179" s="93"/>
      <c r="AA179" s="85"/>
      <c r="AC179" s="94"/>
      <c r="AD179" s="93"/>
      <c r="AE179" s="85"/>
    </row>
    <row r="180" spans="7:31" x14ac:dyDescent="0.35">
      <c r="G180" s="85"/>
      <c r="H180" s="87"/>
      <c r="I180" s="94">
        <v>14</v>
      </c>
      <c r="J180" s="93">
        <v>45117</v>
      </c>
      <c r="K180" s="87" t="s">
        <v>1635</v>
      </c>
      <c r="L180" s="87">
        <v>101.57</v>
      </c>
      <c r="M180" s="87"/>
      <c r="N180" s="93"/>
      <c r="O180" s="85"/>
      <c r="Q180" s="94"/>
      <c r="R180" s="93"/>
      <c r="S180" s="85"/>
      <c r="U180" s="94"/>
      <c r="V180" s="93"/>
      <c r="W180" s="85"/>
      <c r="Y180" s="94"/>
      <c r="Z180" s="93"/>
      <c r="AA180" s="85"/>
      <c r="AC180" s="94"/>
      <c r="AD180" s="93"/>
      <c r="AE180" s="85"/>
    </row>
    <row r="181" spans="7:31" x14ac:dyDescent="0.35">
      <c r="G181" s="85"/>
      <c r="H181" s="87"/>
      <c r="I181" s="94">
        <v>15</v>
      </c>
      <c r="J181" s="93">
        <v>45117</v>
      </c>
      <c r="K181" s="87" t="s">
        <v>1636</v>
      </c>
      <c r="L181" s="87">
        <v>48.71</v>
      </c>
      <c r="M181" s="87"/>
      <c r="N181" s="93"/>
      <c r="O181" s="85"/>
      <c r="Q181" s="94"/>
      <c r="R181" s="93"/>
      <c r="S181" s="85"/>
      <c r="U181" s="94"/>
      <c r="V181" s="93"/>
      <c r="W181" s="85"/>
      <c r="Y181" s="94"/>
      <c r="Z181" s="93"/>
      <c r="AA181" s="85"/>
      <c r="AC181" s="94"/>
      <c r="AD181" s="93"/>
      <c r="AE181" s="85"/>
    </row>
    <row r="182" spans="7:31" x14ac:dyDescent="0.35">
      <c r="G182" s="85"/>
      <c r="H182" s="87"/>
      <c r="I182" s="94">
        <v>14</v>
      </c>
      <c r="J182" s="93">
        <v>45118</v>
      </c>
      <c r="K182" s="87" t="s">
        <v>1637</v>
      </c>
      <c r="L182" s="87">
        <v>37.78</v>
      </c>
      <c r="M182" s="87"/>
      <c r="N182" s="93"/>
      <c r="O182" s="85"/>
      <c r="Q182" s="94"/>
      <c r="R182" s="93"/>
      <c r="S182" s="85"/>
      <c r="U182" s="94"/>
      <c r="V182" s="93"/>
      <c r="W182" s="85"/>
      <c r="Y182" s="94"/>
      <c r="Z182" s="93"/>
      <c r="AA182" s="85"/>
      <c r="AC182" s="94"/>
      <c r="AD182" s="93"/>
      <c r="AE182" s="85"/>
    </row>
    <row r="183" spans="7:31" x14ac:dyDescent="0.35">
      <c r="G183" s="85"/>
      <c r="H183" s="87"/>
      <c r="I183" s="94">
        <v>14</v>
      </c>
      <c r="J183" s="93">
        <v>45124</v>
      </c>
      <c r="K183" s="87" t="s">
        <v>1638</v>
      </c>
      <c r="L183" s="87">
        <v>14.16</v>
      </c>
      <c r="M183" s="87"/>
      <c r="N183" s="93"/>
      <c r="O183" s="85"/>
      <c r="Q183" s="94"/>
      <c r="R183" s="93"/>
      <c r="S183" s="85"/>
      <c r="U183" s="94"/>
      <c r="V183" s="93"/>
      <c r="W183" s="85"/>
      <c r="Y183" s="94"/>
      <c r="Z183" s="93"/>
      <c r="AA183" s="85"/>
      <c r="AC183" s="94"/>
      <c r="AD183" s="93"/>
      <c r="AE183" s="85"/>
    </row>
    <row r="184" spans="7:31" x14ac:dyDescent="0.35">
      <c r="G184" s="85"/>
      <c r="H184" s="87"/>
      <c r="I184" s="94">
        <v>14</v>
      </c>
      <c r="J184" s="93">
        <v>45124</v>
      </c>
      <c r="K184" s="87" t="s">
        <v>1639</v>
      </c>
      <c r="L184" s="87">
        <v>111.24</v>
      </c>
      <c r="M184" s="87"/>
      <c r="N184" s="93"/>
      <c r="O184" s="85"/>
      <c r="Q184" s="94"/>
      <c r="R184" s="93"/>
      <c r="S184" s="85"/>
      <c r="U184" s="94"/>
      <c r="V184" s="93"/>
      <c r="W184" s="85"/>
      <c r="Y184" s="94"/>
      <c r="Z184" s="93"/>
      <c r="AA184" s="85"/>
      <c r="AC184" s="94"/>
      <c r="AD184" s="93"/>
      <c r="AE184" s="85"/>
    </row>
    <row r="185" spans="7:31" x14ac:dyDescent="0.35">
      <c r="G185" s="85"/>
      <c r="H185" s="87"/>
      <c r="I185" s="94">
        <v>14</v>
      </c>
      <c r="J185" s="93">
        <v>45138</v>
      </c>
      <c r="K185" s="87" t="s">
        <v>1640</v>
      </c>
      <c r="L185" s="87">
        <v>23.12</v>
      </c>
      <c r="M185" s="87"/>
      <c r="N185" s="93"/>
      <c r="O185" s="85"/>
      <c r="Q185" s="94"/>
      <c r="R185" s="93"/>
      <c r="S185" s="85"/>
      <c r="U185" s="94"/>
      <c r="V185" s="93"/>
      <c r="W185" s="85"/>
      <c r="Y185" s="94"/>
      <c r="Z185" s="93"/>
      <c r="AA185" s="85"/>
      <c r="AC185" s="94"/>
      <c r="AD185" s="93"/>
      <c r="AE185" s="85"/>
    </row>
    <row r="186" spans="7:31" x14ac:dyDescent="0.35">
      <c r="G186" s="85"/>
      <c r="H186" s="87"/>
      <c r="I186" s="94">
        <v>15</v>
      </c>
      <c r="J186" s="93">
        <v>45138</v>
      </c>
      <c r="K186" s="87" t="s">
        <v>1636</v>
      </c>
      <c r="L186" s="87">
        <v>49.98</v>
      </c>
      <c r="M186" s="87"/>
      <c r="N186" s="93"/>
      <c r="O186" s="85"/>
      <c r="Q186" s="94"/>
      <c r="R186" s="93"/>
      <c r="S186" s="85"/>
      <c r="U186" s="94"/>
      <c r="V186" s="93"/>
      <c r="W186" s="85"/>
      <c r="Y186" s="94"/>
      <c r="Z186" s="93"/>
      <c r="AA186" s="85"/>
      <c r="AC186" s="94"/>
      <c r="AD186" s="93"/>
      <c r="AE186" s="85"/>
    </row>
    <row r="187" spans="7:31" x14ac:dyDescent="0.35">
      <c r="G187" s="85"/>
      <c r="H187" s="87"/>
      <c r="I187" s="94">
        <v>15</v>
      </c>
      <c r="J187" s="93">
        <v>45155</v>
      </c>
      <c r="K187" s="87" t="s">
        <v>1641</v>
      </c>
      <c r="L187" s="87">
        <v>607.28</v>
      </c>
      <c r="M187" s="87"/>
      <c r="N187" s="93"/>
      <c r="O187" s="85"/>
      <c r="Q187" s="94"/>
      <c r="R187" s="93"/>
      <c r="S187" s="85"/>
      <c r="U187" s="94"/>
      <c r="V187" s="93"/>
      <c r="W187" s="85"/>
      <c r="Y187" s="94"/>
      <c r="Z187" s="93"/>
      <c r="AA187" s="85"/>
      <c r="AC187" s="94"/>
      <c r="AD187" s="93"/>
      <c r="AE187" s="85"/>
    </row>
    <row r="188" spans="7:31" x14ac:dyDescent="0.35">
      <c r="G188" s="85"/>
      <c r="H188" s="87"/>
      <c r="I188" s="94">
        <v>19</v>
      </c>
      <c r="J188" s="93">
        <v>45161</v>
      </c>
      <c r="K188" s="87" t="s">
        <v>1642</v>
      </c>
      <c r="L188" s="87">
        <v>420</v>
      </c>
      <c r="M188" s="87"/>
      <c r="N188" s="93"/>
      <c r="O188" s="85"/>
      <c r="Q188" s="94"/>
      <c r="R188" s="93"/>
      <c r="S188" s="85"/>
      <c r="U188" s="94"/>
      <c r="V188" s="93"/>
      <c r="W188" s="85"/>
      <c r="Y188" s="94"/>
      <c r="Z188" s="93"/>
      <c r="AA188" s="85"/>
      <c r="AC188" s="94"/>
      <c r="AD188" s="93"/>
      <c r="AE188" s="85"/>
    </row>
    <row r="189" spans="7:31" x14ac:dyDescent="0.35">
      <c r="G189" s="85"/>
      <c r="H189" s="87"/>
      <c r="I189" s="94">
        <v>14</v>
      </c>
      <c r="J189" s="93">
        <v>45155</v>
      </c>
      <c r="K189" s="87" t="s">
        <v>1607</v>
      </c>
      <c r="L189" s="87">
        <v>374.31</v>
      </c>
      <c r="M189" s="87"/>
      <c r="N189" s="93"/>
      <c r="O189" s="85"/>
      <c r="Q189" s="94"/>
      <c r="R189" s="93"/>
      <c r="S189" s="85"/>
      <c r="U189" s="94"/>
      <c r="V189" s="93"/>
      <c r="W189" s="85"/>
      <c r="Y189" s="94"/>
      <c r="Z189" s="93"/>
      <c r="AA189" s="85"/>
      <c r="AC189" s="94"/>
      <c r="AD189" s="93"/>
      <c r="AE189" s="85"/>
    </row>
    <row r="190" spans="7:31" x14ac:dyDescent="0.35">
      <c r="G190" s="85"/>
      <c r="H190" s="87"/>
      <c r="I190" s="94">
        <v>14</v>
      </c>
      <c r="J190" s="93">
        <v>45162</v>
      </c>
      <c r="K190" s="87" t="s">
        <v>1643</v>
      </c>
      <c r="L190" s="87">
        <v>80</v>
      </c>
      <c r="M190" s="87"/>
      <c r="N190" s="93"/>
      <c r="O190" s="85"/>
      <c r="Q190" s="94"/>
      <c r="R190" s="93"/>
      <c r="S190" s="85"/>
      <c r="U190" s="94"/>
      <c r="V190" s="93"/>
      <c r="W190" s="85"/>
      <c r="Y190" s="94"/>
      <c r="Z190" s="93"/>
      <c r="AA190" s="85"/>
      <c r="AC190" s="94"/>
      <c r="AD190" s="93"/>
      <c r="AE190" s="85"/>
    </row>
    <row r="191" spans="7:31" x14ac:dyDescent="0.35">
      <c r="G191" s="85"/>
      <c r="H191" s="87"/>
      <c r="I191" s="94">
        <v>16</v>
      </c>
      <c r="J191" s="93">
        <v>45118</v>
      </c>
      <c r="K191" s="87" t="s">
        <v>1644</v>
      </c>
      <c r="L191" s="87">
        <v>10</v>
      </c>
      <c r="M191" s="87"/>
      <c r="N191" s="93"/>
      <c r="O191" s="85"/>
      <c r="Q191" s="94"/>
      <c r="R191" s="93"/>
      <c r="S191" s="85"/>
      <c r="U191" s="94"/>
      <c r="V191" s="93"/>
      <c r="W191" s="85"/>
      <c r="Y191" s="94"/>
      <c r="Z191" s="93"/>
      <c r="AA191" s="85"/>
      <c r="AC191" s="94"/>
      <c r="AD191" s="93"/>
      <c r="AE191" s="85"/>
    </row>
    <row r="192" spans="7:31" x14ac:dyDescent="0.35">
      <c r="G192" s="85"/>
      <c r="H192" s="87"/>
      <c r="I192" s="94">
        <v>16</v>
      </c>
      <c r="J192" s="93">
        <v>45120</v>
      </c>
      <c r="K192" s="87" t="s">
        <v>1645</v>
      </c>
      <c r="L192" s="87">
        <v>22.36</v>
      </c>
      <c r="M192" s="87"/>
      <c r="N192" s="93"/>
      <c r="O192" s="85"/>
      <c r="Q192" s="94"/>
      <c r="R192" s="93"/>
      <c r="S192" s="85"/>
      <c r="U192" s="94"/>
      <c r="V192" s="93"/>
      <c r="W192" s="85"/>
      <c r="Y192" s="94"/>
      <c r="Z192" s="93"/>
      <c r="AA192" s="85"/>
      <c r="AC192" s="94"/>
      <c r="AD192" s="93"/>
      <c r="AE192" s="85"/>
    </row>
    <row r="193" spans="7:31" x14ac:dyDescent="0.35">
      <c r="G193" s="85"/>
      <c r="H193" s="87"/>
      <c r="I193" s="94">
        <v>14</v>
      </c>
      <c r="J193" s="93">
        <v>45126</v>
      </c>
      <c r="K193" s="87" t="s">
        <v>1646</v>
      </c>
      <c r="L193" s="87">
        <v>58.5</v>
      </c>
      <c r="M193" s="87"/>
      <c r="N193" s="93"/>
      <c r="O193" s="85"/>
      <c r="Q193" s="94"/>
      <c r="R193" s="93"/>
      <c r="S193" s="85"/>
      <c r="U193" s="94"/>
      <c r="V193" s="93"/>
      <c r="W193" s="85"/>
      <c r="Y193" s="94"/>
      <c r="Z193" s="93"/>
      <c r="AA193" s="85"/>
      <c r="AC193" s="94"/>
      <c r="AD193" s="93"/>
      <c r="AE193" s="85"/>
    </row>
    <row r="194" spans="7:31" x14ac:dyDescent="0.35">
      <c r="G194" s="85"/>
      <c r="H194" s="87"/>
      <c r="I194" s="94">
        <v>14</v>
      </c>
      <c r="J194" s="93">
        <v>45120</v>
      </c>
      <c r="K194" s="87" t="s">
        <v>1647</v>
      </c>
      <c r="L194" s="87">
        <v>5.83</v>
      </c>
      <c r="M194" s="87"/>
      <c r="N194" s="93"/>
      <c r="O194" s="85"/>
      <c r="Q194" s="94"/>
      <c r="R194" s="93"/>
      <c r="S194" s="85"/>
      <c r="U194" s="94"/>
      <c r="V194" s="93"/>
      <c r="W194" s="85"/>
      <c r="Y194" s="94"/>
      <c r="Z194" s="93"/>
      <c r="AA194" s="85"/>
      <c r="AC194" s="94"/>
      <c r="AD194" s="93"/>
      <c r="AE194" s="85"/>
    </row>
    <row r="195" spans="7:31" x14ac:dyDescent="0.35">
      <c r="G195" s="85"/>
      <c r="H195" s="87"/>
      <c r="I195" s="94">
        <v>14</v>
      </c>
      <c r="J195" s="93">
        <v>45126</v>
      </c>
      <c r="K195" s="87" t="s">
        <v>1648</v>
      </c>
      <c r="L195" s="87">
        <v>27</v>
      </c>
      <c r="M195" s="87"/>
      <c r="N195" s="93"/>
      <c r="O195" s="85"/>
      <c r="Q195" s="94"/>
      <c r="R195" s="93"/>
      <c r="S195" s="85"/>
      <c r="U195" s="94"/>
      <c r="V195" s="93"/>
      <c r="W195" s="85"/>
      <c r="Y195" s="94"/>
      <c r="Z195" s="93"/>
      <c r="AA195" s="85"/>
      <c r="AC195" s="94"/>
      <c r="AD195" s="93"/>
      <c r="AE195" s="85"/>
    </row>
    <row r="196" spans="7:31" x14ac:dyDescent="0.35">
      <c r="G196" s="85"/>
      <c r="H196" s="87"/>
      <c r="I196" s="94">
        <v>8</v>
      </c>
      <c r="J196" s="93">
        <v>45130</v>
      </c>
      <c r="K196" s="85" t="s">
        <v>1512</v>
      </c>
      <c r="L196" s="87">
        <v>44.99</v>
      </c>
      <c r="M196" s="87"/>
      <c r="N196" s="93"/>
      <c r="O196" s="85"/>
      <c r="Q196" s="94"/>
      <c r="R196" s="93"/>
      <c r="S196" s="85"/>
      <c r="U196" s="94"/>
      <c r="V196" s="93"/>
      <c r="W196" s="85"/>
      <c r="Y196" s="94"/>
      <c r="Z196" s="93"/>
      <c r="AA196" s="85"/>
      <c r="AC196" s="94"/>
      <c r="AD196" s="93"/>
      <c r="AE196" s="85"/>
    </row>
    <row r="197" spans="7:31" x14ac:dyDescent="0.35">
      <c r="G197" s="85"/>
      <c r="H197" s="87"/>
      <c r="I197" s="94">
        <v>16</v>
      </c>
      <c r="J197" s="93">
        <v>45139</v>
      </c>
      <c r="K197" s="87" t="s">
        <v>1516</v>
      </c>
      <c r="L197" s="87">
        <v>24.99</v>
      </c>
      <c r="M197" s="87"/>
      <c r="N197" s="93"/>
      <c r="O197" s="85"/>
      <c r="Q197" s="94"/>
      <c r="R197" s="93"/>
      <c r="S197" s="85"/>
      <c r="U197" s="94"/>
      <c r="V197" s="93"/>
      <c r="W197" s="85"/>
      <c r="Y197" s="94"/>
      <c r="Z197" s="93"/>
      <c r="AA197" s="85"/>
      <c r="AC197" s="94"/>
      <c r="AD197" s="93"/>
      <c r="AE197" s="85"/>
    </row>
    <row r="198" spans="7:31" x14ac:dyDescent="0.35">
      <c r="G198" s="85"/>
      <c r="H198" s="87"/>
      <c r="I198" s="94">
        <v>16</v>
      </c>
      <c r="J198" s="93">
        <v>45139</v>
      </c>
      <c r="K198" s="87" t="s">
        <v>1649</v>
      </c>
      <c r="L198" s="87">
        <v>8.32</v>
      </c>
      <c r="M198" s="87"/>
      <c r="N198" s="93"/>
      <c r="O198" s="85"/>
      <c r="Q198" s="94"/>
      <c r="R198" s="93"/>
      <c r="S198" s="85"/>
      <c r="U198" s="94"/>
      <c r="V198" s="93"/>
      <c r="W198" s="85"/>
      <c r="Y198" s="94"/>
      <c r="Z198" s="93"/>
      <c r="AA198" s="85"/>
      <c r="AC198" s="94"/>
      <c r="AD198" s="93"/>
      <c r="AE198" s="85"/>
    </row>
    <row r="199" spans="7:31" x14ac:dyDescent="0.35">
      <c r="G199" s="85"/>
      <c r="H199" s="87"/>
      <c r="I199" s="94">
        <v>14</v>
      </c>
      <c r="J199" s="93">
        <v>45162</v>
      </c>
      <c r="K199" s="87" t="s">
        <v>1650</v>
      </c>
      <c r="L199" s="87">
        <v>42.77</v>
      </c>
      <c r="M199" s="87"/>
      <c r="N199" s="93"/>
      <c r="O199" s="85"/>
      <c r="Q199" s="94"/>
      <c r="R199" s="93"/>
      <c r="S199" s="85"/>
      <c r="U199" s="94"/>
      <c r="V199" s="93"/>
      <c r="W199" s="85"/>
      <c r="Y199" s="94"/>
      <c r="Z199" s="93"/>
      <c r="AA199" s="85"/>
      <c r="AC199" s="94"/>
      <c r="AD199" s="93"/>
      <c r="AE199" s="85"/>
    </row>
    <row r="200" spans="7:31" x14ac:dyDescent="0.35">
      <c r="G200" s="85"/>
      <c r="H200" s="87"/>
      <c r="I200" s="94">
        <v>14</v>
      </c>
      <c r="J200" s="93">
        <v>45170</v>
      </c>
      <c r="K200" s="87" t="s">
        <v>1651</v>
      </c>
      <c r="L200" s="90">
        <v>726</v>
      </c>
      <c r="M200" s="87"/>
      <c r="N200" s="93"/>
      <c r="O200" s="85"/>
      <c r="Q200" s="94"/>
      <c r="R200" s="93"/>
      <c r="S200" s="85"/>
      <c r="U200" s="94"/>
      <c r="V200" s="93"/>
      <c r="W200" s="85"/>
      <c r="Y200" s="94"/>
      <c r="Z200" s="93"/>
      <c r="AA200" s="85"/>
      <c r="AC200" s="94"/>
      <c r="AD200" s="93"/>
      <c r="AE200" s="85"/>
    </row>
    <row r="201" spans="7:31" x14ac:dyDescent="0.35">
      <c r="G201" s="85"/>
      <c r="H201" s="87"/>
      <c r="I201" s="94">
        <v>13</v>
      </c>
      <c r="J201" s="93">
        <v>45184</v>
      </c>
      <c r="K201" s="87" t="s">
        <v>1652</v>
      </c>
      <c r="L201" s="87">
        <v>898.63</v>
      </c>
      <c r="M201" s="87"/>
      <c r="N201" s="93"/>
      <c r="O201" s="85"/>
      <c r="Q201" s="94"/>
      <c r="R201" s="93"/>
      <c r="S201" s="85"/>
      <c r="U201" s="94"/>
      <c r="V201" s="93"/>
      <c r="W201" s="85"/>
      <c r="Y201" s="94"/>
      <c r="Z201" s="93"/>
      <c r="AA201" s="85"/>
      <c r="AC201" s="94"/>
      <c r="AD201" s="93"/>
      <c r="AE201" s="85"/>
    </row>
    <row r="202" spans="7:31" x14ac:dyDescent="0.35">
      <c r="G202" s="85"/>
      <c r="H202" s="87"/>
      <c r="I202" s="94">
        <v>14</v>
      </c>
      <c r="J202" s="93">
        <v>45181</v>
      </c>
      <c r="K202" s="87" t="s">
        <v>1653</v>
      </c>
      <c r="L202" s="90">
        <v>77.13</v>
      </c>
      <c r="M202" s="87"/>
      <c r="N202" s="93"/>
      <c r="O202" s="85"/>
      <c r="Q202" s="94"/>
      <c r="R202" s="93"/>
      <c r="S202" s="85"/>
      <c r="U202" s="94"/>
      <c r="V202" s="93"/>
      <c r="W202" s="85"/>
      <c r="Y202" s="94"/>
      <c r="Z202" s="93"/>
      <c r="AA202" s="85"/>
      <c r="AC202" s="94"/>
      <c r="AD202" s="93"/>
      <c r="AE202" s="85"/>
    </row>
    <row r="203" spans="7:31" x14ac:dyDescent="0.35">
      <c r="G203" s="85"/>
      <c r="H203" s="87"/>
      <c r="I203" s="94">
        <v>14</v>
      </c>
      <c r="J203" s="93">
        <v>45140</v>
      </c>
      <c r="K203" s="87" t="s">
        <v>1607</v>
      </c>
      <c r="L203" s="87">
        <f>79.15+219.9</f>
        <v>299.05</v>
      </c>
      <c r="M203" s="87"/>
      <c r="N203" s="93"/>
      <c r="O203" s="85"/>
      <c r="Q203" s="94"/>
      <c r="R203" s="93"/>
      <c r="S203" s="85"/>
      <c r="U203" s="94"/>
      <c r="V203" s="93"/>
      <c r="W203" s="85"/>
      <c r="Y203" s="94"/>
      <c r="Z203" s="93"/>
      <c r="AA203" s="85"/>
      <c r="AC203" s="94"/>
      <c r="AD203" s="93"/>
      <c r="AE203" s="85"/>
    </row>
    <row r="204" spans="7:31" x14ac:dyDescent="0.35">
      <c r="G204" s="85"/>
      <c r="H204" s="87"/>
      <c r="I204" s="94">
        <v>14</v>
      </c>
      <c r="J204" s="93">
        <v>45141</v>
      </c>
      <c r="K204" s="87" t="s">
        <v>1324</v>
      </c>
      <c r="L204" s="87">
        <v>14.58</v>
      </c>
      <c r="M204" s="87"/>
      <c r="N204" s="93"/>
      <c r="O204" s="85"/>
      <c r="Q204" s="94"/>
      <c r="R204" s="93"/>
      <c r="S204" s="85"/>
      <c r="U204" s="94"/>
      <c r="V204" s="93"/>
      <c r="W204" s="85"/>
      <c r="Y204" s="94"/>
      <c r="Z204" s="93"/>
      <c r="AA204" s="85"/>
      <c r="AC204" s="94"/>
      <c r="AD204" s="93"/>
      <c r="AE204" s="85"/>
    </row>
    <row r="205" spans="7:31" x14ac:dyDescent="0.35">
      <c r="G205" s="85"/>
      <c r="H205" s="87"/>
      <c r="I205" s="94">
        <v>14</v>
      </c>
      <c r="J205" s="93">
        <v>45141</v>
      </c>
      <c r="K205" s="87" t="s">
        <v>1607</v>
      </c>
      <c r="L205" s="87">
        <v>29.16</v>
      </c>
      <c r="M205" s="86"/>
      <c r="N205" s="93"/>
      <c r="O205" s="85"/>
      <c r="Q205" s="94"/>
      <c r="R205" s="93"/>
      <c r="S205" s="85"/>
      <c r="U205" s="94"/>
      <c r="V205" s="93"/>
      <c r="W205" s="85"/>
      <c r="Y205" s="94"/>
      <c r="Z205" s="93"/>
      <c r="AA205" s="85"/>
      <c r="AC205" s="94"/>
      <c r="AD205" s="93"/>
      <c r="AE205" s="85"/>
    </row>
    <row r="206" spans="7:31" x14ac:dyDescent="0.35">
      <c r="G206" s="85"/>
      <c r="H206" s="87"/>
      <c r="I206" s="94">
        <v>14</v>
      </c>
      <c r="J206" s="93">
        <v>45183</v>
      </c>
      <c r="K206" s="87" t="s">
        <v>1643</v>
      </c>
      <c r="L206" s="87">
        <v>160</v>
      </c>
      <c r="M206" s="87"/>
      <c r="N206" s="93"/>
      <c r="O206" s="85"/>
      <c r="Q206" s="94"/>
      <c r="R206" s="93"/>
      <c r="S206" s="85"/>
      <c r="U206" s="94"/>
      <c r="V206" s="93"/>
      <c r="W206" s="85"/>
      <c r="Y206" s="94"/>
      <c r="Z206" s="93"/>
      <c r="AA206" s="85"/>
      <c r="AC206" s="94"/>
      <c r="AD206" s="93"/>
      <c r="AE206" s="85"/>
    </row>
    <row r="207" spans="7:31" x14ac:dyDescent="0.35">
      <c r="G207" s="85"/>
      <c r="H207" s="87"/>
      <c r="I207" s="94">
        <v>9</v>
      </c>
      <c r="J207" s="93">
        <v>45178</v>
      </c>
      <c r="K207" s="87" t="s">
        <v>1654</v>
      </c>
      <c r="L207" s="87">
        <v>900</v>
      </c>
      <c r="M207" s="87"/>
      <c r="N207" s="93"/>
      <c r="O207" s="85"/>
      <c r="Q207" s="94"/>
      <c r="R207" s="93"/>
      <c r="S207" s="85"/>
      <c r="U207" s="94"/>
      <c r="V207" s="93"/>
      <c r="W207" s="85"/>
      <c r="Y207" s="94"/>
      <c r="Z207" s="93"/>
      <c r="AA207" s="85"/>
      <c r="AC207" s="94"/>
      <c r="AD207" s="93"/>
      <c r="AE207" s="85"/>
    </row>
    <row r="208" spans="7:31" x14ac:dyDescent="0.35">
      <c r="G208" s="85"/>
      <c r="H208" s="87"/>
      <c r="I208" s="94">
        <v>14</v>
      </c>
      <c r="J208" s="93">
        <v>45175</v>
      </c>
      <c r="K208" s="87" t="s">
        <v>1655</v>
      </c>
      <c r="L208" s="87">
        <v>240.62</v>
      </c>
      <c r="M208" s="87"/>
      <c r="N208" s="93"/>
      <c r="O208" s="85"/>
      <c r="Q208" s="94"/>
      <c r="R208" s="93"/>
      <c r="S208" s="85"/>
      <c r="U208" s="94"/>
      <c r="V208" s="93"/>
      <c r="W208" s="85"/>
      <c r="Y208" s="94"/>
      <c r="Z208" s="93"/>
      <c r="AA208" s="85"/>
      <c r="AC208" s="94"/>
      <c r="AD208" s="93"/>
      <c r="AE208" s="85"/>
    </row>
    <row r="209" spans="7:31" x14ac:dyDescent="0.35">
      <c r="G209" s="85"/>
      <c r="H209" s="87"/>
      <c r="I209" s="94">
        <v>14</v>
      </c>
      <c r="J209" s="93">
        <v>45176</v>
      </c>
      <c r="K209" s="87" t="s">
        <v>1643</v>
      </c>
      <c r="L209" s="87">
        <v>80</v>
      </c>
      <c r="M209" s="87"/>
      <c r="N209" s="93"/>
      <c r="O209" s="85"/>
      <c r="Q209" s="94"/>
      <c r="R209" s="93"/>
      <c r="S209" s="85"/>
      <c r="U209" s="94"/>
      <c r="V209" s="93"/>
      <c r="W209" s="85"/>
      <c r="Y209" s="94"/>
      <c r="Z209" s="93"/>
      <c r="AA209" s="85"/>
      <c r="AC209" s="94"/>
      <c r="AD209" s="93"/>
      <c r="AE209" s="85"/>
    </row>
    <row r="210" spans="7:31" x14ac:dyDescent="0.35">
      <c r="G210" s="85"/>
      <c r="H210" s="87"/>
      <c r="I210" s="94">
        <v>18</v>
      </c>
      <c r="J210" s="93">
        <v>45187</v>
      </c>
      <c r="K210" s="87" t="s">
        <v>1656</v>
      </c>
      <c r="L210" s="87">
        <v>380</v>
      </c>
      <c r="M210" s="87"/>
      <c r="N210" s="93"/>
      <c r="O210" s="85"/>
      <c r="Q210" s="94"/>
      <c r="R210" s="93"/>
      <c r="S210" s="85"/>
      <c r="U210" s="94"/>
      <c r="V210" s="93"/>
      <c r="W210" s="85"/>
      <c r="Y210" s="94"/>
      <c r="Z210" s="93"/>
      <c r="AA210" s="85"/>
      <c r="AC210" s="94"/>
      <c r="AD210" s="93"/>
      <c r="AE210" s="85"/>
    </row>
    <row r="211" spans="7:31" x14ac:dyDescent="0.35">
      <c r="G211" s="85"/>
      <c r="H211" s="87"/>
      <c r="I211" s="94">
        <v>14</v>
      </c>
      <c r="J211" s="93">
        <v>45189</v>
      </c>
      <c r="K211" s="87" t="s">
        <v>1657</v>
      </c>
      <c r="L211" s="87">
        <v>330.34</v>
      </c>
      <c r="M211" s="87"/>
      <c r="N211" s="93"/>
      <c r="O211" s="85"/>
      <c r="Q211" s="94"/>
      <c r="R211" s="93"/>
      <c r="S211" s="85"/>
      <c r="U211" s="94"/>
      <c r="V211" s="93"/>
      <c r="W211" s="85"/>
      <c r="Y211" s="94"/>
      <c r="Z211" s="93"/>
      <c r="AA211" s="85"/>
      <c r="AC211" s="94"/>
      <c r="AD211" s="93"/>
      <c r="AE211" s="85"/>
    </row>
    <row r="212" spans="7:31" x14ac:dyDescent="0.35">
      <c r="G212" s="85"/>
      <c r="H212" s="87"/>
      <c r="I212" s="94">
        <v>14</v>
      </c>
      <c r="J212" s="93">
        <v>45190</v>
      </c>
      <c r="K212" s="87" t="s">
        <v>1658</v>
      </c>
      <c r="L212" s="87">
        <v>51.28</v>
      </c>
      <c r="M212" s="87"/>
      <c r="N212" s="93"/>
      <c r="O212" s="85"/>
      <c r="Q212" s="94"/>
      <c r="R212" s="93"/>
      <c r="S212" s="85"/>
      <c r="U212" s="94"/>
      <c r="V212" s="93"/>
      <c r="W212" s="85"/>
      <c r="Y212" s="94"/>
      <c r="Z212" s="93"/>
      <c r="AA212" s="85"/>
      <c r="AC212" s="94"/>
      <c r="AD212" s="93"/>
      <c r="AE212" s="85"/>
    </row>
    <row r="213" spans="7:31" x14ac:dyDescent="0.35">
      <c r="G213" s="85"/>
      <c r="H213" s="87"/>
      <c r="I213" s="94">
        <v>19</v>
      </c>
      <c r="J213" s="93">
        <v>45063</v>
      </c>
      <c r="K213" s="85" t="s">
        <v>1659</v>
      </c>
      <c r="L213" s="87">
        <v>445</v>
      </c>
      <c r="M213" s="87"/>
      <c r="N213" s="93"/>
      <c r="O213" s="85"/>
      <c r="Q213" s="94"/>
      <c r="R213" s="93"/>
      <c r="S213" s="85"/>
      <c r="U213" s="94"/>
      <c r="V213" s="93"/>
      <c r="W213" s="85"/>
      <c r="Y213" s="94"/>
      <c r="Z213" s="93"/>
      <c r="AA213" s="85"/>
      <c r="AC213" s="94"/>
      <c r="AD213" s="93"/>
      <c r="AE213" s="85"/>
    </row>
    <row r="214" spans="7:31" x14ac:dyDescent="0.35">
      <c r="G214" s="85"/>
      <c r="H214" s="87"/>
      <c r="I214" s="94">
        <v>7</v>
      </c>
      <c r="J214" s="93">
        <v>45173</v>
      </c>
      <c r="K214" s="85" t="s">
        <v>1465</v>
      </c>
      <c r="L214" s="87">
        <v>22.48</v>
      </c>
      <c r="M214" s="87"/>
      <c r="N214" s="93"/>
      <c r="O214" s="85"/>
      <c r="Q214" s="94"/>
      <c r="R214" s="93"/>
      <c r="S214" s="85"/>
      <c r="U214" s="94"/>
      <c r="V214" s="93"/>
      <c r="W214" s="85"/>
      <c r="Y214" s="94"/>
      <c r="Z214" s="93"/>
      <c r="AA214" s="85"/>
      <c r="AC214" s="94"/>
      <c r="AD214" s="93"/>
      <c r="AE214" s="85"/>
    </row>
    <row r="215" spans="7:31" x14ac:dyDescent="0.35">
      <c r="G215" s="85"/>
      <c r="H215" s="87"/>
      <c r="I215" s="94">
        <v>7</v>
      </c>
      <c r="J215" s="93">
        <v>45173</v>
      </c>
      <c r="K215" s="87" t="s">
        <v>1510</v>
      </c>
      <c r="L215" s="87">
        <f>3.33*15</f>
        <v>49.95</v>
      </c>
      <c r="M215" s="87"/>
      <c r="N215" s="93"/>
      <c r="O215" s="85"/>
      <c r="Q215" s="94"/>
      <c r="R215" s="93"/>
      <c r="S215" s="85"/>
      <c r="U215" s="94"/>
      <c r="V215" s="93"/>
      <c r="W215" s="85"/>
      <c r="Y215" s="94"/>
      <c r="Z215" s="93"/>
      <c r="AA215" s="85"/>
      <c r="AC215" s="94"/>
      <c r="AD215" s="93"/>
      <c r="AE215" s="85"/>
    </row>
    <row r="216" spans="7:31" x14ac:dyDescent="0.35">
      <c r="G216" s="85"/>
      <c r="H216" s="87"/>
      <c r="I216" s="94">
        <v>8</v>
      </c>
      <c r="J216" s="93">
        <v>45173</v>
      </c>
      <c r="K216" s="87" t="s">
        <v>1489</v>
      </c>
      <c r="L216" s="87">
        <v>19.899999999999999</v>
      </c>
      <c r="M216" s="87"/>
      <c r="N216" s="93"/>
      <c r="O216" s="85"/>
      <c r="Q216" s="94"/>
      <c r="R216" s="93"/>
      <c r="S216" s="85"/>
      <c r="U216" s="94"/>
      <c r="V216" s="93"/>
      <c r="W216" s="85"/>
      <c r="Y216" s="94"/>
      <c r="Z216" s="93"/>
      <c r="AA216" s="85"/>
      <c r="AC216" s="94"/>
      <c r="AD216" s="93"/>
      <c r="AE216" s="85"/>
    </row>
    <row r="217" spans="7:31" x14ac:dyDescent="0.35">
      <c r="G217" s="85"/>
      <c r="H217" s="87"/>
      <c r="I217" s="94">
        <v>7</v>
      </c>
      <c r="J217" s="93">
        <v>45187</v>
      </c>
      <c r="K217" s="87" t="s">
        <v>1660</v>
      </c>
      <c r="L217" s="87">
        <v>36.22</v>
      </c>
      <c r="M217" s="87"/>
      <c r="N217" s="93"/>
      <c r="O217" s="85"/>
      <c r="Q217" s="94"/>
      <c r="R217" s="93"/>
      <c r="S217" s="85"/>
      <c r="U217" s="94"/>
      <c r="V217" s="93"/>
      <c r="W217" s="85"/>
      <c r="Y217" s="94"/>
      <c r="Z217" s="93"/>
      <c r="AA217" s="85"/>
      <c r="AC217" s="94"/>
      <c r="AD217" s="93"/>
      <c r="AE217" s="85"/>
    </row>
    <row r="218" spans="7:31" x14ac:dyDescent="0.35">
      <c r="G218" s="85"/>
      <c r="H218" s="87"/>
      <c r="I218" s="94">
        <v>8</v>
      </c>
      <c r="J218" s="93">
        <v>45187</v>
      </c>
      <c r="K218" s="87" t="s">
        <v>1661</v>
      </c>
      <c r="L218" s="87">
        <v>3.8</v>
      </c>
      <c r="M218" s="87"/>
      <c r="N218" s="93"/>
      <c r="O218" s="85"/>
      <c r="Q218" s="94"/>
      <c r="R218" s="93"/>
      <c r="S218" s="85"/>
      <c r="U218" s="94"/>
      <c r="V218" s="93"/>
      <c r="W218" s="85"/>
      <c r="Y218" s="94"/>
      <c r="Z218" s="93"/>
      <c r="AA218" s="85"/>
      <c r="AC218" s="94"/>
      <c r="AD218" s="93"/>
      <c r="AE218" s="85"/>
    </row>
    <row r="219" spans="7:31" x14ac:dyDescent="0.35">
      <c r="G219" s="85"/>
      <c r="H219" s="87"/>
      <c r="I219" s="94">
        <v>16</v>
      </c>
      <c r="J219" s="93">
        <v>45187</v>
      </c>
      <c r="K219" s="87" t="s">
        <v>1662</v>
      </c>
      <c r="L219" s="87">
        <v>72.23</v>
      </c>
      <c r="M219" s="87"/>
      <c r="N219" s="93"/>
      <c r="O219" s="85"/>
      <c r="Q219" s="94"/>
      <c r="R219" s="93"/>
      <c r="S219" s="85"/>
      <c r="U219" s="94"/>
      <c r="V219" s="93"/>
      <c r="W219" s="85"/>
      <c r="Y219" s="94"/>
      <c r="Z219" s="93"/>
      <c r="AA219" s="85"/>
      <c r="AC219" s="94"/>
      <c r="AD219" s="93"/>
      <c r="AE219" s="85"/>
    </row>
    <row r="220" spans="7:31" x14ac:dyDescent="0.35">
      <c r="G220" s="85"/>
      <c r="H220" s="87"/>
      <c r="I220" s="94">
        <v>18</v>
      </c>
      <c r="J220" s="93">
        <v>45195</v>
      </c>
      <c r="K220" s="87" t="s">
        <v>1663</v>
      </c>
      <c r="L220" s="87">
        <v>1951</v>
      </c>
      <c r="M220" s="87"/>
      <c r="N220" s="93"/>
      <c r="O220" s="85"/>
      <c r="Q220" s="94"/>
      <c r="R220" s="93"/>
      <c r="S220" s="85"/>
      <c r="U220" s="94"/>
      <c r="V220" s="93"/>
      <c r="W220" s="85"/>
      <c r="Y220" s="94"/>
      <c r="Z220" s="93"/>
      <c r="AA220" s="85"/>
      <c r="AC220" s="94"/>
      <c r="AD220" s="93"/>
      <c r="AE220" s="85"/>
    </row>
    <row r="221" spans="7:31" x14ac:dyDescent="0.35">
      <c r="G221" s="85"/>
      <c r="H221" s="87"/>
      <c r="I221" s="94">
        <v>18</v>
      </c>
      <c r="J221" s="93">
        <v>45195</v>
      </c>
      <c r="K221" s="87" t="s">
        <v>1664</v>
      </c>
      <c r="L221" s="87">
        <v>3149</v>
      </c>
      <c r="M221" s="87"/>
      <c r="N221" s="93"/>
      <c r="O221" s="85"/>
      <c r="Q221" s="94"/>
      <c r="R221" s="93"/>
      <c r="S221" s="85"/>
      <c r="U221" s="94"/>
      <c r="V221" s="93"/>
      <c r="W221" s="85"/>
      <c r="Y221" s="94"/>
      <c r="Z221" s="93"/>
      <c r="AA221" s="85"/>
      <c r="AC221" s="94"/>
      <c r="AD221" s="93"/>
      <c r="AE221" s="85"/>
    </row>
    <row r="222" spans="7:31" x14ac:dyDescent="0.35">
      <c r="G222" s="85"/>
      <c r="H222" s="87"/>
      <c r="I222" s="94">
        <v>8</v>
      </c>
      <c r="J222" s="93">
        <v>45149</v>
      </c>
      <c r="K222" s="87" t="s">
        <v>1665</v>
      </c>
      <c r="L222" s="87">
        <v>200</v>
      </c>
      <c r="M222" s="87"/>
      <c r="N222" s="93"/>
      <c r="O222" s="85"/>
      <c r="Q222" s="94"/>
      <c r="R222" s="93"/>
      <c r="S222" s="85"/>
      <c r="U222" s="94"/>
      <c r="V222" s="93"/>
      <c r="W222" s="85"/>
      <c r="Y222" s="94"/>
      <c r="Z222" s="93"/>
      <c r="AA222" s="85"/>
      <c r="AC222" s="94"/>
      <c r="AD222" s="93"/>
      <c r="AE222" s="85"/>
    </row>
    <row r="223" spans="7:31" x14ac:dyDescent="0.35">
      <c r="G223" s="85"/>
      <c r="H223" s="87"/>
      <c r="I223" s="94">
        <v>14</v>
      </c>
      <c r="J223" s="93">
        <v>45140</v>
      </c>
      <c r="K223" s="87" t="s">
        <v>1607</v>
      </c>
      <c r="L223" s="87">
        <v>19.95</v>
      </c>
      <c r="M223" s="87"/>
      <c r="N223" s="93"/>
      <c r="O223" s="85"/>
      <c r="Q223" s="94"/>
      <c r="R223" s="93"/>
      <c r="S223" s="85"/>
      <c r="U223" s="94"/>
      <c r="V223" s="93"/>
      <c r="W223" s="85"/>
      <c r="Y223" s="94"/>
      <c r="Z223" s="93"/>
      <c r="AA223" s="85"/>
      <c r="AC223" s="94"/>
      <c r="AD223" s="93"/>
      <c r="AE223" s="85"/>
    </row>
    <row r="224" spans="7:31" x14ac:dyDescent="0.35">
      <c r="G224" s="85"/>
      <c r="H224" s="87"/>
      <c r="I224" s="94">
        <v>8</v>
      </c>
      <c r="J224" s="93">
        <v>45148</v>
      </c>
      <c r="K224" s="87" t="s">
        <v>1578</v>
      </c>
      <c r="L224" s="87">
        <v>9.89</v>
      </c>
      <c r="M224" s="87"/>
      <c r="N224" s="93"/>
      <c r="O224" s="85"/>
      <c r="Q224" s="94"/>
      <c r="R224" s="93"/>
      <c r="S224" s="85"/>
      <c r="U224" s="94"/>
      <c r="V224" s="93"/>
      <c r="W224" s="85"/>
      <c r="Y224" s="94"/>
      <c r="Z224" s="93"/>
      <c r="AA224" s="85"/>
      <c r="AC224" s="94"/>
      <c r="AD224" s="93"/>
      <c r="AE224" s="85"/>
    </row>
    <row r="225" spans="7:31" x14ac:dyDescent="0.35">
      <c r="G225" s="85"/>
      <c r="H225" s="87"/>
      <c r="I225" s="94">
        <v>14</v>
      </c>
      <c r="J225" s="93">
        <v>45169</v>
      </c>
      <c r="K225" s="87" t="s">
        <v>1666</v>
      </c>
      <c r="L225" s="87">
        <v>24.58</v>
      </c>
      <c r="M225" s="87"/>
      <c r="N225" s="93"/>
      <c r="O225" s="85"/>
      <c r="Q225" s="94"/>
      <c r="R225" s="93"/>
      <c r="S225" s="85"/>
      <c r="U225" s="94"/>
      <c r="V225" s="93"/>
      <c r="W225" s="85"/>
      <c r="Y225" s="94"/>
      <c r="Z225" s="93"/>
      <c r="AA225" s="85"/>
      <c r="AC225" s="94"/>
      <c r="AD225" s="93"/>
      <c r="AE225" s="85"/>
    </row>
    <row r="226" spans="7:31" x14ac:dyDescent="0.35">
      <c r="G226" s="85"/>
      <c r="H226" s="87"/>
      <c r="I226" s="94">
        <v>8</v>
      </c>
      <c r="J226" s="93">
        <v>45167</v>
      </c>
      <c r="K226" s="85" t="s">
        <v>1512</v>
      </c>
      <c r="L226" s="87">
        <v>44.99</v>
      </c>
      <c r="M226" s="87"/>
      <c r="N226" s="93"/>
      <c r="O226" s="85"/>
      <c r="Q226" s="94"/>
      <c r="R226" s="93"/>
      <c r="S226" s="85"/>
      <c r="U226" s="94"/>
      <c r="V226" s="93"/>
      <c r="W226" s="85"/>
      <c r="Y226" s="94"/>
      <c r="Z226" s="93"/>
      <c r="AA226" s="85"/>
      <c r="AC226" s="94"/>
      <c r="AD226" s="93"/>
      <c r="AE226" s="85"/>
    </row>
    <row r="227" spans="7:31" x14ac:dyDescent="0.35">
      <c r="G227" s="85"/>
      <c r="H227" s="87"/>
      <c r="I227" s="94">
        <v>16</v>
      </c>
      <c r="J227" s="93">
        <v>45174</v>
      </c>
      <c r="K227" s="87" t="s">
        <v>1553</v>
      </c>
      <c r="L227" s="87">
        <v>2.6</v>
      </c>
      <c r="M227" s="87"/>
      <c r="N227" s="93"/>
      <c r="O227" s="85"/>
      <c r="Q227" s="94"/>
      <c r="R227" s="93"/>
      <c r="S227" s="85"/>
      <c r="U227" s="94"/>
      <c r="V227" s="93"/>
      <c r="W227" s="85"/>
      <c r="Y227" s="94"/>
      <c r="Z227" s="93"/>
      <c r="AA227" s="85"/>
      <c r="AC227" s="94"/>
      <c r="AD227" s="93"/>
      <c r="AE227" s="85"/>
    </row>
    <row r="228" spans="7:31" x14ac:dyDescent="0.35">
      <c r="G228" s="85"/>
      <c r="H228" s="87"/>
      <c r="I228" s="94">
        <v>14</v>
      </c>
      <c r="J228" s="93">
        <v>45181</v>
      </c>
      <c r="K228" s="87" t="s">
        <v>1667</v>
      </c>
      <c r="L228" s="87">
        <v>51.62</v>
      </c>
      <c r="M228" s="87"/>
      <c r="N228" s="93"/>
      <c r="O228" s="85"/>
      <c r="Q228" s="94"/>
      <c r="R228" s="93"/>
      <c r="S228" s="85"/>
      <c r="U228" s="94"/>
      <c r="V228" s="93"/>
      <c r="W228" s="85"/>
      <c r="Y228" s="94"/>
      <c r="Z228" s="93"/>
      <c r="AA228" s="85"/>
      <c r="AC228" s="94"/>
      <c r="AD228" s="93"/>
      <c r="AE228" s="85"/>
    </row>
    <row r="229" spans="7:31" x14ac:dyDescent="0.35">
      <c r="G229" s="85"/>
      <c r="H229" s="87"/>
      <c r="I229" s="94">
        <v>14</v>
      </c>
      <c r="J229" s="93">
        <v>45181</v>
      </c>
      <c r="K229" s="87" t="s">
        <v>1668</v>
      </c>
      <c r="L229" s="87">
        <v>54.15</v>
      </c>
      <c r="M229" s="87"/>
      <c r="N229" s="93"/>
      <c r="O229" s="85"/>
      <c r="Q229" s="94"/>
      <c r="R229" s="93"/>
      <c r="S229" s="85"/>
      <c r="U229" s="94"/>
      <c r="V229" s="93"/>
      <c r="W229" s="85"/>
      <c r="Y229" s="94"/>
      <c r="Z229" s="93"/>
      <c r="AA229" s="85"/>
      <c r="AC229" s="94"/>
      <c r="AD229" s="93"/>
      <c r="AE229" s="85"/>
    </row>
    <row r="230" spans="7:31" x14ac:dyDescent="0.35">
      <c r="G230" s="85"/>
      <c r="H230" s="87"/>
      <c r="I230" s="94">
        <v>16</v>
      </c>
      <c r="J230" s="93">
        <v>45181</v>
      </c>
      <c r="K230" s="87" t="s">
        <v>1669</v>
      </c>
      <c r="L230" s="87">
        <v>12.96</v>
      </c>
      <c r="M230" s="87"/>
      <c r="N230" s="93"/>
      <c r="O230" s="85"/>
      <c r="Q230" s="94"/>
      <c r="R230" s="93"/>
      <c r="S230" s="85"/>
      <c r="U230" s="94"/>
      <c r="V230" s="93"/>
      <c r="W230" s="85"/>
      <c r="Y230" s="94"/>
      <c r="Z230" s="93"/>
      <c r="AA230" s="85"/>
      <c r="AC230" s="94"/>
      <c r="AD230" s="93"/>
      <c r="AE230" s="85"/>
    </row>
    <row r="231" spans="7:31" x14ac:dyDescent="0.35">
      <c r="G231" s="85"/>
      <c r="H231" s="87"/>
      <c r="I231" s="94">
        <v>16</v>
      </c>
      <c r="J231" s="93">
        <v>45181</v>
      </c>
      <c r="K231" s="87" t="s">
        <v>1669</v>
      </c>
      <c r="L231" s="87">
        <v>12.49</v>
      </c>
      <c r="M231" s="87"/>
      <c r="N231" s="93"/>
      <c r="O231" s="85"/>
      <c r="Q231" s="94"/>
      <c r="R231" s="93"/>
      <c r="S231" s="85"/>
      <c r="U231" s="94"/>
      <c r="V231" s="93"/>
      <c r="W231" s="85"/>
      <c r="Y231" s="94"/>
      <c r="Z231" s="93"/>
      <c r="AA231" s="85"/>
      <c r="AC231" s="94"/>
      <c r="AD231" s="93"/>
      <c r="AE231" s="85"/>
    </row>
    <row r="232" spans="7:31" x14ac:dyDescent="0.35">
      <c r="G232" s="85"/>
      <c r="H232" s="87"/>
      <c r="I232" s="94">
        <v>18</v>
      </c>
      <c r="J232" s="93">
        <v>45182</v>
      </c>
      <c r="K232" s="87" t="s">
        <v>1670</v>
      </c>
      <c r="L232" s="87">
        <v>87.48</v>
      </c>
      <c r="M232" s="87"/>
      <c r="N232" s="93"/>
      <c r="O232" s="85"/>
      <c r="Q232" s="94"/>
      <c r="R232" s="93"/>
      <c r="S232" s="85"/>
      <c r="U232" s="94"/>
      <c r="V232" s="93"/>
      <c r="W232" s="85"/>
      <c r="Y232" s="94"/>
      <c r="Z232" s="93"/>
      <c r="AA232" s="85"/>
      <c r="AC232" s="94"/>
      <c r="AD232" s="93"/>
      <c r="AE232" s="85"/>
    </row>
    <row r="233" spans="7:31" x14ac:dyDescent="0.35">
      <c r="G233" s="85"/>
      <c r="H233" s="87"/>
      <c r="I233" s="94">
        <v>18</v>
      </c>
      <c r="J233" s="93">
        <v>45182</v>
      </c>
      <c r="K233" s="87" t="s">
        <v>1671</v>
      </c>
      <c r="L233" s="87">
        <v>5.17</v>
      </c>
      <c r="M233" s="87"/>
      <c r="N233" s="93"/>
      <c r="O233" s="85"/>
      <c r="Q233" s="94"/>
      <c r="R233" s="93"/>
      <c r="S233" s="85"/>
      <c r="U233" s="94"/>
      <c r="V233" s="93"/>
      <c r="W233" s="85"/>
      <c r="Y233" s="94"/>
      <c r="Z233" s="93"/>
      <c r="AA233" s="85"/>
      <c r="AC233" s="94"/>
      <c r="AD233" s="93"/>
      <c r="AE233" s="85"/>
    </row>
    <row r="234" spans="7:31" x14ac:dyDescent="0.35">
      <c r="G234" s="85"/>
      <c r="H234" s="87"/>
      <c r="I234" s="94">
        <v>8</v>
      </c>
      <c r="J234" s="93">
        <v>45191</v>
      </c>
      <c r="K234" s="87" t="s">
        <v>1579</v>
      </c>
      <c r="L234" s="87">
        <v>7.5</v>
      </c>
      <c r="M234" s="87"/>
      <c r="N234" s="93"/>
      <c r="O234" s="85"/>
      <c r="Q234" s="94"/>
      <c r="R234" s="93"/>
      <c r="S234" s="85"/>
      <c r="U234" s="94"/>
      <c r="V234" s="93"/>
      <c r="W234" s="85"/>
      <c r="Y234" s="94"/>
      <c r="Z234" s="93"/>
      <c r="AA234" s="85"/>
      <c r="AC234" s="94"/>
      <c r="AD234" s="93"/>
      <c r="AE234" s="85"/>
    </row>
    <row r="235" spans="7:31" x14ac:dyDescent="0.35">
      <c r="G235" s="85"/>
      <c r="H235" s="87"/>
      <c r="I235" s="94">
        <v>18</v>
      </c>
      <c r="J235" s="93">
        <v>45192</v>
      </c>
      <c r="K235" s="87" t="s">
        <v>1672</v>
      </c>
      <c r="L235" s="87">
        <v>16.66</v>
      </c>
      <c r="M235" s="87"/>
      <c r="N235" s="93"/>
      <c r="O235" s="85"/>
      <c r="Q235" s="94"/>
      <c r="R235" s="93"/>
      <c r="S235" s="85"/>
      <c r="U235" s="94"/>
      <c r="V235" s="93"/>
      <c r="W235" s="85"/>
      <c r="Y235" s="94"/>
      <c r="Z235" s="93"/>
      <c r="AA235" s="85"/>
      <c r="AC235" s="94"/>
      <c r="AD235" s="93"/>
      <c r="AE235" s="85"/>
    </row>
    <row r="236" spans="7:31" x14ac:dyDescent="0.35">
      <c r="G236" s="85"/>
      <c r="H236" s="87"/>
      <c r="I236" s="94">
        <v>16</v>
      </c>
      <c r="J236" s="93">
        <v>45194</v>
      </c>
      <c r="K236" s="87" t="s">
        <v>1516</v>
      </c>
      <c r="L236" s="87">
        <v>17.329999999999998</v>
      </c>
      <c r="M236" s="87"/>
      <c r="N236" s="93"/>
      <c r="O236" s="85"/>
      <c r="Q236" s="94"/>
      <c r="R236" s="93"/>
      <c r="S236" s="85"/>
      <c r="U236" s="94"/>
      <c r="V236" s="93"/>
      <c r="W236" s="85"/>
      <c r="Y236" s="94"/>
      <c r="Z236" s="93"/>
      <c r="AA236" s="85"/>
      <c r="AC236" s="94"/>
      <c r="AD236" s="93"/>
      <c r="AE236" s="85"/>
    </row>
    <row r="237" spans="7:31" x14ac:dyDescent="0.35">
      <c r="G237" s="85"/>
      <c r="H237" s="87"/>
      <c r="I237" s="94">
        <v>14</v>
      </c>
      <c r="J237" s="93">
        <v>45194</v>
      </c>
      <c r="K237" s="87" t="s">
        <v>1673</v>
      </c>
      <c r="L237" s="87">
        <v>34.49</v>
      </c>
      <c r="M237" s="87"/>
      <c r="N237" s="93"/>
      <c r="O237" s="85"/>
      <c r="Q237" s="94"/>
      <c r="R237" s="93"/>
      <c r="S237" s="85"/>
      <c r="U237" s="94"/>
      <c r="V237" s="93"/>
      <c r="W237" s="85"/>
      <c r="Y237" s="94"/>
      <c r="Z237" s="93"/>
      <c r="AA237" s="85"/>
      <c r="AC237" s="94"/>
      <c r="AD237" s="93"/>
      <c r="AE237" s="85"/>
    </row>
    <row r="238" spans="7:31" x14ac:dyDescent="0.35">
      <c r="G238" s="85"/>
      <c r="H238" s="87"/>
      <c r="I238" s="94">
        <v>16</v>
      </c>
      <c r="J238" s="93">
        <v>45196</v>
      </c>
      <c r="K238" s="87" t="s">
        <v>1674</v>
      </c>
      <c r="L238" s="87">
        <v>9.74</v>
      </c>
      <c r="M238" s="87"/>
      <c r="N238" s="93"/>
      <c r="O238" s="85"/>
      <c r="Q238" s="94"/>
      <c r="R238" s="93"/>
      <c r="S238" s="85"/>
      <c r="U238" s="94"/>
      <c r="V238" s="93"/>
      <c r="W238" s="85"/>
      <c r="Y238" s="94"/>
      <c r="Z238" s="93"/>
      <c r="AA238" s="85"/>
      <c r="AC238" s="94"/>
      <c r="AD238" s="93"/>
      <c r="AE238" s="85"/>
    </row>
    <row r="239" spans="7:31" x14ac:dyDescent="0.35">
      <c r="G239" s="85"/>
      <c r="H239" s="87"/>
      <c r="I239" s="94">
        <v>18</v>
      </c>
      <c r="J239" s="93">
        <v>45190</v>
      </c>
      <c r="K239" s="87" t="s">
        <v>1675</v>
      </c>
      <c r="L239" s="87">
        <v>17.739999999999998</v>
      </c>
      <c r="M239" s="87"/>
      <c r="N239" s="93"/>
      <c r="O239" s="85"/>
      <c r="Q239" s="94"/>
      <c r="R239" s="93"/>
      <c r="S239" s="85"/>
      <c r="U239" s="94"/>
      <c r="V239" s="93"/>
      <c r="W239" s="85"/>
      <c r="Y239" s="94"/>
      <c r="Z239" s="93"/>
      <c r="AA239" s="85"/>
      <c r="AC239" s="94"/>
      <c r="AD239" s="93"/>
      <c r="AE239" s="85"/>
    </row>
    <row r="240" spans="7:31" x14ac:dyDescent="0.35">
      <c r="G240" s="85"/>
      <c r="H240" s="87"/>
      <c r="I240" s="94">
        <v>8</v>
      </c>
      <c r="J240" s="93">
        <v>45193</v>
      </c>
      <c r="K240" s="85" t="s">
        <v>1512</v>
      </c>
      <c r="L240" s="87">
        <v>44.99</v>
      </c>
      <c r="M240" s="87"/>
      <c r="N240" s="93"/>
      <c r="O240" s="85"/>
      <c r="Q240" s="94"/>
      <c r="R240" s="93"/>
      <c r="S240" s="85"/>
      <c r="U240" s="94"/>
      <c r="V240" s="93"/>
      <c r="W240" s="85"/>
      <c r="Y240" s="94"/>
      <c r="Z240" s="93"/>
      <c r="AA240" s="85"/>
      <c r="AC240" s="94"/>
      <c r="AD240" s="93"/>
      <c r="AE240" s="85"/>
    </row>
    <row r="241" spans="7:31" x14ac:dyDescent="0.35">
      <c r="G241" s="85"/>
      <c r="H241" s="87"/>
      <c r="I241" s="94">
        <v>18</v>
      </c>
      <c r="J241" s="93">
        <v>45195</v>
      </c>
      <c r="K241" s="87" t="s">
        <v>1676</v>
      </c>
      <c r="L241" s="87">
        <v>2806.31</v>
      </c>
      <c r="M241" s="87"/>
      <c r="N241" s="93"/>
      <c r="O241" s="85"/>
      <c r="Q241" s="94"/>
      <c r="R241" s="93"/>
      <c r="S241" s="85"/>
      <c r="U241" s="94"/>
      <c r="V241" s="93"/>
      <c r="W241" s="85"/>
      <c r="Y241" s="94"/>
      <c r="Z241" s="93"/>
      <c r="AA241" s="85"/>
      <c r="AC241" s="94"/>
      <c r="AD241" s="93"/>
      <c r="AE241" s="85"/>
    </row>
    <row r="242" spans="7:31" x14ac:dyDescent="0.35">
      <c r="G242" s="85"/>
      <c r="H242" s="87"/>
      <c r="I242" s="94">
        <v>6</v>
      </c>
      <c r="J242" s="93">
        <v>45170</v>
      </c>
      <c r="K242" s="87" t="s">
        <v>1677</v>
      </c>
      <c r="L242" s="87">
        <v>733.39</v>
      </c>
      <c r="M242" s="87"/>
      <c r="N242" s="93"/>
      <c r="O242" s="85"/>
      <c r="Q242" s="94"/>
      <c r="R242" s="93"/>
      <c r="S242" s="85"/>
      <c r="U242" s="94"/>
      <c r="V242" s="93"/>
      <c r="W242" s="85"/>
      <c r="Y242" s="94"/>
      <c r="Z242" s="93"/>
      <c r="AA242" s="85"/>
      <c r="AC242" s="94"/>
      <c r="AD242" s="93"/>
      <c r="AE242" s="85"/>
    </row>
    <row r="243" spans="7:31" x14ac:dyDescent="0.35">
      <c r="G243" s="85"/>
      <c r="H243" s="87"/>
      <c r="I243" s="94" t="s">
        <v>2162</v>
      </c>
      <c r="J243" s="93" t="s">
        <v>491</v>
      </c>
      <c r="K243" s="87" t="s">
        <v>793</v>
      </c>
      <c r="L243" s="87">
        <v>10000</v>
      </c>
      <c r="M243" s="87"/>
      <c r="N243" s="93"/>
      <c r="O243" s="85"/>
      <c r="Q243" s="94"/>
      <c r="R243" s="93"/>
      <c r="S243" s="85"/>
      <c r="U243" s="94"/>
      <c r="V243" s="93"/>
      <c r="W243" s="85"/>
      <c r="Y243" s="94"/>
      <c r="Z243" s="93"/>
      <c r="AA243" s="85"/>
      <c r="AC243" s="94"/>
      <c r="AD243" s="93"/>
      <c r="AE243" s="85"/>
    </row>
    <row r="244" spans="7:31" x14ac:dyDescent="0.35">
      <c r="G244" s="85"/>
      <c r="H244" s="87"/>
      <c r="I244" s="94">
        <v>20</v>
      </c>
      <c r="J244" s="93">
        <v>45156</v>
      </c>
      <c r="K244" s="87" t="s">
        <v>1678</v>
      </c>
      <c r="L244" s="87">
        <v>495.77</v>
      </c>
      <c r="M244" s="87"/>
      <c r="N244" s="93"/>
      <c r="O244" s="85"/>
      <c r="Q244" s="94"/>
      <c r="R244" s="93"/>
      <c r="S244" s="85"/>
      <c r="U244" s="94"/>
      <c r="V244" s="93"/>
      <c r="W244" s="85"/>
      <c r="Y244" s="94"/>
      <c r="Z244" s="93"/>
      <c r="AA244" s="85"/>
      <c r="AC244" s="94"/>
      <c r="AD244" s="93"/>
      <c r="AE244" s="85"/>
    </row>
    <row r="245" spans="7:31" x14ac:dyDescent="0.35">
      <c r="G245" s="85"/>
      <c r="H245" s="87"/>
      <c r="I245" s="94">
        <v>16</v>
      </c>
      <c r="J245" s="93">
        <v>45114</v>
      </c>
      <c r="K245" s="87" t="s">
        <v>1471</v>
      </c>
      <c r="L245" s="87">
        <v>230.15</v>
      </c>
      <c r="M245" s="87"/>
      <c r="N245" s="93"/>
      <c r="O245" s="85"/>
      <c r="Q245" s="94"/>
      <c r="R245" s="93"/>
      <c r="S245" s="85"/>
      <c r="U245" s="94"/>
      <c r="V245" s="93"/>
      <c r="W245" s="85"/>
      <c r="Y245" s="94"/>
      <c r="Z245" s="93"/>
      <c r="AA245" s="85"/>
      <c r="AC245" s="94"/>
      <c r="AD245" s="93"/>
      <c r="AE245" s="85"/>
    </row>
    <row r="246" spans="7:31" x14ac:dyDescent="0.35">
      <c r="G246" s="85"/>
      <c r="H246" s="87"/>
      <c r="I246" s="94">
        <v>14</v>
      </c>
      <c r="J246" s="93">
        <v>45180</v>
      </c>
      <c r="K246" s="87" t="s">
        <v>1630</v>
      </c>
      <c r="L246" s="87">
        <v>56.65</v>
      </c>
      <c r="M246" s="87"/>
      <c r="N246" s="93"/>
      <c r="O246" s="85"/>
      <c r="Q246" s="94"/>
      <c r="R246" s="93"/>
      <c r="S246" s="85"/>
      <c r="U246" s="94"/>
      <c r="V246" s="93"/>
      <c r="W246" s="85"/>
      <c r="Y246" s="94"/>
      <c r="Z246" s="93"/>
      <c r="AA246" s="85"/>
      <c r="AC246" s="94"/>
      <c r="AD246" s="93"/>
      <c r="AE246" s="85"/>
    </row>
    <row r="247" spans="7:31" x14ac:dyDescent="0.35">
      <c r="G247" s="85"/>
      <c r="H247" s="87"/>
      <c r="I247" s="94">
        <v>14</v>
      </c>
      <c r="J247" s="93">
        <v>45181</v>
      </c>
      <c r="K247" s="87" t="s">
        <v>1630</v>
      </c>
      <c r="L247" s="87">
        <v>49.98</v>
      </c>
      <c r="M247" s="87"/>
      <c r="N247" s="93"/>
      <c r="O247" s="85"/>
      <c r="Q247" s="94"/>
      <c r="R247" s="93"/>
      <c r="S247" s="85"/>
      <c r="U247" s="94"/>
      <c r="V247" s="93"/>
      <c r="W247" s="85"/>
      <c r="Y247" s="94"/>
      <c r="Z247" s="93"/>
      <c r="AA247" s="85"/>
      <c r="AC247" s="94"/>
      <c r="AD247" s="93"/>
      <c r="AE247" s="85"/>
    </row>
    <row r="248" spans="7:31" x14ac:dyDescent="0.35">
      <c r="G248" s="85"/>
      <c r="H248" s="87"/>
      <c r="I248" s="94">
        <v>14</v>
      </c>
      <c r="J248" s="93">
        <v>45181</v>
      </c>
      <c r="K248" s="87" t="s">
        <v>2307</v>
      </c>
      <c r="L248" s="87">
        <v>69.900000000000006</v>
      </c>
      <c r="M248" s="87"/>
      <c r="N248" s="93"/>
      <c r="O248" s="85"/>
      <c r="Q248" s="94"/>
      <c r="R248" s="93"/>
      <c r="S248" s="85"/>
      <c r="U248" s="94"/>
      <c r="V248" s="93"/>
      <c r="W248" s="85"/>
      <c r="Y248" s="94"/>
      <c r="Z248" s="93"/>
      <c r="AA248" s="85"/>
      <c r="AC248" s="94"/>
      <c r="AD248" s="93"/>
      <c r="AE248" s="85"/>
    </row>
    <row r="249" spans="7:31" x14ac:dyDescent="0.35">
      <c r="G249" s="85"/>
      <c r="H249" s="87"/>
      <c r="I249" s="94">
        <v>14</v>
      </c>
      <c r="J249" s="93">
        <v>45187</v>
      </c>
      <c r="K249" s="87" t="s">
        <v>2308</v>
      </c>
      <c r="L249" s="87">
        <v>28.33</v>
      </c>
      <c r="M249" s="94"/>
      <c r="N249" s="93"/>
      <c r="O249" s="85"/>
      <c r="Q249" s="94"/>
      <c r="R249" s="93"/>
      <c r="S249" s="85"/>
      <c r="U249" s="94"/>
      <c r="V249" s="93"/>
      <c r="W249" s="85"/>
      <c r="Y249" s="94"/>
      <c r="Z249" s="93"/>
      <c r="AA249" s="85"/>
      <c r="AC249" s="94"/>
      <c r="AD249" s="93"/>
      <c r="AE249" s="85"/>
    </row>
    <row r="250" spans="7:31" x14ac:dyDescent="0.35">
      <c r="G250" s="85"/>
      <c r="H250" s="87"/>
      <c r="I250" s="94">
        <v>14</v>
      </c>
      <c r="J250" s="93">
        <v>45187</v>
      </c>
      <c r="K250" s="87" t="s">
        <v>2309</v>
      </c>
      <c r="L250" s="87">
        <v>16.649999999999999</v>
      </c>
      <c r="M250" s="94"/>
      <c r="N250" s="93"/>
      <c r="O250" s="85"/>
      <c r="Q250" s="94"/>
      <c r="R250" s="93"/>
      <c r="S250" s="85"/>
      <c r="U250" s="94"/>
      <c r="V250" s="93"/>
      <c r="W250" s="85"/>
      <c r="Y250" s="94"/>
      <c r="Z250" s="93"/>
      <c r="AA250" s="85"/>
      <c r="AC250" s="94"/>
      <c r="AD250" s="93"/>
      <c r="AE250" s="85"/>
    </row>
    <row r="251" spans="7:31" x14ac:dyDescent="0.35">
      <c r="G251" s="85"/>
      <c r="H251" s="87"/>
      <c r="I251" s="94">
        <v>14</v>
      </c>
      <c r="J251" s="93">
        <v>45188</v>
      </c>
      <c r="K251" s="87" t="s">
        <v>2310</v>
      </c>
      <c r="L251" s="87">
        <v>94.98</v>
      </c>
      <c r="M251" s="94"/>
      <c r="N251" s="93"/>
      <c r="O251" s="85"/>
      <c r="Q251" s="94"/>
      <c r="R251" s="93"/>
      <c r="S251" s="85"/>
      <c r="U251" s="94"/>
      <c r="V251" s="93"/>
      <c r="W251" s="85"/>
      <c r="Y251" s="94"/>
      <c r="Z251" s="93"/>
      <c r="AA251" s="85"/>
      <c r="AC251" s="94"/>
      <c r="AD251" s="93"/>
      <c r="AE251" s="85"/>
    </row>
    <row r="252" spans="7:31" x14ac:dyDescent="0.35">
      <c r="G252" s="85"/>
      <c r="H252" s="87"/>
      <c r="I252" s="94">
        <v>18</v>
      </c>
      <c r="J252" s="93">
        <v>45188</v>
      </c>
      <c r="K252" s="87" t="s">
        <v>2208</v>
      </c>
      <c r="L252" s="87">
        <v>46.39</v>
      </c>
      <c r="M252" s="94"/>
      <c r="N252" s="93"/>
      <c r="O252" s="85"/>
      <c r="Q252" s="94"/>
      <c r="R252" s="93"/>
      <c r="S252" s="85"/>
      <c r="U252" s="94"/>
      <c r="V252" s="93"/>
      <c r="W252" s="85"/>
      <c r="Y252" s="94"/>
      <c r="Z252" s="93"/>
      <c r="AA252" s="85"/>
      <c r="AC252" s="94"/>
      <c r="AD252" s="93"/>
      <c r="AE252" s="85"/>
    </row>
    <row r="253" spans="7:31" x14ac:dyDescent="0.35">
      <c r="G253" s="85"/>
      <c r="H253" s="87"/>
      <c r="I253" s="94">
        <v>18</v>
      </c>
      <c r="J253" s="93">
        <v>45188</v>
      </c>
      <c r="K253" s="87" t="s">
        <v>2208</v>
      </c>
      <c r="L253" s="87">
        <v>44.15</v>
      </c>
      <c r="M253" s="94"/>
      <c r="N253" s="93"/>
      <c r="O253" s="85"/>
      <c r="Q253" s="94"/>
      <c r="R253" s="93"/>
      <c r="S253" s="85"/>
      <c r="U253" s="94"/>
      <c r="V253" s="93"/>
      <c r="W253" s="85"/>
      <c r="Y253" s="94"/>
      <c r="Z253" s="93"/>
      <c r="AA253" s="85"/>
      <c r="AC253" s="94"/>
      <c r="AD253" s="93"/>
      <c r="AE253" s="85"/>
    </row>
    <row r="254" spans="7:31" x14ac:dyDescent="0.35">
      <c r="G254" s="85"/>
      <c r="H254" s="87"/>
      <c r="I254" s="94">
        <v>14</v>
      </c>
      <c r="J254" s="93">
        <v>45125</v>
      </c>
      <c r="K254" s="87" t="s">
        <v>1630</v>
      </c>
      <c r="L254" s="87">
        <v>18</v>
      </c>
      <c r="M254" s="94"/>
      <c r="N254" s="93"/>
      <c r="O254" s="85"/>
      <c r="Q254" s="94"/>
      <c r="R254" s="93"/>
      <c r="S254" s="85"/>
      <c r="U254" s="94"/>
      <c r="V254" s="93"/>
      <c r="W254" s="85"/>
      <c r="Y254" s="94"/>
      <c r="Z254" s="93"/>
      <c r="AA254" s="85"/>
      <c r="AC254" s="94"/>
      <c r="AD254" s="93"/>
      <c r="AE254" s="85"/>
    </row>
    <row r="255" spans="7:31" x14ac:dyDescent="0.35">
      <c r="G255" s="85"/>
      <c r="H255" s="87"/>
      <c r="I255" s="94">
        <v>15</v>
      </c>
      <c r="J255" s="93">
        <v>45125</v>
      </c>
      <c r="K255" s="87" t="s">
        <v>1624</v>
      </c>
      <c r="L255" s="87">
        <v>169.88</v>
      </c>
      <c r="M255" s="94"/>
      <c r="N255" s="93"/>
      <c r="O255" s="85"/>
      <c r="Q255" s="94"/>
      <c r="R255" s="93"/>
      <c r="S255" s="85"/>
      <c r="U255" s="94"/>
      <c r="V255" s="93"/>
      <c r="W255" s="85"/>
      <c r="Y255" s="94"/>
      <c r="Z255" s="93"/>
      <c r="AA255" s="85"/>
      <c r="AC255" s="94"/>
      <c r="AD255" s="93"/>
      <c r="AE255" s="85"/>
    </row>
    <row r="256" spans="7:31" x14ac:dyDescent="0.35">
      <c r="G256" s="85"/>
      <c r="H256" s="87"/>
      <c r="I256" s="94">
        <v>14</v>
      </c>
      <c r="J256" s="93">
        <v>45140</v>
      </c>
      <c r="K256" s="87" t="s">
        <v>2311</v>
      </c>
      <c r="L256" s="87">
        <v>179.8</v>
      </c>
      <c r="M256" s="94"/>
      <c r="N256" s="93"/>
      <c r="O256" s="85"/>
      <c r="Q256" s="94"/>
      <c r="R256" s="93"/>
      <c r="S256" s="85"/>
      <c r="U256" s="94"/>
      <c r="V256" s="93"/>
      <c r="W256" s="85"/>
      <c r="Y256" s="94"/>
      <c r="Z256" s="93"/>
      <c r="AA256" s="85"/>
      <c r="AC256" s="94"/>
      <c r="AD256" s="93"/>
      <c r="AE256" s="85"/>
    </row>
    <row r="257" spans="7:31" x14ac:dyDescent="0.35">
      <c r="G257" s="85"/>
      <c r="H257" s="87"/>
      <c r="I257" s="94">
        <v>20</v>
      </c>
      <c r="J257" s="93">
        <v>45187</v>
      </c>
      <c r="K257" s="87" t="s">
        <v>2312</v>
      </c>
      <c r="L257" s="87">
        <v>495.77</v>
      </c>
      <c r="M257" s="94"/>
      <c r="N257" s="93"/>
      <c r="O257" s="85"/>
      <c r="Q257" s="94"/>
      <c r="R257" s="93"/>
      <c r="S257" s="85"/>
      <c r="U257" s="94"/>
      <c r="V257" s="93"/>
      <c r="W257" s="85"/>
      <c r="Y257" s="94"/>
      <c r="Z257" s="93"/>
      <c r="AA257" s="85"/>
      <c r="AC257" s="94"/>
      <c r="AD257" s="93"/>
      <c r="AE257" s="85"/>
    </row>
    <row r="258" spans="7:31" x14ac:dyDescent="0.35">
      <c r="G258" s="85"/>
      <c r="H258" s="87"/>
      <c r="I258" s="94">
        <v>14</v>
      </c>
      <c r="J258" s="93">
        <v>45202</v>
      </c>
      <c r="K258" s="87" t="s">
        <v>1679</v>
      </c>
      <c r="L258" s="87">
        <v>204.25</v>
      </c>
      <c r="M258" s="94"/>
      <c r="N258" s="93"/>
      <c r="O258" s="85"/>
      <c r="Q258" s="94"/>
      <c r="R258" s="93"/>
      <c r="S258" s="85"/>
      <c r="U258" s="94"/>
      <c r="V258" s="93"/>
      <c r="W258" s="85"/>
      <c r="Y258" s="94"/>
      <c r="Z258" s="93"/>
      <c r="AA258" s="85"/>
      <c r="AC258" s="94"/>
      <c r="AD258" s="93"/>
      <c r="AE258" s="85"/>
    </row>
    <row r="259" spans="7:31" x14ac:dyDescent="0.35">
      <c r="G259" s="85"/>
      <c r="H259" s="87"/>
      <c r="I259" s="94">
        <v>9</v>
      </c>
      <c r="J259" s="93">
        <v>45208</v>
      </c>
      <c r="K259" s="87" t="s">
        <v>1680</v>
      </c>
      <c r="L259" s="87">
        <v>900</v>
      </c>
      <c r="M259" s="94"/>
      <c r="N259" s="93"/>
      <c r="O259" s="85"/>
      <c r="Q259" s="94"/>
      <c r="R259" s="93"/>
      <c r="S259" s="85"/>
      <c r="U259" s="94"/>
      <c r="V259" s="93"/>
      <c r="W259" s="85"/>
      <c r="Y259" s="94"/>
      <c r="Z259" s="93"/>
      <c r="AA259" s="85"/>
      <c r="AC259" s="94"/>
      <c r="AD259" s="93"/>
      <c r="AE259" s="85"/>
    </row>
    <row r="260" spans="7:31" x14ac:dyDescent="0.35">
      <c r="G260" s="85"/>
      <c r="H260" s="87"/>
      <c r="I260" s="94">
        <v>6</v>
      </c>
      <c r="J260" s="93">
        <v>45200</v>
      </c>
      <c r="K260" s="85" t="s">
        <v>1681</v>
      </c>
      <c r="L260" s="87">
        <v>733.39</v>
      </c>
      <c r="M260" s="94"/>
      <c r="N260" s="93"/>
      <c r="O260" s="85"/>
      <c r="Q260" s="94"/>
      <c r="R260" s="93"/>
      <c r="S260" s="85"/>
      <c r="U260" s="94"/>
      <c r="V260" s="93"/>
      <c r="W260" s="85"/>
      <c r="Y260" s="94"/>
      <c r="Z260" s="93"/>
      <c r="AA260" s="85"/>
      <c r="AC260" s="94"/>
      <c r="AD260" s="93"/>
      <c r="AE260" s="85"/>
    </row>
    <row r="261" spans="7:31" x14ac:dyDescent="0.35">
      <c r="G261" s="85"/>
      <c r="H261" s="87"/>
      <c r="I261" s="94">
        <v>19</v>
      </c>
      <c r="J261" s="93">
        <v>45203</v>
      </c>
      <c r="K261" s="87" t="s">
        <v>1682</v>
      </c>
      <c r="L261" s="87">
        <v>2584</v>
      </c>
      <c r="M261" s="94"/>
      <c r="N261" s="93"/>
      <c r="O261" s="85"/>
      <c r="Q261" s="94"/>
      <c r="R261" s="93"/>
      <c r="S261" s="85"/>
      <c r="U261" s="94"/>
      <c r="V261" s="93"/>
      <c r="W261" s="85"/>
      <c r="Y261" s="94"/>
      <c r="Z261" s="93"/>
      <c r="AA261" s="85"/>
      <c r="AC261" s="94"/>
      <c r="AD261" s="93"/>
      <c r="AE261" s="85"/>
    </row>
    <row r="262" spans="7:31" x14ac:dyDescent="0.35">
      <c r="G262" s="85"/>
      <c r="H262" s="87"/>
      <c r="I262" s="94">
        <v>2</v>
      </c>
      <c r="J262" s="93">
        <v>45203</v>
      </c>
      <c r="K262" s="87" t="s">
        <v>1682</v>
      </c>
      <c r="L262" s="87">
        <v>1476.5</v>
      </c>
      <c r="M262" s="94"/>
      <c r="N262" s="93"/>
      <c r="O262" s="85"/>
      <c r="Q262" s="94"/>
      <c r="R262" s="93"/>
      <c r="S262" s="85"/>
      <c r="U262" s="94"/>
      <c r="V262" s="93"/>
      <c r="W262" s="85"/>
      <c r="Y262" s="94"/>
      <c r="Z262" s="93"/>
      <c r="AA262" s="85"/>
      <c r="AC262" s="94"/>
      <c r="AD262" s="93"/>
      <c r="AE262" s="85"/>
    </row>
    <row r="263" spans="7:31" x14ac:dyDescent="0.35">
      <c r="G263" s="85"/>
      <c r="H263" s="87"/>
      <c r="I263" s="94">
        <v>14</v>
      </c>
      <c r="J263" s="93">
        <v>45209</v>
      </c>
      <c r="K263" s="87" t="s">
        <v>1683</v>
      </c>
      <c r="L263" s="87">
        <v>430.55</v>
      </c>
      <c r="M263" s="94"/>
      <c r="N263" s="93"/>
      <c r="O263" s="85"/>
      <c r="Q263" s="94"/>
      <c r="R263" s="93"/>
      <c r="S263" s="85"/>
      <c r="U263" s="94"/>
      <c r="V263" s="93"/>
      <c r="W263" s="85"/>
      <c r="Y263" s="94"/>
      <c r="Z263" s="93"/>
      <c r="AA263" s="85"/>
      <c r="AC263" s="94"/>
      <c r="AD263" s="93"/>
      <c r="AE263" s="85"/>
    </row>
    <row r="264" spans="7:31" x14ac:dyDescent="0.35">
      <c r="G264" s="85"/>
      <c r="H264" s="87"/>
      <c r="I264" s="94">
        <v>15</v>
      </c>
      <c r="J264" s="93">
        <v>45202</v>
      </c>
      <c r="K264" s="87" t="s">
        <v>1624</v>
      </c>
      <c r="L264" s="87">
        <v>134.91</v>
      </c>
      <c r="M264" s="94"/>
      <c r="N264" s="93"/>
      <c r="O264" s="85"/>
      <c r="Q264" s="94"/>
      <c r="R264" s="93"/>
      <c r="S264" s="85"/>
      <c r="U264" s="94"/>
      <c r="V264" s="93"/>
      <c r="W264" s="85"/>
      <c r="Y264" s="94"/>
      <c r="Z264" s="93"/>
      <c r="AA264" s="85"/>
      <c r="AC264" s="94"/>
      <c r="AD264" s="93"/>
      <c r="AE264" s="85"/>
    </row>
    <row r="265" spans="7:31" x14ac:dyDescent="0.35">
      <c r="G265" s="85"/>
      <c r="H265" s="87"/>
      <c r="I265" s="94">
        <v>14</v>
      </c>
      <c r="J265" s="93">
        <v>45205</v>
      </c>
      <c r="K265" s="87" t="s">
        <v>1684</v>
      </c>
      <c r="L265" s="87">
        <v>612</v>
      </c>
      <c r="M265" s="94"/>
      <c r="N265" s="93"/>
      <c r="O265" s="85"/>
      <c r="Q265" s="94"/>
      <c r="R265" s="93"/>
      <c r="S265" s="85"/>
      <c r="U265" s="94"/>
      <c r="V265" s="93"/>
      <c r="W265" s="85"/>
      <c r="Y265" s="94"/>
      <c r="Z265" s="93"/>
      <c r="AA265" s="85"/>
      <c r="AC265" s="94"/>
      <c r="AD265" s="93"/>
      <c r="AE265" s="85"/>
    </row>
    <row r="266" spans="7:31" x14ac:dyDescent="0.35">
      <c r="G266" s="85"/>
      <c r="H266" s="87"/>
      <c r="I266" s="94">
        <v>14</v>
      </c>
      <c r="J266" s="93">
        <v>45202</v>
      </c>
      <c r="K266" s="87" t="s">
        <v>1685</v>
      </c>
      <c r="L266" s="87">
        <v>208.99</v>
      </c>
      <c r="M266" s="94"/>
      <c r="N266" s="93"/>
      <c r="O266" s="85"/>
      <c r="Q266" s="94"/>
      <c r="R266" s="93"/>
      <c r="S266" s="85"/>
      <c r="U266" s="94"/>
      <c r="V266" s="93"/>
      <c r="W266" s="85"/>
      <c r="Y266" s="94"/>
      <c r="Z266" s="93"/>
      <c r="AA266" s="85"/>
      <c r="AC266" s="94"/>
      <c r="AD266" s="93"/>
      <c r="AE266" s="85"/>
    </row>
    <row r="267" spans="7:31" x14ac:dyDescent="0.35">
      <c r="G267" s="85"/>
      <c r="H267" s="87"/>
      <c r="I267" s="94">
        <v>7</v>
      </c>
      <c r="J267" s="93">
        <v>45201</v>
      </c>
      <c r="K267" s="87" t="s">
        <v>1510</v>
      </c>
      <c r="L267" s="87">
        <f>16*3.33</f>
        <v>53.28</v>
      </c>
      <c r="M267" s="95"/>
      <c r="N267" s="93"/>
      <c r="O267" s="85"/>
      <c r="Q267" s="87"/>
      <c r="R267" s="93"/>
      <c r="S267" s="85"/>
      <c r="U267" s="94"/>
      <c r="V267" s="93"/>
      <c r="W267" s="85"/>
      <c r="Y267" s="94"/>
      <c r="Z267" s="93"/>
      <c r="AA267" s="85"/>
      <c r="AC267" s="94"/>
      <c r="AD267" s="93"/>
      <c r="AE267" s="85"/>
    </row>
    <row r="268" spans="7:31" x14ac:dyDescent="0.35">
      <c r="G268" s="85"/>
      <c r="H268" s="87"/>
      <c r="I268" s="94">
        <v>7</v>
      </c>
      <c r="J268" s="93">
        <v>45201</v>
      </c>
      <c r="K268" s="87" t="s">
        <v>1492</v>
      </c>
      <c r="L268" s="87">
        <v>3.33</v>
      </c>
      <c r="M268" s="94"/>
      <c r="N268" s="93"/>
      <c r="O268" s="85"/>
      <c r="Q268" s="87"/>
      <c r="R268" s="93"/>
      <c r="S268" s="85"/>
      <c r="U268" s="94"/>
      <c r="V268" s="93"/>
      <c r="W268" s="85"/>
      <c r="Y268" s="94"/>
      <c r="Z268" s="93"/>
      <c r="AA268" s="85"/>
      <c r="AC268" s="94"/>
      <c r="AD268" s="93"/>
      <c r="AE268" s="85"/>
    </row>
    <row r="269" spans="7:31" x14ac:dyDescent="0.35">
      <c r="G269" s="85"/>
      <c r="H269" s="87"/>
      <c r="I269" s="94">
        <v>16</v>
      </c>
      <c r="J269" s="93">
        <v>45201</v>
      </c>
      <c r="K269" s="87" t="s">
        <v>1686</v>
      </c>
      <c r="L269" s="87">
        <v>28.04</v>
      </c>
      <c r="M269" s="95"/>
      <c r="N269" s="93"/>
      <c r="O269" s="85"/>
      <c r="Q269" s="94"/>
      <c r="R269" s="93"/>
      <c r="S269" s="85"/>
      <c r="U269" s="94"/>
      <c r="V269" s="93"/>
      <c r="W269" s="85"/>
      <c r="Y269" s="94"/>
      <c r="Z269" s="93"/>
      <c r="AA269" s="85"/>
      <c r="AC269" s="94"/>
      <c r="AD269" s="93"/>
      <c r="AE269" s="85"/>
    </row>
    <row r="270" spans="7:31" x14ac:dyDescent="0.35">
      <c r="G270" s="85"/>
      <c r="H270" s="87"/>
      <c r="I270" s="94">
        <v>18</v>
      </c>
      <c r="J270" s="93">
        <v>45201</v>
      </c>
      <c r="K270" s="87" t="s">
        <v>715</v>
      </c>
      <c r="L270" s="87">
        <v>20</v>
      </c>
      <c r="M270" s="95"/>
      <c r="N270" s="95"/>
      <c r="O270" s="93"/>
      <c r="P270" s="85"/>
      <c r="Q270" s="94"/>
      <c r="R270" s="93"/>
      <c r="S270" s="85"/>
      <c r="U270" s="94"/>
      <c r="V270" s="93"/>
      <c r="W270" s="85"/>
      <c r="Y270" s="94"/>
      <c r="Z270" s="93"/>
      <c r="AA270" s="85"/>
      <c r="AC270" s="94"/>
      <c r="AD270" s="93"/>
      <c r="AE270" s="85"/>
    </row>
    <row r="271" spans="7:31" x14ac:dyDescent="0.35">
      <c r="G271" s="85"/>
      <c r="H271" s="87"/>
      <c r="I271" s="94">
        <v>8</v>
      </c>
      <c r="J271" s="93">
        <v>45201</v>
      </c>
      <c r="K271" s="87" t="s">
        <v>1558</v>
      </c>
      <c r="L271" s="87">
        <v>9.69</v>
      </c>
      <c r="N271" s="95"/>
      <c r="O271" s="93"/>
      <c r="P271" s="85"/>
      <c r="Q271" s="94"/>
      <c r="R271" s="93"/>
      <c r="S271" s="85"/>
      <c r="U271" s="94"/>
      <c r="V271" s="93"/>
      <c r="W271" s="85"/>
      <c r="Y271" s="94"/>
      <c r="Z271" s="93"/>
      <c r="AA271" s="85"/>
      <c r="AC271" s="94"/>
      <c r="AD271" s="93"/>
      <c r="AE271" s="85"/>
    </row>
    <row r="272" spans="7:31" x14ac:dyDescent="0.35">
      <c r="G272" s="85"/>
      <c r="H272" s="87"/>
      <c r="I272" s="94">
        <v>14</v>
      </c>
      <c r="J272" s="93">
        <v>45208</v>
      </c>
      <c r="K272" s="87" t="s">
        <v>1687</v>
      </c>
      <c r="L272" s="87">
        <v>15</v>
      </c>
      <c r="N272" s="93"/>
      <c r="O272" s="85"/>
      <c r="Q272" s="94"/>
      <c r="R272" s="93"/>
      <c r="S272" s="85"/>
      <c r="U272" s="94"/>
      <c r="V272" s="93"/>
      <c r="W272" s="85"/>
      <c r="Y272" s="94"/>
      <c r="Z272" s="93"/>
      <c r="AA272" s="85"/>
      <c r="AC272" s="94"/>
      <c r="AD272" s="93"/>
      <c r="AE272" s="85"/>
    </row>
    <row r="273" spans="7:31" x14ac:dyDescent="0.35">
      <c r="G273" s="85"/>
      <c r="H273" s="87"/>
      <c r="I273" s="94">
        <v>14</v>
      </c>
      <c r="J273" s="93">
        <v>45225</v>
      </c>
      <c r="K273" s="87" t="s">
        <v>2184</v>
      </c>
      <c r="L273" s="87">
        <v>442.81</v>
      </c>
      <c r="M273" s="95"/>
      <c r="N273" s="93"/>
      <c r="O273" s="85"/>
      <c r="Q273" s="94"/>
      <c r="R273" s="93"/>
      <c r="S273" s="85"/>
      <c r="U273" s="94"/>
      <c r="V273" s="93"/>
      <c r="W273" s="85"/>
      <c r="Y273" s="94"/>
      <c r="Z273" s="93"/>
      <c r="AA273" s="85"/>
      <c r="AC273" s="94"/>
      <c r="AD273" s="93"/>
      <c r="AE273" s="85"/>
    </row>
    <row r="274" spans="7:31" x14ac:dyDescent="0.35">
      <c r="G274" s="85"/>
      <c r="H274" s="87"/>
      <c r="I274" s="94">
        <v>18</v>
      </c>
      <c r="J274" s="93" t="s">
        <v>2363</v>
      </c>
      <c r="K274" s="87" t="s">
        <v>2185</v>
      </c>
      <c r="L274" s="87">
        <f>192.95+82.5+9.36+10.82+20.82+65.83+9.63</f>
        <v>391.90999999999997</v>
      </c>
      <c r="M274" s="95"/>
      <c r="N274" s="93"/>
      <c r="O274" s="85"/>
      <c r="Q274" s="94"/>
      <c r="R274" s="93"/>
      <c r="S274" s="85"/>
      <c r="U274" s="94"/>
      <c r="V274" s="93"/>
      <c r="W274" s="85"/>
      <c r="Y274" s="94"/>
      <c r="Z274" s="93"/>
      <c r="AA274" s="85"/>
      <c r="AC274" s="94"/>
      <c r="AD274" s="93"/>
      <c r="AE274" s="85"/>
    </row>
    <row r="275" spans="7:31" x14ac:dyDescent="0.35">
      <c r="G275" s="85"/>
      <c r="H275" s="87"/>
      <c r="I275" s="94">
        <v>18</v>
      </c>
      <c r="J275" s="93" t="s">
        <v>2363</v>
      </c>
      <c r="K275" s="87" t="s">
        <v>2186</v>
      </c>
      <c r="L275" s="87">
        <f>4.74+262.01</f>
        <v>266.75</v>
      </c>
      <c r="M275" s="94"/>
      <c r="N275" s="93"/>
      <c r="O275" s="85"/>
      <c r="Q275" s="94"/>
      <c r="R275" s="93"/>
      <c r="S275" s="85"/>
      <c r="U275" s="94"/>
      <c r="V275" s="93"/>
      <c r="W275" s="85"/>
      <c r="Y275" s="94"/>
      <c r="Z275" s="93"/>
      <c r="AA275" s="85"/>
      <c r="AC275" s="94"/>
      <c r="AD275" s="93"/>
      <c r="AE275" s="85"/>
    </row>
    <row r="276" spans="7:31" x14ac:dyDescent="0.35">
      <c r="G276" s="85"/>
      <c r="H276" s="87"/>
      <c r="I276" s="94">
        <v>18</v>
      </c>
      <c r="J276" s="93" t="s">
        <v>2363</v>
      </c>
      <c r="K276" s="87" t="s">
        <v>2187</v>
      </c>
      <c r="L276" s="87">
        <v>8.32</v>
      </c>
      <c r="M276" s="94"/>
      <c r="N276" s="93"/>
      <c r="O276" s="85"/>
      <c r="Q276" s="94"/>
      <c r="R276" s="93"/>
      <c r="S276" s="85"/>
      <c r="U276" s="94"/>
      <c r="V276" s="93"/>
      <c r="W276" s="85"/>
      <c r="Y276" s="94"/>
      <c r="Z276" s="93"/>
      <c r="AA276" s="85"/>
      <c r="AC276" s="94"/>
      <c r="AD276" s="93"/>
      <c r="AE276" s="85"/>
    </row>
    <row r="277" spans="7:31" x14ac:dyDescent="0.35">
      <c r="G277" s="85"/>
      <c r="H277" s="87"/>
      <c r="I277" s="94">
        <v>8</v>
      </c>
      <c r="J277" s="93">
        <v>45222</v>
      </c>
      <c r="K277" s="87" t="s">
        <v>1512</v>
      </c>
      <c r="L277" s="87">
        <v>44.99</v>
      </c>
      <c r="M277" s="94"/>
      <c r="N277" s="93"/>
      <c r="O277" s="85"/>
      <c r="Q277" s="94"/>
      <c r="R277" s="93"/>
      <c r="S277" s="85"/>
      <c r="U277" s="94"/>
      <c r="V277" s="93"/>
      <c r="W277" s="85"/>
      <c r="Y277" s="94"/>
      <c r="Z277" s="93"/>
      <c r="AA277" s="85"/>
      <c r="AC277" s="94"/>
      <c r="AD277" s="93"/>
      <c r="AE277" s="85"/>
    </row>
    <row r="278" spans="7:31" x14ac:dyDescent="0.35">
      <c r="G278" s="85"/>
      <c r="H278" s="87"/>
      <c r="I278" s="94">
        <v>18</v>
      </c>
      <c r="J278" s="93">
        <v>45215</v>
      </c>
      <c r="K278" s="87" t="s">
        <v>2188</v>
      </c>
      <c r="L278" s="87">
        <v>630</v>
      </c>
      <c r="M278" s="94"/>
      <c r="N278" s="93"/>
      <c r="O278" s="85"/>
      <c r="Q278" s="94"/>
      <c r="R278" s="93"/>
      <c r="S278" s="85"/>
      <c r="U278" s="94"/>
      <c r="V278" s="93"/>
      <c r="W278" s="85"/>
      <c r="Y278" s="94"/>
      <c r="Z278" s="93"/>
      <c r="AA278" s="85"/>
      <c r="AC278" s="94"/>
      <c r="AD278" s="93"/>
      <c r="AE278" s="85"/>
    </row>
    <row r="279" spans="7:31" x14ac:dyDescent="0.35">
      <c r="G279" s="85"/>
      <c r="H279" s="87"/>
      <c r="I279" s="94">
        <v>16</v>
      </c>
      <c r="J279" s="93">
        <v>45203</v>
      </c>
      <c r="K279" s="87" t="s">
        <v>1471</v>
      </c>
      <c r="L279" s="87">
        <v>224.77</v>
      </c>
      <c r="M279" s="94"/>
      <c r="N279" s="93"/>
      <c r="O279" s="85"/>
      <c r="Q279" s="94"/>
      <c r="R279" s="93"/>
      <c r="S279" s="85"/>
      <c r="U279" s="94"/>
      <c r="V279" s="93"/>
      <c r="W279" s="85"/>
      <c r="Y279" s="94"/>
      <c r="Z279" s="93"/>
      <c r="AA279" s="85"/>
      <c r="AC279" s="94"/>
      <c r="AD279" s="93"/>
      <c r="AE279" s="85"/>
    </row>
    <row r="280" spans="7:31" x14ac:dyDescent="0.35">
      <c r="G280" s="85"/>
      <c r="H280" s="87"/>
      <c r="I280" s="94">
        <v>10</v>
      </c>
      <c r="J280" s="93">
        <v>45210</v>
      </c>
      <c r="K280" s="87" t="s">
        <v>2189</v>
      </c>
      <c r="L280" s="87">
        <v>41</v>
      </c>
      <c r="M280" s="94"/>
      <c r="N280" s="93"/>
      <c r="O280" s="85"/>
      <c r="Q280" s="94"/>
      <c r="R280" s="93"/>
      <c r="S280" s="85"/>
      <c r="U280" s="94"/>
      <c r="V280" s="93"/>
      <c r="W280" s="85"/>
      <c r="Y280" s="94"/>
      <c r="Z280" s="93"/>
      <c r="AA280" s="85"/>
      <c r="AC280" s="94"/>
      <c r="AD280" s="93"/>
      <c r="AE280" s="85"/>
    </row>
    <row r="281" spans="7:31" x14ac:dyDescent="0.35">
      <c r="G281" s="85"/>
      <c r="H281" s="87"/>
      <c r="I281" s="94">
        <v>20</v>
      </c>
      <c r="J281" s="93">
        <v>45217</v>
      </c>
      <c r="K281" s="87" t="s">
        <v>2190</v>
      </c>
      <c r="L281" s="87">
        <v>495.77</v>
      </c>
      <c r="M281" s="94"/>
      <c r="N281" s="93"/>
      <c r="O281" s="85"/>
      <c r="Q281" s="94"/>
      <c r="R281" s="93"/>
      <c r="S281" s="85"/>
      <c r="U281" s="94"/>
      <c r="V281" s="93"/>
      <c r="W281" s="85"/>
      <c r="Y281" s="94"/>
      <c r="Z281" s="93"/>
      <c r="AA281" s="85"/>
      <c r="AC281" s="94"/>
      <c r="AD281" s="93"/>
      <c r="AE281" s="85"/>
    </row>
    <row r="282" spans="7:31" x14ac:dyDescent="0.35">
      <c r="G282" s="85"/>
      <c r="H282" s="87"/>
      <c r="I282" s="94">
        <v>18</v>
      </c>
      <c r="J282" s="93">
        <v>45225</v>
      </c>
      <c r="K282" s="87" t="s">
        <v>2191</v>
      </c>
      <c r="L282" s="87">
        <v>34.07</v>
      </c>
      <c r="M282" s="94"/>
      <c r="N282" s="93"/>
      <c r="O282" s="85"/>
      <c r="Q282" s="94"/>
      <c r="R282" s="93"/>
      <c r="S282" s="85"/>
      <c r="U282" s="94"/>
      <c r="V282" s="93"/>
      <c r="W282" s="85"/>
      <c r="Y282" s="94"/>
      <c r="Z282" s="93"/>
      <c r="AA282" s="85"/>
      <c r="AC282" s="94"/>
      <c r="AD282" s="93"/>
      <c r="AE282" s="85"/>
    </row>
    <row r="283" spans="7:31" x14ac:dyDescent="0.35">
      <c r="G283" s="85"/>
      <c r="H283" s="87"/>
      <c r="I283" s="94">
        <v>18</v>
      </c>
      <c r="J283" s="93">
        <v>45238</v>
      </c>
      <c r="K283" s="87" t="s">
        <v>2192</v>
      </c>
      <c r="L283" s="87">
        <v>18495</v>
      </c>
      <c r="M283" s="94"/>
      <c r="N283" s="93"/>
      <c r="O283" s="85"/>
      <c r="Q283" s="94"/>
      <c r="R283" s="93"/>
      <c r="S283" s="85"/>
      <c r="U283" s="94"/>
      <c r="V283" s="93"/>
      <c r="W283" s="85"/>
      <c r="Y283" s="94"/>
      <c r="Z283" s="93"/>
      <c r="AA283" s="85"/>
      <c r="AC283" s="94"/>
      <c r="AD283" s="93"/>
      <c r="AE283" s="85"/>
    </row>
    <row r="284" spans="7:31" x14ac:dyDescent="0.35">
      <c r="G284" s="85"/>
      <c r="H284" s="87"/>
      <c r="I284" s="94" t="s">
        <v>23</v>
      </c>
      <c r="J284" s="93" t="s">
        <v>676</v>
      </c>
      <c r="K284" s="87" t="s">
        <v>2193</v>
      </c>
      <c r="L284" s="87">
        <v>500</v>
      </c>
      <c r="M284" s="94"/>
      <c r="N284" s="93"/>
      <c r="O284" s="85"/>
      <c r="Q284" s="94"/>
      <c r="R284" s="93"/>
      <c r="S284" s="85"/>
      <c r="U284" s="94"/>
      <c r="V284" s="93"/>
      <c r="W284" s="85"/>
      <c r="Y284" s="94"/>
      <c r="Z284" s="93"/>
      <c r="AA284" s="85"/>
      <c r="AC284" s="94"/>
      <c r="AD284" s="93"/>
      <c r="AE284" s="85"/>
    </row>
    <row r="285" spans="7:31" x14ac:dyDescent="0.35">
      <c r="G285" s="85"/>
      <c r="H285" s="87"/>
      <c r="I285" s="94">
        <v>13</v>
      </c>
      <c r="J285" s="93">
        <v>45200</v>
      </c>
      <c r="K285" s="87" t="s">
        <v>2194</v>
      </c>
      <c r="L285" s="87">
        <v>1708.33</v>
      </c>
      <c r="M285" s="94"/>
      <c r="N285" s="93"/>
      <c r="O285" s="85"/>
      <c r="Q285" s="94"/>
      <c r="R285" s="93"/>
      <c r="S285" s="85"/>
      <c r="U285" s="94"/>
      <c r="V285" s="93"/>
      <c r="W285" s="85"/>
      <c r="Y285" s="94"/>
      <c r="Z285" s="93"/>
      <c r="AA285" s="85"/>
      <c r="AC285" s="94"/>
      <c r="AD285" s="93"/>
      <c r="AE285" s="85"/>
    </row>
    <row r="286" spans="7:31" x14ac:dyDescent="0.35">
      <c r="G286" s="85"/>
      <c r="H286" s="87"/>
      <c r="I286" s="94">
        <v>13</v>
      </c>
      <c r="J286" s="93">
        <v>45231</v>
      </c>
      <c r="K286" s="87" t="s">
        <v>2195</v>
      </c>
      <c r="L286" s="87">
        <v>1708.33</v>
      </c>
      <c r="M286" s="94"/>
      <c r="N286" s="93"/>
      <c r="O286" s="85"/>
      <c r="Q286" s="94"/>
      <c r="R286" s="93"/>
      <c r="S286" s="85"/>
      <c r="U286" s="94"/>
      <c r="V286" s="93"/>
      <c r="W286" s="85"/>
      <c r="Y286" s="94"/>
      <c r="Z286" s="93"/>
      <c r="AA286" s="85"/>
      <c r="AC286" s="94"/>
      <c r="AD286" s="93"/>
      <c r="AE286" s="85"/>
    </row>
    <row r="287" spans="7:31" x14ac:dyDescent="0.35">
      <c r="G287" s="85"/>
      <c r="H287" s="87"/>
      <c r="I287" s="94">
        <v>14</v>
      </c>
      <c r="J287" s="93">
        <v>45230</v>
      </c>
      <c r="K287" s="87" t="s">
        <v>2196</v>
      </c>
      <c r="L287" s="87">
        <v>1168.74</v>
      </c>
      <c r="M287" s="94"/>
      <c r="N287" s="93"/>
      <c r="O287" s="85"/>
      <c r="Q287" s="94"/>
      <c r="R287" s="93"/>
      <c r="S287" s="85"/>
      <c r="U287" s="94"/>
      <c r="V287" s="93"/>
      <c r="W287" s="85"/>
      <c r="Y287" s="94"/>
      <c r="Z287" s="93"/>
      <c r="AA287" s="85"/>
      <c r="AC287" s="94"/>
      <c r="AD287" s="93"/>
      <c r="AE287" s="85"/>
    </row>
    <row r="288" spans="7:31" x14ac:dyDescent="0.35">
      <c r="G288" s="85"/>
      <c r="H288" s="87"/>
      <c r="I288" s="94">
        <v>14</v>
      </c>
      <c r="J288" s="93">
        <v>45230</v>
      </c>
      <c r="K288" s="87" t="s">
        <v>2197</v>
      </c>
      <c r="L288" s="87">
        <v>110.78</v>
      </c>
      <c r="M288" s="94"/>
      <c r="N288" s="93"/>
      <c r="O288" s="85"/>
      <c r="Q288" s="94"/>
      <c r="R288" s="93"/>
      <c r="S288" s="85"/>
      <c r="U288" s="94"/>
      <c r="V288" s="93"/>
      <c r="W288" s="85"/>
      <c r="Y288" s="94"/>
      <c r="Z288" s="93"/>
      <c r="AA288" s="85"/>
      <c r="AC288" s="94"/>
      <c r="AD288" s="93"/>
      <c r="AE288" s="85"/>
    </row>
    <row r="289" spans="7:31" x14ac:dyDescent="0.35">
      <c r="G289" s="85"/>
      <c r="H289" s="87"/>
      <c r="I289" s="94">
        <v>14</v>
      </c>
      <c r="J289" s="93">
        <v>45226</v>
      </c>
      <c r="K289" s="87" t="s">
        <v>2198</v>
      </c>
      <c r="L289" s="87">
        <v>103.68</v>
      </c>
      <c r="M289" s="94"/>
      <c r="N289" s="93"/>
      <c r="O289" s="85"/>
      <c r="Q289" s="94"/>
      <c r="R289" s="93"/>
      <c r="S289" s="85"/>
      <c r="U289" s="94"/>
      <c r="V289" s="93"/>
      <c r="W289" s="85"/>
      <c r="Y289" s="94"/>
      <c r="Z289" s="93"/>
      <c r="AA289" s="85"/>
      <c r="AC289" s="94"/>
      <c r="AD289" s="93"/>
      <c r="AE289" s="85"/>
    </row>
    <row r="290" spans="7:31" x14ac:dyDescent="0.35">
      <c r="G290" s="85"/>
      <c r="H290" s="87"/>
      <c r="I290" s="94">
        <v>7</v>
      </c>
      <c r="J290" s="93">
        <v>45236</v>
      </c>
      <c r="K290" s="87" t="s">
        <v>1492</v>
      </c>
      <c r="L290" s="87">
        <v>7.91</v>
      </c>
      <c r="M290" s="94"/>
      <c r="N290" s="93"/>
      <c r="O290" s="85"/>
      <c r="Q290" s="94"/>
      <c r="R290" s="93"/>
      <c r="S290" s="85"/>
      <c r="U290" s="94"/>
      <c r="V290" s="93"/>
      <c r="W290" s="85"/>
      <c r="Y290" s="94"/>
      <c r="Z290" s="93"/>
      <c r="AA290" s="85"/>
      <c r="AC290" s="94"/>
      <c r="AD290" s="93"/>
      <c r="AE290" s="85"/>
    </row>
    <row r="291" spans="7:31" x14ac:dyDescent="0.35">
      <c r="G291" s="85"/>
      <c r="H291" s="87"/>
      <c r="I291" s="94">
        <v>7</v>
      </c>
      <c r="J291" s="93">
        <v>45236</v>
      </c>
      <c r="K291" s="87" t="s">
        <v>1510</v>
      </c>
      <c r="L291" s="87">
        <v>33.299999999999997</v>
      </c>
      <c r="M291" s="94"/>
      <c r="N291" s="93"/>
      <c r="O291" s="85"/>
      <c r="Q291" s="94"/>
      <c r="R291" s="93"/>
      <c r="S291" s="85"/>
      <c r="U291" s="94"/>
      <c r="V291" s="93"/>
      <c r="W291" s="85"/>
      <c r="Y291" s="94"/>
      <c r="Z291" s="93"/>
      <c r="AA291" s="85"/>
      <c r="AC291" s="94"/>
      <c r="AD291" s="93"/>
      <c r="AE291" s="85"/>
    </row>
    <row r="292" spans="7:31" x14ac:dyDescent="0.35">
      <c r="G292" s="85"/>
      <c r="H292" s="87"/>
      <c r="I292" s="94">
        <v>7</v>
      </c>
      <c r="J292" s="93">
        <v>45236</v>
      </c>
      <c r="K292" s="87" t="s">
        <v>1465</v>
      </c>
      <c r="L292" s="87">
        <v>13.32</v>
      </c>
      <c r="M292" s="94"/>
      <c r="N292" s="93"/>
      <c r="O292" s="85"/>
      <c r="Q292" s="94"/>
      <c r="R292" s="93"/>
      <c r="S292" s="85"/>
      <c r="U292" s="94"/>
      <c r="V292" s="93"/>
      <c r="W292" s="85"/>
      <c r="Y292" s="94"/>
      <c r="Z292" s="93"/>
      <c r="AA292" s="85"/>
      <c r="AC292" s="94"/>
      <c r="AD292" s="93"/>
      <c r="AE292" s="85"/>
    </row>
    <row r="293" spans="7:31" x14ac:dyDescent="0.35">
      <c r="G293" s="85"/>
      <c r="H293" s="87"/>
      <c r="I293" s="94">
        <v>9</v>
      </c>
      <c r="J293" s="93">
        <v>45239</v>
      </c>
      <c r="K293" s="87" t="s">
        <v>2199</v>
      </c>
      <c r="L293" s="87">
        <v>900</v>
      </c>
      <c r="M293" s="94"/>
      <c r="N293" s="93"/>
      <c r="O293" s="85"/>
      <c r="Q293" s="94"/>
      <c r="R293" s="93"/>
      <c r="S293" s="85"/>
      <c r="U293" s="94"/>
      <c r="V293" s="93"/>
      <c r="W293" s="85"/>
      <c r="Y293" s="94"/>
      <c r="Z293" s="93"/>
      <c r="AA293" s="85"/>
      <c r="AC293" s="94"/>
      <c r="AD293" s="93"/>
      <c r="AE293" s="85"/>
    </row>
    <row r="294" spans="7:31" x14ac:dyDescent="0.35">
      <c r="G294" s="85"/>
      <c r="H294" s="87"/>
      <c r="I294" s="94">
        <v>14</v>
      </c>
      <c r="J294" s="93">
        <v>45230</v>
      </c>
      <c r="K294" s="87" t="s">
        <v>589</v>
      </c>
      <c r="L294" s="87">
        <v>33.799999999999997</v>
      </c>
      <c r="M294" s="94"/>
      <c r="N294" s="93"/>
      <c r="O294" s="85"/>
      <c r="Q294" s="94"/>
      <c r="R294" s="93"/>
      <c r="S294" s="85"/>
      <c r="U294" s="94"/>
      <c r="V294" s="93"/>
      <c r="W294" s="85"/>
      <c r="Y294" s="94"/>
      <c r="Z294" s="93"/>
      <c r="AA294" s="85"/>
      <c r="AC294" s="94"/>
      <c r="AD294" s="93"/>
      <c r="AE294" s="85"/>
    </row>
    <row r="295" spans="7:31" x14ac:dyDescent="0.35">
      <c r="G295" s="85"/>
      <c r="H295" s="87"/>
      <c r="I295" s="94">
        <v>6</v>
      </c>
      <c r="J295" s="93">
        <v>45231</v>
      </c>
      <c r="K295" s="85" t="s">
        <v>2200</v>
      </c>
      <c r="L295" s="87">
        <v>733.39</v>
      </c>
      <c r="M295" s="94"/>
      <c r="N295" s="93"/>
      <c r="O295" s="85"/>
      <c r="Q295" s="94"/>
      <c r="R295" s="93"/>
      <c r="S295" s="85"/>
      <c r="U295" s="94"/>
      <c r="V295" s="93"/>
      <c r="W295" s="85"/>
      <c r="Y295" s="94"/>
      <c r="Z295" s="93"/>
      <c r="AA295" s="85"/>
      <c r="AC295" s="94"/>
      <c r="AD295" s="93"/>
      <c r="AE295" s="85"/>
    </row>
    <row r="296" spans="7:31" x14ac:dyDescent="0.35">
      <c r="G296" s="85"/>
      <c r="H296" s="87"/>
      <c r="I296" s="94">
        <v>14</v>
      </c>
      <c r="J296" s="93">
        <v>45245</v>
      </c>
      <c r="K296" s="87" t="s">
        <v>589</v>
      </c>
      <c r="L296" s="87">
        <v>40</v>
      </c>
      <c r="M296" s="94"/>
      <c r="N296" s="93"/>
      <c r="O296" s="85"/>
      <c r="Q296" s="94"/>
      <c r="R296" s="93"/>
      <c r="S296" s="85"/>
      <c r="U296" s="94"/>
      <c r="V296" s="93"/>
      <c r="W296" s="85"/>
      <c r="Y296" s="94"/>
      <c r="Z296" s="93"/>
      <c r="AA296" s="85"/>
      <c r="AC296" s="94"/>
      <c r="AD296" s="93"/>
      <c r="AE296" s="85"/>
    </row>
    <row r="297" spans="7:31" x14ac:dyDescent="0.35">
      <c r="G297" s="85"/>
      <c r="H297" s="87"/>
      <c r="I297" s="94">
        <v>14</v>
      </c>
      <c r="J297" s="93">
        <v>45246</v>
      </c>
      <c r="K297" s="87" t="s">
        <v>2184</v>
      </c>
      <c r="L297" s="87">
        <v>271.82</v>
      </c>
      <c r="M297" s="94"/>
      <c r="N297" s="93"/>
      <c r="O297" s="85"/>
      <c r="Q297" s="94"/>
      <c r="R297" s="93"/>
      <c r="S297" s="85"/>
      <c r="U297" s="94"/>
      <c r="V297" s="93"/>
      <c r="W297" s="85"/>
      <c r="Y297" s="94"/>
      <c r="Z297" s="93"/>
      <c r="AA297" s="85"/>
      <c r="AC297" s="94"/>
      <c r="AD297" s="93"/>
      <c r="AE297" s="85"/>
    </row>
    <row r="298" spans="7:31" x14ac:dyDescent="0.35">
      <c r="G298" s="85"/>
      <c r="H298" s="87"/>
      <c r="I298" s="94">
        <v>14</v>
      </c>
      <c r="J298" s="93">
        <v>45239</v>
      </c>
      <c r="K298" s="87" t="s">
        <v>2201</v>
      </c>
      <c r="L298" s="87">
        <v>116.55</v>
      </c>
      <c r="M298" s="94"/>
      <c r="N298" s="93"/>
      <c r="O298" s="85"/>
      <c r="Q298" s="94"/>
      <c r="R298" s="93"/>
      <c r="S298" s="85"/>
      <c r="U298" s="94"/>
      <c r="V298" s="93"/>
      <c r="W298" s="85"/>
      <c r="Y298" s="94"/>
      <c r="Z298" s="93"/>
      <c r="AA298" s="85"/>
      <c r="AC298" s="94"/>
      <c r="AD298" s="93"/>
      <c r="AE298" s="85"/>
    </row>
    <row r="299" spans="7:31" x14ac:dyDescent="0.35">
      <c r="G299" s="85"/>
      <c r="H299" s="87"/>
      <c r="I299" s="94">
        <v>14</v>
      </c>
      <c r="J299" s="93">
        <v>45152</v>
      </c>
      <c r="K299" s="87" t="s">
        <v>2202</v>
      </c>
      <c r="L299" s="87">
        <v>35.39</v>
      </c>
      <c r="M299" s="94"/>
      <c r="N299" s="93"/>
      <c r="O299" s="85"/>
      <c r="Q299" s="94"/>
      <c r="R299" s="93"/>
      <c r="S299" s="85"/>
      <c r="U299" s="94"/>
      <c r="V299" s="93"/>
      <c r="W299" s="85"/>
      <c r="Y299" s="94"/>
      <c r="Z299" s="93"/>
      <c r="AA299" s="85"/>
      <c r="AC299" s="94"/>
      <c r="AD299" s="93"/>
      <c r="AE299" s="85"/>
    </row>
    <row r="300" spans="7:31" x14ac:dyDescent="0.35">
      <c r="G300" s="85"/>
      <c r="H300" s="87"/>
      <c r="I300" s="94">
        <v>14</v>
      </c>
      <c r="J300" s="93">
        <v>45160</v>
      </c>
      <c r="K300" s="87" t="s">
        <v>1525</v>
      </c>
      <c r="L300" s="87">
        <v>900</v>
      </c>
      <c r="M300" s="94"/>
      <c r="N300" s="93"/>
      <c r="O300" s="85"/>
      <c r="Q300" s="94"/>
      <c r="R300" s="93"/>
      <c r="S300" s="85"/>
      <c r="U300" s="94"/>
      <c r="V300" s="93"/>
      <c r="W300" s="85"/>
      <c r="Y300" s="94"/>
      <c r="Z300" s="93"/>
      <c r="AA300" s="85"/>
      <c r="AC300" s="94"/>
      <c r="AD300" s="93"/>
      <c r="AE300" s="85"/>
    </row>
    <row r="301" spans="7:31" x14ac:dyDescent="0.35">
      <c r="G301" s="85"/>
      <c r="H301" s="87"/>
      <c r="I301" s="94">
        <v>14</v>
      </c>
      <c r="J301" s="93">
        <v>45146</v>
      </c>
      <c r="K301" s="87" t="s">
        <v>2203</v>
      </c>
      <c r="L301" s="87">
        <v>273</v>
      </c>
      <c r="M301" s="94"/>
      <c r="N301" s="93"/>
      <c r="O301" s="85"/>
      <c r="Q301" s="94"/>
      <c r="R301" s="93"/>
      <c r="S301" s="85"/>
      <c r="U301" s="94"/>
      <c r="V301" s="93"/>
      <c r="W301" s="85"/>
      <c r="Y301" s="94"/>
      <c r="Z301" s="93"/>
      <c r="AA301" s="85"/>
      <c r="AC301" s="94"/>
      <c r="AD301" s="93"/>
      <c r="AE301" s="85"/>
    </row>
    <row r="302" spans="7:31" x14ac:dyDescent="0.35">
      <c r="G302" s="85"/>
      <c r="H302" s="87"/>
      <c r="I302" s="94">
        <v>14</v>
      </c>
      <c r="J302" s="93">
        <v>45230</v>
      </c>
      <c r="K302" s="87" t="s">
        <v>2204</v>
      </c>
      <c r="L302" s="87">
        <v>428.75</v>
      </c>
      <c r="M302" s="94"/>
      <c r="N302" s="93"/>
      <c r="O302" s="85"/>
      <c r="Q302" s="94"/>
      <c r="R302" s="93"/>
      <c r="S302" s="85"/>
      <c r="U302" s="94"/>
      <c r="V302" s="93"/>
      <c r="W302" s="85"/>
      <c r="Y302" s="94"/>
      <c r="Z302" s="93"/>
      <c r="AA302" s="85"/>
      <c r="AC302" s="94"/>
      <c r="AD302" s="93"/>
      <c r="AE302" s="85"/>
    </row>
    <row r="303" spans="7:31" x14ac:dyDescent="0.35">
      <c r="G303" s="85"/>
      <c r="H303" s="87"/>
      <c r="I303" s="94">
        <v>14</v>
      </c>
      <c r="J303" s="93">
        <v>45229</v>
      </c>
      <c r="K303" s="87" t="s">
        <v>2205</v>
      </c>
      <c r="L303" s="87">
        <v>619</v>
      </c>
      <c r="M303" s="94"/>
      <c r="N303" s="93"/>
      <c r="O303" s="85"/>
      <c r="Q303" s="94"/>
      <c r="R303" s="93"/>
      <c r="S303" s="85"/>
      <c r="U303" s="94"/>
      <c r="V303" s="93"/>
      <c r="W303" s="85"/>
      <c r="Y303" s="94"/>
      <c r="Z303" s="93"/>
      <c r="AA303" s="85"/>
      <c r="AC303" s="94"/>
      <c r="AD303" s="93"/>
      <c r="AE303" s="85"/>
    </row>
    <row r="304" spans="7:31" x14ac:dyDescent="0.35">
      <c r="G304" s="85"/>
      <c r="H304" s="87"/>
      <c r="I304" s="94">
        <v>7</v>
      </c>
      <c r="J304" s="93">
        <v>45250</v>
      </c>
      <c r="K304" s="87" t="s">
        <v>1492</v>
      </c>
      <c r="L304" s="87">
        <v>3.33</v>
      </c>
      <c r="M304" s="94"/>
      <c r="N304" s="93"/>
      <c r="O304" s="85"/>
      <c r="Q304" s="94"/>
      <c r="R304" s="93"/>
      <c r="S304" s="85"/>
      <c r="U304" s="94"/>
      <c r="V304" s="93"/>
      <c r="W304" s="85"/>
      <c r="Y304" s="94"/>
      <c r="Z304" s="93"/>
      <c r="AA304" s="85"/>
      <c r="AC304" s="94"/>
      <c r="AD304" s="93"/>
      <c r="AE304" s="85"/>
    </row>
    <row r="305" spans="7:31" x14ac:dyDescent="0.35">
      <c r="G305" s="85"/>
      <c r="H305" s="87"/>
      <c r="I305" s="94">
        <v>16</v>
      </c>
      <c r="J305" s="93">
        <v>45250</v>
      </c>
      <c r="K305" s="87" t="s">
        <v>1449</v>
      </c>
      <c r="L305" s="87">
        <v>12.03</v>
      </c>
      <c r="M305" s="94"/>
      <c r="N305" s="93"/>
      <c r="O305" s="85"/>
      <c r="Q305" s="94"/>
      <c r="R305" s="93"/>
      <c r="S305" s="85"/>
      <c r="U305" s="94"/>
      <c r="V305" s="93"/>
      <c r="W305" s="85"/>
      <c r="Y305" s="94"/>
      <c r="Z305" s="93"/>
      <c r="AA305" s="85"/>
      <c r="AC305" s="94"/>
      <c r="AD305" s="93"/>
      <c r="AE305" s="85"/>
    </row>
    <row r="306" spans="7:31" x14ac:dyDescent="0.35">
      <c r="G306" s="85"/>
      <c r="H306" s="87"/>
      <c r="I306" s="94">
        <v>18</v>
      </c>
      <c r="J306" s="93">
        <v>45250</v>
      </c>
      <c r="K306" s="87" t="s">
        <v>2206</v>
      </c>
      <c r="L306" s="87">
        <v>2941.3</v>
      </c>
      <c r="M306" s="94"/>
      <c r="N306" s="93"/>
      <c r="O306" s="85"/>
      <c r="Q306" s="94"/>
      <c r="R306" s="93"/>
      <c r="S306" s="85"/>
      <c r="U306" s="94"/>
      <c r="V306" s="93"/>
      <c r="W306" s="85"/>
      <c r="Y306" s="94"/>
      <c r="Z306" s="93"/>
      <c r="AA306" s="85"/>
      <c r="AC306" s="94"/>
      <c r="AD306" s="93"/>
      <c r="AE306" s="85"/>
    </row>
    <row r="307" spans="7:31" x14ac:dyDescent="0.35">
      <c r="G307" s="85"/>
      <c r="H307" s="87"/>
      <c r="I307" s="94">
        <v>16</v>
      </c>
      <c r="J307" s="93">
        <v>45250</v>
      </c>
      <c r="K307" s="87" t="s">
        <v>1449</v>
      </c>
      <c r="L307" s="87">
        <v>24.5</v>
      </c>
      <c r="M307" s="94"/>
      <c r="N307" s="93"/>
      <c r="O307" s="85"/>
      <c r="Q307" s="94"/>
      <c r="R307" s="93"/>
      <c r="S307" s="85"/>
      <c r="U307" s="94"/>
      <c r="V307" s="93"/>
      <c r="W307" s="85"/>
      <c r="Y307" s="94"/>
      <c r="Z307" s="93"/>
      <c r="AA307" s="85"/>
      <c r="AC307" s="94"/>
      <c r="AD307" s="93"/>
      <c r="AE307" s="85"/>
    </row>
    <row r="308" spans="7:31" x14ac:dyDescent="0.35">
      <c r="G308" s="85"/>
      <c r="H308" s="87"/>
      <c r="I308" s="94">
        <v>18</v>
      </c>
      <c r="J308" s="93">
        <v>45210</v>
      </c>
      <c r="K308" s="87" t="s">
        <v>2207</v>
      </c>
      <c r="L308" s="87">
        <v>74.989999999999995</v>
      </c>
      <c r="M308" s="94"/>
      <c r="N308" s="93"/>
      <c r="O308" s="85"/>
      <c r="Q308" s="94"/>
      <c r="R308" s="93"/>
      <c r="S308" s="85"/>
      <c r="U308" s="94"/>
      <c r="V308" s="93"/>
      <c r="W308" s="85"/>
      <c r="Y308" s="94"/>
      <c r="Z308" s="93"/>
      <c r="AA308" s="85"/>
      <c r="AC308" s="94"/>
      <c r="AD308" s="93"/>
      <c r="AE308" s="85"/>
    </row>
    <row r="309" spans="7:31" x14ac:dyDescent="0.35">
      <c r="G309" s="85"/>
      <c r="H309" s="87"/>
      <c r="I309" s="94">
        <v>18</v>
      </c>
      <c r="J309" s="93">
        <v>45211</v>
      </c>
      <c r="K309" s="87" t="s">
        <v>2208</v>
      </c>
      <c r="L309" s="87">
        <v>30.13</v>
      </c>
      <c r="M309" s="94"/>
      <c r="N309" s="93"/>
      <c r="O309" s="85"/>
      <c r="Q309" s="94"/>
      <c r="R309" s="93"/>
      <c r="S309" s="85"/>
      <c r="U309" s="94"/>
      <c r="V309" s="93"/>
      <c r="W309" s="85"/>
      <c r="Y309" s="94"/>
      <c r="Z309" s="93"/>
      <c r="AA309" s="85"/>
      <c r="AC309" s="94"/>
      <c r="AD309" s="93"/>
      <c r="AE309" s="85"/>
    </row>
    <row r="310" spans="7:31" x14ac:dyDescent="0.35">
      <c r="G310" s="85"/>
      <c r="H310" s="87"/>
      <c r="I310" s="94">
        <v>18</v>
      </c>
      <c r="J310" s="93">
        <v>45216</v>
      </c>
      <c r="K310" s="87" t="s">
        <v>2209</v>
      </c>
      <c r="L310" s="87">
        <v>36.659999999999997</v>
      </c>
      <c r="M310" s="94"/>
      <c r="N310" s="93"/>
      <c r="O310" s="85"/>
      <c r="Q310" s="94"/>
      <c r="R310" s="93"/>
      <c r="S310" s="85"/>
      <c r="U310" s="94"/>
      <c r="V310" s="93"/>
      <c r="W310" s="85"/>
      <c r="Y310" s="94"/>
      <c r="Z310" s="93"/>
      <c r="AA310" s="85"/>
      <c r="AC310" s="94"/>
      <c r="AD310" s="93"/>
      <c r="AE310" s="85"/>
    </row>
    <row r="311" spans="7:31" x14ac:dyDescent="0.35">
      <c r="G311" s="85"/>
      <c r="H311" s="87"/>
      <c r="I311" s="94">
        <v>10</v>
      </c>
      <c r="J311" s="93">
        <v>45229</v>
      </c>
      <c r="K311" s="87" t="s">
        <v>1607</v>
      </c>
      <c r="L311" s="87">
        <v>118.96</v>
      </c>
      <c r="M311" s="94"/>
      <c r="N311" s="93"/>
      <c r="O311" s="85"/>
      <c r="Q311" s="94"/>
      <c r="R311" s="93"/>
      <c r="S311" s="85"/>
      <c r="U311" s="94"/>
      <c r="V311" s="93"/>
      <c r="W311" s="85"/>
      <c r="Y311" s="94"/>
      <c r="Z311" s="93"/>
      <c r="AA311" s="85"/>
      <c r="AC311" s="94"/>
      <c r="AD311" s="93"/>
      <c r="AE311" s="85"/>
    </row>
    <row r="312" spans="7:31" x14ac:dyDescent="0.35">
      <c r="G312" s="85"/>
      <c r="H312" s="87"/>
      <c r="I312" s="94">
        <v>20</v>
      </c>
      <c r="J312" s="93">
        <v>45248</v>
      </c>
      <c r="K312" s="87" t="s">
        <v>2210</v>
      </c>
      <c r="L312" s="87">
        <v>596.92999999999995</v>
      </c>
      <c r="M312" s="94"/>
      <c r="N312" s="93"/>
      <c r="O312" s="85"/>
      <c r="Q312" s="94"/>
      <c r="R312" s="93"/>
      <c r="S312" s="85"/>
      <c r="U312" s="94"/>
      <c r="V312" s="93"/>
      <c r="W312" s="85"/>
      <c r="Y312" s="94"/>
      <c r="Z312" s="93"/>
      <c r="AA312" s="85"/>
      <c r="AC312" s="94"/>
      <c r="AD312" s="93"/>
      <c r="AE312" s="85"/>
    </row>
    <row r="313" spans="7:31" x14ac:dyDescent="0.35">
      <c r="G313" s="85"/>
      <c r="H313" s="87"/>
      <c r="I313" s="94">
        <v>10</v>
      </c>
      <c r="J313" s="93">
        <v>45260</v>
      </c>
      <c r="K313" s="87" t="s">
        <v>2184</v>
      </c>
      <c r="L313" s="87">
        <v>105.31</v>
      </c>
      <c r="M313" s="94"/>
      <c r="N313" s="93"/>
      <c r="O313" s="85"/>
      <c r="Q313" s="94"/>
      <c r="R313" s="93"/>
      <c r="S313" s="85"/>
      <c r="U313" s="94"/>
      <c r="V313" s="93"/>
      <c r="W313" s="85"/>
      <c r="Y313" s="94"/>
      <c r="Z313" s="93"/>
      <c r="AA313" s="85"/>
      <c r="AC313" s="94"/>
      <c r="AD313" s="93"/>
      <c r="AE313" s="85"/>
    </row>
    <row r="314" spans="7:31" x14ac:dyDescent="0.35">
      <c r="G314" s="85"/>
      <c r="H314" s="87"/>
      <c r="I314" s="94">
        <v>18</v>
      </c>
      <c r="J314" s="93">
        <v>45254</v>
      </c>
      <c r="K314" s="87" t="s">
        <v>2211</v>
      </c>
      <c r="L314" s="87">
        <v>355.5</v>
      </c>
      <c r="M314" s="94"/>
      <c r="N314" s="93"/>
      <c r="O314" s="85"/>
      <c r="Q314" s="94"/>
      <c r="R314" s="93"/>
      <c r="S314" s="85"/>
      <c r="U314" s="94"/>
      <c r="V314" s="93"/>
      <c r="W314" s="85"/>
      <c r="Y314" s="94"/>
      <c r="Z314" s="93"/>
      <c r="AA314" s="85"/>
      <c r="AC314" s="94"/>
      <c r="AD314" s="93"/>
      <c r="AE314" s="85"/>
    </row>
    <row r="315" spans="7:31" x14ac:dyDescent="0.35">
      <c r="G315" s="85"/>
      <c r="H315" s="87"/>
      <c r="I315" s="94">
        <v>7</v>
      </c>
      <c r="J315" s="93">
        <v>45261</v>
      </c>
      <c r="K315" s="87" t="s">
        <v>1510</v>
      </c>
      <c r="L315" s="87">
        <v>29.97</v>
      </c>
      <c r="M315" s="94"/>
      <c r="N315" s="93"/>
      <c r="O315" s="85"/>
      <c r="Q315" s="94"/>
      <c r="R315" s="93"/>
      <c r="S315" s="85"/>
      <c r="U315" s="94"/>
      <c r="V315" s="93"/>
      <c r="W315" s="85"/>
      <c r="Y315" s="94"/>
      <c r="Z315" s="93"/>
      <c r="AA315" s="85"/>
      <c r="AC315" s="94"/>
      <c r="AD315" s="93"/>
      <c r="AE315" s="85"/>
    </row>
    <row r="316" spans="7:31" x14ac:dyDescent="0.35">
      <c r="G316" s="85"/>
      <c r="H316" s="87"/>
      <c r="I316" s="94">
        <v>8</v>
      </c>
      <c r="J316" s="93">
        <v>45261</v>
      </c>
      <c r="K316" s="87" t="s">
        <v>2242</v>
      </c>
      <c r="L316" s="87">
        <f>84+51.97</f>
        <v>135.97</v>
      </c>
      <c r="M316" s="94"/>
      <c r="N316" s="93"/>
      <c r="O316" s="85"/>
      <c r="Q316" s="94"/>
      <c r="R316" s="93"/>
      <c r="S316" s="85"/>
      <c r="U316" s="94"/>
      <c r="V316" s="93"/>
      <c r="W316" s="85"/>
      <c r="Y316" s="94"/>
      <c r="Z316" s="93"/>
      <c r="AA316" s="85"/>
      <c r="AC316" s="94"/>
      <c r="AD316" s="93"/>
      <c r="AE316" s="85"/>
    </row>
    <row r="317" spans="7:31" x14ac:dyDescent="0.35">
      <c r="G317" s="85"/>
      <c r="H317" s="87"/>
      <c r="I317" s="94">
        <v>16</v>
      </c>
      <c r="J317" s="93">
        <v>45261</v>
      </c>
      <c r="K317" s="87" t="s">
        <v>1569</v>
      </c>
      <c r="L317" s="87">
        <v>1.95</v>
      </c>
      <c r="M317" s="94"/>
      <c r="N317" s="93"/>
      <c r="O317" s="85"/>
      <c r="Q317" s="94"/>
      <c r="R317" s="93"/>
      <c r="S317" s="85"/>
      <c r="U317" s="94"/>
      <c r="V317" s="93"/>
      <c r="W317" s="85"/>
      <c r="Y317" s="94"/>
      <c r="Z317" s="93"/>
      <c r="AA317" s="85"/>
      <c r="AC317" s="94"/>
      <c r="AD317" s="93"/>
      <c r="AE317" s="85"/>
    </row>
    <row r="318" spans="7:31" x14ac:dyDescent="0.35">
      <c r="G318" s="85"/>
      <c r="H318" s="87"/>
      <c r="I318" s="94">
        <v>18</v>
      </c>
      <c r="J318" s="93">
        <v>45264</v>
      </c>
      <c r="K318" s="87" t="s">
        <v>2243</v>
      </c>
      <c r="L318" s="87">
        <v>358.33</v>
      </c>
      <c r="M318" s="94"/>
      <c r="N318" s="93"/>
      <c r="O318" s="85"/>
      <c r="Q318" s="94"/>
      <c r="R318" s="93"/>
      <c r="S318" s="85"/>
      <c r="U318" s="94"/>
      <c r="V318" s="93"/>
      <c r="W318" s="85"/>
      <c r="Y318" s="94"/>
      <c r="Z318" s="93"/>
      <c r="AA318" s="85"/>
      <c r="AC318" s="94"/>
      <c r="AD318" s="93"/>
      <c r="AE318" s="85"/>
    </row>
    <row r="319" spans="7:31" x14ac:dyDescent="0.35">
      <c r="G319" s="85"/>
      <c r="H319" s="87"/>
      <c r="I319" s="94">
        <v>6</v>
      </c>
      <c r="J319" s="93">
        <v>45261</v>
      </c>
      <c r="K319" s="87" t="s">
        <v>2244</v>
      </c>
      <c r="L319" s="87">
        <v>733.39</v>
      </c>
      <c r="M319" s="94"/>
      <c r="N319" s="93"/>
      <c r="O319" s="85"/>
      <c r="Q319" s="94"/>
      <c r="R319" s="93"/>
      <c r="S319" s="85"/>
      <c r="U319" s="94"/>
      <c r="V319" s="93"/>
      <c r="W319" s="85"/>
      <c r="Y319" s="94"/>
      <c r="Z319" s="93"/>
      <c r="AA319" s="85"/>
      <c r="AC319" s="94"/>
      <c r="AD319" s="93"/>
      <c r="AE319" s="85"/>
    </row>
    <row r="320" spans="7:31" x14ac:dyDescent="0.35">
      <c r="G320" s="85"/>
      <c r="H320" s="87"/>
      <c r="I320" s="94">
        <v>8</v>
      </c>
      <c r="J320" s="93">
        <v>45264</v>
      </c>
      <c r="K320" s="87" t="s">
        <v>2250</v>
      </c>
      <c r="L320" s="87">
        <v>332.5</v>
      </c>
      <c r="M320" s="94"/>
      <c r="N320" s="93"/>
      <c r="O320" s="85"/>
      <c r="Q320" s="94"/>
      <c r="R320" s="93"/>
      <c r="S320" s="85"/>
      <c r="U320" s="94"/>
      <c r="V320" s="93"/>
      <c r="W320" s="85"/>
      <c r="Y320" s="94"/>
      <c r="Z320" s="93"/>
      <c r="AA320" s="85"/>
      <c r="AC320" s="94"/>
      <c r="AD320" s="93"/>
      <c r="AE320" s="85"/>
    </row>
    <row r="321" spans="7:31" x14ac:dyDescent="0.35">
      <c r="G321" s="85"/>
      <c r="H321" s="87"/>
      <c r="I321" s="94">
        <v>14</v>
      </c>
      <c r="J321" s="93">
        <v>45267</v>
      </c>
      <c r="K321" s="87" t="s">
        <v>1607</v>
      </c>
      <c r="L321" s="87">
        <v>10</v>
      </c>
      <c r="M321" s="94"/>
      <c r="N321" s="93"/>
      <c r="O321" s="85"/>
      <c r="Q321" s="94"/>
      <c r="R321" s="93"/>
      <c r="S321" s="85"/>
      <c r="U321" s="94"/>
      <c r="V321" s="93"/>
      <c r="W321" s="85"/>
      <c r="Y321" s="94"/>
      <c r="Z321" s="93"/>
      <c r="AA321" s="85"/>
      <c r="AC321" s="94"/>
      <c r="AD321" s="93"/>
      <c r="AE321" s="85"/>
    </row>
    <row r="322" spans="7:31" x14ac:dyDescent="0.35">
      <c r="G322" s="85"/>
      <c r="H322" s="87"/>
      <c r="I322" s="94">
        <v>12</v>
      </c>
      <c r="J322" s="93">
        <v>45258</v>
      </c>
      <c r="K322" s="87" t="s">
        <v>2252</v>
      </c>
      <c r="L322" s="87">
        <v>864</v>
      </c>
      <c r="M322" s="94"/>
      <c r="N322" s="93"/>
      <c r="O322" s="85"/>
      <c r="Q322" s="94"/>
      <c r="R322" s="93"/>
      <c r="S322" s="85"/>
      <c r="U322" s="94"/>
      <c r="V322" s="93"/>
      <c r="W322" s="85"/>
      <c r="Y322" s="94"/>
      <c r="Z322" s="93"/>
      <c r="AA322" s="85"/>
      <c r="AC322" s="94"/>
      <c r="AD322" s="93"/>
      <c r="AE322" s="85"/>
    </row>
    <row r="323" spans="7:31" x14ac:dyDescent="0.35">
      <c r="G323" s="85"/>
      <c r="H323" s="87"/>
      <c r="I323" s="94">
        <v>14</v>
      </c>
      <c r="J323" s="93">
        <v>45266</v>
      </c>
      <c r="K323" s="87" t="s">
        <v>2254</v>
      </c>
      <c r="L323" s="87">
        <v>538.6</v>
      </c>
      <c r="M323" s="94"/>
      <c r="N323" s="93"/>
      <c r="O323" s="85"/>
      <c r="Q323" s="94"/>
      <c r="R323" s="93"/>
      <c r="S323" s="85"/>
      <c r="U323" s="94"/>
      <c r="V323" s="93"/>
      <c r="W323" s="85"/>
      <c r="Y323" s="94"/>
      <c r="Z323" s="93"/>
      <c r="AA323" s="85"/>
      <c r="AC323" s="94"/>
      <c r="AD323" s="93"/>
      <c r="AE323" s="85"/>
    </row>
    <row r="324" spans="7:31" x14ac:dyDescent="0.35">
      <c r="G324" s="85"/>
      <c r="H324" s="87"/>
      <c r="I324" s="94">
        <v>7</v>
      </c>
      <c r="J324" s="93">
        <v>45272</v>
      </c>
      <c r="K324" s="87" t="s">
        <v>2256</v>
      </c>
      <c r="L324" s="87">
        <v>32.47</v>
      </c>
      <c r="M324" s="94"/>
      <c r="N324" s="93"/>
      <c r="O324" s="85"/>
      <c r="Q324" s="94"/>
      <c r="R324" s="93"/>
      <c r="S324" s="85"/>
      <c r="U324" s="94"/>
      <c r="V324" s="93"/>
      <c r="W324" s="85"/>
      <c r="Y324" s="94"/>
      <c r="Z324" s="93"/>
      <c r="AA324" s="85"/>
      <c r="AC324" s="94"/>
      <c r="AD324" s="93"/>
      <c r="AE324" s="85"/>
    </row>
    <row r="325" spans="7:31" x14ac:dyDescent="0.35">
      <c r="G325" s="85"/>
      <c r="H325" s="87"/>
      <c r="I325" s="94">
        <v>8</v>
      </c>
      <c r="J325" s="93">
        <v>45272</v>
      </c>
      <c r="K325" s="87" t="s">
        <v>2257</v>
      </c>
      <c r="L325" s="87">
        <v>9.35</v>
      </c>
      <c r="M325" s="94"/>
      <c r="N325" s="93"/>
      <c r="O325" s="85"/>
      <c r="Q325" s="94"/>
      <c r="R325" s="93"/>
      <c r="S325" s="85"/>
      <c r="U325" s="94"/>
      <c r="V325" s="93"/>
      <c r="W325" s="85"/>
      <c r="Y325" s="94"/>
      <c r="Z325" s="93"/>
      <c r="AA325" s="85"/>
      <c r="AC325" s="94"/>
      <c r="AD325" s="93"/>
      <c r="AE325" s="85"/>
    </row>
    <row r="326" spans="7:31" x14ac:dyDescent="0.35">
      <c r="G326" s="85"/>
      <c r="H326" s="87"/>
      <c r="I326" s="94">
        <v>14</v>
      </c>
      <c r="J326" s="93">
        <v>45232</v>
      </c>
      <c r="K326" s="87" t="s">
        <v>1607</v>
      </c>
      <c r="L326" s="87">
        <v>64.95</v>
      </c>
      <c r="M326" s="94"/>
      <c r="N326" s="93"/>
      <c r="O326" s="85"/>
      <c r="Q326" s="94"/>
      <c r="R326" s="93"/>
      <c r="S326" s="85"/>
      <c r="U326" s="94"/>
      <c r="V326" s="93"/>
      <c r="W326" s="85"/>
      <c r="Y326" s="94"/>
      <c r="Z326" s="93"/>
      <c r="AA326" s="85"/>
      <c r="AC326" s="94"/>
      <c r="AD326" s="93"/>
      <c r="AE326" s="85"/>
    </row>
    <row r="327" spans="7:31" x14ac:dyDescent="0.35">
      <c r="G327" s="85"/>
      <c r="H327" s="87"/>
      <c r="I327" s="94">
        <v>18</v>
      </c>
      <c r="J327" s="93">
        <v>45238</v>
      </c>
      <c r="K327" s="87" t="s">
        <v>2269</v>
      </c>
      <c r="L327" s="87">
        <v>3.99</v>
      </c>
      <c r="M327" s="94"/>
      <c r="N327" s="93"/>
      <c r="O327" s="85"/>
      <c r="Q327" s="94"/>
      <c r="R327" s="93"/>
      <c r="S327" s="85"/>
      <c r="U327" s="94"/>
      <c r="V327" s="93"/>
      <c r="W327" s="85"/>
      <c r="Y327" s="94"/>
      <c r="Z327" s="93"/>
      <c r="AA327" s="85"/>
      <c r="AC327" s="94"/>
      <c r="AD327" s="93"/>
      <c r="AE327" s="85"/>
    </row>
    <row r="328" spans="7:31" x14ac:dyDescent="0.35">
      <c r="G328" s="85"/>
      <c r="H328" s="87"/>
      <c r="I328" s="94">
        <v>18</v>
      </c>
      <c r="J328" s="93">
        <v>45251</v>
      </c>
      <c r="K328" s="87" t="s">
        <v>2270</v>
      </c>
      <c r="L328" s="87">
        <v>50.08</v>
      </c>
      <c r="M328" s="94"/>
      <c r="N328" s="93"/>
      <c r="O328" s="85"/>
      <c r="Q328" s="94"/>
      <c r="R328" s="93"/>
      <c r="S328" s="85"/>
      <c r="U328" s="94"/>
      <c r="V328" s="93"/>
      <c r="W328" s="85"/>
      <c r="Y328" s="94"/>
      <c r="Z328" s="93"/>
      <c r="AA328" s="85"/>
      <c r="AC328" s="94"/>
      <c r="AD328" s="93"/>
      <c r="AE328" s="85"/>
    </row>
    <row r="329" spans="7:31" x14ac:dyDescent="0.35">
      <c r="G329" s="85"/>
      <c r="H329" s="87"/>
      <c r="I329" s="94">
        <v>14</v>
      </c>
      <c r="J329" s="93">
        <v>45281</v>
      </c>
      <c r="K329" s="87" t="s">
        <v>1607</v>
      </c>
      <c r="L329" s="87">
        <v>51.81</v>
      </c>
      <c r="M329" s="94"/>
      <c r="N329" s="93"/>
      <c r="O329" s="85"/>
      <c r="Q329" s="94"/>
      <c r="R329" s="93"/>
      <c r="S329" s="85"/>
      <c r="U329" s="94"/>
      <c r="V329" s="93"/>
      <c r="W329" s="85"/>
      <c r="Y329" s="94"/>
      <c r="Z329" s="93"/>
      <c r="AA329" s="85"/>
      <c r="AC329" s="94"/>
      <c r="AD329" s="93"/>
      <c r="AE329" s="85"/>
    </row>
    <row r="330" spans="7:31" x14ac:dyDescent="0.35">
      <c r="G330" s="85"/>
      <c r="H330" s="87"/>
      <c r="I330" s="94">
        <v>9</v>
      </c>
      <c r="J330" s="93">
        <v>45267</v>
      </c>
      <c r="K330" s="87" t="s">
        <v>2271</v>
      </c>
      <c r="L330" s="87">
        <v>900</v>
      </c>
      <c r="M330" s="94"/>
      <c r="N330" s="93"/>
      <c r="O330" s="85"/>
      <c r="Q330" s="94"/>
      <c r="R330" s="93"/>
      <c r="S330" s="85"/>
      <c r="U330" s="94"/>
      <c r="V330" s="93"/>
      <c r="W330" s="85"/>
      <c r="Y330" s="94"/>
      <c r="Z330" s="93"/>
      <c r="AA330" s="85"/>
      <c r="AC330" s="94"/>
      <c r="AD330" s="93"/>
      <c r="AE330" s="85"/>
    </row>
    <row r="331" spans="7:31" x14ac:dyDescent="0.35">
      <c r="G331" s="85"/>
      <c r="H331" s="87"/>
      <c r="I331" s="94">
        <v>6</v>
      </c>
      <c r="J331" s="93">
        <v>45640</v>
      </c>
      <c r="K331" s="87" t="s">
        <v>2275</v>
      </c>
      <c r="L331" s="87">
        <v>801.15</v>
      </c>
      <c r="M331" s="94"/>
      <c r="N331" s="93"/>
      <c r="O331" s="85"/>
      <c r="Q331" s="94"/>
      <c r="R331" s="93"/>
      <c r="S331" s="85"/>
      <c r="U331" s="94"/>
      <c r="V331" s="93"/>
      <c r="W331" s="85"/>
      <c r="Y331" s="94"/>
      <c r="Z331" s="93"/>
      <c r="AA331" s="85"/>
      <c r="AC331" s="94"/>
      <c r="AD331" s="93"/>
      <c r="AE331" s="85"/>
    </row>
    <row r="332" spans="7:31" x14ac:dyDescent="0.35">
      <c r="G332" s="85"/>
      <c r="H332" s="87"/>
      <c r="I332" s="94">
        <v>18</v>
      </c>
      <c r="J332" s="93">
        <v>45275</v>
      </c>
      <c r="K332" s="87" t="s">
        <v>2286</v>
      </c>
      <c r="L332" s="87">
        <v>10</v>
      </c>
      <c r="M332" s="94"/>
      <c r="N332" s="93"/>
      <c r="O332" s="85"/>
      <c r="Q332" s="94"/>
      <c r="R332" s="93"/>
      <c r="S332" s="85"/>
      <c r="U332" s="94"/>
      <c r="V332" s="93"/>
      <c r="W332" s="85"/>
      <c r="Y332" s="94"/>
      <c r="Z332" s="93"/>
      <c r="AA332" s="85"/>
      <c r="AC332" s="94"/>
      <c r="AD332" s="93"/>
      <c r="AE332" s="85"/>
    </row>
    <row r="333" spans="7:31" x14ac:dyDescent="0.35">
      <c r="G333" s="85"/>
      <c r="H333" s="87"/>
      <c r="I333" s="94">
        <v>7</v>
      </c>
      <c r="J333" s="93">
        <v>45275</v>
      </c>
      <c r="K333" s="87" t="s">
        <v>1604</v>
      </c>
      <c r="L333" s="87">
        <f>3.33*9</f>
        <v>29.97</v>
      </c>
      <c r="M333" s="94"/>
      <c r="N333" s="93"/>
      <c r="O333" s="85"/>
      <c r="Q333" s="94"/>
      <c r="R333" s="93"/>
      <c r="S333" s="85"/>
      <c r="U333" s="94"/>
      <c r="V333" s="93"/>
      <c r="W333" s="85"/>
      <c r="Y333" s="94"/>
      <c r="Z333" s="93"/>
      <c r="AA333" s="85"/>
      <c r="AC333" s="94"/>
      <c r="AD333" s="93"/>
      <c r="AE333" s="85"/>
    </row>
    <row r="334" spans="7:31" x14ac:dyDescent="0.35">
      <c r="G334" s="85"/>
      <c r="H334" s="87"/>
      <c r="I334" s="94">
        <v>7</v>
      </c>
      <c r="J334" s="93">
        <v>45275</v>
      </c>
      <c r="K334" s="87" t="s">
        <v>2287</v>
      </c>
      <c r="L334" s="87">
        <v>3.33</v>
      </c>
      <c r="M334" s="94"/>
      <c r="N334" s="93"/>
      <c r="O334" s="85"/>
      <c r="Q334" s="94"/>
      <c r="R334" s="93"/>
      <c r="S334" s="85"/>
      <c r="U334" s="94"/>
      <c r="V334" s="93"/>
      <c r="W334" s="85"/>
      <c r="Y334" s="94"/>
      <c r="Z334" s="93"/>
      <c r="AA334" s="85"/>
      <c r="AC334" s="94"/>
      <c r="AD334" s="93"/>
      <c r="AE334" s="85"/>
    </row>
    <row r="335" spans="7:31" x14ac:dyDescent="0.35">
      <c r="G335" s="85"/>
      <c r="H335" s="87"/>
      <c r="I335" s="94">
        <v>14</v>
      </c>
      <c r="J335" s="93">
        <v>45275</v>
      </c>
      <c r="K335" s="87" t="s">
        <v>2289</v>
      </c>
      <c r="L335" s="87">
        <v>2140.12</v>
      </c>
      <c r="M335" s="94"/>
      <c r="N335" s="93"/>
      <c r="O335" s="85"/>
      <c r="Q335" s="94"/>
      <c r="R335" s="93"/>
      <c r="S335" s="85"/>
      <c r="U335" s="94"/>
      <c r="V335" s="93"/>
      <c r="W335" s="85"/>
      <c r="Y335" s="94"/>
      <c r="Z335" s="93"/>
      <c r="AA335" s="85"/>
      <c r="AC335" s="94"/>
      <c r="AD335" s="93"/>
      <c r="AE335" s="85"/>
    </row>
    <row r="336" spans="7:31" x14ac:dyDescent="0.35">
      <c r="G336" s="85"/>
      <c r="H336" s="87"/>
      <c r="I336" s="94">
        <v>7</v>
      </c>
      <c r="J336" s="93">
        <v>45278</v>
      </c>
      <c r="K336" s="87" t="s">
        <v>1465</v>
      </c>
      <c r="L336" s="87">
        <v>16.649999999999999</v>
      </c>
      <c r="M336" s="94"/>
      <c r="N336" s="93"/>
      <c r="O336" s="85"/>
      <c r="Q336" s="94"/>
      <c r="R336" s="93"/>
      <c r="S336" s="85"/>
      <c r="U336" s="94"/>
      <c r="V336" s="93"/>
      <c r="W336" s="85"/>
      <c r="Y336" s="94"/>
      <c r="Z336" s="93"/>
      <c r="AA336" s="85"/>
      <c r="AC336" s="94"/>
      <c r="AD336" s="93"/>
      <c r="AE336" s="85"/>
    </row>
    <row r="337" spans="7:31" x14ac:dyDescent="0.35">
      <c r="G337" s="85"/>
      <c r="H337" s="87"/>
      <c r="I337" s="94">
        <v>8</v>
      </c>
      <c r="J337" s="93">
        <v>45280</v>
      </c>
      <c r="K337" s="87" t="s">
        <v>1558</v>
      </c>
      <c r="L337" s="87">
        <v>26.78</v>
      </c>
      <c r="M337" s="94"/>
      <c r="N337" s="93"/>
      <c r="O337" s="85"/>
      <c r="Q337" s="94"/>
      <c r="R337" s="93"/>
      <c r="S337" s="85"/>
      <c r="U337" s="94"/>
      <c r="V337" s="93"/>
      <c r="W337" s="85"/>
      <c r="Y337" s="94"/>
      <c r="Z337" s="93"/>
      <c r="AA337" s="85"/>
      <c r="AC337" s="94"/>
      <c r="AD337" s="93"/>
      <c r="AE337" s="85"/>
    </row>
    <row r="338" spans="7:31" x14ac:dyDescent="0.35">
      <c r="G338" s="85"/>
      <c r="H338" s="87"/>
      <c r="I338" s="94">
        <v>14</v>
      </c>
      <c r="J338" s="93">
        <v>45280</v>
      </c>
      <c r="K338" s="87" t="s">
        <v>2292</v>
      </c>
      <c r="L338" s="87">
        <v>482.5</v>
      </c>
      <c r="M338" s="94"/>
      <c r="N338" s="93"/>
      <c r="O338" s="85"/>
      <c r="Q338" s="94"/>
      <c r="R338" s="93"/>
      <c r="S338" s="85"/>
      <c r="U338" s="94"/>
      <c r="V338" s="93"/>
      <c r="W338" s="85"/>
      <c r="Y338" s="94"/>
      <c r="Z338" s="93"/>
      <c r="AA338" s="85"/>
      <c r="AC338" s="94"/>
      <c r="AD338" s="93"/>
      <c r="AE338" s="85"/>
    </row>
    <row r="339" spans="7:31" x14ac:dyDescent="0.35">
      <c r="G339" s="85"/>
      <c r="H339" s="87"/>
      <c r="I339" s="94">
        <v>16</v>
      </c>
      <c r="J339" s="93">
        <v>45280</v>
      </c>
      <c r="K339" s="87" t="s">
        <v>1553</v>
      </c>
      <c r="L339" s="87">
        <v>1.95</v>
      </c>
      <c r="M339" s="94"/>
      <c r="N339" s="93"/>
      <c r="O339" s="85"/>
      <c r="Q339" s="94"/>
      <c r="R339" s="93"/>
      <c r="S339" s="85"/>
      <c r="U339" s="94"/>
      <c r="V339" s="93"/>
      <c r="W339" s="85"/>
      <c r="Y339" s="94"/>
      <c r="Z339" s="93"/>
      <c r="AA339" s="85"/>
      <c r="AC339" s="94"/>
      <c r="AD339" s="93"/>
      <c r="AE339" s="85"/>
    </row>
    <row r="340" spans="7:31" x14ac:dyDescent="0.35">
      <c r="G340" s="85"/>
      <c r="H340" s="87"/>
      <c r="I340" s="94">
        <v>7</v>
      </c>
      <c r="J340" s="93">
        <v>45281</v>
      </c>
      <c r="K340" s="87" t="s">
        <v>1510</v>
      </c>
      <c r="L340" s="87">
        <v>6.66</v>
      </c>
      <c r="M340" s="94"/>
      <c r="N340" s="93"/>
      <c r="O340" s="85"/>
      <c r="Q340" s="94"/>
      <c r="R340" s="93"/>
      <c r="S340" s="85"/>
      <c r="U340" s="94"/>
      <c r="V340" s="93"/>
      <c r="W340" s="85"/>
      <c r="Y340" s="94"/>
      <c r="Z340" s="93"/>
      <c r="AA340" s="85"/>
      <c r="AC340" s="94"/>
      <c r="AD340" s="93"/>
      <c r="AE340" s="85"/>
    </row>
    <row r="341" spans="7:31" x14ac:dyDescent="0.35">
      <c r="G341" s="85"/>
      <c r="H341" s="87"/>
      <c r="I341" s="94">
        <v>7</v>
      </c>
      <c r="J341" s="93">
        <v>45281</v>
      </c>
      <c r="K341" s="87" t="s">
        <v>1465</v>
      </c>
      <c r="L341" s="87">
        <v>5.83</v>
      </c>
      <c r="M341" s="94"/>
      <c r="N341" s="93"/>
      <c r="O341" s="85"/>
      <c r="Q341" s="94"/>
      <c r="R341" s="93"/>
      <c r="S341" s="85"/>
      <c r="U341" s="94"/>
      <c r="V341" s="93"/>
      <c r="W341" s="85"/>
      <c r="Y341" s="94"/>
      <c r="Z341" s="93"/>
      <c r="AA341" s="85"/>
      <c r="AC341" s="94"/>
      <c r="AD341" s="93"/>
      <c r="AE341" s="85"/>
    </row>
    <row r="342" spans="7:31" x14ac:dyDescent="0.35">
      <c r="G342" s="85"/>
      <c r="H342" s="87"/>
      <c r="I342" s="94">
        <v>20</v>
      </c>
      <c r="J342" s="93">
        <v>45278</v>
      </c>
      <c r="K342" s="87" t="s">
        <v>2293</v>
      </c>
      <c r="L342" s="87">
        <v>559.77</v>
      </c>
      <c r="M342" s="94"/>
      <c r="N342" s="93"/>
      <c r="O342" s="85"/>
      <c r="Q342" s="94"/>
      <c r="R342" s="93"/>
      <c r="S342" s="85"/>
      <c r="U342" s="94"/>
      <c r="V342" s="93"/>
      <c r="W342" s="85"/>
      <c r="Y342" s="94"/>
      <c r="Z342" s="93"/>
      <c r="AA342" s="85"/>
      <c r="AC342" s="94"/>
      <c r="AD342" s="93"/>
      <c r="AE342" s="85"/>
    </row>
    <row r="343" spans="7:31" x14ac:dyDescent="0.35">
      <c r="G343" s="85"/>
      <c r="H343" s="87"/>
      <c r="I343" s="94">
        <v>14</v>
      </c>
      <c r="J343" s="93">
        <v>45233</v>
      </c>
      <c r="K343" s="87" t="s">
        <v>2317</v>
      </c>
      <c r="L343" s="87">
        <v>232.5</v>
      </c>
      <c r="M343" s="94"/>
      <c r="N343" s="93"/>
      <c r="O343" s="85"/>
      <c r="Q343" s="94"/>
      <c r="R343" s="93"/>
      <c r="S343" s="85"/>
      <c r="U343" s="94"/>
      <c r="V343" s="93"/>
      <c r="W343" s="85"/>
      <c r="Y343" s="94"/>
      <c r="Z343" s="93"/>
      <c r="AA343" s="85"/>
      <c r="AC343" s="94"/>
      <c r="AD343" s="93"/>
      <c r="AE343" s="85"/>
    </row>
    <row r="344" spans="7:31" x14ac:dyDescent="0.35">
      <c r="G344" s="85"/>
      <c r="H344" s="87"/>
      <c r="I344" s="94">
        <v>14</v>
      </c>
      <c r="J344" s="93">
        <v>45233</v>
      </c>
      <c r="K344" s="87" t="s">
        <v>2319</v>
      </c>
      <c r="L344" s="87">
        <v>76.400000000000006</v>
      </c>
      <c r="M344" s="94"/>
      <c r="N344" s="93"/>
      <c r="O344" s="85"/>
      <c r="Q344" s="94"/>
      <c r="R344" s="93"/>
      <c r="S344" s="85"/>
      <c r="U344" s="94"/>
      <c r="V344" s="93"/>
      <c r="W344" s="85"/>
      <c r="Y344" s="94"/>
      <c r="Z344" s="93"/>
      <c r="AA344" s="85"/>
      <c r="AC344" s="94"/>
      <c r="AD344" s="93"/>
      <c r="AE344" s="85"/>
    </row>
    <row r="345" spans="7:31" x14ac:dyDescent="0.35">
      <c r="G345" s="85"/>
      <c r="H345" s="87"/>
      <c r="I345" s="94">
        <v>14</v>
      </c>
      <c r="J345" s="93">
        <v>45237</v>
      </c>
      <c r="K345" s="87" t="s">
        <v>1607</v>
      </c>
      <c r="L345" s="87">
        <v>54.9</v>
      </c>
      <c r="M345" s="94"/>
      <c r="N345" s="93"/>
      <c r="O345" s="85"/>
      <c r="Q345" s="94"/>
      <c r="R345" s="93"/>
      <c r="S345" s="85"/>
      <c r="U345" s="94"/>
      <c r="V345" s="93"/>
      <c r="W345" s="85"/>
      <c r="Y345" s="94"/>
      <c r="Z345" s="93"/>
      <c r="AA345" s="85"/>
      <c r="AC345" s="94"/>
      <c r="AD345" s="93"/>
      <c r="AE345" s="85"/>
    </row>
    <row r="346" spans="7:31" x14ac:dyDescent="0.35">
      <c r="G346" s="85"/>
      <c r="H346" s="87"/>
      <c r="I346" s="94">
        <v>18</v>
      </c>
      <c r="J346" s="93">
        <v>45237</v>
      </c>
      <c r="K346" s="87" t="s">
        <v>2321</v>
      </c>
      <c r="L346" s="87">
        <v>91.66</v>
      </c>
      <c r="M346" s="94"/>
      <c r="N346" s="93"/>
      <c r="O346" s="85"/>
      <c r="Q346" s="94"/>
      <c r="R346" s="93"/>
      <c r="S346" s="85"/>
      <c r="U346" s="94"/>
      <c r="V346" s="93"/>
      <c r="W346" s="85"/>
      <c r="Y346" s="94"/>
      <c r="Z346" s="93"/>
      <c r="AA346" s="85"/>
      <c r="AC346" s="94"/>
      <c r="AD346" s="93"/>
      <c r="AE346" s="85"/>
    </row>
    <row r="347" spans="7:31" x14ac:dyDescent="0.35">
      <c r="G347" s="85"/>
      <c r="H347" s="87"/>
      <c r="I347" s="94">
        <v>18</v>
      </c>
      <c r="J347" s="93">
        <v>45237</v>
      </c>
      <c r="K347" s="87" t="s">
        <v>2322</v>
      </c>
      <c r="L347" s="87">
        <v>10.49</v>
      </c>
      <c r="M347" s="94"/>
      <c r="N347" s="93"/>
      <c r="O347" s="85"/>
      <c r="Q347" s="94"/>
      <c r="R347" s="93"/>
      <c r="S347" s="85"/>
      <c r="U347" s="94"/>
      <c r="V347" s="93"/>
      <c r="W347" s="85"/>
      <c r="Y347" s="94"/>
      <c r="Z347" s="93"/>
      <c r="AA347" s="85"/>
      <c r="AC347" s="94"/>
      <c r="AD347" s="93"/>
      <c r="AE347" s="85"/>
    </row>
    <row r="348" spans="7:31" x14ac:dyDescent="0.35">
      <c r="G348" s="85"/>
      <c r="H348" s="87"/>
      <c r="I348" s="94">
        <v>18</v>
      </c>
      <c r="J348" s="93">
        <v>45237</v>
      </c>
      <c r="K348" s="87" t="s">
        <v>2323</v>
      </c>
      <c r="L348" s="87">
        <v>23.32</v>
      </c>
      <c r="M348" s="94"/>
      <c r="N348" s="93"/>
      <c r="O348" s="85"/>
      <c r="Q348" s="94"/>
      <c r="R348" s="93"/>
      <c r="S348" s="85"/>
      <c r="U348" s="94"/>
      <c r="V348" s="93"/>
      <c r="W348" s="85"/>
      <c r="Y348" s="94"/>
      <c r="Z348" s="93"/>
      <c r="AA348" s="85"/>
      <c r="AC348" s="94"/>
      <c r="AD348" s="93"/>
      <c r="AE348" s="85"/>
    </row>
    <row r="349" spans="7:31" x14ac:dyDescent="0.35">
      <c r="G349" s="85"/>
      <c r="H349" s="87"/>
      <c r="I349" s="94">
        <v>18</v>
      </c>
      <c r="J349" s="93">
        <v>45238</v>
      </c>
      <c r="K349" s="87" t="s">
        <v>2324</v>
      </c>
      <c r="L349" s="87">
        <v>97.75</v>
      </c>
      <c r="M349" s="94"/>
      <c r="N349" s="93"/>
      <c r="O349" s="85"/>
      <c r="Q349" s="94"/>
      <c r="R349" s="93"/>
      <c r="S349" s="85"/>
      <c r="U349" s="94"/>
      <c r="V349" s="93"/>
      <c r="W349" s="85"/>
      <c r="Y349" s="94"/>
      <c r="Z349" s="93"/>
      <c r="AA349" s="85"/>
      <c r="AC349" s="94"/>
      <c r="AD349" s="93"/>
      <c r="AE349" s="85"/>
    </row>
    <row r="350" spans="7:31" x14ac:dyDescent="0.35">
      <c r="G350" s="85"/>
      <c r="H350" s="87"/>
      <c r="I350" s="94">
        <v>16</v>
      </c>
      <c r="J350" s="93">
        <v>45258</v>
      </c>
      <c r="K350" s="87" t="s">
        <v>1553</v>
      </c>
      <c r="L350" s="87">
        <v>1.25</v>
      </c>
      <c r="M350" s="94"/>
      <c r="N350" s="93"/>
      <c r="O350" s="85"/>
      <c r="Q350" s="94"/>
      <c r="R350" s="93"/>
      <c r="S350" s="85"/>
      <c r="U350" s="94"/>
      <c r="V350" s="93"/>
      <c r="W350" s="85"/>
      <c r="Y350" s="94"/>
      <c r="Z350" s="93"/>
      <c r="AA350" s="85"/>
      <c r="AC350" s="94"/>
      <c r="AD350" s="93"/>
      <c r="AE350" s="85"/>
    </row>
    <row r="351" spans="7:31" x14ac:dyDescent="0.35">
      <c r="G351" s="85"/>
      <c r="H351" s="87"/>
      <c r="I351" s="94">
        <v>16</v>
      </c>
      <c r="J351" s="93">
        <v>45234</v>
      </c>
      <c r="K351" s="87" t="s">
        <v>1516</v>
      </c>
      <c r="L351" s="87">
        <v>21.07</v>
      </c>
      <c r="M351" s="94"/>
      <c r="N351" s="93"/>
      <c r="O351" s="85"/>
      <c r="Q351" s="94"/>
      <c r="R351" s="93"/>
      <c r="S351" s="85"/>
      <c r="U351" s="94"/>
      <c r="V351" s="93"/>
      <c r="W351" s="85"/>
      <c r="Y351" s="94"/>
      <c r="Z351" s="93"/>
      <c r="AA351" s="85"/>
      <c r="AC351" s="94"/>
      <c r="AD351" s="93"/>
      <c r="AE351" s="85"/>
    </row>
    <row r="352" spans="7:31" x14ac:dyDescent="0.35">
      <c r="G352" s="85"/>
      <c r="H352" s="87"/>
      <c r="I352" s="94">
        <v>16</v>
      </c>
      <c r="J352" s="93">
        <v>45236</v>
      </c>
      <c r="K352" s="87" t="s">
        <v>1587</v>
      </c>
      <c r="L352" s="87">
        <v>10.17</v>
      </c>
      <c r="M352" s="94"/>
      <c r="N352" s="93"/>
      <c r="O352" s="85"/>
      <c r="Q352" s="94"/>
      <c r="R352" s="93"/>
      <c r="S352" s="85"/>
      <c r="U352" s="94"/>
      <c r="V352" s="93"/>
      <c r="W352" s="85"/>
      <c r="Y352" s="94"/>
      <c r="Z352" s="93"/>
      <c r="AA352" s="85"/>
      <c r="AC352" s="94"/>
      <c r="AD352" s="93"/>
      <c r="AE352" s="85"/>
    </row>
    <row r="353" spans="7:31" x14ac:dyDescent="0.35">
      <c r="G353" s="85"/>
      <c r="H353" s="87"/>
      <c r="I353" s="94">
        <v>16</v>
      </c>
      <c r="J353" s="93">
        <v>45235</v>
      </c>
      <c r="K353" s="87" t="s">
        <v>1587</v>
      </c>
      <c r="L353" s="87">
        <v>9.16</v>
      </c>
      <c r="M353" s="94"/>
      <c r="N353" s="93"/>
      <c r="O353" s="85"/>
      <c r="Q353" s="94"/>
      <c r="R353" s="93"/>
      <c r="S353" s="85"/>
      <c r="U353" s="94"/>
      <c r="V353" s="93"/>
      <c r="W353" s="85"/>
      <c r="Y353" s="94"/>
      <c r="Z353" s="93"/>
      <c r="AA353" s="85"/>
      <c r="AC353" s="94"/>
      <c r="AD353" s="93"/>
      <c r="AE353" s="85"/>
    </row>
    <row r="354" spans="7:31" x14ac:dyDescent="0.35">
      <c r="G354" s="85"/>
      <c r="H354" s="87"/>
      <c r="I354" s="94">
        <v>14</v>
      </c>
      <c r="J354" s="93">
        <v>45237</v>
      </c>
      <c r="K354" s="87" t="s">
        <v>2325</v>
      </c>
      <c r="L354" s="87">
        <v>316.66000000000003</v>
      </c>
      <c r="M354" s="94"/>
      <c r="N354" s="93"/>
      <c r="O354" s="85"/>
      <c r="Q354" s="94"/>
      <c r="R354" s="93"/>
      <c r="S354" s="85"/>
      <c r="U354" s="94"/>
      <c r="V354" s="93"/>
      <c r="W354" s="85"/>
      <c r="Y354" s="94"/>
      <c r="Z354" s="93"/>
      <c r="AA354" s="85"/>
      <c r="AC354" s="94"/>
      <c r="AD354" s="93"/>
      <c r="AE354" s="85"/>
    </row>
    <row r="355" spans="7:31" x14ac:dyDescent="0.35">
      <c r="G355" s="85"/>
      <c r="H355" s="87"/>
      <c r="I355" s="94">
        <v>16</v>
      </c>
      <c r="J355" s="93">
        <v>45245</v>
      </c>
      <c r="K355" s="87" t="s">
        <v>2326</v>
      </c>
      <c r="L355" s="87">
        <v>14.98</v>
      </c>
      <c r="M355" s="94"/>
      <c r="N355" s="93"/>
      <c r="O355" s="85"/>
      <c r="Q355" s="94"/>
      <c r="R355" s="93"/>
      <c r="S355" s="85"/>
      <c r="U355" s="94"/>
      <c r="V355" s="93"/>
      <c r="W355" s="85"/>
      <c r="Y355" s="94"/>
      <c r="Z355" s="93"/>
      <c r="AA355" s="85"/>
      <c r="AC355" s="94"/>
      <c r="AD355" s="93"/>
      <c r="AE355" s="85"/>
    </row>
    <row r="356" spans="7:31" x14ac:dyDescent="0.35">
      <c r="G356" s="85"/>
      <c r="H356" s="87"/>
      <c r="I356" s="94">
        <v>16</v>
      </c>
      <c r="J356" s="93">
        <v>45234</v>
      </c>
      <c r="K356" s="87" t="s">
        <v>1516</v>
      </c>
      <c r="L356" s="87">
        <v>21.07</v>
      </c>
      <c r="M356" s="94"/>
      <c r="N356" s="93"/>
      <c r="O356" s="85"/>
      <c r="Q356" s="94"/>
      <c r="R356" s="93"/>
      <c r="S356" s="85"/>
      <c r="U356" s="94"/>
      <c r="V356" s="93"/>
      <c r="W356" s="85"/>
      <c r="Y356" s="94"/>
      <c r="Z356" s="93"/>
      <c r="AA356" s="85"/>
      <c r="AC356" s="94"/>
      <c r="AD356" s="93"/>
      <c r="AE356" s="85"/>
    </row>
    <row r="357" spans="7:31" x14ac:dyDescent="0.35">
      <c r="G357" s="85"/>
      <c r="H357" s="87"/>
      <c r="I357" s="94">
        <v>16</v>
      </c>
      <c r="J357" s="93">
        <v>45252</v>
      </c>
      <c r="K357" s="87" t="s">
        <v>1541</v>
      </c>
      <c r="L357" s="87">
        <v>7.91</v>
      </c>
      <c r="M357" s="94"/>
      <c r="N357" s="93"/>
      <c r="O357" s="85"/>
      <c r="Q357" s="94"/>
      <c r="R357" s="93"/>
      <c r="S357" s="85"/>
      <c r="U357" s="94"/>
      <c r="V357" s="93"/>
      <c r="W357" s="85"/>
      <c r="Y357" s="94"/>
      <c r="Z357" s="93"/>
      <c r="AA357" s="85"/>
      <c r="AC357" s="94"/>
      <c r="AD357" s="93"/>
      <c r="AE357" s="85"/>
    </row>
    <row r="358" spans="7:31" x14ac:dyDescent="0.35">
      <c r="G358" s="85"/>
      <c r="H358" s="87"/>
      <c r="I358" s="94">
        <v>16</v>
      </c>
      <c r="J358" s="93">
        <v>45252</v>
      </c>
      <c r="K358" s="87" t="s">
        <v>2327</v>
      </c>
      <c r="L358" s="87">
        <v>4.8600000000000003</v>
      </c>
      <c r="M358" s="94"/>
      <c r="N358" s="93"/>
      <c r="O358" s="85"/>
      <c r="Q358" s="94"/>
      <c r="R358" s="93"/>
      <c r="S358" s="85"/>
      <c r="U358" s="94"/>
      <c r="V358" s="93"/>
      <c r="W358" s="85"/>
      <c r="Y358" s="94"/>
      <c r="Z358" s="93"/>
      <c r="AA358" s="85"/>
      <c r="AC358" s="94"/>
      <c r="AD358" s="93"/>
      <c r="AE358" s="85"/>
    </row>
    <row r="359" spans="7:31" x14ac:dyDescent="0.35">
      <c r="G359" s="85"/>
      <c r="H359" s="87"/>
      <c r="I359" s="94">
        <v>14</v>
      </c>
      <c r="J359" s="93">
        <v>45252</v>
      </c>
      <c r="K359" s="87" t="s">
        <v>1607</v>
      </c>
      <c r="L359" s="87">
        <v>15.74</v>
      </c>
      <c r="M359" s="94"/>
      <c r="N359" s="93"/>
      <c r="O359" s="85"/>
      <c r="Q359" s="94"/>
      <c r="R359" s="93"/>
      <c r="S359" s="85"/>
      <c r="U359" s="94"/>
      <c r="V359" s="93"/>
      <c r="W359" s="85"/>
      <c r="Y359" s="94"/>
      <c r="Z359" s="93"/>
      <c r="AA359" s="85"/>
      <c r="AC359" s="94"/>
      <c r="AD359" s="93"/>
      <c r="AE359" s="85"/>
    </row>
    <row r="360" spans="7:31" x14ac:dyDescent="0.35">
      <c r="G360" s="85"/>
      <c r="H360" s="87"/>
      <c r="I360" s="94">
        <v>18</v>
      </c>
      <c r="J360" s="93">
        <v>45259</v>
      </c>
      <c r="K360" s="87" t="s">
        <v>2328</v>
      </c>
      <c r="L360" s="87">
        <v>58.32</v>
      </c>
      <c r="M360" s="94"/>
      <c r="N360" s="93"/>
      <c r="O360" s="85"/>
      <c r="Q360" s="94"/>
      <c r="R360" s="93"/>
      <c r="S360" s="85"/>
      <c r="U360" s="94"/>
      <c r="V360" s="93"/>
      <c r="W360" s="85"/>
      <c r="Y360" s="94"/>
      <c r="Z360" s="93"/>
      <c r="AA360" s="85"/>
      <c r="AC360" s="94"/>
      <c r="AD360" s="93"/>
      <c r="AE360" s="85"/>
    </row>
    <row r="361" spans="7:31" x14ac:dyDescent="0.35">
      <c r="G361" s="85"/>
      <c r="H361" s="87"/>
      <c r="I361" s="94">
        <v>16</v>
      </c>
      <c r="J361" s="93">
        <v>45260</v>
      </c>
      <c r="K361" s="87" t="s">
        <v>2329</v>
      </c>
      <c r="L361" s="87">
        <v>13.74</v>
      </c>
      <c r="M361" s="94"/>
      <c r="N361" s="93"/>
      <c r="O361" s="85"/>
      <c r="Q361" s="94"/>
      <c r="R361" s="93"/>
      <c r="S361" s="85"/>
      <c r="U361" s="94"/>
      <c r="V361" s="93"/>
      <c r="W361" s="85"/>
      <c r="Y361" s="94"/>
      <c r="Z361" s="93"/>
      <c r="AA361" s="85"/>
      <c r="AC361" s="94"/>
      <c r="AD361" s="93"/>
      <c r="AE361" s="85"/>
    </row>
    <row r="362" spans="7:31" x14ac:dyDescent="0.35">
      <c r="G362" s="85"/>
      <c r="H362" s="87"/>
      <c r="I362" s="94">
        <v>8</v>
      </c>
      <c r="J362" s="93">
        <v>45253</v>
      </c>
      <c r="K362" s="87" t="s">
        <v>1512</v>
      </c>
      <c r="L362" s="87">
        <v>44.99</v>
      </c>
      <c r="M362" s="94"/>
      <c r="N362" s="93"/>
      <c r="O362" s="85"/>
      <c r="Q362" s="94"/>
      <c r="R362" s="93"/>
      <c r="S362" s="85"/>
      <c r="U362" s="94"/>
      <c r="V362" s="93"/>
      <c r="W362" s="85"/>
      <c r="Y362" s="94"/>
      <c r="Z362" s="93"/>
      <c r="AA362" s="85"/>
      <c r="AC362" s="94"/>
      <c r="AD362" s="93"/>
      <c r="AE362" s="85"/>
    </row>
    <row r="363" spans="7:31" x14ac:dyDescent="0.35">
      <c r="G363" s="85"/>
      <c r="H363" s="87"/>
      <c r="I363" s="94">
        <v>6</v>
      </c>
      <c r="J363" s="93">
        <v>45292</v>
      </c>
      <c r="K363" s="87" t="s">
        <v>2331</v>
      </c>
      <c r="L363" s="87">
        <v>930.39</v>
      </c>
      <c r="M363" s="94"/>
      <c r="N363" s="93"/>
      <c r="O363" s="85"/>
      <c r="Q363" s="94"/>
      <c r="R363" s="93"/>
      <c r="S363" s="85"/>
      <c r="U363" s="94"/>
      <c r="V363" s="93"/>
      <c r="W363" s="85"/>
      <c r="Y363" s="94"/>
      <c r="Z363" s="93"/>
      <c r="AA363" s="85"/>
      <c r="AC363" s="94"/>
      <c r="AD363" s="93"/>
      <c r="AE363" s="85"/>
    </row>
    <row r="364" spans="7:31" x14ac:dyDescent="0.35">
      <c r="G364" s="85"/>
      <c r="H364" s="87"/>
      <c r="I364" s="94">
        <v>13</v>
      </c>
      <c r="J364" s="93">
        <v>45292</v>
      </c>
      <c r="K364" s="87" t="s">
        <v>2333</v>
      </c>
      <c r="L364" s="87">
        <v>1708.33</v>
      </c>
      <c r="M364" s="94"/>
      <c r="N364" s="93"/>
      <c r="O364" s="85"/>
      <c r="Q364" s="94"/>
      <c r="R364" s="93"/>
      <c r="S364" s="85"/>
      <c r="U364" s="94"/>
      <c r="V364" s="93"/>
      <c r="W364" s="85"/>
      <c r="Y364" s="94"/>
      <c r="Z364" s="93"/>
      <c r="AA364" s="85"/>
      <c r="AC364" s="94"/>
      <c r="AD364" s="93"/>
      <c r="AE364" s="85"/>
    </row>
    <row r="365" spans="7:31" x14ac:dyDescent="0.35">
      <c r="G365" s="85"/>
      <c r="H365" s="87"/>
      <c r="I365" s="94">
        <v>18</v>
      </c>
      <c r="J365" s="93">
        <v>44929</v>
      </c>
      <c r="K365" s="87" t="s">
        <v>2334</v>
      </c>
      <c r="L365" s="87">
        <v>312.54000000000002</v>
      </c>
      <c r="M365" s="94"/>
      <c r="N365" s="93"/>
      <c r="O365" s="85"/>
      <c r="Q365" s="94"/>
      <c r="R365" s="93"/>
      <c r="S365" s="85"/>
      <c r="U365" s="94"/>
      <c r="V365" s="93"/>
      <c r="W365" s="85"/>
      <c r="Y365" s="94"/>
      <c r="Z365" s="93"/>
      <c r="AA365" s="85"/>
      <c r="AC365" s="94"/>
      <c r="AD365" s="93"/>
      <c r="AE365" s="85"/>
    </row>
    <row r="366" spans="7:31" x14ac:dyDescent="0.35">
      <c r="G366" s="85"/>
      <c r="H366" s="87"/>
      <c r="I366" s="94">
        <v>14</v>
      </c>
      <c r="J366" s="93">
        <v>45296</v>
      </c>
      <c r="K366" s="87" t="s">
        <v>2335</v>
      </c>
      <c r="L366" s="87">
        <v>1150.1199999999999</v>
      </c>
      <c r="M366" s="94"/>
      <c r="N366" s="93"/>
      <c r="O366" s="85"/>
      <c r="Q366" s="94"/>
      <c r="R366" s="93"/>
      <c r="S366" s="85"/>
      <c r="U366" s="94"/>
      <c r="V366" s="93"/>
      <c r="W366" s="85"/>
      <c r="Y366" s="94"/>
      <c r="Z366" s="93"/>
      <c r="AA366" s="85"/>
      <c r="AC366" s="94"/>
      <c r="AD366" s="93"/>
      <c r="AE366" s="85"/>
    </row>
    <row r="367" spans="7:31" x14ac:dyDescent="0.35">
      <c r="G367" s="85"/>
      <c r="H367" s="87"/>
      <c r="I367" s="94">
        <v>18</v>
      </c>
      <c r="J367" s="93">
        <v>45293</v>
      </c>
      <c r="K367" s="87" t="s">
        <v>2338</v>
      </c>
      <c r="L367" s="87">
        <v>3845.88</v>
      </c>
      <c r="M367" s="94"/>
      <c r="N367" s="93"/>
      <c r="O367" s="85"/>
      <c r="Q367" s="94"/>
      <c r="R367" s="93"/>
      <c r="S367" s="85"/>
      <c r="U367" s="94"/>
      <c r="V367" s="93"/>
      <c r="W367" s="85"/>
      <c r="Y367" s="94"/>
      <c r="Z367" s="93"/>
      <c r="AA367" s="85"/>
      <c r="AC367" s="94"/>
      <c r="AD367" s="93"/>
      <c r="AE367" s="85"/>
    </row>
    <row r="368" spans="7:31" x14ac:dyDescent="0.35">
      <c r="G368" s="85"/>
      <c r="H368" s="87"/>
      <c r="I368" s="94">
        <v>18</v>
      </c>
      <c r="J368" s="93">
        <v>45265</v>
      </c>
      <c r="K368" s="87" t="s">
        <v>2345</v>
      </c>
      <c r="L368" s="87">
        <v>40.380000000000003</v>
      </c>
      <c r="M368" s="94"/>
      <c r="N368" s="93"/>
      <c r="O368" s="85"/>
      <c r="Q368" s="94"/>
      <c r="R368" s="93"/>
      <c r="S368" s="85"/>
      <c r="U368" s="94"/>
      <c r="V368" s="93"/>
      <c r="W368" s="85"/>
      <c r="Y368" s="94"/>
      <c r="Z368" s="93"/>
      <c r="AA368" s="85"/>
      <c r="AC368" s="94"/>
      <c r="AD368" s="93"/>
      <c r="AE368" s="85"/>
    </row>
    <row r="369" spans="7:31" x14ac:dyDescent="0.35">
      <c r="G369" s="85"/>
      <c r="H369" s="87"/>
      <c r="I369" s="94">
        <v>18</v>
      </c>
      <c r="J369" s="93">
        <v>45267</v>
      </c>
      <c r="K369" s="87" t="s">
        <v>2346</v>
      </c>
      <c r="L369" s="87">
        <v>99.9</v>
      </c>
      <c r="M369" s="94"/>
      <c r="N369" s="93"/>
      <c r="O369" s="85"/>
      <c r="Q369" s="94"/>
      <c r="R369" s="93"/>
      <c r="S369" s="85"/>
      <c r="U369" s="94"/>
      <c r="V369" s="93"/>
      <c r="W369" s="85"/>
      <c r="Y369" s="94"/>
      <c r="Z369" s="93"/>
      <c r="AA369" s="85"/>
      <c r="AC369" s="94"/>
      <c r="AD369" s="93"/>
      <c r="AE369" s="85"/>
    </row>
    <row r="370" spans="7:31" x14ac:dyDescent="0.35">
      <c r="G370" s="85"/>
      <c r="H370" s="87"/>
      <c r="I370" s="94">
        <v>18</v>
      </c>
      <c r="J370" s="93">
        <v>45280</v>
      </c>
      <c r="K370" s="87" t="s">
        <v>2345</v>
      </c>
      <c r="L370" s="87">
        <v>144.97999999999999</v>
      </c>
      <c r="M370" s="94"/>
      <c r="N370" s="93"/>
      <c r="O370" s="85"/>
      <c r="Q370" s="94"/>
      <c r="R370" s="93"/>
      <c r="S370" s="85"/>
      <c r="U370" s="94"/>
      <c r="V370" s="93"/>
      <c r="W370" s="85"/>
      <c r="Y370" s="94"/>
      <c r="Z370" s="93"/>
      <c r="AA370" s="85"/>
      <c r="AC370" s="94"/>
      <c r="AD370" s="93"/>
      <c r="AE370" s="85"/>
    </row>
    <row r="371" spans="7:31" x14ac:dyDescent="0.35">
      <c r="G371" s="85"/>
      <c r="H371" s="87"/>
      <c r="I371" s="94">
        <v>18</v>
      </c>
      <c r="J371" s="93">
        <v>45282</v>
      </c>
      <c r="K371" s="87" t="s">
        <v>2345</v>
      </c>
      <c r="L371" s="87">
        <v>16.66</v>
      </c>
      <c r="M371" s="94"/>
      <c r="N371" s="93"/>
      <c r="O371" s="85"/>
      <c r="Q371" s="94"/>
      <c r="R371" s="93"/>
      <c r="S371" s="85"/>
      <c r="U371" s="94"/>
      <c r="V371" s="93"/>
      <c r="W371" s="85"/>
      <c r="Y371" s="94"/>
      <c r="Z371" s="93"/>
      <c r="AA371" s="85"/>
      <c r="AC371" s="94"/>
      <c r="AD371" s="93"/>
      <c r="AE371" s="85"/>
    </row>
    <row r="372" spans="7:31" x14ac:dyDescent="0.35">
      <c r="G372" s="85"/>
      <c r="H372" s="87"/>
      <c r="I372" s="94">
        <v>14</v>
      </c>
      <c r="J372" s="93">
        <v>45264</v>
      </c>
      <c r="K372" s="87" t="s">
        <v>1607</v>
      </c>
      <c r="L372" s="87">
        <v>39.99</v>
      </c>
      <c r="M372" s="94"/>
      <c r="N372" s="93"/>
      <c r="O372" s="85"/>
      <c r="Q372" s="94"/>
      <c r="R372" s="93"/>
      <c r="S372" s="85"/>
      <c r="U372" s="94"/>
      <c r="V372" s="93"/>
      <c r="W372" s="85"/>
      <c r="Y372" s="94"/>
      <c r="Z372" s="93"/>
      <c r="AA372" s="85"/>
      <c r="AC372" s="94"/>
      <c r="AD372" s="93"/>
      <c r="AE372" s="85"/>
    </row>
    <row r="373" spans="7:31" x14ac:dyDescent="0.35">
      <c r="G373" s="85"/>
      <c r="H373" s="87"/>
      <c r="I373" s="94">
        <v>14</v>
      </c>
      <c r="J373" s="93">
        <v>45302</v>
      </c>
      <c r="K373" s="87" t="s">
        <v>2347</v>
      </c>
      <c r="L373" s="87">
        <v>649.76</v>
      </c>
      <c r="M373" s="94"/>
      <c r="N373" s="93"/>
      <c r="O373" s="85"/>
      <c r="Q373" s="94"/>
      <c r="R373" s="93"/>
      <c r="S373" s="85"/>
      <c r="U373" s="94"/>
      <c r="V373" s="93"/>
      <c r="W373" s="85"/>
      <c r="Y373" s="94"/>
      <c r="Z373" s="93"/>
      <c r="AA373" s="85"/>
      <c r="AC373" s="94"/>
      <c r="AD373" s="93"/>
      <c r="AE373" s="85"/>
    </row>
    <row r="374" spans="7:31" x14ac:dyDescent="0.35">
      <c r="G374" s="85"/>
      <c r="H374" s="87"/>
      <c r="I374" s="94">
        <v>16</v>
      </c>
      <c r="J374" s="93" t="s">
        <v>2363</v>
      </c>
      <c r="K374" s="87" t="s">
        <v>2364</v>
      </c>
      <c r="L374" s="87">
        <f>21.92+1.5+15.79+4.75</f>
        <v>43.96</v>
      </c>
      <c r="M374" s="94"/>
      <c r="N374" s="93"/>
      <c r="O374" s="85"/>
      <c r="Q374" s="94"/>
      <c r="R374" s="93"/>
      <c r="S374" s="85"/>
      <c r="U374" s="94"/>
      <c r="V374" s="93"/>
      <c r="W374" s="85"/>
      <c r="Y374" s="94"/>
      <c r="Z374" s="93"/>
      <c r="AA374" s="85"/>
      <c r="AC374" s="94"/>
      <c r="AD374" s="93"/>
      <c r="AE374" s="85"/>
    </row>
    <row r="375" spans="7:31" x14ac:dyDescent="0.35">
      <c r="G375" s="85"/>
      <c r="H375" s="87"/>
      <c r="I375" s="94">
        <v>18</v>
      </c>
      <c r="J375" s="93">
        <v>45220</v>
      </c>
      <c r="K375" s="87" t="s">
        <v>2365</v>
      </c>
      <c r="L375" s="87">
        <v>220</v>
      </c>
      <c r="M375" s="94"/>
      <c r="N375" s="93"/>
      <c r="O375" s="85"/>
      <c r="Q375" s="94"/>
      <c r="R375" s="93"/>
      <c r="S375" s="85"/>
      <c r="U375" s="94"/>
      <c r="V375" s="93"/>
      <c r="W375" s="85"/>
      <c r="Y375" s="94"/>
      <c r="Z375" s="93"/>
      <c r="AA375" s="85"/>
      <c r="AC375" s="94"/>
      <c r="AD375" s="93"/>
      <c r="AE375" s="85"/>
    </row>
    <row r="376" spans="7:31" x14ac:dyDescent="0.35">
      <c r="G376" s="85"/>
      <c r="H376" s="87"/>
      <c r="I376" s="94">
        <v>18</v>
      </c>
      <c r="J376" s="93">
        <v>45223</v>
      </c>
      <c r="K376" s="87" t="s">
        <v>2208</v>
      </c>
      <c r="L376" s="87">
        <f>11.82+15.42</f>
        <v>27.240000000000002</v>
      </c>
      <c r="M376" s="94"/>
      <c r="N376" s="93"/>
      <c r="O376" s="85"/>
      <c r="Q376" s="94"/>
      <c r="R376" s="93"/>
      <c r="S376" s="85"/>
      <c r="U376" s="94"/>
      <c r="V376" s="93"/>
      <c r="W376" s="85"/>
      <c r="Y376" s="94"/>
      <c r="Z376" s="93"/>
      <c r="AA376" s="85"/>
      <c r="AC376" s="94"/>
      <c r="AD376" s="93"/>
      <c r="AE376" s="85"/>
    </row>
    <row r="377" spans="7:31" x14ac:dyDescent="0.35">
      <c r="G377" s="85"/>
      <c r="H377" s="87"/>
      <c r="I377" s="94">
        <v>18</v>
      </c>
      <c r="J377" s="93">
        <v>45226</v>
      </c>
      <c r="K377" s="87" t="s">
        <v>2365</v>
      </c>
      <c r="L377" s="87">
        <v>47.44</v>
      </c>
      <c r="M377" s="94"/>
      <c r="N377" s="93"/>
      <c r="O377" s="85"/>
      <c r="Q377" s="94"/>
      <c r="R377" s="93"/>
      <c r="S377" s="85"/>
      <c r="U377" s="94"/>
      <c r="V377" s="93"/>
      <c r="W377" s="85"/>
      <c r="Y377" s="94"/>
      <c r="Z377" s="93"/>
      <c r="AA377" s="85"/>
      <c r="AC377" s="94"/>
      <c r="AD377" s="93"/>
      <c r="AE377" s="85"/>
    </row>
    <row r="378" spans="7:31" x14ac:dyDescent="0.35">
      <c r="G378" s="85"/>
      <c r="H378" s="87"/>
      <c r="I378" s="94">
        <v>7</v>
      </c>
      <c r="J378" s="93">
        <v>45211</v>
      </c>
      <c r="K378" s="87" t="s">
        <v>1634</v>
      </c>
      <c r="L378" s="87">
        <v>13.32</v>
      </c>
      <c r="M378" s="94"/>
      <c r="N378" s="93"/>
      <c r="O378" s="85"/>
      <c r="Q378" s="94"/>
      <c r="R378" s="93"/>
      <c r="S378" s="85"/>
      <c r="U378" s="94"/>
      <c r="V378" s="93"/>
      <c r="W378" s="85"/>
      <c r="Y378" s="94"/>
      <c r="Z378" s="93"/>
      <c r="AA378" s="85"/>
      <c r="AC378" s="94"/>
      <c r="AD378" s="93"/>
      <c r="AE378" s="85"/>
    </row>
    <row r="379" spans="7:31" x14ac:dyDescent="0.35">
      <c r="G379" s="85"/>
      <c r="H379" s="87"/>
      <c r="I379" s="94">
        <v>9</v>
      </c>
      <c r="J379" s="93">
        <v>45300</v>
      </c>
      <c r="K379" s="87" t="s">
        <v>2373</v>
      </c>
      <c r="L379" s="87">
        <v>900</v>
      </c>
      <c r="M379" s="94"/>
      <c r="N379" s="93"/>
      <c r="O379" s="85"/>
      <c r="Q379" s="94"/>
      <c r="R379" s="93"/>
      <c r="S379" s="85"/>
      <c r="U379" s="94"/>
      <c r="V379" s="93"/>
      <c r="W379" s="85"/>
      <c r="Y379" s="94"/>
      <c r="Z379" s="93"/>
      <c r="AA379" s="85"/>
      <c r="AC379" s="94"/>
      <c r="AD379" s="93"/>
      <c r="AE379" s="85"/>
    </row>
    <row r="380" spans="7:31" x14ac:dyDescent="0.35">
      <c r="G380" s="85"/>
      <c r="H380" s="87"/>
      <c r="I380" s="94">
        <v>13</v>
      </c>
      <c r="J380" s="93">
        <v>45261</v>
      </c>
      <c r="K380" s="87" t="s">
        <v>2375</v>
      </c>
      <c r="L380" s="87">
        <v>1708.33</v>
      </c>
      <c r="M380" s="94"/>
      <c r="N380" s="93"/>
      <c r="O380" s="85"/>
      <c r="Q380" s="94"/>
      <c r="R380" s="93"/>
      <c r="S380" s="85"/>
      <c r="U380" s="94"/>
      <c r="V380" s="93"/>
      <c r="W380" s="85"/>
      <c r="Y380" s="94"/>
      <c r="Z380" s="93"/>
      <c r="AA380" s="85"/>
      <c r="AC380" s="94"/>
      <c r="AD380" s="93"/>
      <c r="AE380" s="85"/>
    </row>
    <row r="381" spans="7:31" x14ac:dyDescent="0.35">
      <c r="G381" s="85"/>
      <c r="H381" s="87"/>
      <c r="I381" s="94">
        <v>14</v>
      </c>
      <c r="J381" s="93">
        <v>45211</v>
      </c>
      <c r="K381" s="87" t="s">
        <v>2383</v>
      </c>
      <c r="L381" s="87">
        <v>9.9700000000000006</v>
      </c>
      <c r="M381" s="94"/>
      <c r="N381" s="93"/>
      <c r="O381" s="85"/>
      <c r="Q381" s="94"/>
      <c r="R381" s="93"/>
      <c r="S381" s="85"/>
      <c r="U381" s="94"/>
      <c r="V381" s="93"/>
      <c r="W381" s="85"/>
      <c r="Y381" s="94"/>
      <c r="Z381" s="93"/>
      <c r="AA381" s="85"/>
      <c r="AC381" s="94"/>
      <c r="AD381" s="93"/>
      <c r="AE381" s="85"/>
    </row>
    <row r="382" spans="7:31" x14ac:dyDescent="0.35">
      <c r="G382" s="85"/>
      <c r="H382" s="87"/>
      <c r="I382" s="94">
        <v>14</v>
      </c>
      <c r="J382" s="125">
        <v>45215</v>
      </c>
      <c r="K382" s="87" t="s">
        <v>2384</v>
      </c>
      <c r="L382" s="87">
        <v>1570.24</v>
      </c>
      <c r="M382" s="94"/>
      <c r="N382" s="93"/>
      <c r="O382" s="85"/>
      <c r="Q382" s="94"/>
      <c r="R382" s="93"/>
      <c r="S382" s="85"/>
      <c r="U382" s="94"/>
      <c r="V382" s="93"/>
      <c r="W382" s="85"/>
      <c r="Y382" s="94"/>
      <c r="Z382" s="93"/>
      <c r="AA382" s="85"/>
      <c r="AC382" s="94"/>
      <c r="AD382" s="93"/>
      <c r="AE382" s="85"/>
    </row>
    <row r="383" spans="7:31" x14ac:dyDescent="0.35">
      <c r="G383" s="85"/>
      <c r="H383" s="87"/>
      <c r="I383" s="94">
        <v>20</v>
      </c>
      <c r="J383" s="93">
        <v>45314</v>
      </c>
      <c r="K383" s="87" t="s">
        <v>2754</v>
      </c>
      <c r="L383" s="87">
        <v>560.29999999999995</v>
      </c>
      <c r="M383" s="94"/>
      <c r="N383" s="93"/>
      <c r="O383" s="85"/>
      <c r="Q383" s="94"/>
      <c r="R383" s="93"/>
      <c r="S383" s="85"/>
      <c r="U383" s="94"/>
      <c r="V383" s="93"/>
      <c r="W383" s="85"/>
      <c r="Y383" s="94"/>
      <c r="Z383" s="93"/>
      <c r="AA383" s="85"/>
      <c r="AC383" s="94"/>
      <c r="AD383" s="93"/>
      <c r="AE383" s="85"/>
    </row>
    <row r="384" spans="7:31" x14ac:dyDescent="0.35">
      <c r="G384" s="85"/>
      <c r="H384" s="87"/>
      <c r="I384" s="94">
        <v>6</v>
      </c>
      <c r="J384" s="93">
        <v>45323</v>
      </c>
      <c r="K384" s="87" t="s">
        <v>2542</v>
      </c>
      <c r="L384" s="87">
        <v>903.75</v>
      </c>
      <c r="M384" s="94"/>
      <c r="N384" s="93"/>
      <c r="O384" s="85"/>
      <c r="Q384" s="94"/>
      <c r="R384" s="93"/>
      <c r="S384" s="85"/>
      <c r="U384" s="94"/>
      <c r="V384" s="93"/>
      <c r="W384" s="85"/>
      <c r="Y384" s="94"/>
      <c r="Z384" s="93"/>
      <c r="AA384" s="85"/>
      <c r="AC384" s="94"/>
      <c r="AD384" s="93"/>
      <c r="AE384" s="85"/>
    </row>
    <row r="385" spans="7:31" x14ac:dyDescent="0.35">
      <c r="G385" s="85"/>
      <c r="H385" s="87"/>
      <c r="I385" s="94">
        <v>14</v>
      </c>
      <c r="J385" s="93">
        <v>45308</v>
      </c>
      <c r="K385" s="87" t="s">
        <v>2408</v>
      </c>
      <c r="L385" s="87">
        <v>1258.54</v>
      </c>
      <c r="M385" s="94"/>
      <c r="N385" s="93"/>
      <c r="O385" s="85"/>
      <c r="Q385" s="94"/>
      <c r="R385" s="93"/>
      <c r="S385" s="85"/>
      <c r="U385" s="94"/>
      <c r="V385" s="93"/>
      <c r="W385" s="85"/>
      <c r="Y385" s="94"/>
      <c r="Z385" s="93"/>
      <c r="AA385" s="85"/>
      <c r="AC385" s="94"/>
      <c r="AD385" s="93"/>
      <c r="AE385" s="85"/>
    </row>
    <row r="386" spans="7:31" x14ac:dyDescent="0.35">
      <c r="G386" s="85"/>
      <c r="H386" s="87"/>
      <c r="I386" s="94">
        <v>16</v>
      </c>
      <c r="J386" s="93">
        <v>45273</v>
      </c>
      <c r="K386" s="87" t="s">
        <v>2327</v>
      </c>
      <c r="L386" s="87">
        <v>6.67</v>
      </c>
      <c r="M386" s="94"/>
      <c r="N386" s="93"/>
      <c r="O386" s="85"/>
      <c r="Q386" s="94"/>
      <c r="R386" s="93"/>
      <c r="S386" s="85"/>
      <c r="U386" s="94"/>
      <c r="V386" s="93"/>
      <c r="W386" s="85"/>
      <c r="Y386" s="94"/>
      <c r="Z386" s="93"/>
      <c r="AA386" s="85"/>
      <c r="AC386" s="94"/>
      <c r="AD386" s="93"/>
      <c r="AE386" s="85"/>
    </row>
    <row r="387" spans="7:31" x14ac:dyDescent="0.35">
      <c r="G387" s="85"/>
      <c r="H387" s="87"/>
      <c r="I387" s="94">
        <v>16</v>
      </c>
      <c r="J387" s="93">
        <v>45273</v>
      </c>
      <c r="K387" s="87" t="s">
        <v>2412</v>
      </c>
      <c r="L387" s="87">
        <v>9.98</v>
      </c>
      <c r="M387" s="94"/>
      <c r="N387" s="93"/>
      <c r="O387" s="85"/>
      <c r="Q387" s="94"/>
      <c r="R387" s="93"/>
      <c r="S387" s="85"/>
      <c r="U387" s="94"/>
      <c r="V387" s="93"/>
      <c r="W387" s="85"/>
      <c r="Y387" s="94"/>
      <c r="Z387" s="93"/>
      <c r="AA387" s="85"/>
      <c r="AC387" s="94"/>
      <c r="AD387" s="93"/>
      <c r="AE387" s="85"/>
    </row>
    <row r="388" spans="7:31" x14ac:dyDescent="0.35">
      <c r="G388" s="85"/>
      <c r="H388" s="87"/>
      <c r="I388" s="94">
        <v>8</v>
      </c>
      <c r="J388" s="93">
        <v>45278</v>
      </c>
      <c r="K388" s="87" t="s">
        <v>1579</v>
      </c>
      <c r="L388" s="87">
        <v>12.2</v>
      </c>
      <c r="M388" s="94"/>
      <c r="N388" s="93"/>
      <c r="O388" s="85"/>
      <c r="Q388" s="94"/>
      <c r="R388" s="93"/>
      <c r="S388" s="85"/>
      <c r="U388" s="94"/>
      <c r="V388" s="93"/>
      <c r="W388" s="85"/>
      <c r="Y388" s="94"/>
      <c r="Z388" s="93"/>
      <c r="AA388" s="85"/>
      <c r="AC388" s="94"/>
      <c r="AD388" s="93"/>
      <c r="AE388" s="85"/>
    </row>
    <row r="389" spans="7:31" x14ac:dyDescent="0.35">
      <c r="G389" s="85"/>
      <c r="H389" s="87"/>
      <c r="I389" s="94">
        <v>8</v>
      </c>
      <c r="J389" s="93">
        <v>45278</v>
      </c>
      <c r="K389" s="87" t="s">
        <v>1579</v>
      </c>
      <c r="L389" s="87">
        <v>33.78</v>
      </c>
      <c r="M389" s="94"/>
      <c r="N389" s="93"/>
      <c r="O389" s="85"/>
      <c r="Q389" s="94"/>
      <c r="R389" s="93"/>
      <c r="S389" s="85"/>
      <c r="U389" s="94"/>
      <c r="V389" s="93"/>
      <c r="W389" s="85"/>
      <c r="Y389" s="94"/>
      <c r="Z389" s="93"/>
      <c r="AA389" s="85"/>
      <c r="AC389" s="94"/>
      <c r="AD389" s="93"/>
      <c r="AE389" s="85"/>
    </row>
    <row r="390" spans="7:31" x14ac:dyDescent="0.35">
      <c r="G390" s="85"/>
      <c r="H390" s="87"/>
      <c r="I390" s="94">
        <v>16</v>
      </c>
      <c r="J390" s="93">
        <v>45280</v>
      </c>
      <c r="K390" s="87" t="s">
        <v>2413</v>
      </c>
      <c r="L390" s="87">
        <v>7.49</v>
      </c>
      <c r="M390" s="94"/>
      <c r="N390" s="93"/>
      <c r="O390" s="85"/>
      <c r="Q390" s="94"/>
      <c r="R390" s="93"/>
      <c r="S390" s="85"/>
      <c r="U390" s="94"/>
      <c r="V390" s="93"/>
      <c r="W390" s="85"/>
      <c r="Y390" s="94"/>
      <c r="Z390" s="93"/>
      <c r="AA390" s="85"/>
      <c r="AC390" s="94"/>
      <c r="AD390" s="93"/>
      <c r="AE390" s="85"/>
    </row>
    <row r="391" spans="7:31" x14ac:dyDescent="0.35">
      <c r="G391" s="85"/>
      <c r="H391" s="87"/>
      <c r="I391" s="94">
        <v>16</v>
      </c>
      <c r="J391" s="93">
        <v>45265</v>
      </c>
      <c r="K391" s="87" t="s">
        <v>1589</v>
      </c>
      <c r="L391" s="87">
        <v>12.1</v>
      </c>
      <c r="M391" s="94"/>
      <c r="N391" s="93"/>
      <c r="O391" s="85"/>
      <c r="Q391" s="94"/>
      <c r="R391" s="93"/>
      <c r="S391" s="85"/>
      <c r="U391" s="94"/>
      <c r="V391" s="93"/>
      <c r="W391" s="85"/>
      <c r="Y391" s="94"/>
      <c r="Z391" s="93"/>
      <c r="AA391" s="85"/>
      <c r="AC391" s="94"/>
      <c r="AD391" s="93"/>
      <c r="AE391" s="85"/>
    </row>
    <row r="392" spans="7:31" x14ac:dyDescent="0.35">
      <c r="G392" s="85"/>
      <c r="H392" s="87"/>
      <c r="I392" s="94">
        <v>18</v>
      </c>
      <c r="J392" s="93">
        <v>45271</v>
      </c>
      <c r="K392" s="87" t="s">
        <v>2416</v>
      </c>
      <c r="L392" s="87">
        <v>103.28</v>
      </c>
      <c r="M392" s="94"/>
      <c r="N392" s="93"/>
      <c r="O392" s="85"/>
      <c r="Q392" s="94"/>
      <c r="R392" s="93"/>
      <c r="S392" s="85"/>
      <c r="U392" s="94"/>
      <c r="V392" s="93"/>
      <c r="W392" s="85"/>
      <c r="Y392" s="94"/>
      <c r="Z392" s="93"/>
      <c r="AA392" s="85"/>
      <c r="AC392" s="94"/>
      <c r="AD392" s="93"/>
      <c r="AE392" s="85"/>
    </row>
    <row r="393" spans="7:31" x14ac:dyDescent="0.35">
      <c r="G393" s="85"/>
      <c r="H393" s="87"/>
      <c r="I393" s="94">
        <v>16</v>
      </c>
      <c r="J393" s="93">
        <v>45280</v>
      </c>
      <c r="K393" s="87" t="s">
        <v>2327</v>
      </c>
      <c r="L393" s="87">
        <v>13.32</v>
      </c>
      <c r="M393" s="94"/>
      <c r="N393" s="93"/>
      <c r="O393" s="85"/>
      <c r="Q393" s="94"/>
      <c r="R393" s="93"/>
      <c r="S393" s="85"/>
      <c r="U393" s="94"/>
      <c r="V393" s="93"/>
      <c r="W393" s="85"/>
      <c r="Y393" s="94"/>
      <c r="Z393" s="93"/>
      <c r="AA393" s="85"/>
      <c r="AC393" s="94"/>
      <c r="AD393" s="93"/>
      <c r="AE393" s="85"/>
    </row>
    <row r="394" spans="7:31" x14ac:dyDescent="0.35">
      <c r="G394" s="85"/>
      <c r="H394" s="87"/>
      <c r="I394" s="94">
        <v>8</v>
      </c>
      <c r="J394" s="93">
        <v>45283</v>
      </c>
      <c r="K394" s="87" t="s">
        <v>1512</v>
      </c>
      <c r="L394" s="87">
        <v>44.99</v>
      </c>
      <c r="M394" s="94"/>
      <c r="N394" s="93"/>
      <c r="O394" s="85"/>
      <c r="Q394" s="94"/>
      <c r="R394" s="93"/>
      <c r="S394" s="85"/>
      <c r="U394" s="94"/>
      <c r="V394" s="93"/>
      <c r="W394" s="85"/>
      <c r="Y394" s="94"/>
      <c r="Z394" s="93"/>
      <c r="AA394" s="85"/>
      <c r="AC394" s="94"/>
      <c r="AD394" s="93"/>
      <c r="AE394" s="85"/>
    </row>
    <row r="395" spans="7:31" x14ac:dyDescent="0.35">
      <c r="G395" s="85"/>
      <c r="H395" s="87"/>
      <c r="I395" s="94">
        <v>18</v>
      </c>
      <c r="J395" s="93">
        <v>45309</v>
      </c>
      <c r="K395" s="87" t="s">
        <v>2419</v>
      </c>
      <c r="L395" s="87">
        <v>640</v>
      </c>
      <c r="M395" s="94"/>
      <c r="N395" s="93"/>
      <c r="O395" s="85"/>
      <c r="Q395" s="94"/>
      <c r="R395" s="93"/>
      <c r="S395" s="85"/>
      <c r="U395" s="94"/>
      <c r="V395" s="93"/>
      <c r="W395" s="85"/>
      <c r="Y395" s="94"/>
      <c r="Z395" s="93"/>
      <c r="AA395" s="85"/>
      <c r="AC395" s="94"/>
      <c r="AD395" s="93"/>
      <c r="AE395" s="85"/>
    </row>
    <row r="396" spans="7:31" x14ac:dyDescent="0.35">
      <c r="G396" s="85"/>
      <c r="H396" s="87"/>
      <c r="I396" s="94">
        <v>18</v>
      </c>
      <c r="J396" s="93">
        <v>45303</v>
      </c>
      <c r="K396" s="87" t="s">
        <v>2420</v>
      </c>
      <c r="L396" s="87">
        <v>120</v>
      </c>
      <c r="M396" s="94"/>
      <c r="N396" s="93"/>
      <c r="O396" s="85"/>
      <c r="Q396" s="94"/>
      <c r="R396" s="93"/>
      <c r="S396" s="85"/>
      <c r="U396" s="94"/>
      <c r="V396" s="93"/>
      <c r="W396" s="85"/>
      <c r="Y396" s="94"/>
      <c r="Z396" s="93"/>
      <c r="AA396" s="85"/>
      <c r="AC396" s="94"/>
      <c r="AD396" s="93"/>
      <c r="AE396" s="85"/>
    </row>
    <row r="397" spans="7:31" x14ac:dyDescent="0.35">
      <c r="G397" s="85"/>
      <c r="H397" s="87"/>
      <c r="I397" s="94">
        <v>7</v>
      </c>
      <c r="J397" s="93">
        <v>45314</v>
      </c>
      <c r="K397" s="87" t="s">
        <v>1465</v>
      </c>
      <c r="L397" s="87">
        <v>9.99</v>
      </c>
      <c r="M397" s="94"/>
      <c r="N397" s="93"/>
      <c r="O397" s="85"/>
      <c r="Q397" s="94"/>
      <c r="R397" s="93"/>
      <c r="S397" s="85"/>
      <c r="U397" s="94"/>
      <c r="V397" s="93"/>
      <c r="W397" s="85"/>
      <c r="Y397" s="94"/>
      <c r="Z397" s="93"/>
      <c r="AA397" s="85"/>
      <c r="AC397" s="94"/>
      <c r="AD397" s="93"/>
      <c r="AE397" s="85"/>
    </row>
    <row r="398" spans="7:31" x14ac:dyDescent="0.35">
      <c r="G398" s="85"/>
      <c r="H398" s="87"/>
      <c r="I398" s="94">
        <v>14</v>
      </c>
      <c r="J398" s="93">
        <v>45335</v>
      </c>
      <c r="K398" s="87" t="s">
        <v>2533</v>
      </c>
      <c r="L398" s="87">
        <v>13400</v>
      </c>
      <c r="M398" s="94"/>
      <c r="N398" s="93"/>
      <c r="O398" s="85"/>
      <c r="Q398" s="94"/>
      <c r="R398" s="93"/>
      <c r="S398" s="85"/>
      <c r="U398" s="94"/>
      <c r="V398" s="93"/>
      <c r="W398" s="85"/>
      <c r="Y398" s="94"/>
      <c r="Z398" s="93"/>
      <c r="AA398" s="85"/>
      <c r="AC398" s="94"/>
      <c r="AD398" s="93"/>
      <c r="AE398" s="85"/>
    </row>
    <row r="399" spans="7:31" x14ac:dyDescent="0.35">
      <c r="G399" s="85"/>
      <c r="H399" s="87"/>
      <c r="I399" s="94">
        <v>16</v>
      </c>
      <c r="J399" s="93">
        <v>45295</v>
      </c>
      <c r="K399" s="87" t="s">
        <v>2537</v>
      </c>
      <c r="L399" s="87">
        <v>295.37</v>
      </c>
      <c r="M399" s="94"/>
      <c r="N399" s="93"/>
      <c r="O399" s="85"/>
      <c r="Q399" s="94"/>
      <c r="R399" s="93"/>
      <c r="S399" s="85"/>
      <c r="U399" s="94"/>
      <c r="V399" s="93"/>
      <c r="W399" s="85"/>
      <c r="Y399" s="94"/>
      <c r="Z399" s="93"/>
      <c r="AA399" s="85"/>
      <c r="AC399" s="94"/>
      <c r="AD399" s="93"/>
      <c r="AE399" s="85"/>
    </row>
    <row r="400" spans="7:31" x14ac:dyDescent="0.35">
      <c r="G400" s="85"/>
      <c r="H400" s="87"/>
      <c r="I400" s="94">
        <v>14</v>
      </c>
      <c r="J400" s="93">
        <v>45343</v>
      </c>
      <c r="K400" s="87" t="s">
        <v>2539</v>
      </c>
      <c r="L400" s="87">
        <v>1148</v>
      </c>
      <c r="M400" s="94"/>
      <c r="N400" s="93"/>
      <c r="O400" s="85"/>
      <c r="Q400" s="94"/>
      <c r="R400" s="93"/>
      <c r="S400" s="85"/>
      <c r="U400" s="94"/>
      <c r="V400" s="93"/>
      <c r="W400" s="85"/>
      <c r="Y400" s="94"/>
      <c r="Z400" s="93"/>
      <c r="AA400" s="85"/>
      <c r="AC400" s="94"/>
      <c r="AD400" s="93"/>
      <c r="AE400" s="85"/>
    </row>
    <row r="401" spans="7:31" x14ac:dyDescent="0.35">
      <c r="G401" s="85"/>
      <c r="H401" s="87"/>
      <c r="I401" s="94">
        <v>16</v>
      </c>
      <c r="J401" s="93">
        <v>45343</v>
      </c>
      <c r="K401" s="87" t="s">
        <v>1607</v>
      </c>
      <c r="L401" s="87">
        <v>176.77</v>
      </c>
      <c r="M401" s="94"/>
      <c r="N401" s="93"/>
      <c r="O401" s="85"/>
      <c r="Q401" s="94"/>
      <c r="R401" s="93"/>
      <c r="S401" s="85"/>
      <c r="U401" s="94"/>
      <c r="V401" s="93"/>
      <c r="W401" s="85"/>
      <c r="Y401" s="94"/>
      <c r="Z401" s="93"/>
      <c r="AA401" s="85"/>
      <c r="AC401" s="94"/>
      <c r="AD401" s="93"/>
      <c r="AE401" s="85"/>
    </row>
    <row r="402" spans="7:31" x14ac:dyDescent="0.35">
      <c r="G402" s="85"/>
      <c r="H402" s="87"/>
      <c r="I402" s="94">
        <v>14</v>
      </c>
      <c r="J402" s="93">
        <v>45327</v>
      </c>
      <c r="K402" s="87" t="s">
        <v>2544</v>
      </c>
      <c r="L402" s="87">
        <v>975.94</v>
      </c>
      <c r="M402" s="94"/>
      <c r="N402" s="93"/>
      <c r="O402" s="85"/>
      <c r="Q402" s="94"/>
      <c r="R402" s="93"/>
      <c r="S402" s="85"/>
      <c r="U402" s="94"/>
      <c r="V402" s="93"/>
      <c r="W402" s="85"/>
      <c r="Y402" s="94"/>
      <c r="Z402" s="93"/>
      <c r="AA402" s="85"/>
      <c r="AC402" s="94"/>
      <c r="AD402" s="93"/>
      <c r="AE402" s="85"/>
    </row>
    <row r="403" spans="7:31" x14ac:dyDescent="0.35">
      <c r="G403" s="85"/>
      <c r="H403" s="87"/>
      <c r="I403" s="94">
        <v>14</v>
      </c>
      <c r="J403" s="93">
        <v>45327</v>
      </c>
      <c r="K403" s="87" t="s">
        <v>2545</v>
      </c>
      <c r="L403" s="87">
        <v>496.88</v>
      </c>
      <c r="M403" s="94"/>
      <c r="N403" s="93"/>
      <c r="O403" s="85"/>
      <c r="Q403" s="94"/>
      <c r="R403" s="93"/>
      <c r="S403" s="85"/>
      <c r="U403" s="94"/>
      <c r="V403" s="93"/>
      <c r="W403" s="85"/>
      <c r="Y403" s="94"/>
      <c r="Z403" s="93"/>
      <c r="AA403" s="85"/>
      <c r="AC403" s="94"/>
      <c r="AD403" s="93"/>
      <c r="AE403" s="85"/>
    </row>
    <row r="404" spans="7:31" x14ac:dyDescent="0.35">
      <c r="G404" s="85"/>
      <c r="H404" s="87"/>
      <c r="I404" s="94">
        <v>15</v>
      </c>
      <c r="J404" s="93">
        <v>45257</v>
      </c>
      <c r="K404" s="87" t="s">
        <v>2557</v>
      </c>
      <c r="L404" s="87">
        <v>104.64</v>
      </c>
      <c r="M404" s="94"/>
      <c r="N404" s="93"/>
      <c r="O404" s="85"/>
      <c r="Q404" s="94"/>
      <c r="R404" s="93"/>
      <c r="S404" s="85"/>
      <c r="U404" s="94"/>
      <c r="V404" s="93"/>
      <c r="W404" s="85"/>
      <c r="Y404" s="94"/>
      <c r="Z404" s="93"/>
      <c r="AA404" s="85"/>
      <c r="AC404" s="94"/>
      <c r="AD404" s="93"/>
      <c r="AE404" s="85"/>
    </row>
    <row r="405" spans="7:31" x14ac:dyDescent="0.35">
      <c r="G405" s="85"/>
      <c r="H405" s="87"/>
      <c r="I405" s="94">
        <v>13</v>
      </c>
      <c r="J405" s="93">
        <v>45337</v>
      </c>
      <c r="K405" s="87" t="s">
        <v>2558</v>
      </c>
      <c r="L405" s="87">
        <v>519.72</v>
      </c>
      <c r="M405" s="94"/>
      <c r="N405" s="93"/>
      <c r="O405" s="85"/>
      <c r="Q405" s="94"/>
      <c r="R405" s="93"/>
      <c r="S405" s="85"/>
      <c r="U405" s="94"/>
      <c r="V405" s="93"/>
      <c r="W405" s="85"/>
      <c r="Y405" s="94"/>
      <c r="Z405" s="93"/>
      <c r="AA405" s="85"/>
      <c r="AC405" s="94"/>
      <c r="AD405" s="93"/>
      <c r="AE405" s="85"/>
    </row>
    <row r="406" spans="7:31" x14ac:dyDescent="0.35">
      <c r="G406" s="85"/>
      <c r="H406" s="87"/>
      <c r="I406" s="94">
        <v>20</v>
      </c>
      <c r="J406" s="93">
        <v>45330</v>
      </c>
      <c r="K406" s="87" t="s">
        <v>2561</v>
      </c>
      <c r="L406" s="87">
        <v>580</v>
      </c>
      <c r="M406" s="94"/>
      <c r="N406" s="93"/>
      <c r="O406" s="85"/>
      <c r="Q406" s="94"/>
      <c r="R406" s="93"/>
      <c r="S406" s="85"/>
      <c r="U406" s="94"/>
      <c r="V406" s="93"/>
      <c r="W406" s="85"/>
      <c r="Y406" s="94"/>
      <c r="Z406" s="93"/>
      <c r="AA406" s="85"/>
      <c r="AC406" s="94"/>
      <c r="AD406" s="93"/>
      <c r="AE406" s="85"/>
    </row>
    <row r="407" spans="7:31" x14ac:dyDescent="0.35">
      <c r="G407" s="85"/>
      <c r="H407" s="87"/>
      <c r="I407" s="94">
        <v>14</v>
      </c>
      <c r="J407" s="93">
        <v>45348</v>
      </c>
      <c r="K407" s="87" t="s">
        <v>589</v>
      </c>
      <c r="L407" s="87">
        <v>30</v>
      </c>
      <c r="M407" s="94"/>
      <c r="N407" s="93"/>
      <c r="O407" s="85"/>
      <c r="Q407" s="94"/>
      <c r="R407" s="93"/>
      <c r="S407" s="85"/>
      <c r="U407" s="94"/>
      <c r="V407" s="93"/>
      <c r="W407" s="85"/>
      <c r="Y407" s="94"/>
      <c r="Z407" s="93"/>
      <c r="AA407" s="85"/>
      <c r="AC407" s="94"/>
      <c r="AD407" s="93"/>
      <c r="AE407" s="85"/>
    </row>
    <row r="408" spans="7:31" x14ac:dyDescent="0.35">
      <c r="G408" s="85"/>
      <c r="H408" s="87"/>
      <c r="I408" s="94">
        <v>13</v>
      </c>
      <c r="J408" s="93">
        <v>45337</v>
      </c>
      <c r="K408" s="87" t="s">
        <v>2583</v>
      </c>
      <c r="L408" s="87">
        <v>578.26</v>
      </c>
      <c r="M408" s="94"/>
      <c r="N408" s="93"/>
      <c r="O408" s="85"/>
      <c r="Q408" s="94"/>
      <c r="R408" s="93"/>
      <c r="S408" s="85"/>
      <c r="U408" s="94"/>
      <c r="V408" s="93"/>
      <c r="W408" s="85"/>
      <c r="Y408" s="94"/>
      <c r="Z408" s="93"/>
      <c r="AA408" s="85"/>
      <c r="AC408" s="94"/>
      <c r="AD408" s="93"/>
      <c r="AE408" s="85"/>
    </row>
    <row r="409" spans="7:31" x14ac:dyDescent="0.35">
      <c r="G409" s="85"/>
      <c r="H409" s="87"/>
      <c r="I409" s="94">
        <v>16</v>
      </c>
      <c r="J409" s="93">
        <v>45324</v>
      </c>
      <c r="K409" s="87" t="s">
        <v>2589</v>
      </c>
      <c r="L409" s="87">
        <v>3.2</v>
      </c>
      <c r="M409" s="94"/>
      <c r="N409" s="93"/>
      <c r="O409" s="85"/>
      <c r="Q409" s="94"/>
      <c r="R409" s="93"/>
      <c r="S409" s="85"/>
      <c r="U409" s="94"/>
      <c r="V409" s="93"/>
      <c r="W409" s="85"/>
      <c r="Y409" s="94"/>
      <c r="Z409" s="93"/>
      <c r="AA409" s="85"/>
      <c r="AC409" s="94"/>
      <c r="AD409" s="93"/>
      <c r="AE409" s="85"/>
    </row>
    <row r="410" spans="7:31" x14ac:dyDescent="0.35">
      <c r="G410" s="85"/>
      <c r="H410" s="87"/>
      <c r="I410" s="94">
        <v>8</v>
      </c>
      <c r="J410" s="93">
        <v>45324</v>
      </c>
      <c r="K410" s="87" t="s">
        <v>1530</v>
      </c>
      <c r="L410" s="87">
        <v>9.1999999999999993</v>
      </c>
      <c r="M410" s="94"/>
      <c r="N410" s="93"/>
      <c r="O410" s="85"/>
      <c r="Q410" s="94"/>
      <c r="R410" s="93"/>
      <c r="S410" s="85"/>
      <c r="U410" s="94"/>
      <c r="V410" s="93"/>
      <c r="W410" s="85"/>
      <c r="Y410" s="94"/>
      <c r="Z410" s="93"/>
      <c r="AA410" s="85"/>
      <c r="AC410" s="94"/>
      <c r="AD410" s="93"/>
      <c r="AE410" s="85"/>
    </row>
    <row r="411" spans="7:31" x14ac:dyDescent="0.35">
      <c r="G411" s="85"/>
      <c r="H411" s="87"/>
      <c r="I411" s="94">
        <v>8</v>
      </c>
      <c r="J411" s="93">
        <v>45324</v>
      </c>
      <c r="K411" s="87" t="s">
        <v>1558</v>
      </c>
      <c r="L411" s="87">
        <v>12.98</v>
      </c>
      <c r="M411" s="94"/>
      <c r="N411" s="93"/>
      <c r="O411" s="85"/>
      <c r="Q411" s="94"/>
      <c r="R411" s="93"/>
      <c r="S411" s="85"/>
      <c r="U411" s="94"/>
      <c r="V411" s="93"/>
      <c r="W411" s="85"/>
      <c r="Y411" s="94"/>
      <c r="Z411" s="93"/>
      <c r="AA411" s="85"/>
      <c r="AC411" s="94"/>
      <c r="AD411" s="93"/>
      <c r="AE411" s="85"/>
    </row>
    <row r="412" spans="7:31" x14ac:dyDescent="0.35">
      <c r="G412" s="85"/>
      <c r="H412" s="87"/>
      <c r="I412" s="94">
        <v>7</v>
      </c>
      <c r="J412" s="93">
        <v>45330</v>
      </c>
      <c r="K412" s="87" t="s">
        <v>1465</v>
      </c>
      <c r="L412" s="87">
        <v>12.49</v>
      </c>
      <c r="M412" s="94"/>
      <c r="N412" s="93"/>
      <c r="O412" s="85"/>
      <c r="Q412" s="94"/>
      <c r="R412" s="93"/>
      <c r="S412" s="85"/>
      <c r="U412" s="94"/>
      <c r="V412" s="93"/>
      <c r="W412" s="85"/>
      <c r="Y412" s="94"/>
      <c r="Z412" s="93"/>
      <c r="AA412" s="85"/>
      <c r="AC412" s="94"/>
      <c r="AD412" s="93"/>
      <c r="AE412" s="85"/>
    </row>
    <row r="413" spans="7:31" x14ac:dyDescent="0.35">
      <c r="G413" s="85"/>
      <c r="H413" s="87"/>
      <c r="I413" s="94">
        <v>8</v>
      </c>
      <c r="J413" s="93">
        <v>45344</v>
      </c>
      <c r="K413" s="87" t="s">
        <v>1530</v>
      </c>
      <c r="L413" s="87">
        <v>6.08</v>
      </c>
      <c r="M413" s="94"/>
      <c r="N413" s="93"/>
      <c r="O413" s="85"/>
      <c r="Q413" s="94"/>
      <c r="R413" s="93"/>
      <c r="S413" s="85"/>
      <c r="U413" s="94"/>
      <c r="V413" s="93"/>
      <c r="W413" s="85"/>
      <c r="Y413" s="94"/>
      <c r="Z413" s="93"/>
      <c r="AA413" s="85"/>
      <c r="AC413" s="94"/>
      <c r="AD413" s="93"/>
      <c r="AE413" s="85"/>
    </row>
    <row r="414" spans="7:31" x14ac:dyDescent="0.35">
      <c r="G414" s="85"/>
      <c r="H414" s="87"/>
      <c r="I414" s="94">
        <v>14</v>
      </c>
      <c r="J414" s="93">
        <v>45323</v>
      </c>
      <c r="K414" s="87" t="s">
        <v>2345</v>
      </c>
      <c r="L414" s="87">
        <v>119.13</v>
      </c>
      <c r="M414" s="94"/>
      <c r="N414" s="93"/>
      <c r="O414" s="85"/>
      <c r="Q414" s="94"/>
      <c r="R414" s="93"/>
      <c r="S414" s="85"/>
      <c r="U414" s="94"/>
      <c r="V414" s="93"/>
      <c r="W414" s="85"/>
      <c r="Y414" s="94"/>
      <c r="Z414" s="93"/>
      <c r="AA414" s="85"/>
      <c r="AC414" s="94"/>
      <c r="AD414" s="93"/>
      <c r="AE414" s="85"/>
    </row>
    <row r="415" spans="7:31" x14ac:dyDescent="0.35">
      <c r="G415" s="85"/>
      <c r="H415" s="87"/>
      <c r="I415" s="94">
        <v>14</v>
      </c>
      <c r="J415" s="93">
        <v>45323</v>
      </c>
      <c r="K415" s="87" t="s">
        <v>2598</v>
      </c>
      <c r="L415" s="87">
        <v>3.74</v>
      </c>
      <c r="M415" s="94"/>
      <c r="N415" s="93"/>
      <c r="O415" s="85"/>
      <c r="Q415" s="94"/>
      <c r="R415" s="93"/>
      <c r="S415" s="85"/>
      <c r="U415" s="94"/>
      <c r="V415" s="93"/>
      <c r="W415" s="85"/>
      <c r="Y415" s="94"/>
      <c r="Z415" s="93"/>
      <c r="AA415" s="85"/>
      <c r="AC415" s="94"/>
      <c r="AD415" s="93"/>
      <c r="AE415" s="85"/>
    </row>
    <row r="416" spans="7:31" x14ac:dyDescent="0.35">
      <c r="G416" s="85"/>
      <c r="H416" s="87"/>
      <c r="I416" s="94">
        <v>14</v>
      </c>
      <c r="J416" s="93">
        <v>45327</v>
      </c>
      <c r="K416" s="87" t="s">
        <v>2599</v>
      </c>
      <c r="L416" s="87">
        <v>13.3</v>
      </c>
      <c r="M416" s="94"/>
      <c r="N416" s="93"/>
      <c r="O416" s="85"/>
      <c r="Q416" s="94"/>
      <c r="R416" s="93"/>
      <c r="S416" s="85"/>
      <c r="U416" s="94"/>
      <c r="V416" s="93"/>
      <c r="W416" s="85"/>
      <c r="Y416" s="94"/>
      <c r="Z416" s="93"/>
      <c r="AA416" s="85"/>
      <c r="AC416" s="94"/>
      <c r="AD416" s="93"/>
      <c r="AE416" s="85"/>
    </row>
    <row r="417" spans="7:31" x14ac:dyDescent="0.35">
      <c r="G417" s="85"/>
      <c r="H417" s="87"/>
      <c r="I417" s="94">
        <v>14</v>
      </c>
      <c r="J417" s="93">
        <v>45330</v>
      </c>
      <c r="K417" s="87" t="s">
        <v>2600</v>
      </c>
      <c r="L417" s="87">
        <v>96.63</v>
      </c>
      <c r="M417" s="94"/>
      <c r="N417" s="93"/>
      <c r="O417" s="85"/>
      <c r="Q417" s="94"/>
      <c r="R417" s="93"/>
      <c r="S417" s="85"/>
      <c r="U417" s="94"/>
      <c r="V417" s="93"/>
      <c r="W417" s="85"/>
      <c r="Y417" s="94"/>
      <c r="Z417" s="93"/>
      <c r="AA417" s="85"/>
      <c r="AC417" s="94"/>
      <c r="AD417" s="93"/>
      <c r="AE417" s="85"/>
    </row>
    <row r="418" spans="7:31" x14ac:dyDescent="0.35">
      <c r="G418" s="85"/>
      <c r="H418" s="87"/>
      <c r="I418" s="94">
        <v>14</v>
      </c>
      <c r="J418" s="93">
        <v>45335</v>
      </c>
      <c r="K418" s="87" t="s">
        <v>2601</v>
      </c>
      <c r="L418" s="87">
        <v>7.48</v>
      </c>
      <c r="M418" s="94"/>
      <c r="N418" s="93"/>
      <c r="O418" s="85"/>
      <c r="Q418" s="94"/>
      <c r="R418" s="93"/>
      <c r="S418" s="85"/>
      <c r="U418" s="94"/>
      <c r="V418" s="93"/>
      <c r="W418" s="85"/>
      <c r="Y418" s="94"/>
      <c r="Z418" s="93"/>
      <c r="AA418" s="85"/>
      <c r="AC418" s="94"/>
      <c r="AD418" s="93"/>
      <c r="AE418" s="85"/>
    </row>
    <row r="419" spans="7:31" x14ac:dyDescent="0.35">
      <c r="G419" s="85"/>
      <c r="H419" s="87"/>
      <c r="I419" s="94">
        <v>14</v>
      </c>
      <c r="J419" s="93">
        <v>45336</v>
      </c>
      <c r="K419" s="87" t="s">
        <v>2603</v>
      </c>
      <c r="L419" s="87">
        <v>27.49</v>
      </c>
      <c r="M419" s="94"/>
      <c r="N419" s="93"/>
      <c r="O419" s="85"/>
      <c r="Q419" s="94"/>
      <c r="R419" s="93"/>
      <c r="S419" s="85"/>
      <c r="U419" s="94"/>
      <c r="V419" s="93"/>
      <c r="W419" s="85"/>
      <c r="Y419" s="94"/>
      <c r="Z419" s="93"/>
      <c r="AA419" s="85"/>
      <c r="AC419" s="94"/>
      <c r="AD419" s="93"/>
      <c r="AE419" s="85"/>
    </row>
    <row r="420" spans="7:31" x14ac:dyDescent="0.35">
      <c r="G420" s="85"/>
      <c r="H420" s="87"/>
      <c r="I420" s="94">
        <v>20</v>
      </c>
      <c r="J420" s="93">
        <v>45340</v>
      </c>
      <c r="K420" s="87" t="s">
        <v>2605</v>
      </c>
      <c r="L420" s="87">
        <v>559.77</v>
      </c>
      <c r="M420" s="94"/>
      <c r="N420" s="93"/>
      <c r="O420" s="85"/>
      <c r="Q420" s="94"/>
      <c r="R420" s="93"/>
      <c r="S420" s="85"/>
      <c r="U420" s="94"/>
      <c r="V420" s="93"/>
      <c r="W420" s="85"/>
      <c r="Y420" s="94"/>
      <c r="Z420" s="93"/>
      <c r="AA420" s="85"/>
      <c r="AC420" s="94"/>
      <c r="AD420" s="93"/>
      <c r="AE420" s="85"/>
    </row>
    <row r="421" spans="7:31" x14ac:dyDescent="0.35">
      <c r="G421" s="85"/>
      <c r="H421" s="87"/>
      <c r="I421" s="94">
        <v>14</v>
      </c>
      <c r="J421" s="93">
        <v>45293</v>
      </c>
      <c r="K421" s="87" t="s">
        <v>1636</v>
      </c>
      <c r="L421" s="87">
        <v>62.48</v>
      </c>
      <c r="M421" s="94"/>
      <c r="N421" s="93"/>
      <c r="O421" s="85"/>
      <c r="Q421" s="94"/>
      <c r="R421" s="93"/>
      <c r="S421" s="85"/>
      <c r="U421" s="94"/>
      <c r="V421" s="93"/>
      <c r="W421" s="85"/>
      <c r="Y421" s="94"/>
      <c r="Z421" s="93"/>
      <c r="AA421" s="85"/>
      <c r="AC421" s="94"/>
      <c r="AD421" s="93"/>
      <c r="AE421" s="85"/>
    </row>
    <row r="422" spans="7:31" x14ac:dyDescent="0.35">
      <c r="G422" s="85"/>
      <c r="H422" s="87"/>
      <c r="I422" s="94">
        <v>14</v>
      </c>
      <c r="J422" s="93">
        <v>45301</v>
      </c>
      <c r="K422" s="87" t="s">
        <v>2607</v>
      </c>
      <c r="L422" s="87">
        <v>67.06</v>
      </c>
      <c r="M422" s="94"/>
      <c r="N422" s="93"/>
      <c r="O422" s="85"/>
      <c r="Q422" s="94"/>
      <c r="R422" s="93"/>
      <c r="S422" s="85"/>
      <c r="U422" s="94"/>
      <c r="V422" s="93"/>
      <c r="W422" s="85"/>
      <c r="Y422" s="94"/>
      <c r="Z422" s="93"/>
      <c r="AA422" s="85"/>
      <c r="AC422" s="94"/>
      <c r="AD422" s="93"/>
      <c r="AE422" s="85"/>
    </row>
    <row r="423" spans="7:31" x14ac:dyDescent="0.35">
      <c r="G423" s="85"/>
      <c r="H423" s="87"/>
      <c r="I423" s="94">
        <v>8</v>
      </c>
      <c r="J423" s="93">
        <v>45299</v>
      </c>
      <c r="K423" s="87" t="s">
        <v>2612</v>
      </c>
      <c r="L423" s="87">
        <v>7</v>
      </c>
      <c r="M423" s="94"/>
      <c r="N423" s="93"/>
      <c r="O423" s="85"/>
      <c r="Q423" s="94"/>
      <c r="R423" s="93"/>
      <c r="S423" s="85"/>
      <c r="U423" s="94"/>
      <c r="V423" s="93"/>
      <c r="W423" s="85"/>
      <c r="Y423" s="94"/>
      <c r="Z423" s="93"/>
      <c r="AA423" s="85"/>
      <c r="AC423" s="94"/>
      <c r="AD423" s="93"/>
      <c r="AE423" s="85"/>
    </row>
    <row r="424" spans="7:31" x14ac:dyDescent="0.35">
      <c r="G424" s="85"/>
      <c r="H424" s="87"/>
      <c r="I424" s="94">
        <v>8</v>
      </c>
      <c r="J424" s="93">
        <v>45306</v>
      </c>
      <c r="K424" s="87" t="s">
        <v>1578</v>
      </c>
      <c r="L424" s="87">
        <v>12.16</v>
      </c>
      <c r="M424" s="94"/>
      <c r="N424" s="93"/>
      <c r="O424" s="85"/>
      <c r="Q424" s="94"/>
      <c r="R424" s="93"/>
      <c r="S424" s="85"/>
      <c r="U424" s="94"/>
      <c r="V424" s="93"/>
      <c r="W424" s="85"/>
      <c r="Y424" s="94"/>
      <c r="Z424" s="93"/>
      <c r="AA424" s="85"/>
      <c r="AC424" s="94"/>
      <c r="AD424" s="93"/>
      <c r="AE424" s="85"/>
    </row>
    <row r="425" spans="7:31" x14ac:dyDescent="0.35">
      <c r="G425" s="85"/>
      <c r="H425" s="87"/>
      <c r="I425" s="94">
        <v>8</v>
      </c>
      <c r="J425" s="93">
        <v>45308</v>
      </c>
      <c r="K425" s="87" t="s">
        <v>1578</v>
      </c>
      <c r="L425" s="87">
        <v>41.22</v>
      </c>
      <c r="M425" s="94"/>
      <c r="N425" s="93"/>
      <c r="O425" s="85"/>
      <c r="Q425" s="94"/>
      <c r="R425" s="93"/>
      <c r="S425" s="85"/>
      <c r="U425" s="94"/>
      <c r="V425" s="93"/>
      <c r="W425" s="85"/>
      <c r="Y425" s="94"/>
      <c r="Z425" s="93"/>
      <c r="AA425" s="85"/>
      <c r="AC425" s="94"/>
      <c r="AD425" s="93"/>
      <c r="AE425" s="85"/>
    </row>
    <row r="426" spans="7:31" x14ac:dyDescent="0.35">
      <c r="G426" s="85"/>
      <c r="H426" s="87"/>
      <c r="I426" s="94">
        <v>14</v>
      </c>
      <c r="J426" s="93">
        <v>45309</v>
      </c>
      <c r="K426" s="87" t="s">
        <v>2614</v>
      </c>
      <c r="L426" s="87">
        <v>29.55</v>
      </c>
      <c r="M426" s="94"/>
      <c r="N426" s="93"/>
      <c r="O426" s="85"/>
      <c r="Q426" s="94"/>
      <c r="R426" s="93"/>
      <c r="S426" s="85"/>
      <c r="U426" s="94"/>
      <c r="V426" s="93"/>
      <c r="W426" s="85"/>
      <c r="Y426" s="94"/>
      <c r="Z426" s="93"/>
      <c r="AA426" s="85"/>
      <c r="AC426" s="94"/>
      <c r="AD426" s="93"/>
      <c r="AE426" s="85"/>
    </row>
    <row r="427" spans="7:31" x14ac:dyDescent="0.35">
      <c r="G427" s="85"/>
      <c r="H427" s="87"/>
      <c r="I427" s="94">
        <v>16</v>
      </c>
      <c r="J427" s="93">
        <v>45309</v>
      </c>
      <c r="K427" s="87" t="s">
        <v>2615</v>
      </c>
      <c r="L427" s="87">
        <v>25</v>
      </c>
      <c r="M427" s="94"/>
      <c r="N427" s="93"/>
      <c r="O427" s="85"/>
      <c r="Q427" s="94"/>
      <c r="R427" s="93"/>
      <c r="S427" s="85"/>
      <c r="U427" s="94"/>
      <c r="V427" s="93"/>
      <c r="W427" s="85"/>
      <c r="Y427" s="94"/>
      <c r="Z427" s="93"/>
      <c r="AA427" s="85"/>
      <c r="AC427" s="94"/>
      <c r="AD427" s="93"/>
      <c r="AE427" s="85"/>
    </row>
    <row r="428" spans="7:31" x14ac:dyDescent="0.35">
      <c r="G428" s="85"/>
      <c r="H428" s="87"/>
      <c r="I428" s="94">
        <v>16</v>
      </c>
      <c r="J428" s="93">
        <v>45312</v>
      </c>
      <c r="K428" s="87" t="s">
        <v>1516</v>
      </c>
      <c r="L428" s="87">
        <v>20.82</v>
      </c>
      <c r="M428" s="94"/>
      <c r="N428" s="93"/>
      <c r="O428" s="85"/>
      <c r="Q428" s="94"/>
      <c r="R428" s="93"/>
      <c r="S428" s="85"/>
      <c r="U428" s="94"/>
      <c r="V428" s="93"/>
      <c r="W428" s="85"/>
      <c r="Y428" s="94"/>
      <c r="Z428" s="93"/>
      <c r="AA428" s="85"/>
      <c r="AC428" s="94"/>
      <c r="AD428" s="93"/>
      <c r="AE428" s="85"/>
    </row>
    <row r="429" spans="7:31" x14ac:dyDescent="0.35">
      <c r="G429" s="85"/>
      <c r="H429" s="87"/>
      <c r="I429" s="94">
        <v>16</v>
      </c>
      <c r="J429" s="93">
        <v>45316</v>
      </c>
      <c r="K429" s="87" t="s">
        <v>1580</v>
      </c>
      <c r="L429" s="87">
        <v>15</v>
      </c>
      <c r="M429" s="94"/>
      <c r="N429" s="93"/>
      <c r="O429" s="85"/>
      <c r="Q429" s="94"/>
      <c r="R429" s="93"/>
      <c r="S429" s="85"/>
      <c r="U429" s="94"/>
      <c r="V429" s="93"/>
      <c r="W429" s="85"/>
      <c r="Y429" s="94"/>
      <c r="Z429" s="93"/>
      <c r="AA429" s="85"/>
      <c r="AC429" s="94"/>
      <c r="AD429" s="93"/>
      <c r="AE429" s="85"/>
    </row>
    <row r="430" spans="7:31" x14ac:dyDescent="0.35">
      <c r="G430" s="85"/>
      <c r="H430" s="87"/>
      <c r="I430" s="94">
        <v>8</v>
      </c>
      <c r="J430" s="93">
        <v>45321</v>
      </c>
      <c r="K430" s="87" t="s">
        <v>2617</v>
      </c>
      <c r="L430" s="87">
        <v>0.99</v>
      </c>
      <c r="M430" s="94"/>
      <c r="N430" s="93"/>
      <c r="O430" s="85"/>
      <c r="Q430" s="94"/>
      <c r="R430" s="93"/>
      <c r="S430" s="85"/>
      <c r="U430" s="94"/>
      <c r="V430" s="93"/>
      <c r="W430" s="85"/>
      <c r="Y430" s="94"/>
      <c r="Z430" s="93"/>
      <c r="AA430" s="85"/>
      <c r="AC430" s="94"/>
      <c r="AD430" s="93"/>
      <c r="AE430" s="85"/>
    </row>
    <row r="431" spans="7:31" x14ac:dyDescent="0.35">
      <c r="G431" s="85"/>
      <c r="H431" s="87"/>
      <c r="I431" s="94">
        <v>8</v>
      </c>
      <c r="J431" s="93">
        <v>45321</v>
      </c>
      <c r="K431" s="87" t="s">
        <v>1578</v>
      </c>
      <c r="L431" s="87">
        <v>21.25</v>
      </c>
      <c r="M431" s="94"/>
      <c r="N431" s="93"/>
      <c r="O431" s="85"/>
      <c r="Q431" s="94"/>
      <c r="R431" s="93"/>
      <c r="S431" s="85"/>
      <c r="U431" s="94"/>
      <c r="V431" s="93"/>
      <c r="W431" s="85"/>
      <c r="Y431" s="94"/>
      <c r="Z431" s="93"/>
      <c r="AA431" s="85"/>
      <c r="AC431" s="94"/>
      <c r="AD431" s="93"/>
      <c r="AE431" s="85"/>
    </row>
    <row r="432" spans="7:31" x14ac:dyDescent="0.35">
      <c r="G432" s="85"/>
      <c r="H432" s="87"/>
      <c r="I432" s="94">
        <v>16</v>
      </c>
      <c r="J432" s="93">
        <v>45323</v>
      </c>
      <c r="K432" s="87" t="s">
        <v>1580</v>
      </c>
      <c r="L432" s="87">
        <v>2.75</v>
      </c>
      <c r="M432" s="94"/>
      <c r="N432" s="93"/>
      <c r="O432" s="85"/>
      <c r="Q432" s="94"/>
      <c r="R432" s="93"/>
      <c r="S432" s="85"/>
      <c r="U432" s="94"/>
      <c r="V432" s="93"/>
      <c r="W432" s="85"/>
      <c r="Y432" s="94"/>
      <c r="Z432" s="93"/>
      <c r="AA432" s="85"/>
      <c r="AC432" s="94"/>
      <c r="AD432" s="93"/>
      <c r="AE432" s="85"/>
    </row>
    <row r="433" spans="7:31" x14ac:dyDescent="0.35">
      <c r="G433" s="85"/>
      <c r="H433" s="87"/>
      <c r="I433" s="94">
        <v>16</v>
      </c>
      <c r="J433" s="93">
        <v>45313</v>
      </c>
      <c r="K433" s="87" t="s">
        <v>2619</v>
      </c>
      <c r="L433" s="87">
        <v>4.1399999999999997</v>
      </c>
      <c r="M433" s="94"/>
      <c r="N433" s="93"/>
      <c r="O433" s="85"/>
      <c r="Q433" s="94"/>
      <c r="R433" s="93"/>
      <c r="S433" s="85"/>
      <c r="U433" s="94"/>
      <c r="V433" s="93"/>
      <c r="W433" s="85"/>
      <c r="Y433" s="94"/>
      <c r="Z433" s="93"/>
      <c r="AA433" s="85"/>
      <c r="AC433" s="94"/>
      <c r="AD433" s="93"/>
      <c r="AE433" s="85"/>
    </row>
    <row r="434" spans="7:31" x14ac:dyDescent="0.35">
      <c r="G434" s="85"/>
      <c r="H434" s="87"/>
      <c r="I434" s="94">
        <v>8</v>
      </c>
      <c r="J434" s="93">
        <v>45314</v>
      </c>
      <c r="K434" s="87" t="s">
        <v>1512</v>
      </c>
      <c r="L434" s="87">
        <v>44.99</v>
      </c>
      <c r="M434" s="94"/>
      <c r="N434" s="93"/>
      <c r="O434" s="85"/>
      <c r="Q434" s="94"/>
      <c r="R434" s="93"/>
      <c r="S434" s="85"/>
      <c r="U434" s="94"/>
      <c r="V434" s="93"/>
      <c r="W434" s="85"/>
      <c r="Y434" s="94"/>
      <c r="Z434" s="93"/>
      <c r="AA434" s="85"/>
      <c r="AC434" s="94"/>
      <c r="AD434" s="93"/>
      <c r="AE434" s="85"/>
    </row>
    <row r="435" spans="7:31" x14ac:dyDescent="0.35">
      <c r="G435" s="85"/>
      <c r="H435" s="87"/>
      <c r="I435" s="94">
        <v>14</v>
      </c>
      <c r="J435" s="93">
        <v>45314</v>
      </c>
      <c r="K435" s="87" t="s">
        <v>1673</v>
      </c>
      <c r="L435" s="87">
        <v>27.82</v>
      </c>
      <c r="M435" s="94"/>
      <c r="N435" s="93"/>
      <c r="O435" s="85"/>
      <c r="Q435" s="94"/>
      <c r="R435" s="93"/>
      <c r="S435" s="85"/>
      <c r="U435" s="94"/>
      <c r="V435" s="93"/>
      <c r="W435" s="85"/>
      <c r="Y435" s="94"/>
      <c r="Z435" s="93"/>
      <c r="AA435" s="85"/>
      <c r="AC435" s="94"/>
      <c r="AD435" s="93"/>
      <c r="AE435" s="85"/>
    </row>
    <row r="436" spans="7:31" x14ac:dyDescent="0.35">
      <c r="G436" s="85"/>
      <c r="H436" s="87"/>
      <c r="I436" s="94">
        <v>14</v>
      </c>
      <c r="J436" s="93">
        <v>45314</v>
      </c>
      <c r="K436" s="87" t="s">
        <v>2620</v>
      </c>
      <c r="L436" s="87">
        <v>16.66</v>
      </c>
      <c r="M436" s="94"/>
      <c r="N436" s="93"/>
      <c r="O436" s="85"/>
      <c r="Q436" s="94"/>
      <c r="R436" s="93"/>
      <c r="S436" s="85"/>
      <c r="U436" s="94"/>
      <c r="V436" s="93"/>
      <c r="W436" s="85"/>
      <c r="Y436" s="94"/>
      <c r="Z436" s="93"/>
      <c r="AA436" s="85"/>
      <c r="AC436" s="94"/>
      <c r="AD436" s="93"/>
      <c r="AE436" s="85"/>
    </row>
    <row r="437" spans="7:31" x14ac:dyDescent="0.35">
      <c r="G437" s="85"/>
      <c r="H437" s="87"/>
      <c r="I437" s="94">
        <v>14</v>
      </c>
      <c r="J437" s="93">
        <v>45315</v>
      </c>
      <c r="K437" s="87" t="s">
        <v>2621</v>
      </c>
      <c r="L437" s="87">
        <v>66.64</v>
      </c>
      <c r="M437" s="94"/>
      <c r="N437" s="93"/>
      <c r="O437" s="85"/>
      <c r="Q437" s="94"/>
      <c r="R437" s="93"/>
      <c r="S437" s="85"/>
      <c r="U437" s="94"/>
      <c r="V437" s="93"/>
      <c r="W437" s="85"/>
      <c r="Y437" s="94"/>
      <c r="Z437" s="93"/>
      <c r="AA437" s="85"/>
      <c r="AC437" s="94"/>
      <c r="AD437" s="93"/>
      <c r="AE437" s="85"/>
    </row>
    <row r="438" spans="7:31" x14ac:dyDescent="0.35">
      <c r="G438" s="85"/>
      <c r="H438" s="87"/>
      <c r="I438" s="94">
        <v>14</v>
      </c>
      <c r="J438" s="93">
        <v>45315</v>
      </c>
      <c r="K438" s="87" t="s">
        <v>2622</v>
      </c>
      <c r="L438" s="87">
        <v>29.98</v>
      </c>
      <c r="M438" s="94"/>
      <c r="N438" s="93"/>
      <c r="O438" s="85"/>
      <c r="Q438" s="94"/>
      <c r="R438" s="93"/>
      <c r="S438" s="85"/>
      <c r="U438" s="94"/>
      <c r="V438" s="93"/>
      <c r="W438" s="85"/>
      <c r="Y438" s="94"/>
      <c r="Z438" s="93"/>
      <c r="AA438" s="85"/>
      <c r="AC438" s="94"/>
      <c r="AD438" s="93"/>
      <c r="AE438" s="85"/>
    </row>
    <row r="439" spans="7:31" x14ac:dyDescent="0.35">
      <c r="G439" s="85"/>
      <c r="H439" s="87"/>
      <c r="I439" s="94">
        <v>14</v>
      </c>
      <c r="J439" s="93">
        <v>45315</v>
      </c>
      <c r="K439" s="87" t="s">
        <v>2625</v>
      </c>
      <c r="L439" s="87">
        <v>16.66</v>
      </c>
      <c r="M439" s="94"/>
      <c r="N439" s="93"/>
      <c r="O439" s="85"/>
      <c r="Q439" s="94"/>
      <c r="R439" s="93"/>
      <c r="S439" s="85"/>
      <c r="U439" s="94"/>
      <c r="V439" s="93"/>
      <c r="W439" s="85"/>
      <c r="Y439" s="94"/>
      <c r="Z439" s="93"/>
      <c r="AA439" s="85"/>
      <c r="AC439" s="94"/>
      <c r="AD439" s="93"/>
      <c r="AE439" s="85"/>
    </row>
    <row r="440" spans="7:31" x14ac:dyDescent="0.35">
      <c r="G440" s="85"/>
      <c r="H440" s="87"/>
      <c r="I440" s="94">
        <v>20</v>
      </c>
      <c r="J440" s="93">
        <v>45657</v>
      </c>
      <c r="K440" s="87" t="s">
        <v>2626</v>
      </c>
      <c r="L440" s="87">
        <v>2680</v>
      </c>
      <c r="M440" s="94"/>
      <c r="N440" s="93"/>
      <c r="O440" s="85"/>
      <c r="Q440" s="94"/>
      <c r="R440" s="93"/>
      <c r="S440" s="85"/>
      <c r="U440" s="94"/>
      <c r="V440" s="93"/>
      <c r="W440" s="85"/>
      <c r="Y440" s="94"/>
      <c r="Z440" s="93"/>
      <c r="AA440" s="85"/>
      <c r="AC440" s="94"/>
      <c r="AD440" s="93"/>
      <c r="AE440" s="85"/>
    </row>
    <row r="441" spans="7:31" x14ac:dyDescent="0.35">
      <c r="G441" s="85"/>
      <c r="H441" s="87"/>
      <c r="I441" s="94" t="s">
        <v>23</v>
      </c>
      <c r="J441" s="93" t="s">
        <v>1929</v>
      </c>
      <c r="K441" s="87" t="s">
        <v>2627</v>
      </c>
      <c r="L441" s="87">
        <f>5119-L440</f>
        <v>2439</v>
      </c>
      <c r="M441" s="94"/>
      <c r="N441" s="93"/>
      <c r="O441" s="85"/>
      <c r="Q441" s="94"/>
      <c r="R441" s="93"/>
      <c r="S441" s="85"/>
      <c r="U441" s="94"/>
      <c r="V441" s="93"/>
      <c r="W441" s="85"/>
      <c r="Y441" s="94"/>
      <c r="Z441" s="93"/>
      <c r="AA441" s="85"/>
      <c r="AC441" s="94"/>
      <c r="AD441" s="93"/>
      <c r="AE441" s="85"/>
    </row>
    <row r="442" spans="7:31" x14ac:dyDescent="0.35">
      <c r="G442" s="85"/>
      <c r="H442" s="87"/>
      <c r="I442" s="94">
        <v>7</v>
      </c>
      <c r="J442" s="93">
        <v>45355</v>
      </c>
      <c r="K442" s="87" t="s">
        <v>1510</v>
      </c>
      <c r="L442" s="87">
        <v>16.649999999999999</v>
      </c>
      <c r="M442" s="94"/>
      <c r="N442" s="93"/>
      <c r="O442" s="85"/>
      <c r="Q442" s="94"/>
      <c r="R442" s="93"/>
      <c r="S442" s="85"/>
      <c r="U442" s="94"/>
      <c r="V442" s="93"/>
      <c r="W442" s="85"/>
      <c r="Y442" s="94"/>
      <c r="Z442" s="93"/>
      <c r="AA442" s="85"/>
      <c r="AC442" s="94"/>
      <c r="AD442" s="93"/>
      <c r="AE442" s="85"/>
    </row>
    <row r="443" spans="7:31" x14ac:dyDescent="0.35">
      <c r="G443" s="85"/>
      <c r="H443" s="87"/>
      <c r="I443" s="94">
        <v>14</v>
      </c>
      <c r="J443" s="93">
        <v>45357</v>
      </c>
      <c r="K443" s="87" t="s">
        <v>2629</v>
      </c>
      <c r="L443" s="87">
        <v>106.5</v>
      </c>
      <c r="M443" s="94"/>
      <c r="N443" s="93"/>
      <c r="O443" s="85"/>
      <c r="Q443" s="94"/>
      <c r="R443" s="93"/>
      <c r="S443" s="85"/>
      <c r="U443" s="94"/>
      <c r="V443" s="93"/>
      <c r="W443" s="85"/>
      <c r="Y443" s="94"/>
      <c r="Z443" s="93"/>
      <c r="AA443" s="85"/>
      <c r="AC443" s="94"/>
      <c r="AD443" s="93"/>
      <c r="AE443" s="85"/>
    </row>
    <row r="444" spans="7:31" x14ac:dyDescent="0.35">
      <c r="G444" s="85"/>
      <c r="H444" s="87"/>
      <c r="I444" s="94">
        <v>14</v>
      </c>
      <c r="J444" s="93">
        <v>45355</v>
      </c>
      <c r="K444" s="87" t="s">
        <v>2635</v>
      </c>
      <c r="L444" s="87">
        <v>1638.92</v>
      </c>
      <c r="M444" s="94"/>
      <c r="N444" s="93"/>
      <c r="O444" s="85"/>
      <c r="Q444" s="94"/>
      <c r="R444" s="93"/>
      <c r="S444" s="85"/>
      <c r="U444" s="94"/>
      <c r="V444" s="93"/>
      <c r="W444" s="85"/>
      <c r="Y444" s="94"/>
      <c r="Z444" s="93"/>
      <c r="AA444" s="85"/>
      <c r="AC444" s="94"/>
      <c r="AD444" s="93"/>
      <c r="AE444" s="85"/>
    </row>
    <row r="445" spans="7:31" x14ac:dyDescent="0.35">
      <c r="G445" s="85"/>
      <c r="H445" s="87"/>
      <c r="I445" s="94">
        <v>13</v>
      </c>
      <c r="J445" s="93">
        <v>45352</v>
      </c>
      <c r="K445" s="87" t="s">
        <v>2638</v>
      </c>
      <c r="L445" s="87">
        <v>1708.33</v>
      </c>
      <c r="M445" s="94"/>
      <c r="N445" s="93"/>
      <c r="O445" s="85"/>
      <c r="Q445" s="94"/>
      <c r="R445" s="93"/>
      <c r="S445" s="85"/>
      <c r="U445" s="94"/>
      <c r="V445" s="93"/>
      <c r="W445" s="85"/>
      <c r="Y445" s="94"/>
      <c r="Z445" s="93"/>
      <c r="AA445" s="85"/>
      <c r="AC445" s="94"/>
      <c r="AD445" s="93"/>
      <c r="AE445" s="85"/>
    </row>
    <row r="446" spans="7:31" x14ac:dyDescent="0.35">
      <c r="G446" s="85"/>
      <c r="H446" s="87"/>
      <c r="I446" s="94">
        <v>18</v>
      </c>
      <c r="J446" s="93">
        <v>45357</v>
      </c>
      <c r="K446" s="87" t="s">
        <v>2639</v>
      </c>
      <c r="L446" s="87">
        <v>52.49</v>
      </c>
      <c r="M446" s="94"/>
      <c r="N446" s="93"/>
      <c r="O446" s="85"/>
      <c r="Q446" s="94"/>
      <c r="R446" s="93"/>
      <c r="S446" s="85"/>
      <c r="U446" s="94"/>
      <c r="V446" s="93"/>
      <c r="W446" s="85"/>
      <c r="Y446" s="94"/>
      <c r="Z446" s="93"/>
      <c r="AA446" s="85"/>
      <c r="AC446" s="94"/>
      <c r="AD446" s="93"/>
      <c r="AE446" s="85"/>
    </row>
    <row r="447" spans="7:31" x14ac:dyDescent="0.35">
      <c r="G447" s="85"/>
      <c r="H447" s="87"/>
      <c r="I447" s="94">
        <v>7</v>
      </c>
      <c r="J447" s="93">
        <v>45359</v>
      </c>
      <c r="K447" s="87" t="s">
        <v>1465</v>
      </c>
      <c r="L447" s="87">
        <v>13.32</v>
      </c>
      <c r="M447" s="94"/>
      <c r="N447" s="93"/>
      <c r="O447" s="85"/>
      <c r="Q447" s="94"/>
      <c r="R447" s="93"/>
      <c r="S447" s="85"/>
      <c r="U447" s="94"/>
      <c r="V447" s="93"/>
      <c r="W447" s="85"/>
      <c r="Y447" s="94"/>
      <c r="Z447" s="93"/>
      <c r="AA447" s="85"/>
      <c r="AC447" s="94"/>
      <c r="AD447" s="93"/>
      <c r="AE447" s="85"/>
    </row>
    <row r="448" spans="7:31" x14ac:dyDescent="0.35">
      <c r="G448" s="85"/>
      <c r="H448" s="87"/>
      <c r="I448" s="94">
        <v>14</v>
      </c>
      <c r="J448" s="93">
        <v>45328</v>
      </c>
      <c r="K448" s="87" t="s">
        <v>2643</v>
      </c>
      <c r="L448" s="87">
        <v>10.07</v>
      </c>
      <c r="M448" s="94"/>
      <c r="N448" s="93"/>
      <c r="O448" s="85"/>
      <c r="Q448" s="94"/>
      <c r="R448" s="93"/>
      <c r="S448" s="85"/>
      <c r="U448" s="94"/>
      <c r="V448" s="93"/>
      <c r="W448" s="85"/>
      <c r="Y448" s="94"/>
      <c r="Z448" s="93"/>
      <c r="AA448" s="85"/>
      <c r="AC448" s="94"/>
      <c r="AD448" s="93"/>
      <c r="AE448" s="85"/>
    </row>
    <row r="449" spans="7:31" x14ac:dyDescent="0.35">
      <c r="G449" s="85"/>
      <c r="H449" s="87"/>
      <c r="I449" s="94">
        <v>8</v>
      </c>
      <c r="J449" s="93">
        <v>45334</v>
      </c>
      <c r="K449" s="87" t="s">
        <v>1579</v>
      </c>
      <c r="L449" s="87">
        <v>19.7</v>
      </c>
      <c r="M449" s="94"/>
      <c r="N449" s="93"/>
      <c r="O449" s="85"/>
      <c r="Q449" s="94"/>
      <c r="R449" s="93"/>
      <c r="S449" s="85"/>
      <c r="U449" s="94"/>
      <c r="V449" s="93"/>
      <c r="W449" s="85"/>
      <c r="Y449" s="94"/>
      <c r="Z449" s="93"/>
      <c r="AA449" s="85"/>
      <c r="AC449" s="94"/>
      <c r="AD449" s="93"/>
      <c r="AE449" s="85"/>
    </row>
    <row r="450" spans="7:31" x14ac:dyDescent="0.35">
      <c r="G450" s="85"/>
      <c r="H450" s="87"/>
      <c r="I450" s="94">
        <v>14</v>
      </c>
      <c r="J450" s="93">
        <v>45344</v>
      </c>
      <c r="K450" s="87" t="s">
        <v>2644</v>
      </c>
      <c r="L450" s="87">
        <v>23.14</v>
      </c>
      <c r="M450" s="94"/>
      <c r="N450" s="93"/>
      <c r="O450" s="85"/>
      <c r="Q450" s="94"/>
      <c r="R450" s="93"/>
      <c r="S450" s="85"/>
      <c r="U450" s="94"/>
      <c r="V450" s="93"/>
      <c r="W450" s="85"/>
      <c r="Y450" s="94"/>
      <c r="Z450" s="93"/>
      <c r="AA450" s="85"/>
      <c r="AC450" s="94"/>
      <c r="AD450" s="93"/>
      <c r="AE450" s="85"/>
    </row>
    <row r="451" spans="7:31" x14ac:dyDescent="0.35">
      <c r="G451" s="85"/>
      <c r="H451" s="87"/>
      <c r="I451" s="94">
        <v>18</v>
      </c>
      <c r="J451" s="93">
        <v>45347</v>
      </c>
      <c r="K451" s="87" t="s">
        <v>2645</v>
      </c>
      <c r="L451" s="87">
        <v>229.92</v>
      </c>
      <c r="M451" s="94"/>
      <c r="N451" s="93"/>
      <c r="O451" s="85"/>
      <c r="Q451" s="94"/>
      <c r="R451" s="93"/>
      <c r="S451" s="85"/>
      <c r="U451" s="94"/>
      <c r="V451" s="93"/>
      <c r="W451" s="85"/>
      <c r="Y451" s="94"/>
      <c r="Z451" s="93"/>
      <c r="AA451" s="85"/>
      <c r="AC451" s="94"/>
      <c r="AD451" s="93"/>
      <c r="AE451" s="85"/>
    </row>
    <row r="452" spans="7:31" x14ac:dyDescent="0.35">
      <c r="G452" s="85"/>
      <c r="H452" s="87"/>
      <c r="I452" s="94">
        <v>16</v>
      </c>
      <c r="J452" s="93">
        <v>45347</v>
      </c>
      <c r="K452" s="87" t="s">
        <v>1674</v>
      </c>
      <c r="L452" s="87">
        <v>16.420000000000002</v>
      </c>
      <c r="M452" s="94"/>
      <c r="N452" s="93"/>
      <c r="O452" s="85"/>
      <c r="Q452" s="94"/>
      <c r="R452" s="93"/>
      <c r="S452" s="85"/>
      <c r="U452" s="94"/>
      <c r="V452" s="93"/>
      <c r="W452" s="85"/>
      <c r="Y452" s="94"/>
      <c r="Z452" s="93"/>
      <c r="AA452" s="85"/>
      <c r="AC452" s="94"/>
      <c r="AD452" s="93"/>
      <c r="AE452" s="85"/>
    </row>
    <row r="453" spans="7:31" x14ac:dyDescent="0.35">
      <c r="G453" s="85"/>
      <c r="H453" s="87"/>
      <c r="I453" s="94">
        <v>8</v>
      </c>
      <c r="J453" s="93">
        <v>45348</v>
      </c>
      <c r="K453" s="87" t="s">
        <v>1579</v>
      </c>
      <c r="L453" s="87">
        <v>6</v>
      </c>
      <c r="M453" s="94"/>
      <c r="N453" s="93"/>
      <c r="O453" s="85"/>
      <c r="Q453" s="94"/>
      <c r="R453" s="93"/>
      <c r="S453" s="85"/>
      <c r="U453" s="94"/>
      <c r="V453" s="93"/>
      <c r="W453" s="85"/>
      <c r="Y453" s="94"/>
      <c r="Z453" s="93"/>
      <c r="AA453" s="85"/>
      <c r="AC453" s="94"/>
      <c r="AD453" s="93"/>
      <c r="AE453" s="85"/>
    </row>
    <row r="454" spans="7:31" x14ac:dyDescent="0.35">
      <c r="G454" s="85"/>
      <c r="H454" s="87"/>
      <c r="I454" s="94">
        <v>8</v>
      </c>
      <c r="J454" s="93">
        <v>45348</v>
      </c>
      <c r="K454" s="87" t="s">
        <v>1579</v>
      </c>
      <c r="L454" s="87">
        <v>3.35</v>
      </c>
      <c r="M454" s="94"/>
      <c r="N454" s="93"/>
      <c r="O454" s="85"/>
      <c r="Q454" s="94"/>
      <c r="R454" s="93"/>
      <c r="S454" s="85"/>
      <c r="U454" s="94"/>
      <c r="V454" s="93"/>
      <c r="W454" s="85"/>
      <c r="Y454" s="94"/>
      <c r="Z454" s="93"/>
      <c r="AA454" s="85"/>
      <c r="AC454" s="94"/>
      <c r="AD454" s="93"/>
      <c r="AE454" s="85"/>
    </row>
    <row r="455" spans="7:31" x14ac:dyDescent="0.35">
      <c r="G455" s="85"/>
      <c r="H455" s="87"/>
      <c r="I455" s="94">
        <v>14</v>
      </c>
      <c r="J455" s="93">
        <v>45349</v>
      </c>
      <c r="K455" s="87" t="s">
        <v>2647</v>
      </c>
      <c r="L455" s="87">
        <v>27.48</v>
      </c>
      <c r="M455" s="94"/>
      <c r="N455" s="93"/>
      <c r="O455" s="85"/>
      <c r="Q455" s="94"/>
      <c r="R455" s="93"/>
      <c r="S455" s="85"/>
      <c r="U455" s="94"/>
      <c r="V455" s="93"/>
      <c r="W455" s="85"/>
      <c r="Y455" s="94"/>
      <c r="Z455" s="93"/>
      <c r="AA455" s="85"/>
      <c r="AC455" s="94"/>
      <c r="AD455" s="93"/>
      <c r="AE455" s="85"/>
    </row>
    <row r="456" spans="7:31" x14ac:dyDescent="0.35">
      <c r="G456" s="85"/>
      <c r="H456" s="87"/>
      <c r="I456" s="94">
        <v>8</v>
      </c>
      <c r="J456" s="93">
        <v>45351</v>
      </c>
      <c r="K456" s="87" t="s">
        <v>1579</v>
      </c>
      <c r="L456" s="87">
        <v>15</v>
      </c>
      <c r="M456" s="94"/>
      <c r="N456" s="93"/>
      <c r="O456" s="85"/>
      <c r="Q456" s="94"/>
      <c r="R456" s="93"/>
      <c r="S456" s="85"/>
      <c r="U456" s="94"/>
      <c r="V456" s="93"/>
      <c r="W456" s="85"/>
      <c r="Y456" s="94"/>
      <c r="Z456" s="93"/>
      <c r="AA456" s="85"/>
      <c r="AC456" s="94"/>
      <c r="AD456" s="93"/>
      <c r="AE456" s="85"/>
    </row>
    <row r="457" spans="7:31" x14ac:dyDescent="0.35">
      <c r="G457" s="85"/>
      <c r="H457" s="87"/>
      <c r="I457" s="94">
        <v>8</v>
      </c>
      <c r="J457" s="93">
        <v>45351</v>
      </c>
      <c r="K457" s="87" t="s">
        <v>2617</v>
      </c>
      <c r="L457" s="87">
        <v>3.27</v>
      </c>
      <c r="M457" s="94"/>
      <c r="N457" s="93"/>
      <c r="O457" s="85"/>
      <c r="Q457" s="94"/>
      <c r="R457" s="93"/>
      <c r="S457" s="85"/>
      <c r="U457" s="94"/>
      <c r="V457" s="93"/>
      <c r="W457" s="85"/>
      <c r="Y457" s="94"/>
      <c r="Z457" s="93"/>
      <c r="AA457" s="85"/>
      <c r="AC457" s="94"/>
      <c r="AD457" s="93"/>
      <c r="AE457" s="85"/>
    </row>
    <row r="458" spans="7:31" x14ac:dyDescent="0.35">
      <c r="G458" s="85"/>
      <c r="H458" s="87"/>
      <c r="I458" s="94">
        <v>16</v>
      </c>
      <c r="J458" s="93">
        <v>45336</v>
      </c>
      <c r="K458" s="87" t="s">
        <v>1674</v>
      </c>
      <c r="L458" s="87">
        <v>9.4700000000000006</v>
      </c>
      <c r="M458" s="94"/>
      <c r="N458" s="93"/>
      <c r="O458" s="85"/>
      <c r="Q458" s="94"/>
      <c r="R458" s="93"/>
      <c r="S458" s="85"/>
      <c r="U458" s="94"/>
      <c r="V458" s="93"/>
      <c r="W458" s="85"/>
      <c r="Y458" s="94"/>
      <c r="Z458" s="93"/>
      <c r="AA458" s="85"/>
      <c r="AC458" s="94"/>
      <c r="AD458" s="93"/>
      <c r="AE458" s="85"/>
    </row>
    <row r="459" spans="7:31" x14ac:dyDescent="0.35">
      <c r="G459" s="85"/>
      <c r="H459" s="87"/>
      <c r="I459" s="94">
        <v>18</v>
      </c>
      <c r="J459" s="93">
        <v>45337</v>
      </c>
      <c r="K459" s="87" t="s">
        <v>2650</v>
      </c>
      <c r="L459" s="87">
        <v>6.18</v>
      </c>
      <c r="M459" s="94"/>
      <c r="N459" s="93"/>
      <c r="O459" s="85"/>
      <c r="Q459" s="94"/>
      <c r="R459" s="93"/>
      <c r="S459" s="85"/>
      <c r="U459" s="94"/>
      <c r="V459" s="93"/>
      <c r="W459" s="85"/>
      <c r="Y459" s="94"/>
      <c r="Z459" s="93"/>
      <c r="AA459" s="85"/>
      <c r="AC459" s="94"/>
      <c r="AD459" s="93"/>
      <c r="AE459" s="85"/>
    </row>
    <row r="460" spans="7:31" x14ac:dyDescent="0.35">
      <c r="G460" s="85"/>
      <c r="H460" s="87"/>
      <c r="I460" s="94">
        <v>8</v>
      </c>
      <c r="J460" s="93">
        <v>45345</v>
      </c>
      <c r="K460" s="87" t="s">
        <v>1512</v>
      </c>
      <c r="L460" s="87">
        <v>44.99</v>
      </c>
      <c r="M460" s="94"/>
      <c r="N460" s="93"/>
      <c r="O460" s="85"/>
      <c r="Q460" s="94"/>
      <c r="R460" s="93"/>
      <c r="S460" s="85"/>
      <c r="U460" s="94"/>
      <c r="V460" s="93"/>
      <c r="W460" s="85"/>
      <c r="Y460" s="94"/>
      <c r="Z460" s="93"/>
      <c r="AA460" s="85"/>
      <c r="AC460" s="94"/>
      <c r="AD460" s="93"/>
      <c r="AE460" s="85"/>
    </row>
    <row r="461" spans="7:31" x14ac:dyDescent="0.35">
      <c r="G461" s="85"/>
      <c r="H461" s="87"/>
      <c r="I461" s="94">
        <v>18</v>
      </c>
      <c r="J461" s="93">
        <v>45349</v>
      </c>
      <c r="K461" s="87" t="s">
        <v>2653</v>
      </c>
      <c r="L461" s="87">
        <v>25</v>
      </c>
      <c r="M461" s="94"/>
      <c r="N461" s="93"/>
      <c r="O461" s="85"/>
      <c r="Q461" s="94"/>
      <c r="R461" s="93"/>
      <c r="S461" s="85"/>
      <c r="U461" s="94"/>
      <c r="V461" s="93"/>
      <c r="W461" s="85"/>
      <c r="Y461" s="94"/>
      <c r="Z461" s="93"/>
      <c r="AA461" s="85"/>
      <c r="AC461" s="94"/>
      <c r="AD461" s="93"/>
      <c r="AE461" s="85"/>
    </row>
    <row r="462" spans="7:31" x14ac:dyDescent="0.35">
      <c r="G462" s="85"/>
      <c r="H462" s="87"/>
      <c r="I462" s="94">
        <v>14</v>
      </c>
      <c r="J462" s="93">
        <v>45349</v>
      </c>
      <c r="K462" s="87" t="s">
        <v>2654</v>
      </c>
      <c r="L462" s="87">
        <v>21.64</v>
      </c>
      <c r="M462" s="94"/>
      <c r="N462" s="93"/>
      <c r="O462" s="85"/>
      <c r="Q462" s="94"/>
      <c r="R462" s="93"/>
      <c r="S462" s="85"/>
      <c r="U462" s="94"/>
      <c r="V462" s="93"/>
      <c r="W462" s="85"/>
      <c r="Y462" s="94"/>
      <c r="Z462" s="93"/>
      <c r="AA462" s="85"/>
      <c r="AC462" s="94"/>
      <c r="AD462" s="93"/>
      <c r="AE462" s="85"/>
    </row>
    <row r="463" spans="7:31" x14ac:dyDescent="0.35">
      <c r="G463" s="85"/>
      <c r="H463" s="87"/>
      <c r="I463" s="94">
        <v>8</v>
      </c>
      <c r="J463" s="93">
        <v>45373</v>
      </c>
      <c r="K463" s="87" t="s">
        <v>1558</v>
      </c>
      <c r="L463" s="87">
        <v>4</v>
      </c>
      <c r="M463" s="94"/>
      <c r="N463" s="93"/>
      <c r="O463" s="85"/>
      <c r="Q463" s="94"/>
      <c r="R463" s="93"/>
      <c r="S463" s="85"/>
      <c r="U463" s="94"/>
      <c r="V463" s="93"/>
      <c r="W463" s="85"/>
      <c r="Y463" s="94"/>
      <c r="Z463" s="93"/>
      <c r="AA463" s="85"/>
      <c r="AC463" s="94"/>
      <c r="AD463" s="93"/>
      <c r="AE463" s="85"/>
    </row>
    <row r="464" spans="7:31" x14ac:dyDescent="0.35">
      <c r="G464" s="85"/>
      <c r="H464" s="87"/>
      <c r="I464" s="94">
        <v>18</v>
      </c>
      <c r="J464" s="93">
        <v>45359</v>
      </c>
      <c r="K464" s="87" t="s">
        <v>2675</v>
      </c>
      <c r="L464" s="87">
        <v>1347.71</v>
      </c>
      <c r="M464" s="94"/>
      <c r="N464" s="93"/>
      <c r="O464" s="85"/>
      <c r="Q464" s="94"/>
      <c r="R464" s="93"/>
      <c r="S464" s="85"/>
      <c r="U464" s="94"/>
      <c r="V464" s="93"/>
      <c r="W464" s="85"/>
      <c r="Y464" s="94"/>
      <c r="Z464" s="93"/>
      <c r="AA464" s="85"/>
      <c r="AC464" s="94"/>
      <c r="AD464" s="93"/>
      <c r="AE464" s="85"/>
    </row>
    <row r="465" spans="7:31" x14ac:dyDescent="0.35">
      <c r="G465" s="85"/>
      <c r="H465" s="87"/>
      <c r="I465" s="94">
        <v>18</v>
      </c>
      <c r="J465" s="93">
        <v>45359</v>
      </c>
      <c r="K465" s="87" t="s">
        <v>2676</v>
      </c>
      <c r="L465" s="87">
        <v>1988.78</v>
      </c>
      <c r="M465" s="94"/>
      <c r="N465" s="93"/>
      <c r="O465" s="85"/>
      <c r="Q465" s="94"/>
      <c r="R465" s="93"/>
      <c r="S465" s="85"/>
      <c r="U465" s="94"/>
      <c r="V465" s="93"/>
      <c r="W465" s="85"/>
      <c r="Y465" s="94"/>
      <c r="Z465" s="93"/>
      <c r="AA465" s="85"/>
      <c r="AC465" s="94"/>
      <c r="AD465" s="93"/>
      <c r="AE465" s="85"/>
    </row>
    <row r="466" spans="7:31" x14ac:dyDescent="0.35">
      <c r="G466" s="85"/>
      <c r="H466" s="87"/>
      <c r="I466" s="94">
        <v>9</v>
      </c>
      <c r="J466" s="93">
        <v>45331</v>
      </c>
      <c r="K466" s="87" t="s">
        <v>2695</v>
      </c>
      <c r="L466" s="87">
        <v>912</v>
      </c>
      <c r="M466" s="94"/>
      <c r="N466" s="93"/>
      <c r="O466" s="85"/>
      <c r="Q466" s="94"/>
      <c r="R466" s="93"/>
      <c r="S466" s="85"/>
      <c r="U466" s="94"/>
      <c r="V466" s="93"/>
      <c r="W466" s="85"/>
      <c r="Y466" s="94"/>
      <c r="Z466" s="93"/>
      <c r="AA466" s="85"/>
      <c r="AC466" s="94"/>
      <c r="AD466" s="93"/>
      <c r="AE466" s="85"/>
    </row>
    <row r="467" spans="7:31" x14ac:dyDescent="0.35">
      <c r="G467" s="85"/>
      <c r="H467" s="87"/>
      <c r="I467" s="94">
        <v>9</v>
      </c>
      <c r="J467" s="93">
        <v>45360</v>
      </c>
      <c r="K467" s="87" t="s">
        <v>2696</v>
      </c>
      <c r="L467" s="87">
        <v>920</v>
      </c>
      <c r="M467" s="94"/>
      <c r="N467" s="93"/>
      <c r="O467" s="85"/>
      <c r="Q467" s="94"/>
      <c r="R467" s="93"/>
      <c r="S467" s="85"/>
      <c r="U467" s="94"/>
      <c r="V467" s="93"/>
      <c r="W467" s="85"/>
      <c r="Y467" s="94"/>
      <c r="Z467" s="93"/>
      <c r="AA467" s="85"/>
      <c r="AC467" s="94"/>
      <c r="AD467" s="93"/>
      <c r="AE467" s="85"/>
    </row>
    <row r="468" spans="7:31" x14ac:dyDescent="0.35">
      <c r="G468" s="85"/>
      <c r="H468" s="87"/>
      <c r="I468" s="94">
        <v>13</v>
      </c>
      <c r="J468" s="93">
        <v>45310</v>
      </c>
      <c r="K468" s="87" t="s">
        <v>2705</v>
      </c>
      <c r="L468" s="87">
        <v>1083.6600000000001</v>
      </c>
      <c r="M468" s="94"/>
      <c r="N468" s="93"/>
      <c r="O468" s="85"/>
      <c r="Q468" s="94"/>
      <c r="R468" s="93"/>
      <c r="S468" s="85"/>
      <c r="U468" s="94"/>
      <c r="V468" s="93"/>
      <c r="W468" s="85"/>
      <c r="Y468" s="94"/>
      <c r="Z468" s="93"/>
      <c r="AA468" s="85"/>
      <c r="AC468" s="94"/>
      <c r="AD468" s="93"/>
      <c r="AE468" s="85"/>
    </row>
    <row r="469" spans="7:31" x14ac:dyDescent="0.35">
      <c r="G469" s="85"/>
      <c r="H469" s="87"/>
      <c r="I469" s="94">
        <v>13</v>
      </c>
      <c r="J469" s="93">
        <v>45323</v>
      </c>
      <c r="K469" s="87" t="s">
        <v>2706</v>
      </c>
      <c r="L469" s="87">
        <v>1708.33</v>
      </c>
      <c r="M469" s="94"/>
      <c r="N469" s="93"/>
      <c r="O469" s="85"/>
      <c r="Q469" s="94"/>
      <c r="R469" s="93"/>
      <c r="S469" s="85"/>
      <c r="U469" s="94"/>
      <c r="V469" s="93"/>
      <c r="W469" s="85"/>
      <c r="Y469" s="94"/>
      <c r="Z469" s="93"/>
      <c r="AA469" s="85"/>
      <c r="AC469" s="94"/>
      <c r="AD469" s="93"/>
      <c r="AE469" s="85"/>
    </row>
    <row r="470" spans="7:31" x14ac:dyDescent="0.35">
      <c r="G470" s="85"/>
      <c r="H470" s="87"/>
      <c r="I470" s="94">
        <v>15</v>
      </c>
      <c r="J470" s="93">
        <v>45356</v>
      </c>
      <c r="K470" s="87" t="s">
        <v>2714</v>
      </c>
      <c r="L470" s="87">
        <v>1916.84</v>
      </c>
      <c r="M470" s="94"/>
      <c r="N470" s="93"/>
      <c r="O470" s="85"/>
      <c r="Q470" s="94"/>
      <c r="R470" s="93"/>
      <c r="S470" s="85"/>
      <c r="U470" s="94"/>
      <c r="V470" s="93"/>
      <c r="W470" s="85"/>
      <c r="Y470" s="94"/>
      <c r="Z470" s="93"/>
      <c r="AA470" s="85"/>
      <c r="AC470" s="94"/>
      <c r="AD470" s="93"/>
      <c r="AE470" s="85"/>
    </row>
    <row r="471" spans="7:31" x14ac:dyDescent="0.35">
      <c r="G471" s="85"/>
      <c r="H471" s="87"/>
      <c r="I471" s="94">
        <v>15</v>
      </c>
      <c r="J471" s="93">
        <v>45356</v>
      </c>
      <c r="K471" s="87" t="s">
        <v>2715</v>
      </c>
      <c r="L471" s="87">
        <v>1694.4</v>
      </c>
      <c r="M471" s="94"/>
      <c r="N471" s="93"/>
      <c r="O471" s="85"/>
      <c r="Q471" s="94"/>
      <c r="R471" s="93"/>
      <c r="S471" s="85"/>
      <c r="U471" s="94"/>
      <c r="V471" s="93"/>
      <c r="W471" s="85"/>
      <c r="Y471" s="94"/>
      <c r="Z471" s="93"/>
      <c r="AA471" s="85"/>
      <c r="AC471" s="94"/>
      <c r="AD471" s="93"/>
      <c r="AE471" s="85"/>
    </row>
    <row r="472" spans="7:31" x14ac:dyDescent="0.35">
      <c r="G472" s="85"/>
      <c r="H472" s="87"/>
      <c r="I472" s="94">
        <v>14</v>
      </c>
      <c r="J472" s="93">
        <v>45308</v>
      </c>
      <c r="K472" s="87" t="s">
        <v>2727</v>
      </c>
      <c r="L472" s="87">
        <v>22.81</v>
      </c>
      <c r="M472" s="94"/>
      <c r="N472" s="93"/>
      <c r="O472" s="85"/>
      <c r="Q472" s="94"/>
      <c r="R472" s="93"/>
      <c r="S472" s="85"/>
      <c r="U472" s="94"/>
      <c r="V472" s="93"/>
      <c r="W472" s="85"/>
      <c r="Y472" s="94"/>
      <c r="Z472" s="93"/>
      <c r="AA472" s="85"/>
      <c r="AC472" s="94"/>
      <c r="AD472" s="93"/>
      <c r="AE472" s="85"/>
    </row>
    <row r="473" spans="7:31" x14ac:dyDescent="0.35">
      <c r="G473" s="85"/>
      <c r="H473" s="87"/>
      <c r="I473" s="94">
        <v>14</v>
      </c>
      <c r="J473" s="93">
        <v>45313</v>
      </c>
      <c r="K473" s="87" t="s">
        <v>1607</v>
      </c>
      <c r="L473" s="87">
        <v>34.75</v>
      </c>
      <c r="M473" s="94"/>
      <c r="N473" s="93"/>
      <c r="O473" s="85"/>
      <c r="Q473" s="94"/>
      <c r="R473" s="93"/>
      <c r="S473" s="85"/>
      <c r="U473" s="94"/>
      <c r="V473" s="93"/>
      <c r="W473" s="85"/>
      <c r="Y473" s="94"/>
      <c r="Z473" s="93"/>
      <c r="AA473" s="85"/>
      <c r="AC473" s="94"/>
      <c r="AD473" s="93"/>
      <c r="AE473" s="85"/>
    </row>
    <row r="474" spans="7:31" x14ac:dyDescent="0.35">
      <c r="G474" s="85"/>
      <c r="H474" s="87"/>
      <c r="I474" s="94">
        <v>14</v>
      </c>
      <c r="J474" s="93">
        <v>45314</v>
      </c>
      <c r="K474" s="87" t="s">
        <v>1614</v>
      </c>
      <c r="L474" s="87">
        <v>5500</v>
      </c>
      <c r="M474" s="94"/>
      <c r="N474" s="93"/>
      <c r="O474" s="85"/>
      <c r="Q474" s="94"/>
      <c r="R474" s="93"/>
      <c r="S474" s="85"/>
      <c r="U474" s="94"/>
      <c r="V474" s="93"/>
      <c r="W474" s="85"/>
      <c r="Y474" s="94"/>
      <c r="Z474" s="93"/>
      <c r="AA474" s="85"/>
      <c r="AC474" s="94"/>
      <c r="AD474" s="93"/>
      <c r="AE474" s="85"/>
    </row>
    <row r="475" spans="7:31" x14ac:dyDescent="0.35">
      <c r="G475" s="85"/>
      <c r="H475" s="87"/>
      <c r="I475" s="94">
        <v>14</v>
      </c>
      <c r="J475" s="93">
        <v>45317</v>
      </c>
      <c r="K475" s="87" t="s">
        <v>2728</v>
      </c>
      <c r="L475" s="87">
        <v>1400</v>
      </c>
      <c r="M475" s="94"/>
      <c r="N475" s="93"/>
      <c r="O475" s="85"/>
      <c r="Q475" s="94"/>
      <c r="R475" s="93"/>
      <c r="S475" s="85"/>
      <c r="U475" s="94"/>
      <c r="V475" s="93"/>
      <c r="W475" s="85"/>
      <c r="Y475" s="94"/>
      <c r="Z475" s="93"/>
      <c r="AA475" s="85"/>
      <c r="AC475" s="94"/>
      <c r="AD475" s="93"/>
      <c r="AE475" s="85"/>
    </row>
    <row r="476" spans="7:31" x14ac:dyDescent="0.35">
      <c r="G476" s="85"/>
      <c r="H476" s="87"/>
      <c r="I476" s="94">
        <v>14</v>
      </c>
      <c r="J476" s="93">
        <v>45348</v>
      </c>
      <c r="K476" s="87" t="s">
        <v>2729</v>
      </c>
      <c r="L476" s="87">
        <v>34.86</v>
      </c>
      <c r="M476" s="94"/>
      <c r="N476" s="93"/>
      <c r="O476" s="85"/>
      <c r="Q476" s="94"/>
      <c r="R476" s="93"/>
      <c r="S476" s="85"/>
      <c r="U476" s="94"/>
      <c r="V476" s="93"/>
      <c r="W476" s="85"/>
      <c r="Y476" s="94"/>
      <c r="Z476" s="93"/>
      <c r="AA476" s="85"/>
      <c r="AC476" s="94"/>
      <c r="AD476" s="93"/>
      <c r="AE476" s="85"/>
    </row>
    <row r="477" spans="7:31" x14ac:dyDescent="0.35">
      <c r="G477" s="85"/>
      <c r="H477" s="87"/>
      <c r="I477" s="94">
        <v>14</v>
      </c>
      <c r="J477" s="93">
        <v>45355</v>
      </c>
      <c r="K477" s="87" t="s">
        <v>1484</v>
      </c>
      <c r="L477" s="87">
        <v>100</v>
      </c>
      <c r="M477" s="94"/>
      <c r="N477" s="93"/>
      <c r="O477" s="85"/>
      <c r="Q477" s="94"/>
      <c r="R477" s="93"/>
      <c r="S477" s="85"/>
      <c r="U477" s="94"/>
      <c r="V477" s="93"/>
      <c r="W477" s="85"/>
      <c r="Y477" s="94"/>
      <c r="Z477" s="93"/>
      <c r="AA477" s="85"/>
      <c r="AC477" s="94"/>
      <c r="AD477" s="93"/>
      <c r="AE477" s="85"/>
    </row>
    <row r="478" spans="7:31" x14ac:dyDescent="0.35">
      <c r="G478" s="85"/>
      <c r="H478" s="87"/>
      <c r="I478" s="94">
        <v>14</v>
      </c>
      <c r="J478" s="93">
        <v>45359</v>
      </c>
      <c r="K478" s="87" t="s">
        <v>1630</v>
      </c>
      <c r="L478" s="87">
        <v>33</v>
      </c>
      <c r="M478" s="94"/>
      <c r="N478" s="93"/>
      <c r="O478" s="85"/>
      <c r="Q478" s="94"/>
      <c r="R478" s="93"/>
      <c r="S478" s="85"/>
      <c r="U478" s="94"/>
      <c r="V478" s="93"/>
      <c r="W478" s="85"/>
      <c r="Y478" s="94"/>
      <c r="Z478" s="93"/>
      <c r="AA478" s="85"/>
      <c r="AC478" s="94"/>
      <c r="AD478" s="93"/>
      <c r="AE478" s="85"/>
    </row>
    <row r="479" spans="7:31" x14ac:dyDescent="0.35">
      <c r="G479" s="85"/>
      <c r="H479" s="87"/>
      <c r="I479" s="94">
        <v>14</v>
      </c>
      <c r="J479" s="93">
        <v>45369</v>
      </c>
      <c r="K479" s="87" t="s">
        <v>2557</v>
      </c>
      <c r="L479" s="87">
        <v>183.1</v>
      </c>
      <c r="M479" s="94"/>
      <c r="N479" s="93"/>
      <c r="O479" s="85"/>
      <c r="Q479" s="94"/>
      <c r="R479" s="93"/>
      <c r="S479" s="85"/>
      <c r="U479" s="94"/>
      <c r="V479" s="93"/>
      <c r="W479" s="85"/>
      <c r="Y479" s="94"/>
      <c r="Z479" s="93"/>
      <c r="AA479" s="85"/>
      <c r="AC479" s="94"/>
      <c r="AD479" s="93"/>
      <c r="AE479" s="85"/>
    </row>
    <row r="480" spans="7:31" x14ac:dyDescent="0.35">
      <c r="G480" s="85"/>
      <c r="H480" s="87"/>
      <c r="I480" s="94">
        <v>6</v>
      </c>
      <c r="J480" s="93">
        <v>45352</v>
      </c>
      <c r="K480" s="87" t="s">
        <v>2733</v>
      </c>
      <c r="L480" s="87">
        <v>903.75</v>
      </c>
      <c r="M480" s="94"/>
      <c r="N480" s="93"/>
      <c r="O480" s="85"/>
      <c r="Q480" s="94"/>
      <c r="R480" s="93"/>
      <c r="S480" s="85"/>
      <c r="U480" s="94"/>
      <c r="V480" s="93"/>
      <c r="W480" s="85"/>
      <c r="Y480" s="94"/>
      <c r="Z480" s="93"/>
      <c r="AA480" s="85"/>
      <c r="AC480" s="94"/>
      <c r="AD480" s="93"/>
      <c r="AE480" s="85"/>
    </row>
    <row r="481" spans="7:31" x14ac:dyDescent="0.35">
      <c r="G481" s="85"/>
      <c r="H481" s="87"/>
      <c r="I481" s="94">
        <v>18</v>
      </c>
      <c r="J481" s="93">
        <v>45377</v>
      </c>
      <c r="K481" s="87" t="s">
        <v>2736</v>
      </c>
      <c r="L481" s="87">
        <v>3408.89</v>
      </c>
      <c r="M481" s="94"/>
      <c r="N481" s="93"/>
      <c r="O481" s="85"/>
      <c r="Q481" s="94"/>
      <c r="R481" s="93"/>
      <c r="S481" s="85"/>
      <c r="U481" s="94"/>
      <c r="V481" s="93"/>
      <c r="W481" s="85"/>
      <c r="Y481" s="94"/>
      <c r="Z481" s="93"/>
      <c r="AA481" s="85"/>
      <c r="AC481" s="94"/>
      <c r="AD481" s="93"/>
      <c r="AE481" s="85"/>
    </row>
    <row r="482" spans="7:31" x14ac:dyDescent="0.35">
      <c r="G482" s="85"/>
      <c r="H482" s="87"/>
      <c r="I482" s="94">
        <v>18</v>
      </c>
      <c r="J482" s="93">
        <v>45377</v>
      </c>
      <c r="K482" s="87" t="s">
        <v>2737</v>
      </c>
      <c r="L482" s="87">
        <v>220</v>
      </c>
      <c r="M482" s="94"/>
      <c r="N482" s="93"/>
      <c r="O482" s="85"/>
      <c r="Q482" s="94"/>
      <c r="R482" s="93"/>
      <c r="S482" s="85"/>
      <c r="U482" s="94"/>
      <c r="V482" s="93"/>
      <c r="W482" s="85"/>
      <c r="Y482" s="94"/>
      <c r="Z482" s="93"/>
      <c r="AA482" s="85"/>
      <c r="AC482" s="94"/>
      <c r="AD482" s="93"/>
      <c r="AE482" s="85"/>
    </row>
    <row r="483" spans="7:31" x14ac:dyDescent="0.35">
      <c r="G483" s="85"/>
      <c r="H483" s="87"/>
      <c r="I483" s="94">
        <v>14</v>
      </c>
      <c r="J483" s="93">
        <v>45378</v>
      </c>
      <c r="K483" s="87" t="s">
        <v>2751</v>
      </c>
      <c r="L483" s="87">
        <v>12</v>
      </c>
      <c r="M483" s="94"/>
      <c r="N483" s="93"/>
      <c r="O483" s="85"/>
      <c r="Q483" s="94"/>
      <c r="R483" s="93"/>
      <c r="S483" s="85"/>
      <c r="U483" s="94"/>
      <c r="V483" s="93"/>
      <c r="W483" s="85"/>
      <c r="Y483" s="94"/>
      <c r="Z483" s="93"/>
      <c r="AA483" s="85"/>
      <c r="AC483" s="94"/>
      <c r="AD483" s="93"/>
      <c r="AE483" s="85"/>
    </row>
    <row r="484" spans="7:31" x14ac:dyDescent="0.35">
      <c r="G484" s="85"/>
      <c r="H484" s="87"/>
      <c r="I484" s="94">
        <v>20</v>
      </c>
      <c r="J484" s="93">
        <v>45369</v>
      </c>
      <c r="K484" s="87" t="s">
        <v>1584</v>
      </c>
      <c r="L484" s="87">
        <v>553.37</v>
      </c>
      <c r="M484" s="94"/>
      <c r="N484" s="93"/>
      <c r="O484" s="85"/>
      <c r="Q484" s="94"/>
      <c r="R484" s="93"/>
      <c r="S484" s="85"/>
      <c r="U484" s="94"/>
      <c r="V484" s="93"/>
      <c r="W484" s="85"/>
      <c r="Y484" s="94"/>
      <c r="Z484" s="93"/>
      <c r="AA484" s="85"/>
      <c r="AC484" s="94"/>
      <c r="AD484" s="93"/>
      <c r="AE484" s="85"/>
    </row>
    <row r="485" spans="7:31" x14ac:dyDescent="0.35">
      <c r="G485" s="85"/>
      <c r="H485" s="87"/>
      <c r="I485" s="94">
        <v>7</v>
      </c>
      <c r="J485" s="93">
        <v>45379</v>
      </c>
      <c r="K485" s="87" t="s">
        <v>1510</v>
      </c>
      <c r="L485" s="87">
        <v>23.31</v>
      </c>
      <c r="M485" s="94"/>
      <c r="N485" s="93"/>
      <c r="O485" s="85"/>
      <c r="Q485" s="94"/>
      <c r="R485" s="93"/>
      <c r="S485" s="85"/>
      <c r="U485" s="94"/>
      <c r="V485" s="93"/>
      <c r="W485" s="85"/>
      <c r="Y485" s="94"/>
      <c r="Z485" s="93"/>
      <c r="AA485" s="85"/>
      <c r="AC485" s="94"/>
      <c r="AD485" s="93"/>
      <c r="AE485" s="85"/>
    </row>
    <row r="486" spans="7:31" x14ac:dyDescent="0.35">
      <c r="G486" s="85"/>
      <c r="H486" s="87"/>
      <c r="I486" s="94">
        <v>7</v>
      </c>
      <c r="J486" s="93">
        <v>45379</v>
      </c>
      <c r="K486" s="87" t="s">
        <v>1465</v>
      </c>
      <c r="L486" s="87">
        <v>9.99</v>
      </c>
      <c r="M486" s="94"/>
      <c r="N486" s="93"/>
      <c r="O486" s="85"/>
      <c r="Q486" s="94"/>
      <c r="R486" s="93"/>
      <c r="S486" s="85"/>
      <c r="U486" s="94"/>
      <c r="V486" s="93"/>
      <c r="W486" s="85"/>
      <c r="Y486" s="94"/>
      <c r="Z486" s="93"/>
      <c r="AA486" s="85"/>
      <c r="AC486" s="94"/>
      <c r="AD486" s="93"/>
      <c r="AE486" s="85"/>
    </row>
    <row r="487" spans="7:31" x14ac:dyDescent="0.35">
      <c r="G487" s="85"/>
      <c r="H487" s="87"/>
      <c r="I487" s="94">
        <v>14</v>
      </c>
      <c r="J487" s="93">
        <v>45379</v>
      </c>
      <c r="K487" s="87" t="s">
        <v>2755</v>
      </c>
      <c r="L487" s="87">
        <v>358.29</v>
      </c>
      <c r="M487" s="94"/>
      <c r="N487" s="93"/>
      <c r="O487" s="85"/>
      <c r="Q487" s="94"/>
      <c r="R487" s="93"/>
      <c r="S487" s="85"/>
      <c r="U487" s="94"/>
      <c r="V487" s="93"/>
      <c r="W487" s="85"/>
      <c r="Y487" s="94"/>
      <c r="Z487" s="93"/>
      <c r="AA487" s="85"/>
      <c r="AC487" s="94"/>
      <c r="AD487" s="93"/>
      <c r="AE487" s="85"/>
    </row>
    <row r="488" spans="7:31" x14ac:dyDescent="0.35">
      <c r="G488" s="85"/>
      <c r="H488" s="87"/>
      <c r="I488" s="94">
        <v>18</v>
      </c>
      <c r="J488" s="93">
        <v>45379</v>
      </c>
      <c r="K488" s="87" t="s">
        <v>2757</v>
      </c>
      <c r="L488" s="87">
        <v>29.73</v>
      </c>
      <c r="M488" s="94"/>
      <c r="N488" s="93"/>
      <c r="O488" s="85"/>
      <c r="Q488" s="94"/>
      <c r="R488" s="93"/>
      <c r="S488" s="85"/>
      <c r="U488" s="94"/>
      <c r="V488" s="93"/>
      <c r="W488" s="85"/>
      <c r="Y488" s="94"/>
      <c r="Z488" s="93"/>
      <c r="AA488" s="85"/>
      <c r="AC488" s="94"/>
      <c r="AD488" s="93"/>
      <c r="AE488" s="85"/>
    </row>
    <row r="489" spans="7:31" x14ac:dyDescent="0.35">
      <c r="G489" s="85"/>
      <c r="H489" s="87"/>
      <c r="I489" s="94">
        <v>8</v>
      </c>
      <c r="J489" s="93">
        <v>45379</v>
      </c>
      <c r="K489" s="87" t="s">
        <v>1558</v>
      </c>
      <c r="L489" s="87">
        <v>15.81</v>
      </c>
      <c r="M489" s="94"/>
      <c r="N489" s="93"/>
      <c r="O489" s="85"/>
      <c r="Q489" s="94"/>
      <c r="R489" s="93"/>
      <c r="S489" s="85"/>
      <c r="U489" s="94"/>
      <c r="V489" s="93"/>
      <c r="W489" s="85"/>
      <c r="Y489" s="94"/>
      <c r="Z489" s="93"/>
      <c r="AA489" s="85"/>
      <c r="AC489" s="94"/>
      <c r="AD489" s="93"/>
      <c r="AE489" s="85"/>
    </row>
    <row r="490" spans="7:31" x14ac:dyDescent="0.35">
      <c r="G490" s="85"/>
      <c r="H490" s="87"/>
      <c r="I490" s="94">
        <v>16</v>
      </c>
      <c r="J490" s="93">
        <v>45379</v>
      </c>
      <c r="K490" s="87" t="s">
        <v>2758</v>
      </c>
      <c r="L490" s="87">
        <v>3</v>
      </c>
      <c r="M490" s="94"/>
      <c r="N490" s="93"/>
      <c r="O490" s="85"/>
      <c r="Q490" s="94"/>
      <c r="R490" s="93"/>
      <c r="S490" s="85"/>
      <c r="U490" s="94"/>
      <c r="V490" s="93"/>
      <c r="W490" s="85"/>
      <c r="Y490" s="94"/>
      <c r="Z490" s="93"/>
      <c r="AA490" s="85"/>
      <c r="AC490" s="94"/>
      <c r="AD490" s="93"/>
      <c r="AE490" s="85"/>
    </row>
    <row r="491" spans="7:31" x14ac:dyDescent="0.35">
      <c r="G491" s="85"/>
      <c r="H491" s="87"/>
      <c r="I491" s="94">
        <v>16</v>
      </c>
      <c r="J491" s="93">
        <v>45379</v>
      </c>
      <c r="K491" s="87" t="s">
        <v>2760</v>
      </c>
      <c r="L491" s="87">
        <v>1.25</v>
      </c>
      <c r="M491" s="94"/>
      <c r="N491" s="93"/>
      <c r="O491" s="85"/>
      <c r="Q491" s="94"/>
      <c r="R491" s="93"/>
      <c r="S491" s="85"/>
      <c r="U491" s="94"/>
      <c r="V491" s="93"/>
      <c r="W491" s="85"/>
      <c r="Y491" s="94"/>
      <c r="Z491" s="93"/>
      <c r="AA491" s="85"/>
      <c r="AC491" s="94"/>
      <c r="AD491" s="93"/>
      <c r="AE491" s="85"/>
    </row>
    <row r="492" spans="7:31" x14ac:dyDescent="0.35">
      <c r="G492" s="85"/>
      <c r="H492" s="87"/>
      <c r="I492" s="94">
        <v>16</v>
      </c>
      <c r="J492" s="93" t="s">
        <v>775</v>
      </c>
      <c r="K492" s="87" t="s">
        <v>2779</v>
      </c>
      <c r="L492" s="148">
        <v>160.52000000000001</v>
      </c>
      <c r="M492" s="94"/>
      <c r="N492" s="93"/>
      <c r="O492" s="85"/>
      <c r="Q492" s="94"/>
      <c r="R492" s="93"/>
      <c r="S492" s="85"/>
      <c r="U492" s="94"/>
      <c r="V492" s="93"/>
      <c r="W492" s="85"/>
      <c r="Y492" s="94"/>
      <c r="Z492" s="93"/>
      <c r="AA492" s="85"/>
      <c r="AC492" s="94"/>
      <c r="AD492" s="93"/>
      <c r="AE492" s="85"/>
    </row>
    <row r="493" spans="7:31" x14ac:dyDescent="0.35">
      <c r="G493" s="85"/>
      <c r="H493" s="87"/>
      <c r="I493" s="94">
        <v>14</v>
      </c>
      <c r="J493" s="93" t="s">
        <v>775</v>
      </c>
      <c r="K493" s="87" t="s">
        <v>2790</v>
      </c>
      <c r="L493" s="87">
        <v>1150</v>
      </c>
      <c r="M493" s="94"/>
      <c r="N493" s="93"/>
      <c r="O493" s="85"/>
      <c r="Q493" s="94"/>
      <c r="R493" s="93"/>
      <c r="S493" s="85"/>
      <c r="U493" s="94"/>
      <c r="V493" s="93"/>
      <c r="W493" s="85"/>
      <c r="Y493" s="94"/>
      <c r="Z493" s="93"/>
      <c r="AA493" s="85"/>
      <c r="AC493" s="94"/>
      <c r="AD493" s="93"/>
      <c r="AE493" s="85"/>
    </row>
    <row r="494" spans="7:31" x14ac:dyDescent="0.35">
      <c r="G494" s="85"/>
      <c r="H494" s="87"/>
      <c r="I494" s="94">
        <v>16</v>
      </c>
      <c r="J494" s="93" t="s">
        <v>775</v>
      </c>
      <c r="K494" s="87" t="s">
        <v>2791</v>
      </c>
      <c r="L494" s="148">
        <v>40.96</v>
      </c>
      <c r="M494" s="94"/>
      <c r="N494" s="93"/>
      <c r="O494" s="85"/>
      <c r="Q494" s="94"/>
      <c r="R494" s="93"/>
      <c r="S494" s="85"/>
      <c r="U494" s="94"/>
      <c r="V494" s="93"/>
      <c r="W494" s="85"/>
      <c r="Y494" s="94"/>
      <c r="Z494" s="93"/>
      <c r="AA494" s="85"/>
      <c r="AC494" s="94"/>
      <c r="AD494" s="93"/>
      <c r="AE494" s="85"/>
    </row>
    <row r="495" spans="7:31" x14ac:dyDescent="0.35">
      <c r="G495" s="85"/>
      <c r="H495" s="87"/>
      <c r="I495" s="94">
        <v>10</v>
      </c>
      <c r="J495" s="93" t="s">
        <v>775</v>
      </c>
      <c r="K495" s="87" t="s">
        <v>2792</v>
      </c>
      <c r="L495" s="148">
        <v>109.99</v>
      </c>
      <c r="M495" s="94"/>
      <c r="N495" s="93"/>
      <c r="O495" s="85"/>
      <c r="Q495" s="94"/>
      <c r="R495" s="93"/>
      <c r="S495" s="85"/>
      <c r="U495" s="94"/>
      <c r="V495" s="93"/>
      <c r="W495" s="85"/>
      <c r="Y495" s="94"/>
      <c r="Z495" s="93"/>
      <c r="AA495" s="85"/>
      <c r="AC495" s="94"/>
      <c r="AD495" s="93"/>
      <c r="AE495" s="85"/>
    </row>
    <row r="496" spans="7:31" x14ac:dyDescent="0.35">
      <c r="G496" s="85"/>
      <c r="H496" s="87"/>
      <c r="I496" s="94">
        <v>8</v>
      </c>
      <c r="J496" s="93" t="s">
        <v>775</v>
      </c>
      <c r="K496" s="87" t="s">
        <v>2793</v>
      </c>
      <c r="L496" s="148">
        <v>78.099999999999994</v>
      </c>
      <c r="M496" s="94"/>
      <c r="N496" s="93"/>
      <c r="O496" s="85"/>
      <c r="Q496" s="94"/>
      <c r="R496" s="93"/>
      <c r="S496" s="85"/>
      <c r="U496" s="94"/>
      <c r="V496" s="93"/>
      <c r="W496" s="85"/>
      <c r="Y496" s="94"/>
      <c r="Z496" s="93"/>
      <c r="AA496" s="85"/>
      <c r="AC496" s="94"/>
      <c r="AD496" s="93"/>
      <c r="AE496" s="85"/>
    </row>
    <row r="497" spans="7:31" x14ac:dyDescent="0.35">
      <c r="G497" s="85"/>
      <c r="H497" s="87"/>
      <c r="I497" s="94">
        <v>13</v>
      </c>
      <c r="J497" s="93">
        <v>45376</v>
      </c>
      <c r="K497" s="87" t="s">
        <v>2810</v>
      </c>
      <c r="L497" s="87">
        <v>553.57000000000005</v>
      </c>
      <c r="M497" s="94"/>
      <c r="N497" s="93"/>
      <c r="O497" s="85"/>
      <c r="Q497" s="94"/>
      <c r="R497" s="93"/>
      <c r="S497" s="85"/>
      <c r="U497" s="94"/>
      <c r="V497" s="93"/>
      <c r="W497" s="85"/>
      <c r="Y497" s="94"/>
      <c r="Z497" s="93"/>
      <c r="AA497" s="85"/>
      <c r="AC497" s="94"/>
      <c r="AD497" s="93"/>
      <c r="AE497" s="85"/>
    </row>
    <row r="498" spans="7:31" x14ac:dyDescent="0.35">
      <c r="G498" s="85"/>
      <c r="H498" s="87"/>
      <c r="I498" s="94">
        <v>13</v>
      </c>
      <c r="J498" s="93" t="s">
        <v>775</v>
      </c>
      <c r="K498" s="87" t="s">
        <v>2811</v>
      </c>
      <c r="L498" s="87">
        <f>L497*31/60</f>
        <v>286.01116666666672</v>
      </c>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M987" s="94"/>
      <c r="N987" s="93"/>
      <c r="O987" s="85"/>
      <c r="Q987" s="94"/>
      <c r="R987" s="93"/>
      <c r="S987" s="85"/>
      <c r="U987" s="94"/>
      <c r="V987" s="93"/>
      <c r="W987" s="85"/>
      <c r="Y987" s="94"/>
      <c r="Z987" s="93"/>
      <c r="AA987" s="85"/>
      <c r="AC987" s="94"/>
      <c r="AD987" s="93"/>
      <c r="AE987" s="85"/>
    </row>
    <row r="988" spans="7:31" x14ac:dyDescent="0.35">
      <c r="G988" s="85"/>
      <c r="H988" s="87"/>
      <c r="K988" s="85"/>
      <c r="M988" s="94"/>
      <c r="N988" s="93"/>
      <c r="O988" s="85"/>
      <c r="Q988" s="94"/>
      <c r="R988" s="93"/>
      <c r="S988" s="85"/>
      <c r="U988" s="94"/>
      <c r="V988" s="93"/>
      <c r="W988" s="85"/>
      <c r="Y988" s="94"/>
      <c r="Z988" s="93"/>
      <c r="AA988" s="85"/>
      <c r="AC988" s="94"/>
      <c r="AD988" s="93"/>
      <c r="AE988" s="85"/>
    </row>
    <row r="989" spans="7:31" x14ac:dyDescent="0.35">
      <c r="G989" s="85"/>
      <c r="H989" s="87"/>
      <c r="K989" s="85"/>
      <c r="M989" s="94"/>
      <c r="N989" s="93"/>
      <c r="O989" s="85"/>
      <c r="Q989" s="94"/>
      <c r="R989" s="93"/>
      <c r="S989" s="85"/>
      <c r="U989" s="94"/>
      <c r="V989" s="93"/>
      <c r="W989" s="85"/>
      <c r="Y989" s="94"/>
      <c r="Z989" s="93"/>
      <c r="AA989" s="85"/>
      <c r="AC989" s="94"/>
      <c r="AD989" s="93"/>
      <c r="AE989" s="85"/>
    </row>
    <row r="990" spans="7:31" x14ac:dyDescent="0.35">
      <c r="G990" s="85"/>
      <c r="H990" s="87"/>
      <c r="K990" s="85"/>
      <c r="M990" s="94"/>
      <c r="N990" s="93"/>
      <c r="O990" s="85"/>
      <c r="Q990" s="94"/>
      <c r="R990" s="93"/>
      <c r="S990" s="85"/>
      <c r="U990" s="94"/>
      <c r="V990" s="93"/>
      <c r="W990" s="85"/>
      <c r="Y990" s="94"/>
      <c r="Z990" s="93"/>
      <c r="AA990" s="85"/>
      <c r="AC990" s="94"/>
      <c r="AD990" s="93"/>
      <c r="AE990" s="85"/>
    </row>
    <row r="991" spans="7:31" x14ac:dyDescent="0.35">
      <c r="G991" s="85"/>
      <c r="H991" s="87"/>
      <c r="K991" s="85"/>
      <c r="M991" s="94"/>
      <c r="N991" s="93"/>
      <c r="O991" s="85"/>
      <c r="Q991" s="94"/>
      <c r="R991" s="93"/>
      <c r="S991" s="85"/>
      <c r="U991" s="94"/>
      <c r="V991" s="93"/>
      <c r="W991" s="85"/>
      <c r="Y991" s="94"/>
      <c r="Z991" s="93"/>
      <c r="AA991" s="85"/>
      <c r="AC991" s="94"/>
      <c r="AD991" s="93"/>
      <c r="AE991" s="85"/>
    </row>
    <row r="992" spans="7:31" x14ac:dyDescent="0.35">
      <c r="G992" s="85"/>
      <c r="H992" s="87"/>
      <c r="K992" s="85"/>
      <c r="M992" s="94"/>
      <c r="N992" s="93"/>
      <c r="O992" s="85"/>
      <c r="Q992" s="94"/>
      <c r="R992" s="93"/>
      <c r="S992" s="85"/>
      <c r="U992" s="94"/>
      <c r="V992" s="93"/>
      <c r="W992" s="85"/>
      <c r="Y992" s="94"/>
      <c r="Z992" s="93"/>
      <c r="AA992" s="85"/>
      <c r="AC992" s="94"/>
      <c r="AD992" s="93"/>
      <c r="AE992" s="85"/>
    </row>
    <row r="993" spans="7:31" x14ac:dyDescent="0.35">
      <c r="G993" s="85"/>
      <c r="H993" s="87"/>
      <c r="K993" s="85"/>
      <c r="M993" s="94"/>
      <c r="N993" s="93"/>
      <c r="O993" s="85"/>
      <c r="Q993" s="94"/>
      <c r="R993" s="93"/>
      <c r="S993" s="85"/>
      <c r="U993" s="94"/>
      <c r="V993" s="93"/>
      <c r="W993" s="85"/>
      <c r="Y993" s="94"/>
      <c r="Z993" s="93"/>
      <c r="AA993" s="85"/>
      <c r="AC993" s="94"/>
      <c r="AD993" s="93"/>
      <c r="AE993" s="85"/>
    </row>
    <row r="994" spans="7:31" x14ac:dyDescent="0.35">
      <c r="G994" s="85"/>
      <c r="H994" s="87"/>
      <c r="K994" s="85"/>
      <c r="M994" s="94"/>
      <c r="N994" s="93"/>
      <c r="O994" s="85"/>
      <c r="Q994" s="94"/>
      <c r="R994" s="93"/>
      <c r="S994" s="85"/>
      <c r="U994" s="94"/>
      <c r="V994" s="93"/>
      <c r="W994" s="85"/>
      <c r="Y994" s="94"/>
      <c r="Z994" s="93"/>
      <c r="AA994" s="85"/>
      <c r="AC994" s="94"/>
      <c r="AD994" s="93"/>
      <c r="AE994" s="85"/>
    </row>
    <row r="995" spans="7:31" x14ac:dyDescent="0.35">
      <c r="G995" s="85"/>
      <c r="H995" s="87"/>
      <c r="K995" s="85"/>
      <c r="M995" s="94"/>
      <c r="N995" s="93"/>
      <c r="O995" s="85"/>
      <c r="Q995" s="94"/>
      <c r="R995" s="93"/>
      <c r="S995" s="85"/>
      <c r="U995" s="94"/>
      <c r="V995" s="93"/>
      <c r="W995" s="85"/>
      <c r="Y995" s="94"/>
      <c r="Z995" s="93"/>
      <c r="AA995" s="85"/>
      <c r="AC995" s="94"/>
      <c r="AD995" s="93"/>
      <c r="AE995" s="85"/>
    </row>
    <row r="996" spans="7:31" x14ac:dyDescent="0.35">
      <c r="G996" s="85"/>
      <c r="H996" s="87"/>
      <c r="K996" s="85"/>
      <c r="M996" s="94"/>
      <c r="N996" s="93"/>
      <c r="O996" s="85"/>
      <c r="Q996" s="94"/>
      <c r="R996" s="93"/>
      <c r="S996" s="85"/>
      <c r="U996" s="94"/>
      <c r="V996" s="93"/>
      <c r="W996" s="85"/>
      <c r="Y996" s="94"/>
      <c r="Z996" s="93"/>
      <c r="AA996" s="85"/>
      <c r="AC996" s="94"/>
      <c r="AD996" s="93"/>
      <c r="AE996" s="85"/>
    </row>
    <row r="997" spans="7:31" x14ac:dyDescent="0.35">
      <c r="G997" s="85"/>
      <c r="H997" s="87"/>
      <c r="K997" s="85"/>
      <c r="M997" s="94"/>
      <c r="N997" s="93"/>
      <c r="O997" s="85"/>
      <c r="Q997" s="94"/>
      <c r="R997" s="93"/>
      <c r="S997" s="85"/>
      <c r="U997" s="94"/>
      <c r="V997" s="93"/>
      <c r="W997" s="85"/>
      <c r="Y997" s="94"/>
      <c r="Z997" s="93"/>
      <c r="AA997" s="85"/>
      <c r="AC997" s="94"/>
      <c r="AD997" s="93"/>
      <c r="AE997" s="85"/>
    </row>
    <row r="998" spans="7:31" x14ac:dyDescent="0.35">
      <c r="G998" s="85"/>
      <c r="H998" s="87"/>
      <c r="K998" s="85"/>
      <c r="M998" s="94"/>
      <c r="N998" s="93"/>
      <c r="O998" s="85"/>
      <c r="Q998" s="94"/>
      <c r="R998" s="93"/>
      <c r="S998" s="85"/>
      <c r="U998" s="94"/>
      <c r="V998" s="93"/>
      <c r="W998" s="85"/>
      <c r="Y998" s="94"/>
      <c r="Z998" s="93"/>
      <c r="AA998" s="85"/>
      <c r="AC998" s="94"/>
      <c r="AD998" s="93"/>
      <c r="AE998" s="85"/>
    </row>
    <row r="999" spans="7:31" x14ac:dyDescent="0.35">
      <c r="G999" s="85"/>
      <c r="H999" s="87"/>
      <c r="K999" s="85"/>
      <c r="M999" s="94"/>
      <c r="N999" s="93"/>
      <c r="O999" s="85"/>
      <c r="Q999" s="94"/>
      <c r="R999" s="93"/>
      <c r="S999" s="85"/>
      <c r="U999" s="94"/>
      <c r="V999" s="93"/>
      <c r="W999" s="85"/>
      <c r="Y999" s="94"/>
      <c r="Z999" s="93"/>
      <c r="AA999" s="85"/>
      <c r="AC999" s="94"/>
      <c r="AD999" s="93"/>
      <c r="AE999" s="85"/>
    </row>
    <row r="1000" spans="7:31" x14ac:dyDescent="0.35">
      <c r="K1000" s="85"/>
      <c r="M1000" s="94"/>
      <c r="N1000" s="93"/>
      <c r="O1000" s="85"/>
    </row>
    <row r="1001" spans="7:31" x14ac:dyDescent="0.35">
      <c r="K1001" s="85"/>
      <c r="M1001" s="94"/>
      <c r="N1001" s="93"/>
      <c r="O1001" s="85"/>
    </row>
    <row r="1002" spans="7:31" x14ac:dyDescent="0.35">
      <c r="K1002" s="85"/>
    </row>
    <row r="1003" spans="7:31" x14ac:dyDescent="0.35">
      <c r="K1003" s="85"/>
    </row>
    <row r="1004" spans="7:31" x14ac:dyDescent="0.35">
      <c r="K1004" s="85"/>
    </row>
    <row r="1005" spans="7:31" x14ac:dyDescent="0.35">
      <c r="K1005" s="85"/>
    </row>
    <row r="1006" spans="7:31" x14ac:dyDescent="0.35">
      <c r="K1006" s="85"/>
    </row>
    <row r="1007" spans="7:31" x14ac:dyDescent="0.35">
      <c r="K1007" s="85"/>
    </row>
    <row r="1008" spans="7:31" x14ac:dyDescent="0.35">
      <c r="K1008" s="85"/>
    </row>
    <row r="1009" spans="11:11" x14ac:dyDescent="0.35">
      <c r="K1009" s="85"/>
    </row>
    <row r="1010" spans="11:11" x14ac:dyDescent="0.35">
      <c r="K1010" s="85"/>
    </row>
    <row r="1011" spans="11:11" x14ac:dyDescent="0.35">
      <c r="K1011" s="85"/>
    </row>
    <row r="1012" spans="11:11" x14ac:dyDescent="0.35">
      <c r="K1012" s="85"/>
    </row>
  </sheetData>
  <autoFilter ref="E27:M467" xr:uid="{00000000-0001-0000-2500-000000000000}"/>
  <conditionalFormatting sqref="A1:AG30 A31:L1048576 Q31:AG1048576 M31:P32">
    <cfRule type="expression" dxfId="24" priority="1">
      <formula>$A4="Spend to Date"</formula>
    </cfRule>
  </conditionalFormatting>
  <conditionalFormatting sqref="M33:P39">
    <cfRule type="expression" dxfId="23" priority="58">
      <formula>$A34="Spend to Date"</formula>
    </cfRule>
  </conditionalFormatting>
  <conditionalFormatting sqref="M45:P1048576">
    <cfRule type="expression" dxfId="22" priority="78">
      <formula>$A44="Spend to Date"</formula>
    </cfRule>
  </conditionalFormatting>
  <conditionalFormatting sqref="M40:P44">
    <cfRule type="expression" dxfId="21" priority="86">
      <formula>$A40="Spend to Date"</formula>
    </cfRule>
  </conditionalFormatting>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AF15"/>
  <sheetViews>
    <sheetView zoomScale="88" zoomScaleNormal="110" workbookViewId="0">
      <pane xSplit="1" ySplit="2" topLeftCell="I3" activePane="bottomRight" state="frozen"/>
      <selection activeCell="K13" sqref="K13"/>
      <selection pane="topRight" activeCell="K13" sqref="K13"/>
      <selection pane="bottomLeft" activeCell="K13" sqref="K13"/>
      <selection pane="bottomRight" activeCell="N6" sqref="N6"/>
    </sheetView>
  </sheetViews>
  <sheetFormatPr defaultColWidth="13.453125" defaultRowHeight="14.5" x14ac:dyDescent="0.35"/>
  <cols>
    <col min="1" max="1" width="46.54296875" style="1" bestFit="1" customWidth="1"/>
    <col min="2" max="2" width="23.54296875" style="1" bestFit="1" customWidth="1"/>
    <col min="3" max="3" width="13.453125" style="1"/>
    <col min="4" max="9" width="13.453125" style="1" customWidth="1"/>
    <col min="10" max="12" width="13.453125" style="1"/>
    <col min="13" max="33" width="13.453125" style="1" customWidth="1"/>
    <col min="34" max="16384" width="13.453125" style="1"/>
  </cols>
  <sheetData>
    <row r="1" spans="1:32" s="2" customFormat="1" ht="15.5" x14ac:dyDescent="0.35">
      <c r="A1" s="4" t="s">
        <v>345</v>
      </c>
      <c r="B1" s="4" t="s">
        <v>346</v>
      </c>
      <c r="C1" s="4" t="s">
        <v>347</v>
      </c>
      <c r="D1" s="159" t="s">
        <v>348</v>
      </c>
      <c r="E1" s="159"/>
      <c r="F1" s="159"/>
      <c r="G1" s="159" t="s">
        <v>349</v>
      </c>
      <c r="H1" s="159"/>
      <c r="I1" s="159"/>
      <c r="J1" s="159" t="s">
        <v>350</v>
      </c>
      <c r="K1" s="159"/>
      <c r="L1" s="159"/>
      <c r="M1" s="159" t="s">
        <v>351</v>
      </c>
      <c r="N1" s="159"/>
      <c r="O1" s="159"/>
      <c r="P1" s="159" t="s">
        <v>352</v>
      </c>
      <c r="Q1" s="159"/>
      <c r="R1" s="159"/>
      <c r="S1" s="159" t="s">
        <v>353</v>
      </c>
      <c r="T1" s="159"/>
      <c r="U1" s="159"/>
      <c r="V1" s="159" t="s">
        <v>354</v>
      </c>
      <c r="W1" s="159"/>
      <c r="X1" s="159"/>
      <c r="Y1" s="159" t="s">
        <v>355</v>
      </c>
      <c r="Z1" s="159"/>
      <c r="AA1" s="159"/>
      <c r="AB1" s="159" t="s">
        <v>356</v>
      </c>
      <c r="AC1" s="159"/>
      <c r="AD1" s="159"/>
      <c r="AE1" s="4" t="s">
        <v>357</v>
      </c>
      <c r="AF1" s="4" t="s">
        <v>358</v>
      </c>
    </row>
    <row r="2" spans="1:32" s="2" customFormat="1" ht="62" x14ac:dyDescent="0.35">
      <c r="D2" s="2" t="s">
        <v>359</v>
      </c>
      <c r="E2" s="2" t="s">
        <v>360</v>
      </c>
      <c r="F2" s="3" t="s">
        <v>361</v>
      </c>
      <c r="G2" s="2" t="s">
        <v>359</v>
      </c>
      <c r="H2" s="2" t="s">
        <v>360</v>
      </c>
      <c r="I2" s="3" t="s">
        <v>361</v>
      </c>
      <c r="J2" s="2" t="s">
        <v>359</v>
      </c>
      <c r="K2" s="3" t="s">
        <v>362</v>
      </c>
      <c r="L2" s="3" t="s">
        <v>363</v>
      </c>
      <c r="M2" s="2" t="s">
        <v>359</v>
      </c>
      <c r="N2" s="2" t="s">
        <v>360</v>
      </c>
      <c r="O2" s="3" t="s">
        <v>361</v>
      </c>
      <c r="P2" s="2" t="s">
        <v>359</v>
      </c>
      <c r="Q2" s="2" t="s">
        <v>360</v>
      </c>
      <c r="R2" s="3" t="s">
        <v>361</v>
      </c>
      <c r="S2" s="2" t="s">
        <v>359</v>
      </c>
      <c r="T2" s="2" t="s">
        <v>360</v>
      </c>
      <c r="U2" s="3" t="s">
        <v>361</v>
      </c>
      <c r="V2" s="2" t="s">
        <v>359</v>
      </c>
      <c r="W2" s="2" t="s">
        <v>360</v>
      </c>
      <c r="X2" s="3" t="s">
        <v>361</v>
      </c>
      <c r="Y2" s="2" t="s">
        <v>359</v>
      </c>
      <c r="Z2" s="2" t="s">
        <v>360</v>
      </c>
      <c r="AA2" s="3" t="s">
        <v>361</v>
      </c>
      <c r="AB2" s="2" t="s">
        <v>359</v>
      </c>
      <c r="AC2" s="2" t="s">
        <v>360</v>
      </c>
      <c r="AD2" s="3" t="s">
        <v>361</v>
      </c>
    </row>
    <row r="3" spans="1:32" x14ac:dyDescent="0.35">
      <c r="A3" s="1" t="s">
        <v>364</v>
      </c>
      <c r="B3" s="24" t="s">
        <v>365</v>
      </c>
      <c r="D3" s="1">
        <v>50000</v>
      </c>
      <c r="E3" s="1">
        <v>50000</v>
      </c>
      <c r="F3" s="1">
        <v>50000</v>
      </c>
      <c r="G3" s="1">
        <v>25000</v>
      </c>
      <c r="H3" s="1">
        <v>25000</v>
      </c>
      <c r="I3" s="1">
        <v>25000</v>
      </c>
      <c r="J3" s="1">
        <f>'2-General Reserves'!E2</f>
        <v>157292</v>
      </c>
      <c r="K3" s="1">
        <f>'2-General Reserves'!F2</f>
        <v>0</v>
      </c>
      <c r="M3" s="1">
        <f>'2-General Reserves'!I2</f>
        <v>109902</v>
      </c>
      <c r="N3" s="1">
        <f>'2-General Reserves'!J2</f>
        <v>450</v>
      </c>
      <c r="P3" s="83">
        <f>'2-General Reserves'!M2</f>
        <v>101212</v>
      </c>
      <c r="Q3" s="83">
        <f>'2-General Reserves'!N2</f>
        <v>-26888.770000000062</v>
      </c>
      <c r="S3" s="1">
        <f>'2-General Reserves'!Q2</f>
        <v>161249</v>
      </c>
      <c r="V3" s="1">
        <f>'2-General Reserves'!T2</f>
        <v>0</v>
      </c>
      <c r="Y3" s="1">
        <f>'2-General Reserves'!X2</f>
        <v>0</v>
      </c>
      <c r="AB3" s="1">
        <f>'2-General Reserves'!AB2</f>
        <v>0</v>
      </c>
    </row>
    <row r="4" spans="1:32" x14ac:dyDescent="0.35">
      <c r="A4" s="1" t="s">
        <v>366</v>
      </c>
      <c r="B4" s="24" t="s">
        <v>365</v>
      </c>
      <c r="J4" s="1">
        <f>'2-General Reserves'!E5</f>
        <v>-101292</v>
      </c>
      <c r="K4" s="1">
        <f>'2-General Reserves'!F5</f>
        <v>-90285.28</v>
      </c>
      <c r="M4" s="1">
        <f>'2-General Reserves'!I5</f>
        <v>-109902</v>
      </c>
      <c r="N4" s="1">
        <f>'2-General Reserves'!J5</f>
        <v>-98263.829999999987</v>
      </c>
      <c r="P4" s="83">
        <f>'2-General Reserves'!M5</f>
        <v>-101212</v>
      </c>
      <c r="Q4" s="83">
        <f>'2-General Reserves'!N5</f>
        <v>-101212</v>
      </c>
      <c r="S4" s="1">
        <f>'2-General Reserves'!Q5</f>
        <v>-104249</v>
      </c>
    </row>
    <row r="5" spans="1:32" x14ac:dyDescent="0.35">
      <c r="A5" s="1" t="s">
        <v>17</v>
      </c>
      <c r="B5" s="24" t="s">
        <v>367</v>
      </c>
      <c r="D5" s="1">
        <v>66437</v>
      </c>
      <c r="E5" s="1">
        <v>15979</v>
      </c>
      <c r="F5" s="1">
        <v>50458</v>
      </c>
      <c r="G5" s="1">
        <v>72766</v>
      </c>
      <c r="H5" s="1">
        <v>14945</v>
      </c>
      <c r="I5" s="1">
        <v>57821</v>
      </c>
      <c r="J5" s="1">
        <f>'2-Repairs and Maintenance'!E5</f>
        <v>74948.98</v>
      </c>
      <c r="K5" s="1">
        <f>'2-Repairs and Maintenance'!F5</f>
        <v>105212.54000000001</v>
      </c>
      <c r="M5" s="1">
        <f>'2-Repairs and Maintenance'!I5</f>
        <v>227405</v>
      </c>
      <c r="N5" s="1">
        <f>'2-Repairs and Maintenance'!J5</f>
        <v>141316.20200000014</v>
      </c>
      <c r="P5" s="83">
        <f>'2-Repairs and Maintenance'!M5</f>
        <v>157801</v>
      </c>
      <c r="Q5" s="83">
        <f>'2-Repairs and Maintenance'!N5</f>
        <v>19253.756999999991</v>
      </c>
      <c r="S5" s="1">
        <f>'2-Repairs and Maintenance'!Q5</f>
        <v>162536</v>
      </c>
    </row>
    <row r="6" spans="1:32" x14ac:dyDescent="0.35">
      <c r="A6" s="1" t="s">
        <v>368</v>
      </c>
      <c r="B6" s="24" t="s">
        <v>367</v>
      </c>
      <c r="D6" s="1">
        <v>0</v>
      </c>
      <c r="E6" s="1">
        <v>0</v>
      </c>
      <c r="F6" s="1">
        <v>0</v>
      </c>
      <c r="G6" s="1">
        <v>0</v>
      </c>
      <c r="H6" s="1">
        <v>0</v>
      </c>
      <c r="I6" s="1">
        <v>0</v>
      </c>
      <c r="J6" s="1">
        <f>'2-Repairs and Maintenance'!E2</f>
        <v>-44166</v>
      </c>
      <c r="K6" s="1">
        <f>'2-Repairs and Maintenance'!F2</f>
        <v>-144000</v>
      </c>
      <c r="M6" s="1">
        <f>'2-Repairs and Maintenance'!I2</f>
        <v>-100155</v>
      </c>
      <c r="N6" s="1">
        <f>'2-Repairs and Maintenance'!J2</f>
        <v>-2400</v>
      </c>
      <c r="P6" s="83">
        <f>'2-Repairs and Maintenance'!M2</f>
        <v>-110000</v>
      </c>
      <c r="Q6" s="83">
        <f>'2-Repairs and Maintenance'!N2</f>
        <v>0</v>
      </c>
      <c r="S6" s="1">
        <f>'2-Repairs and Maintenance'!Q2</f>
        <v>0</v>
      </c>
    </row>
    <row r="7" spans="1:32" x14ac:dyDescent="0.35">
      <c r="A7" s="1" t="s">
        <v>369</v>
      </c>
      <c r="B7" s="24" t="s">
        <v>370</v>
      </c>
      <c r="D7" s="1">
        <v>4755</v>
      </c>
      <c r="E7" s="1">
        <v>4948</v>
      </c>
      <c r="F7" s="1">
        <v>-193</v>
      </c>
      <c r="G7" s="1">
        <v>3611</v>
      </c>
      <c r="H7" s="1">
        <v>2545</v>
      </c>
      <c r="I7" s="1">
        <v>1066</v>
      </c>
      <c r="J7" s="1">
        <f>'2-Compliance'!E8</f>
        <v>20000</v>
      </c>
      <c r="K7" s="1">
        <f>'2-Compliance'!F8</f>
        <v>9697.2999999999993</v>
      </c>
      <c r="M7" s="1">
        <f>'2-Compliance'!I8</f>
        <v>34145</v>
      </c>
      <c r="N7" s="1">
        <f>'2-Compliance'!J8</f>
        <v>4367.3100000000013</v>
      </c>
      <c r="P7" s="83">
        <f>'2-Compliance'!M8</f>
        <v>40285</v>
      </c>
      <c r="Q7" s="83">
        <f>'2-Compliance'!N8</f>
        <v>34655.289999999994</v>
      </c>
      <c r="S7" s="1">
        <f>'2-Compliance'!Q8</f>
        <v>41494</v>
      </c>
    </row>
    <row r="8" spans="1:32" x14ac:dyDescent="0.35">
      <c r="A8" s="1" t="s">
        <v>371</v>
      </c>
      <c r="B8" s="24" t="s">
        <v>370</v>
      </c>
      <c r="D8" s="1">
        <v>0</v>
      </c>
      <c r="E8" s="1">
        <v>0</v>
      </c>
      <c r="F8" s="1">
        <v>0</v>
      </c>
      <c r="G8" s="1">
        <v>0</v>
      </c>
      <c r="H8" s="1">
        <v>0</v>
      </c>
      <c r="I8" s="1">
        <v>0</v>
      </c>
      <c r="J8" s="1">
        <f>'2-Compliance'!E2</f>
        <v>0</v>
      </c>
      <c r="K8" s="1">
        <f>'2-Compliance'!F2</f>
        <v>0</v>
      </c>
      <c r="M8" s="1">
        <f>'2-Compliance'!I2</f>
        <v>0</v>
      </c>
      <c r="N8" s="1">
        <f>'2-Compliance'!J2</f>
        <v>0</v>
      </c>
      <c r="P8" s="83">
        <f>'2-Compliance'!M2</f>
        <v>-20000</v>
      </c>
      <c r="Q8" s="83">
        <f>'2-Compliance'!N2</f>
        <v>17184.25</v>
      </c>
      <c r="S8" s="1">
        <f>'2-Compliance'!Q2</f>
        <v>0</v>
      </c>
    </row>
    <row r="9" spans="1:32" x14ac:dyDescent="0.35">
      <c r="A9" s="1" t="s">
        <v>372</v>
      </c>
      <c r="B9" s="24" t="s">
        <v>373</v>
      </c>
      <c r="D9" s="1">
        <v>123143</v>
      </c>
      <c r="E9" s="1">
        <v>0</v>
      </c>
      <c r="F9" s="1">
        <v>123143</v>
      </c>
      <c r="G9" s="1">
        <v>75000</v>
      </c>
      <c r="H9" s="1">
        <v>75000</v>
      </c>
      <c r="I9" s="1">
        <v>0</v>
      </c>
      <c r="J9" s="1">
        <f>'2-Capital'!E6</f>
        <v>0</v>
      </c>
      <c r="K9" s="1">
        <f>'2-Capital'!F6</f>
        <v>0</v>
      </c>
      <c r="M9" s="1">
        <f>'2-Capital'!I6</f>
        <v>0</v>
      </c>
      <c r="N9" s="1">
        <f>'2-Capital'!J6</f>
        <v>0</v>
      </c>
      <c r="P9" s="1">
        <f>'2-Capital'!M6</f>
        <v>0</v>
      </c>
      <c r="Q9" s="1">
        <f>'2-Capital'!N6</f>
        <v>0</v>
      </c>
      <c r="S9" s="1">
        <f>'2-Capital'!Q6</f>
        <v>0</v>
      </c>
    </row>
    <row r="10" spans="1:32" x14ac:dyDescent="0.35">
      <c r="A10" s="1" t="s">
        <v>374</v>
      </c>
      <c r="B10" s="24" t="s">
        <v>373</v>
      </c>
      <c r="D10" s="1">
        <v>52938</v>
      </c>
      <c r="E10" s="1">
        <v>52938</v>
      </c>
      <c r="F10" s="1">
        <v>0</v>
      </c>
      <c r="G10" s="1">
        <v>35000</v>
      </c>
      <c r="H10" s="1">
        <v>35000</v>
      </c>
      <c r="I10" s="1">
        <v>0</v>
      </c>
      <c r="J10" s="1">
        <f>'2-Capital'!E2</f>
        <v>33542.67</v>
      </c>
      <c r="K10" s="1">
        <f>'2-Capital'!F2</f>
        <v>80853</v>
      </c>
      <c r="M10" s="1">
        <f>'2-Capital'!I2</f>
        <v>0</v>
      </c>
      <c r="N10" s="1">
        <f>'2-Capital'!J2</f>
        <v>-1346.2700000000004</v>
      </c>
      <c r="P10" s="83">
        <f>'2-Capital'!M2</f>
        <v>35000</v>
      </c>
      <c r="Q10" s="83">
        <f>'2-Capital'!N2</f>
        <v>20755</v>
      </c>
      <c r="S10" s="1">
        <f>'2-Capital'!Q2</f>
        <v>0</v>
      </c>
    </row>
    <row r="11" spans="1:32" x14ac:dyDescent="0.35">
      <c r="A11" s="1" t="s">
        <v>54</v>
      </c>
      <c r="B11" s="24" t="s">
        <v>375</v>
      </c>
      <c r="D11" s="1">
        <v>0</v>
      </c>
      <c r="E11" s="1">
        <v>0</v>
      </c>
      <c r="F11" s="1">
        <v>0</v>
      </c>
      <c r="G11" s="1">
        <v>0</v>
      </c>
      <c r="H11" s="1">
        <v>0</v>
      </c>
      <c r="I11" s="1">
        <v>0</v>
      </c>
      <c r="J11" s="1">
        <f>'2-Community Safety'!E7</f>
        <v>10000</v>
      </c>
      <c r="K11" s="1">
        <f>'2-Community Safety'!F7</f>
        <v>5545.28</v>
      </c>
      <c r="M11" s="1">
        <f>'2-Community Safety'!I7</f>
        <v>10000</v>
      </c>
      <c r="N11" s="1">
        <f>'2-Community Safety'!J7</f>
        <v>8745</v>
      </c>
      <c r="P11" s="83">
        <f>'2-Community Safety'!M7</f>
        <v>10300</v>
      </c>
      <c r="Q11" s="83">
        <f>'2-Community Safety'!N7</f>
        <v>826</v>
      </c>
      <c r="S11" s="1">
        <f>'2-Community Safety'!Q7</f>
        <v>10609</v>
      </c>
    </row>
    <row r="12" spans="1:32" x14ac:dyDescent="0.35">
      <c r="A12" s="1" t="s">
        <v>376</v>
      </c>
      <c r="B12" s="24" t="s">
        <v>375</v>
      </c>
      <c r="D12" s="1">
        <v>50000</v>
      </c>
      <c r="E12" s="1">
        <v>50000</v>
      </c>
      <c r="F12" s="1">
        <v>0</v>
      </c>
      <c r="G12" s="1">
        <v>50000</v>
      </c>
      <c r="H12" s="1">
        <v>50000</v>
      </c>
      <c r="I12" s="1">
        <v>0</v>
      </c>
      <c r="J12" s="1">
        <f>'2-Community Safety'!E2</f>
        <v>15000</v>
      </c>
      <c r="K12" s="1">
        <f>'2-Community Safety'!F2</f>
        <v>27220.959999999999</v>
      </c>
      <c r="M12" s="1">
        <f>'2-Community Safety'!I2</f>
        <v>9485</v>
      </c>
      <c r="N12" s="1">
        <f>'2-Community Safety'!J2</f>
        <v>56398.31</v>
      </c>
      <c r="P12" s="83">
        <f>'2-Community Safety'!M2</f>
        <v>-300</v>
      </c>
      <c r="Q12" s="83">
        <f>'2-Community Safety'!N2</f>
        <v>14999.999999999998</v>
      </c>
      <c r="S12" s="1">
        <f>'2-Community Safety'!Q2</f>
        <v>0</v>
      </c>
    </row>
    <row r="13" spans="1:32" x14ac:dyDescent="0.35">
      <c r="A13" s="1" t="s">
        <v>377</v>
      </c>
      <c r="B13" s="24" t="s">
        <v>378</v>
      </c>
      <c r="D13" s="1">
        <v>0</v>
      </c>
      <c r="E13" s="1">
        <v>0</v>
      </c>
      <c r="F13" s="1">
        <v>0</v>
      </c>
      <c r="G13" s="1">
        <v>0</v>
      </c>
      <c r="H13" s="1">
        <v>0</v>
      </c>
      <c r="I13" s="1">
        <v>0</v>
      </c>
      <c r="J13" s="1">
        <f>'2-Climate &amp; Ecological'!E6</f>
        <v>20860</v>
      </c>
      <c r="K13" s="1">
        <f>'2-Climate &amp; Ecological'!F6</f>
        <v>17265.96</v>
      </c>
      <c r="M13" s="1">
        <f>'2-Climate &amp; Ecological'!I6</f>
        <v>120226</v>
      </c>
      <c r="N13" s="1">
        <f>'2-Climate &amp; Ecological'!J6</f>
        <v>57788.539999999994</v>
      </c>
      <c r="P13" s="83">
        <f>'2-Climate &amp; Ecological'!M6</f>
        <v>66280</v>
      </c>
      <c r="Q13" s="83">
        <f>'2-Climate &amp; Ecological'!N6</f>
        <v>30736.046666666669</v>
      </c>
      <c r="S13" s="1">
        <f>'2-Climate &amp; Ecological'!Q6</f>
        <v>65565</v>
      </c>
    </row>
    <row r="14" spans="1:32" x14ac:dyDescent="0.35">
      <c r="A14" s="1" t="s">
        <v>379</v>
      </c>
      <c r="B14" s="24" t="s">
        <v>378</v>
      </c>
      <c r="D14" s="1">
        <v>0</v>
      </c>
      <c r="E14" s="1">
        <v>0</v>
      </c>
      <c r="F14" s="1">
        <v>0</v>
      </c>
      <c r="G14" s="1">
        <v>25000</v>
      </c>
      <c r="H14" s="1">
        <v>0</v>
      </c>
      <c r="I14" s="1">
        <v>25000</v>
      </c>
      <c r="J14" s="1">
        <f>'2-Climate &amp; Ecological'!E2</f>
        <v>0</v>
      </c>
      <c r="K14" s="1">
        <f>'2-Climate &amp; Ecological'!F2</f>
        <v>15449.47</v>
      </c>
      <c r="M14" s="1">
        <f>'2-Climate &amp; Ecological'!I2</f>
        <v>-7500</v>
      </c>
      <c r="N14" s="1">
        <f>'2-Climate &amp; Ecological'!J2</f>
        <v>0</v>
      </c>
      <c r="P14" s="83">
        <f>'2-Climate &amp; Ecological'!M2</f>
        <v>-52000</v>
      </c>
      <c r="Q14" s="83">
        <f>'2-Climate &amp; Ecological'!N2</f>
        <v>18019.400000000001</v>
      </c>
      <c r="S14" s="1">
        <f>'2-Climate &amp; Ecological'!Q2</f>
        <v>0</v>
      </c>
    </row>
    <row r="15" spans="1:32" s="9" customFormat="1" x14ac:dyDescent="0.35">
      <c r="A15" s="9" t="s">
        <v>380</v>
      </c>
      <c r="J15" s="9">
        <f>SUM(J3:J14)</f>
        <v>186185.65</v>
      </c>
      <c r="K15" s="9">
        <f>SUM(K3:K14)</f>
        <v>26959.23000000001</v>
      </c>
      <c r="L15" s="9">
        <f>SUM(L3:L14)</f>
        <v>0</v>
      </c>
      <c r="M15" s="9">
        <f>SUM(M3:M14)</f>
        <v>293606</v>
      </c>
      <c r="N15" s="9">
        <f>SUM(N3:N14)</f>
        <v>167055.26200000013</v>
      </c>
      <c r="P15" s="9">
        <f>SUM(P3:P14)</f>
        <v>127366</v>
      </c>
      <c r="Q15" s="9">
        <f>SUM(Q3:Q14)</f>
        <v>28328.973666666599</v>
      </c>
      <c r="S15" s="9">
        <f>SUM(S3:S14)</f>
        <v>337204</v>
      </c>
    </row>
  </sheetData>
  <mergeCells count="9">
    <mergeCell ref="V1:X1"/>
    <mergeCell ref="Y1:AA1"/>
    <mergeCell ref="AB1:AD1"/>
    <mergeCell ref="D1:F1"/>
    <mergeCell ref="G1:I1"/>
    <mergeCell ref="J1:L1"/>
    <mergeCell ref="M1:O1"/>
    <mergeCell ref="P1:R1"/>
    <mergeCell ref="S1:U1"/>
  </mergeCells>
  <hyperlinks>
    <hyperlink ref="B3" location="'2-General Reserves'!A1" display="2-General Reserves" xr:uid="{00000000-0004-0000-0300-000000000000}"/>
    <hyperlink ref="B4" location="'2-General Reserves'!A1" display="2-General Reserves" xr:uid="{00000000-0004-0000-0300-000001000000}"/>
    <hyperlink ref="B5" location="'2-Repairs and Maintenance'!A1" display="2-Repairs and Maintenance" xr:uid="{00000000-0004-0000-0300-000002000000}"/>
    <hyperlink ref="B6" location="'2-Repairs and Maintenance'!A1" display="2-Repairs and Maintenance" xr:uid="{00000000-0004-0000-0300-000003000000}"/>
    <hyperlink ref="B7" location="'2-Compliance'!A1" display="2-Compliance" xr:uid="{00000000-0004-0000-0300-000004000000}"/>
    <hyperlink ref="B8" location="'2-Compliance'!A1" display="2-Compliance" xr:uid="{00000000-0004-0000-0300-000005000000}"/>
    <hyperlink ref="B9" location="'2-Capital'!A1" display="2-Capital" xr:uid="{00000000-0004-0000-0300-000006000000}"/>
    <hyperlink ref="B10" location="'2-Capital'!A1" display="2-Capital" xr:uid="{00000000-0004-0000-0300-000007000000}"/>
    <hyperlink ref="B11" location="'2-Community Safety'!A1" display="2-Community Safety" xr:uid="{00000000-0004-0000-0300-000008000000}"/>
    <hyperlink ref="B12" location="'2-Community Safety'!A1" display="2-Community Safety" xr:uid="{00000000-0004-0000-0300-000009000000}"/>
    <hyperlink ref="B13" location="'2-Climate'!A1" display="2-Climate" xr:uid="{00000000-0004-0000-0300-00000A000000}"/>
    <hyperlink ref="B14" location="'2-Climate'!A1" display="2-Climate" xr:uid="{00000000-0004-0000-0300-00000B000000}"/>
  </hyperlinks>
  <pageMargins left="0.7" right="0.7" top="0.75" bottom="0.75" header="0.3" footer="0.3"/>
  <pageSetup paperSize="9" scale="3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ADF1-6AE6-4C48-BC95-3CBC1DFEBA9D}">
  <sheetPr codeName="Sheet66">
    <pageSetUpPr fitToPage="1"/>
  </sheetPr>
  <dimension ref="A1:AG1000"/>
  <sheetViews>
    <sheetView zoomScale="80" zoomScaleNormal="100" workbookViewId="0">
      <pane xSplit="2" ySplit="1" topLeftCell="J435" activePane="bottomRight" state="frozen"/>
      <selection pane="topRight" activeCell="C1" sqref="C1"/>
      <selection pane="bottomLeft" activeCell="A2" sqref="A2"/>
      <selection pane="bottomRight" activeCell="K458" sqref="K458"/>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94" bestFit="1" customWidth="1"/>
    <col min="10" max="10" width="19.54296875" style="93" bestFit="1" customWidth="1"/>
    <col min="11" max="11" width="32.54296875" style="87" customWidth="1"/>
    <col min="12" max="12" width="39.54296875" style="87" customWidth="1"/>
    <col min="13" max="13" width="20.90625" style="89" customWidth="1"/>
    <col min="14" max="14" width="13.81640625" style="87" customWidth="1"/>
    <col min="15" max="15" width="18.6328125" style="87" bestFit="1" customWidth="1"/>
    <col min="16" max="16" width="35.17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1.453125" style="87" bestFit="1" customWidth="1"/>
    <col min="34" max="16384" width="8.81640625" style="87"/>
  </cols>
  <sheetData>
    <row r="1" spans="1:33" ht="20.5" customHeight="1" x14ac:dyDescent="0.35">
      <c r="A1" s="84" t="s">
        <v>2814</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0</v>
      </c>
      <c r="F2" s="87">
        <f>SUM(F3:F3)</f>
        <v>0</v>
      </c>
      <c r="I2" s="89">
        <f>SUM(I3:I3)</f>
        <v>0</v>
      </c>
      <c r="J2" s="87">
        <f>SUM(J3:J3)</f>
        <v>0</v>
      </c>
      <c r="K2" s="113"/>
      <c r="M2" s="89">
        <f>SUM(M3:M3)</f>
        <v>0</v>
      </c>
      <c r="N2" s="87">
        <f>SUM(N3:N3)</f>
        <v>0</v>
      </c>
      <c r="Q2" s="89">
        <f>SUM(Q3:Q3)</f>
        <v>0</v>
      </c>
      <c r="R2" s="87">
        <f>SUM(R3:R3)</f>
        <v>0</v>
      </c>
      <c r="U2" s="89">
        <f>SUM(U3:U3)</f>
        <v>0</v>
      </c>
      <c r="V2" s="87">
        <f>SUM(V3:V3)</f>
        <v>0</v>
      </c>
      <c r="Y2" s="89">
        <f>SUM(Y3:Y3)</f>
        <v>0</v>
      </c>
      <c r="Z2" s="87">
        <f>SUM(Z3:Z3)</f>
        <v>0</v>
      </c>
      <c r="AC2" s="89">
        <f>SUM(AC3:AC3)</f>
        <v>0</v>
      </c>
      <c r="AD2" s="87">
        <f>SUM(AD3:AD3)</f>
        <v>0</v>
      </c>
    </row>
    <row r="3" spans="1:33" ht="26.5" customHeight="1" x14ac:dyDescent="0.35">
      <c r="A3" s="86" t="s">
        <v>2814</v>
      </c>
      <c r="B3" s="85">
        <v>23</v>
      </c>
      <c r="D3" s="86">
        <v>0</v>
      </c>
      <c r="E3" s="87">
        <v>0</v>
      </c>
      <c r="F3" s="87">
        <f>SUMIFS(H$16:H$992,E$16:E$992,$B3)</f>
        <v>0</v>
      </c>
      <c r="G3" s="87">
        <v>0</v>
      </c>
      <c r="I3" s="91">
        <v>0</v>
      </c>
      <c r="J3" s="87">
        <f>SUMIFS(L$16:L$1005,I$16:I$1005,$B3)</f>
        <v>0</v>
      </c>
      <c r="K3" s="87">
        <v>0</v>
      </c>
      <c r="L3" s="84" t="s">
        <v>222</v>
      </c>
      <c r="M3" s="89">
        <v>0</v>
      </c>
      <c r="N3" s="87">
        <f>SUMIFS(P$16:P$991,M$16:M$991,$B3)</f>
        <v>0</v>
      </c>
      <c r="O3" s="87">
        <f>K3+M3-N3+SUMIFS(M$6:M$9,$C$6:$C$9,$A3)-SUMIFS(N$6:N$9,$C$6:$C$9,$A3)</f>
        <v>2301.9199999999983</v>
      </c>
      <c r="P3" s="85"/>
      <c r="R3" s="87">
        <f>SUMIFS(T$16:T$992,Q$16:Q$992,$B3)</f>
        <v>0</v>
      </c>
      <c r="S3" s="87">
        <f>O3+Q3-R3+SUMIFS(Q$6:Q$9,$C$6:$C$9,$A3)-SUMIFS(R$6:R$9,$C$6:$C$9,$A3)</f>
        <v>2301.9199999999983</v>
      </c>
      <c r="V3" s="87">
        <f>SUMIFS(X$16:X$992,U$16:U$992,$B3)</f>
        <v>0</v>
      </c>
      <c r="W3" s="87">
        <f>S3+U3-V3+SUMIFS(U$6:U$9,$C$6:$C$9,$A3)-SUMIFS(V$6:V$9,$C$6:$C$9,$A3)</f>
        <v>2301.9199999999983</v>
      </c>
      <c r="Z3" s="87">
        <f>SUMIFS(AB$16:AB$992,Y$16:Y$992,$B3)</f>
        <v>0</v>
      </c>
      <c r="AA3" s="87">
        <f>W3+Y3-Z3+SUMIFS(Y$6:Y$9,$C$6:$C$9,$A3)-SUMIFS(Z$6:Z$9,$C$6:$C$9,$A3)</f>
        <v>2301.9199999999983</v>
      </c>
      <c r="AD3" s="87">
        <f>SUMIFS(AF$16:AF$992,AC$16:AC$992,$B3)</f>
        <v>0</v>
      </c>
      <c r="AE3" s="87">
        <f>AA3+AC3-AD3+SUMIFS(AC$6:AC$9,$C$6:$C$9,$A3)-SUMIFS(AD$6:AD$9,$C$6:$C$9,$A3)</f>
        <v>2301.9199999999983</v>
      </c>
      <c r="AG3" s="87">
        <v>100000</v>
      </c>
    </row>
    <row r="4" spans="1:33" ht="26.5" customHeight="1" x14ac:dyDescent="0.35">
      <c r="E4" s="87"/>
      <c r="F4" s="87"/>
      <c r="I4" s="89"/>
      <c r="J4" s="87"/>
      <c r="P4" s="85"/>
    </row>
    <row r="5" spans="1:33" x14ac:dyDescent="0.35">
      <c r="A5" s="84" t="s">
        <v>3020</v>
      </c>
      <c r="D5" s="84"/>
      <c r="E5" s="87">
        <f>SUM(E6:E9)</f>
        <v>0</v>
      </c>
      <c r="F5" s="87">
        <f>SUM(F6:F9)</f>
        <v>0</v>
      </c>
      <c r="I5" s="87">
        <f>SUM(I6:I9)</f>
        <v>72000</v>
      </c>
      <c r="J5" s="87">
        <f>SUM(J6:J9)</f>
        <v>59589.301166666672</v>
      </c>
      <c r="M5" s="87">
        <f>SUM(M6:M9)</f>
        <v>34110</v>
      </c>
      <c r="N5" s="87">
        <f>SUM(N6:N9)</f>
        <v>31808.080000000002</v>
      </c>
      <c r="Q5" s="89">
        <f>SUM(Q6:Q9)</f>
        <v>24000</v>
      </c>
      <c r="R5" s="87">
        <f>$Q$5</f>
        <v>24000</v>
      </c>
      <c r="U5" s="89">
        <f>SUM(U6:U9)</f>
        <v>24000</v>
      </c>
      <c r="V5" s="87">
        <f>$U$5</f>
        <v>24000</v>
      </c>
      <c r="Y5" s="89">
        <f>SUM(Y6:Y9)</f>
        <v>25000</v>
      </c>
      <c r="Z5" s="87">
        <f>$Y$5</f>
        <v>25000</v>
      </c>
      <c r="AC5" s="89">
        <f>SUM(AC6:AC9)</f>
        <v>25750</v>
      </c>
      <c r="AD5" s="87">
        <f>$AC$5</f>
        <v>25750</v>
      </c>
    </row>
    <row r="6" spans="1:33" ht="29" x14ac:dyDescent="0.35">
      <c r="A6" s="84" t="s">
        <v>235</v>
      </c>
      <c r="B6" s="85">
        <v>18</v>
      </c>
      <c r="C6" s="85" t="s">
        <v>2814</v>
      </c>
      <c r="D6" s="84"/>
      <c r="E6" s="87"/>
      <c r="F6" s="87">
        <f>SUMIFS(H$16:H$992,E$16:E$992,$B6)</f>
        <v>0</v>
      </c>
      <c r="I6" s="89">
        <v>50000</v>
      </c>
      <c r="J6" s="87">
        <f>SUMIFS(L$16:L$1005,I$16:I$1005,$B6)</f>
        <v>45419.47</v>
      </c>
      <c r="L6" s="105"/>
      <c r="M6" s="89">
        <v>0</v>
      </c>
      <c r="N6" s="87">
        <f>SUMIFS(P$16:P$1006,M$16:M$1006,$B6)</f>
        <v>0</v>
      </c>
    </row>
    <row r="7" spans="1:33" ht="29" x14ac:dyDescent="0.35">
      <c r="A7" s="84" t="s">
        <v>236</v>
      </c>
      <c r="B7" s="85">
        <v>13</v>
      </c>
      <c r="C7" s="85" t="s">
        <v>2814</v>
      </c>
      <c r="D7" s="84"/>
      <c r="E7" s="87">
        <v>0</v>
      </c>
      <c r="F7" s="87">
        <f>SUMIFS(H$16:H$992,E$16:E$992,$B7)</f>
        <v>0</v>
      </c>
      <c r="I7" s="89">
        <v>22000</v>
      </c>
      <c r="J7" s="87">
        <f>SUMIFS(L$16:L$1005,I$16:I$1005,$B7)</f>
        <v>14169.831166666667</v>
      </c>
      <c r="L7" s="105"/>
      <c r="M7" s="89">
        <v>20500</v>
      </c>
      <c r="N7" s="87">
        <f>SUMIFS(P$16:P$1006,M$16:M$1006,$B7)</f>
        <v>22507.390000000003</v>
      </c>
      <c r="P7" s="86"/>
      <c r="Q7" s="91">
        <v>24000</v>
      </c>
      <c r="R7" s="90">
        <f>$Q$7</f>
        <v>24000</v>
      </c>
      <c r="U7" s="91">
        <v>24000</v>
      </c>
      <c r="V7" s="90">
        <f>$U$7</f>
        <v>24000</v>
      </c>
      <c r="Y7" s="91">
        <v>25000</v>
      </c>
      <c r="Z7" s="90">
        <f>$Y$7</f>
        <v>25000</v>
      </c>
      <c r="AC7" s="89">
        <f>ROUNDUP((Y7)*RPI,0)</f>
        <v>25750</v>
      </c>
      <c r="AD7" s="87">
        <f>$AC$7</f>
        <v>25750</v>
      </c>
    </row>
    <row r="8" spans="1:33" ht="29" x14ac:dyDescent="0.35">
      <c r="A8" s="84" t="s">
        <v>2111</v>
      </c>
      <c r="B8" s="85">
        <v>21</v>
      </c>
      <c r="C8" s="85" t="s">
        <v>2814</v>
      </c>
      <c r="D8" s="84"/>
      <c r="E8" s="87"/>
      <c r="F8" s="87"/>
      <c r="I8" s="89"/>
      <c r="J8" s="87"/>
      <c r="L8" s="105"/>
      <c r="M8" s="89">
        <v>7610</v>
      </c>
      <c r="N8" s="87">
        <f>SUMIFS(P$16:P$1006,M$16:M$1006,$B8)</f>
        <v>7609.75</v>
      </c>
      <c r="P8" s="86"/>
      <c r="Q8" s="91"/>
      <c r="R8" s="90"/>
      <c r="U8" s="91"/>
      <c r="V8" s="90"/>
      <c r="Y8" s="91"/>
      <c r="Z8" s="90"/>
    </row>
    <row r="9" spans="1:33" ht="29" x14ac:dyDescent="0.35">
      <c r="A9" s="84" t="s">
        <v>2314</v>
      </c>
      <c r="B9" s="85">
        <v>22</v>
      </c>
      <c r="C9" s="85" t="s">
        <v>2814</v>
      </c>
      <c r="D9" s="84"/>
      <c r="E9" s="87"/>
      <c r="F9" s="87"/>
      <c r="I9" s="89"/>
      <c r="J9" s="87"/>
      <c r="L9" s="105"/>
      <c r="M9" s="89">
        <v>6000</v>
      </c>
      <c r="N9" s="87">
        <f>SUMIFS(P$16:P$1006,M$16:M$1006,$B9)</f>
        <v>1690.94</v>
      </c>
      <c r="P9" s="86"/>
      <c r="Q9" s="91"/>
      <c r="R9" s="90"/>
      <c r="U9" s="91"/>
      <c r="V9" s="90"/>
      <c r="Y9" s="91"/>
      <c r="Z9" s="90"/>
    </row>
    <row r="10" spans="1:33" x14ac:dyDescent="0.35">
      <c r="B10" s="92"/>
      <c r="D10" s="84"/>
      <c r="E10" s="87"/>
      <c r="F10" s="87"/>
      <c r="I10" s="89"/>
      <c r="J10" s="87"/>
    </row>
    <row r="11" spans="1:33" x14ac:dyDescent="0.35">
      <c r="E11" s="87"/>
      <c r="F11" s="87"/>
      <c r="I11" s="89"/>
      <c r="J11" s="87"/>
    </row>
    <row r="12" spans="1:33" x14ac:dyDescent="0.35">
      <c r="E12" s="87"/>
      <c r="F12" s="87"/>
      <c r="I12" s="89"/>
      <c r="J12" s="87"/>
    </row>
    <row r="13" spans="1:33" x14ac:dyDescent="0.35">
      <c r="E13" s="87"/>
      <c r="F13" s="87"/>
      <c r="I13" s="89"/>
      <c r="J13" s="87"/>
    </row>
    <row r="14" spans="1:33" x14ac:dyDescent="0.35">
      <c r="A14" s="84" t="s">
        <v>487</v>
      </c>
      <c r="G14" s="85"/>
      <c r="H14" s="87"/>
      <c r="K14" s="85"/>
      <c r="M14" s="94"/>
      <c r="N14" s="93"/>
      <c r="O14" s="85"/>
      <c r="Q14" s="94"/>
      <c r="R14" s="93"/>
      <c r="S14" s="85"/>
      <c r="U14" s="94"/>
      <c r="V14" s="93"/>
      <c r="W14" s="85"/>
      <c r="Y14" s="94"/>
      <c r="Z14" s="93"/>
      <c r="AA14" s="85"/>
      <c r="AC14" s="94"/>
      <c r="AD14" s="93"/>
      <c r="AE14" s="85"/>
    </row>
    <row r="15" spans="1:33" x14ac:dyDescent="0.35">
      <c r="E15" s="85" t="s">
        <v>484</v>
      </c>
      <c r="F15" s="93" t="s">
        <v>488</v>
      </c>
      <c r="G15" s="85" t="s">
        <v>489</v>
      </c>
      <c r="H15" s="87" t="s">
        <v>475</v>
      </c>
      <c r="I15" s="85" t="s">
        <v>484</v>
      </c>
      <c r="J15" s="93" t="s">
        <v>488</v>
      </c>
      <c r="K15" s="85" t="s">
        <v>489</v>
      </c>
      <c r="L15" s="87" t="s">
        <v>475</v>
      </c>
      <c r="M15" s="85" t="s">
        <v>484</v>
      </c>
      <c r="N15" s="93" t="s">
        <v>488</v>
      </c>
      <c r="O15" s="85" t="s">
        <v>489</v>
      </c>
      <c r="P15" s="87" t="s">
        <v>475</v>
      </c>
      <c r="Q15" s="94"/>
      <c r="R15" s="93"/>
      <c r="S15" s="85"/>
      <c r="U15" s="94"/>
      <c r="V15" s="93"/>
      <c r="W15" s="85"/>
      <c r="Y15" s="94"/>
      <c r="Z15" s="93"/>
      <c r="AA15" s="85"/>
      <c r="AC15" s="94"/>
      <c r="AD15" s="93"/>
      <c r="AE15" s="85"/>
    </row>
    <row r="16" spans="1:33" x14ac:dyDescent="0.35">
      <c r="A16" s="85"/>
      <c r="D16" s="85"/>
      <c r="E16" s="85">
        <v>10</v>
      </c>
      <c r="F16" s="93" t="s">
        <v>947</v>
      </c>
      <c r="G16" s="85" t="s">
        <v>1447</v>
      </c>
      <c r="H16" s="87">
        <v>13</v>
      </c>
      <c r="I16" s="94">
        <v>6</v>
      </c>
      <c r="J16" s="93">
        <v>45017</v>
      </c>
      <c r="K16" s="85" t="s">
        <v>1448</v>
      </c>
      <c r="L16" s="87">
        <v>100</v>
      </c>
      <c r="M16" s="85">
        <v>13</v>
      </c>
      <c r="N16" s="93" t="s">
        <v>790</v>
      </c>
      <c r="O16" s="85" t="s">
        <v>2813</v>
      </c>
      <c r="P16" s="148">
        <v>20500</v>
      </c>
      <c r="Q16" s="94"/>
      <c r="R16" s="93"/>
      <c r="S16" s="85"/>
      <c r="U16" s="94"/>
      <c r="V16" s="93"/>
      <c r="W16" s="85"/>
      <c r="Y16" s="94"/>
      <c r="Z16" s="93"/>
      <c r="AA16" s="85"/>
      <c r="AC16" s="94"/>
      <c r="AD16" s="93"/>
      <c r="AE16" s="85"/>
    </row>
    <row r="17" spans="5:31" x14ac:dyDescent="0.35">
      <c r="E17" s="92">
        <v>16</v>
      </c>
      <c r="F17" s="93" t="s">
        <v>891</v>
      </c>
      <c r="G17" s="85" t="s">
        <v>1449</v>
      </c>
      <c r="H17" s="87">
        <f>1466.18-21.23</f>
        <v>1444.95</v>
      </c>
      <c r="I17" s="94">
        <v>6</v>
      </c>
      <c r="J17" s="93">
        <v>45017</v>
      </c>
      <c r="K17" s="85" t="s">
        <v>1450</v>
      </c>
      <c r="L17" s="87">
        <v>1300</v>
      </c>
      <c r="M17" s="85">
        <v>21</v>
      </c>
      <c r="N17" s="93" t="s">
        <v>790</v>
      </c>
      <c r="O17" s="85" t="s">
        <v>3123</v>
      </c>
      <c r="P17" s="148">
        <v>7609.75</v>
      </c>
      <c r="Q17" s="94"/>
      <c r="R17" s="93"/>
      <c r="S17" s="85"/>
      <c r="U17" s="94"/>
      <c r="V17" s="93"/>
      <c r="W17" s="85"/>
      <c r="Y17" s="94"/>
      <c r="Z17" s="93"/>
      <c r="AA17" s="85"/>
      <c r="AC17" s="94"/>
      <c r="AD17" s="93"/>
      <c r="AE17" s="85"/>
    </row>
    <row r="18" spans="5:31" x14ac:dyDescent="0.35">
      <c r="E18" s="92">
        <v>20</v>
      </c>
      <c r="F18" s="93" t="s">
        <v>1186</v>
      </c>
      <c r="G18" s="85" t="s">
        <v>1451</v>
      </c>
      <c r="H18" s="87">
        <f>43.78+724.55</f>
        <v>768.32999999999993</v>
      </c>
      <c r="I18" s="94">
        <v>20</v>
      </c>
      <c r="J18" s="93">
        <v>45017</v>
      </c>
      <c r="K18" s="85" t="s">
        <v>1452</v>
      </c>
      <c r="L18" s="87">
        <v>176.4</v>
      </c>
      <c r="M18" s="94">
        <v>13</v>
      </c>
      <c r="N18" s="93">
        <v>45474</v>
      </c>
      <c r="O18" s="86" t="s">
        <v>3021</v>
      </c>
      <c r="P18" s="87">
        <v>200.74</v>
      </c>
      <c r="Q18" s="94"/>
      <c r="R18" s="93"/>
      <c r="S18" s="85"/>
      <c r="U18" s="94"/>
      <c r="V18" s="93"/>
      <c r="W18" s="85"/>
      <c r="Y18" s="94"/>
      <c r="Z18" s="93"/>
      <c r="AA18" s="85"/>
      <c r="AC18" s="94"/>
      <c r="AD18" s="93"/>
      <c r="AE18" s="85"/>
    </row>
    <row r="19" spans="5:31" x14ac:dyDescent="0.35">
      <c r="E19" s="85">
        <v>8</v>
      </c>
      <c r="F19" s="93" t="s">
        <v>891</v>
      </c>
      <c r="G19" s="85" t="s">
        <v>1453</v>
      </c>
      <c r="H19" s="87">
        <f>9.27+5.86+3.5+43.99+10.1+8.99+43.99+12.87+43.99+36+14.7+43.99+32.88+72+43.99+37.98+8.4+30+43.99+6.25+0.95+12.63+43.99+43.99+16.6+6.5+4.15+7.8+43.99</f>
        <v>733.34</v>
      </c>
      <c r="I19" s="94">
        <v>12</v>
      </c>
      <c r="J19" s="93" t="s">
        <v>790</v>
      </c>
      <c r="K19" s="85" t="s">
        <v>1454</v>
      </c>
      <c r="L19" s="87">
        <v>15174.22</v>
      </c>
      <c r="M19" s="94">
        <v>22</v>
      </c>
      <c r="N19" s="93">
        <v>45477</v>
      </c>
      <c r="O19" s="87" t="s">
        <v>1232</v>
      </c>
      <c r="P19" s="87">
        <v>250.46</v>
      </c>
      <c r="Q19" s="94"/>
      <c r="R19" s="93"/>
      <c r="S19" s="85"/>
      <c r="U19" s="94"/>
      <c r="V19" s="93"/>
      <c r="W19" s="85"/>
      <c r="Y19" s="94"/>
      <c r="Z19" s="93"/>
      <c r="AA19" s="85"/>
      <c r="AC19" s="94"/>
      <c r="AD19" s="93"/>
      <c r="AE19" s="85"/>
    </row>
    <row r="20" spans="5:31" x14ac:dyDescent="0.35">
      <c r="E20" s="92">
        <v>19</v>
      </c>
      <c r="F20" s="93" t="s">
        <v>1186</v>
      </c>
      <c r="G20" s="85" t="s">
        <v>240</v>
      </c>
      <c r="H20" s="87">
        <f>400*9+106+21.23</f>
        <v>3727.23</v>
      </c>
      <c r="I20" s="94">
        <v>12</v>
      </c>
      <c r="J20" s="93" t="s">
        <v>790</v>
      </c>
      <c r="K20" s="85" t="s">
        <v>1455</v>
      </c>
      <c r="L20" s="87">
        <f>3357.4*4</f>
        <v>13429.6</v>
      </c>
      <c r="M20" s="94">
        <v>22</v>
      </c>
      <c r="N20" s="93">
        <v>45457</v>
      </c>
      <c r="O20" s="93" t="s">
        <v>3127</v>
      </c>
      <c r="P20" s="148">
        <v>399.37</v>
      </c>
      <c r="Q20" s="94"/>
      <c r="R20" s="93"/>
      <c r="S20" s="85"/>
      <c r="U20" s="94"/>
      <c r="V20" s="93"/>
      <c r="W20" s="85"/>
      <c r="Y20" s="94"/>
      <c r="Z20" s="93"/>
      <c r="AA20" s="85"/>
      <c r="AC20" s="94"/>
      <c r="AD20" s="93"/>
      <c r="AE20" s="85"/>
    </row>
    <row r="21" spans="5:31" x14ac:dyDescent="0.35">
      <c r="E21" s="85">
        <v>7</v>
      </c>
      <c r="F21" s="93" t="s">
        <v>891</v>
      </c>
      <c r="G21" s="85" t="s">
        <v>229</v>
      </c>
      <c r="H21" s="87">
        <v>504.69</v>
      </c>
      <c r="I21" s="94">
        <v>12</v>
      </c>
      <c r="J21" s="93" t="s">
        <v>790</v>
      </c>
      <c r="K21" s="85" t="s">
        <v>1456</v>
      </c>
      <c r="L21" s="87">
        <v>30542</v>
      </c>
      <c r="M21" s="94">
        <v>22</v>
      </c>
      <c r="N21" s="93">
        <v>45435</v>
      </c>
      <c r="O21" s="85" t="s">
        <v>2903</v>
      </c>
      <c r="P21" s="87">
        <v>522.82000000000005</v>
      </c>
      <c r="Q21" s="94"/>
      <c r="R21" s="93"/>
      <c r="S21" s="85"/>
      <c r="U21" s="94"/>
      <c r="V21" s="93"/>
      <c r="W21" s="85"/>
      <c r="Y21" s="94"/>
      <c r="Z21" s="93"/>
      <c r="AA21" s="85"/>
      <c r="AC21" s="94"/>
      <c r="AD21" s="93"/>
      <c r="AE21" s="85"/>
    </row>
    <row r="22" spans="5:31" x14ac:dyDescent="0.35">
      <c r="E22" s="92">
        <v>17</v>
      </c>
      <c r="F22" s="93" t="s">
        <v>891</v>
      </c>
      <c r="G22" s="85" t="s">
        <v>1457</v>
      </c>
      <c r="H22" s="87">
        <v>9481</v>
      </c>
      <c r="I22" s="94">
        <v>17</v>
      </c>
      <c r="J22" s="93">
        <v>45017</v>
      </c>
      <c r="K22" s="85" t="s">
        <v>151</v>
      </c>
      <c r="L22" s="87">
        <v>9955.0499999999993</v>
      </c>
      <c r="M22" s="94">
        <v>22</v>
      </c>
      <c r="N22" s="93">
        <v>45435</v>
      </c>
      <c r="O22" s="85" t="s">
        <v>1209</v>
      </c>
      <c r="P22" s="87">
        <v>518.29</v>
      </c>
      <c r="Q22" s="94"/>
      <c r="R22" s="93"/>
      <c r="S22" s="85"/>
      <c r="U22" s="94"/>
      <c r="V22" s="93"/>
      <c r="W22" s="85"/>
      <c r="Y22" s="94"/>
      <c r="Z22" s="93"/>
      <c r="AA22" s="85"/>
      <c r="AC22" s="94"/>
      <c r="AD22" s="93"/>
      <c r="AE22" s="85"/>
    </row>
    <row r="23" spans="5:31" x14ac:dyDescent="0.35">
      <c r="E23" s="92">
        <v>17</v>
      </c>
      <c r="F23" s="93">
        <v>44652</v>
      </c>
      <c r="G23" s="85" t="s">
        <v>1458</v>
      </c>
      <c r="H23" s="87">
        <v>285</v>
      </c>
      <c r="I23" s="94">
        <v>19</v>
      </c>
      <c r="J23" s="93">
        <v>45042</v>
      </c>
      <c r="K23" s="85" t="s">
        <v>1459</v>
      </c>
      <c r="L23" s="87">
        <v>421</v>
      </c>
      <c r="M23" s="85">
        <v>13</v>
      </c>
      <c r="N23" s="93">
        <v>45428</v>
      </c>
      <c r="O23" s="85" t="s">
        <v>3179</v>
      </c>
      <c r="P23" s="87">
        <v>1806.65</v>
      </c>
      <c r="Q23" s="94"/>
      <c r="R23" s="93"/>
      <c r="S23" s="85"/>
      <c r="U23" s="94"/>
      <c r="V23" s="93"/>
      <c r="W23" s="85"/>
      <c r="Y23" s="94"/>
      <c r="Z23" s="93"/>
      <c r="AA23" s="85"/>
      <c r="AC23" s="94"/>
      <c r="AD23" s="93"/>
      <c r="AE23" s="85"/>
    </row>
    <row r="24" spans="5:31" x14ac:dyDescent="0.35">
      <c r="E24" s="85">
        <v>10</v>
      </c>
      <c r="F24" s="93" t="s">
        <v>1186</v>
      </c>
      <c r="G24" s="85" t="s">
        <v>525</v>
      </c>
      <c r="H24" s="87">
        <f>132.48+61.4+158.97+337.25+433.33+13.58+21.66+10.81+9.99+69.72+54.64+19.17+67.06+103.4+11.9+48.69+439+74.99+26.65+20.83+40.87+11.24+113.66+42.63+12.16+14.99+186.86-18.33+24.99+113.97+164.55+44.76+5.42+3.66+42.77+6.65+14.1+132.28</f>
        <v>3072.75</v>
      </c>
      <c r="I24" s="94">
        <v>7</v>
      </c>
      <c r="J24" s="93">
        <v>45019</v>
      </c>
      <c r="K24" s="85" t="s">
        <v>1460</v>
      </c>
      <c r="L24" s="87">
        <v>6.66</v>
      </c>
      <c r="M24" s="85"/>
      <c r="N24" s="93"/>
      <c r="O24" s="85"/>
      <c r="Q24" s="94"/>
      <c r="R24" s="93"/>
      <c r="S24" s="85"/>
      <c r="U24" s="94"/>
      <c r="V24" s="93"/>
      <c r="W24" s="85"/>
      <c r="Y24" s="94"/>
      <c r="Z24" s="93"/>
      <c r="AA24" s="85"/>
      <c r="AC24" s="94"/>
      <c r="AD24" s="93"/>
      <c r="AE24" s="85"/>
    </row>
    <row r="25" spans="5:31" x14ac:dyDescent="0.35">
      <c r="E25" s="85">
        <v>11</v>
      </c>
      <c r="F25" s="93">
        <v>44833</v>
      </c>
      <c r="G25" s="85" t="s">
        <v>1461</v>
      </c>
      <c r="H25" s="87">
        <v>3570.6</v>
      </c>
      <c r="I25" s="94">
        <v>20</v>
      </c>
      <c r="J25" s="93">
        <v>45034</v>
      </c>
      <c r="K25" s="85" t="s">
        <v>1462</v>
      </c>
      <c r="L25" s="87">
        <v>367.77</v>
      </c>
      <c r="M25" s="85"/>
      <c r="N25" s="93"/>
      <c r="O25" s="85"/>
      <c r="Q25" s="94"/>
      <c r="R25" s="93"/>
      <c r="S25" s="85"/>
      <c r="U25" s="94"/>
      <c r="V25" s="93"/>
      <c r="W25" s="85"/>
      <c r="Y25" s="94"/>
      <c r="Z25" s="93"/>
      <c r="AA25" s="85"/>
      <c r="AC25" s="94"/>
      <c r="AD25" s="93"/>
      <c r="AE25" s="85"/>
    </row>
    <row r="26" spans="5:31" x14ac:dyDescent="0.35">
      <c r="E26" s="85">
        <v>10</v>
      </c>
      <c r="F26" s="93">
        <v>44762</v>
      </c>
      <c r="G26" s="85" t="s">
        <v>1463</v>
      </c>
      <c r="H26" s="87">
        <f>95.82+13.57+438.73</f>
        <v>548.12</v>
      </c>
      <c r="I26" s="94">
        <v>8</v>
      </c>
      <c r="J26" s="93">
        <v>45040</v>
      </c>
      <c r="K26" s="85" t="s">
        <v>1449</v>
      </c>
      <c r="L26" s="87">
        <v>4.95</v>
      </c>
      <c r="M26" s="85"/>
      <c r="N26" s="93"/>
      <c r="O26" s="85"/>
      <c r="Q26" s="94"/>
      <c r="R26" s="93"/>
      <c r="S26" s="85"/>
      <c r="U26" s="94"/>
      <c r="V26" s="93"/>
      <c r="W26" s="85"/>
      <c r="Y26" s="94"/>
      <c r="Z26" s="93"/>
      <c r="AA26" s="85"/>
      <c r="AC26" s="94"/>
      <c r="AD26" s="93"/>
      <c r="AE26" s="85"/>
    </row>
    <row r="27" spans="5:31" x14ac:dyDescent="0.35">
      <c r="E27" s="85">
        <v>10</v>
      </c>
      <c r="F27" s="93">
        <v>44817</v>
      </c>
      <c r="G27" s="85" t="s">
        <v>1464</v>
      </c>
      <c r="H27" s="87">
        <f>6.13+5.67</f>
        <v>11.8</v>
      </c>
      <c r="I27" s="94">
        <v>7</v>
      </c>
      <c r="J27" s="93">
        <v>45040</v>
      </c>
      <c r="K27" s="85" t="s">
        <v>1465</v>
      </c>
      <c r="L27" s="87">
        <v>13.32</v>
      </c>
      <c r="M27" s="85"/>
      <c r="N27" s="93"/>
      <c r="O27" s="85"/>
      <c r="Q27" s="94"/>
      <c r="R27" s="93"/>
      <c r="S27" s="85"/>
      <c r="U27" s="94"/>
      <c r="V27" s="93"/>
      <c r="W27" s="85"/>
      <c r="Y27" s="94"/>
      <c r="Z27" s="93"/>
      <c r="AA27" s="85"/>
      <c r="AC27" s="94"/>
      <c r="AD27" s="93"/>
      <c r="AE27" s="85"/>
    </row>
    <row r="28" spans="5:31" x14ac:dyDescent="0.35">
      <c r="E28" s="85">
        <v>10</v>
      </c>
      <c r="F28" s="93">
        <v>44871</v>
      </c>
      <c r="G28" s="85" t="s">
        <v>1466</v>
      </c>
      <c r="H28" s="87">
        <v>14.99</v>
      </c>
      <c r="I28" s="94">
        <v>14</v>
      </c>
      <c r="J28" s="93">
        <v>45064</v>
      </c>
      <c r="K28" s="85" t="s">
        <v>1467</v>
      </c>
      <c r="L28" s="87">
        <v>45.46</v>
      </c>
      <c r="M28" s="85"/>
      <c r="N28" s="93"/>
      <c r="O28" s="85"/>
      <c r="Q28" s="94"/>
      <c r="R28" s="93"/>
      <c r="S28" s="85"/>
      <c r="U28" s="94"/>
      <c r="V28" s="93"/>
      <c r="W28" s="85"/>
      <c r="Y28" s="94"/>
      <c r="Z28" s="93"/>
      <c r="AA28" s="85"/>
      <c r="AC28" s="94"/>
      <c r="AD28" s="93"/>
      <c r="AE28" s="85"/>
    </row>
    <row r="29" spans="5:31" x14ac:dyDescent="0.35">
      <c r="E29" s="85">
        <v>10</v>
      </c>
      <c r="F29" s="93">
        <v>44875</v>
      </c>
      <c r="G29" s="85" t="s">
        <v>1468</v>
      </c>
      <c r="H29" s="87">
        <v>12.87</v>
      </c>
      <c r="I29" s="94">
        <v>19</v>
      </c>
      <c r="J29" s="93">
        <v>45063</v>
      </c>
      <c r="K29" s="85" t="s">
        <v>1469</v>
      </c>
      <c r="L29" s="87">
        <v>420</v>
      </c>
      <c r="M29" s="85"/>
      <c r="N29" s="93"/>
      <c r="O29" s="85"/>
      <c r="Q29" s="94"/>
      <c r="R29" s="93"/>
      <c r="S29" s="85"/>
      <c r="U29" s="94"/>
      <c r="V29" s="93"/>
      <c r="W29" s="85"/>
      <c r="Y29" s="94"/>
      <c r="Z29" s="93"/>
      <c r="AA29" s="85"/>
      <c r="AC29" s="94"/>
      <c r="AD29" s="93"/>
      <c r="AE29" s="85"/>
    </row>
    <row r="30" spans="5:31" x14ac:dyDescent="0.35">
      <c r="E30" s="85">
        <v>6</v>
      </c>
      <c r="F30" s="93" t="s">
        <v>790</v>
      </c>
      <c r="G30" s="85" t="s">
        <v>1470</v>
      </c>
      <c r="H30" s="87">
        <f>3231*4</f>
        <v>12924</v>
      </c>
      <c r="I30" s="94">
        <v>16</v>
      </c>
      <c r="J30" s="93">
        <v>45050</v>
      </c>
      <c r="K30" s="85" t="s">
        <v>1471</v>
      </c>
      <c r="L30" s="87">
        <f>231.08-96.68</f>
        <v>134.4</v>
      </c>
      <c r="M30" s="85"/>
      <c r="N30" s="93"/>
      <c r="O30" s="85"/>
      <c r="Q30" s="94"/>
      <c r="R30" s="93"/>
      <c r="S30" s="85"/>
      <c r="U30" s="94"/>
      <c r="V30" s="93"/>
      <c r="W30" s="85"/>
      <c r="Y30" s="94"/>
      <c r="Z30" s="93"/>
      <c r="AA30" s="85"/>
      <c r="AC30" s="94"/>
      <c r="AD30" s="93"/>
      <c r="AE30" s="85"/>
    </row>
    <row r="31" spans="5:31" x14ac:dyDescent="0.35">
      <c r="E31" s="85">
        <v>12</v>
      </c>
      <c r="F31" s="93" t="s">
        <v>790</v>
      </c>
      <c r="G31" s="85" t="s">
        <v>1472</v>
      </c>
      <c r="H31" s="87">
        <f>3357.4*4</f>
        <v>13429.6</v>
      </c>
      <c r="I31" s="94">
        <v>14</v>
      </c>
      <c r="J31" s="93">
        <v>45046</v>
      </c>
      <c r="K31" s="85" t="s">
        <v>1473</v>
      </c>
      <c r="L31" s="87">
        <v>1031.17</v>
      </c>
      <c r="M31" s="85"/>
      <c r="N31" s="93"/>
      <c r="O31" s="85"/>
      <c r="Q31" s="94"/>
      <c r="R31" s="93"/>
      <c r="S31" s="85"/>
      <c r="U31" s="94"/>
      <c r="V31" s="93"/>
      <c r="W31" s="85"/>
      <c r="Y31" s="94"/>
      <c r="Z31" s="93"/>
      <c r="AA31" s="85"/>
      <c r="AC31" s="94"/>
      <c r="AD31" s="93"/>
      <c r="AE31" s="85"/>
    </row>
    <row r="32" spans="5:31" x14ac:dyDescent="0.35">
      <c r="E32" s="85">
        <v>12</v>
      </c>
      <c r="F32" s="93" t="s">
        <v>790</v>
      </c>
      <c r="G32" s="85" t="s">
        <v>1454</v>
      </c>
      <c r="H32" s="87">
        <f>3675*4</f>
        <v>14700</v>
      </c>
      <c r="I32" s="94">
        <v>14</v>
      </c>
      <c r="J32" s="93">
        <v>45036</v>
      </c>
      <c r="K32" s="85" t="s">
        <v>1474</v>
      </c>
      <c r="L32" s="87">
        <v>33.33</v>
      </c>
      <c r="M32" s="85"/>
      <c r="N32" s="93"/>
      <c r="O32" s="85"/>
      <c r="Q32" s="94"/>
      <c r="R32" s="93"/>
      <c r="S32" s="85"/>
      <c r="U32" s="94"/>
      <c r="V32" s="93"/>
      <c r="W32" s="85"/>
      <c r="Y32" s="94"/>
      <c r="Z32" s="93"/>
      <c r="AA32" s="85"/>
      <c r="AC32" s="94"/>
      <c r="AD32" s="93"/>
      <c r="AE32" s="85"/>
    </row>
    <row r="33" spans="5:31" x14ac:dyDescent="0.35">
      <c r="E33" s="85">
        <v>12</v>
      </c>
      <c r="F33" s="93" t="s">
        <v>790</v>
      </c>
      <c r="G33" s="85" t="s">
        <v>1475</v>
      </c>
      <c r="H33" s="87">
        <f>8312.25*2+7591.25*2</f>
        <v>31807</v>
      </c>
      <c r="I33" s="94">
        <v>14</v>
      </c>
      <c r="J33" s="93">
        <v>45021</v>
      </c>
      <c r="K33" s="85" t="s">
        <v>1476</v>
      </c>
      <c r="L33" s="87">
        <v>37.49</v>
      </c>
      <c r="M33" s="85"/>
      <c r="N33" s="93"/>
      <c r="O33" s="85"/>
      <c r="Q33" s="94"/>
      <c r="R33" s="93"/>
      <c r="S33" s="85"/>
      <c r="U33" s="94"/>
      <c r="V33" s="93"/>
      <c r="W33" s="85"/>
      <c r="Y33" s="94"/>
      <c r="Z33" s="93"/>
      <c r="AA33" s="85"/>
      <c r="AC33" s="94"/>
      <c r="AD33" s="93"/>
      <c r="AE33" s="85"/>
    </row>
    <row r="34" spans="5:31" x14ac:dyDescent="0.35">
      <c r="E34" s="85">
        <v>5</v>
      </c>
      <c r="F34" s="93">
        <v>44797</v>
      </c>
      <c r="G34" s="85" t="s">
        <v>1477</v>
      </c>
      <c r="H34" s="87">
        <f>737+17</f>
        <v>754</v>
      </c>
      <c r="I34" s="94">
        <v>14</v>
      </c>
      <c r="J34" s="93">
        <v>45021</v>
      </c>
      <c r="K34" s="85" t="s">
        <v>1478</v>
      </c>
      <c r="L34" s="87">
        <v>29.66</v>
      </c>
      <c r="M34" s="85"/>
      <c r="N34" s="93"/>
      <c r="O34" s="85"/>
      <c r="Q34" s="94"/>
      <c r="R34" s="93"/>
      <c r="S34" s="85"/>
      <c r="U34" s="94"/>
      <c r="V34" s="93"/>
      <c r="W34" s="85"/>
      <c r="Y34" s="94"/>
      <c r="Z34" s="93"/>
      <c r="AA34" s="85"/>
      <c r="AC34" s="94"/>
      <c r="AD34" s="93"/>
      <c r="AE34" s="85"/>
    </row>
    <row r="35" spans="5:31" x14ac:dyDescent="0.35">
      <c r="E35" s="85">
        <v>5</v>
      </c>
      <c r="F35" s="93">
        <v>44797</v>
      </c>
      <c r="G35" s="85" t="s">
        <v>1479</v>
      </c>
      <c r="H35" s="87">
        <f>2096.32+250</f>
        <v>2346.3200000000002</v>
      </c>
      <c r="I35" s="94">
        <v>14</v>
      </c>
      <c r="J35" s="93">
        <v>45021</v>
      </c>
      <c r="K35" s="85" t="s">
        <v>1476</v>
      </c>
      <c r="L35" s="87">
        <v>37.49</v>
      </c>
      <c r="M35" s="85"/>
      <c r="N35" s="93"/>
      <c r="O35" s="85"/>
      <c r="Q35" s="94"/>
      <c r="R35" s="93"/>
      <c r="S35" s="85"/>
      <c r="U35" s="94"/>
      <c r="V35" s="93"/>
      <c r="W35" s="85"/>
      <c r="Y35" s="94"/>
      <c r="Z35" s="93"/>
      <c r="AA35" s="85"/>
      <c r="AC35" s="94"/>
      <c r="AD35" s="93"/>
      <c r="AE35" s="85"/>
    </row>
    <row r="36" spans="5:31" x14ac:dyDescent="0.35">
      <c r="E36" s="85">
        <v>6</v>
      </c>
      <c r="F36" s="93">
        <v>44652</v>
      </c>
      <c r="G36" s="85" t="s">
        <v>1450</v>
      </c>
      <c r="H36" s="87">
        <v>959</v>
      </c>
      <c r="I36" s="94">
        <v>14</v>
      </c>
      <c r="J36" s="93">
        <v>45028</v>
      </c>
      <c r="K36" s="85" t="s">
        <v>1480</v>
      </c>
      <c r="L36" s="87">
        <v>348.14</v>
      </c>
      <c r="M36" s="85"/>
      <c r="N36" s="93"/>
      <c r="O36" s="85"/>
      <c r="Q36" s="94"/>
      <c r="R36" s="93"/>
      <c r="S36" s="85"/>
      <c r="U36" s="94"/>
      <c r="V36" s="93"/>
      <c r="W36" s="85"/>
      <c r="Y36" s="94"/>
      <c r="Z36" s="93"/>
      <c r="AA36" s="85"/>
      <c r="AC36" s="94"/>
      <c r="AD36" s="93"/>
      <c r="AE36" s="85"/>
    </row>
    <row r="37" spans="5:31" x14ac:dyDescent="0.35">
      <c r="E37" s="85">
        <v>6</v>
      </c>
      <c r="F37" s="93">
        <v>44876</v>
      </c>
      <c r="G37" s="85" t="s">
        <v>1481</v>
      </c>
      <c r="H37" s="87">
        <f>-3231/6</f>
        <v>-538.5</v>
      </c>
      <c r="I37" s="94">
        <v>14</v>
      </c>
      <c r="J37" s="93">
        <v>45028</v>
      </c>
      <c r="K37" s="85" t="s">
        <v>1482</v>
      </c>
      <c r="L37" s="87">
        <v>24.99</v>
      </c>
      <c r="M37" s="85"/>
      <c r="N37" s="93"/>
      <c r="O37" s="85"/>
      <c r="Q37" s="94"/>
      <c r="R37" s="93"/>
      <c r="S37" s="85"/>
      <c r="U37" s="94"/>
      <c r="V37" s="93"/>
      <c r="W37" s="85"/>
      <c r="Y37" s="94"/>
      <c r="Z37" s="93"/>
      <c r="AA37" s="85"/>
      <c r="AC37" s="94"/>
      <c r="AD37" s="93"/>
      <c r="AE37" s="85"/>
    </row>
    <row r="38" spans="5:31" x14ac:dyDescent="0.35">
      <c r="E38" s="85">
        <v>12</v>
      </c>
      <c r="F38" s="93">
        <v>44876</v>
      </c>
      <c r="G38" s="85" t="s">
        <v>1483</v>
      </c>
      <c r="H38" s="87">
        <v>-2277.23</v>
      </c>
      <c r="I38" s="94">
        <v>14</v>
      </c>
      <c r="J38" s="93">
        <v>45033</v>
      </c>
      <c r="K38" s="85" t="s">
        <v>1484</v>
      </c>
      <c r="L38" s="87">
        <v>49.99</v>
      </c>
      <c r="M38" s="85"/>
      <c r="N38" s="93"/>
      <c r="O38" s="85"/>
      <c r="Q38" s="94"/>
      <c r="R38" s="93"/>
      <c r="S38" s="85"/>
      <c r="U38" s="94"/>
      <c r="V38" s="93"/>
      <c r="W38" s="85"/>
      <c r="Y38" s="94"/>
      <c r="Z38" s="93"/>
      <c r="AA38" s="85"/>
      <c r="AC38" s="94"/>
      <c r="AD38" s="93"/>
      <c r="AE38" s="85"/>
    </row>
    <row r="39" spans="5:31" x14ac:dyDescent="0.35">
      <c r="E39" s="92">
        <v>19</v>
      </c>
      <c r="F39" s="93">
        <v>44882</v>
      </c>
      <c r="G39" s="85" t="s">
        <v>240</v>
      </c>
      <c r="H39" s="87">
        <v>400</v>
      </c>
      <c r="I39" s="94">
        <v>14</v>
      </c>
      <c r="J39" s="93">
        <v>45036</v>
      </c>
      <c r="K39" s="85" t="s">
        <v>1476</v>
      </c>
      <c r="L39" s="87">
        <v>43.7</v>
      </c>
      <c r="M39" s="85"/>
      <c r="N39" s="93"/>
      <c r="O39" s="85"/>
      <c r="Q39" s="94"/>
      <c r="R39" s="93"/>
      <c r="S39" s="85"/>
      <c r="U39" s="94"/>
      <c r="V39" s="93"/>
      <c r="W39" s="85"/>
      <c r="Y39" s="94"/>
      <c r="Z39" s="93"/>
      <c r="AA39" s="85"/>
      <c r="AC39" s="94"/>
      <c r="AD39" s="93"/>
      <c r="AE39" s="85"/>
    </row>
    <row r="40" spans="5:31" ht="43.5" x14ac:dyDescent="0.35">
      <c r="E40" s="85">
        <v>1</v>
      </c>
      <c r="F40" s="93" t="s">
        <v>1485</v>
      </c>
      <c r="G40" s="98" t="s">
        <v>235</v>
      </c>
      <c r="H40" s="87">
        <v>100000</v>
      </c>
      <c r="I40" s="94">
        <v>14</v>
      </c>
      <c r="J40" s="93">
        <v>45040</v>
      </c>
      <c r="K40" s="85" t="s">
        <v>1476</v>
      </c>
      <c r="L40" s="87">
        <v>64.959999999999994</v>
      </c>
      <c r="M40" s="85"/>
      <c r="N40" s="93"/>
      <c r="O40" s="85"/>
      <c r="Q40" s="94"/>
      <c r="R40" s="93"/>
      <c r="S40" s="85"/>
      <c r="U40" s="94"/>
      <c r="V40" s="93"/>
      <c r="W40" s="85"/>
      <c r="Y40" s="94"/>
      <c r="Z40" s="93"/>
      <c r="AA40" s="85"/>
      <c r="AC40" s="94"/>
      <c r="AD40" s="93"/>
      <c r="AE40" s="85"/>
    </row>
    <row r="41" spans="5:31" x14ac:dyDescent="0.35">
      <c r="E41" s="85">
        <v>1</v>
      </c>
      <c r="F41" s="93" t="s">
        <v>1485</v>
      </c>
      <c r="G41" s="85" t="s">
        <v>1486</v>
      </c>
      <c r="H41" s="87">
        <v>10000</v>
      </c>
      <c r="I41" s="94">
        <v>14</v>
      </c>
      <c r="J41" s="93">
        <v>45043</v>
      </c>
      <c r="K41" s="85" t="s">
        <v>1476</v>
      </c>
      <c r="L41" s="87">
        <v>263.91000000000003</v>
      </c>
      <c r="M41" s="85"/>
      <c r="N41" s="93"/>
      <c r="O41" s="85"/>
      <c r="Q41" s="94"/>
      <c r="R41" s="93"/>
      <c r="S41" s="85"/>
      <c r="U41" s="94"/>
      <c r="V41" s="93"/>
      <c r="W41" s="85"/>
      <c r="Y41" s="94"/>
      <c r="Z41" s="93"/>
      <c r="AA41" s="85"/>
      <c r="AC41" s="94"/>
      <c r="AD41" s="93"/>
      <c r="AE41" s="85"/>
    </row>
    <row r="42" spans="5:31" x14ac:dyDescent="0.35">
      <c r="E42" s="92">
        <v>20</v>
      </c>
      <c r="F42" s="93">
        <v>44896</v>
      </c>
      <c r="G42" s="85" t="s">
        <v>1487</v>
      </c>
      <c r="H42" s="87">
        <v>5669.5</v>
      </c>
      <c r="I42" s="94">
        <v>3</v>
      </c>
      <c r="J42" s="93">
        <v>45058</v>
      </c>
      <c r="K42" s="85" t="s">
        <v>1488</v>
      </c>
      <c r="L42" s="87">
        <v>1416.8</v>
      </c>
      <c r="M42" s="85"/>
      <c r="N42" s="93"/>
      <c r="O42" s="85"/>
      <c r="Q42" s="94"/>
      <c r="R42" s="93"/>
      <c r="S42" s="85"/>
      <c r="U42" s="94"/>
      <c r="V42" s="93"/>
      <c r="W42" s="85"/>
      <c r="Y42" s="94"/>
      <c r="Z42" s="93"/>
      <c r="AA42" s="85"/>
      <c r="AC42" s="94"/>
      <c r="AD42" s="93"/>
      <c r="AE42" s="85"/>
    </row>
    <row r="43" spans="5:31" x14ac:dyDescent="0.35">
      <c r="E43" s="92">
        <v>19</v>
      </c>
      <c r="F43" s="93">
        <v>44896</v>
      </c>
      <c r="G43" s="85" t="s">
        <v>240</v>
      </c>
      <c r="H43" s="87">
        <v>400</v>
      </c>
      <c r="I43" s="94">
        <v>17</v>
      </c>
      <c r="J43" s="93">
        <v>45042</v>
      </c>
      <c r="K43" s="85" t="s">
        <v>1371</v>
      </c>
      <c r="L43" s="87">
        <v>350</v>
      </c>
      <c r="M43" s="85"/>
      <c r="N43" s="93"/>
      <c r="O43" s="85"/>
      <c r="Q43" s="94"/>
      <c r="R43" s="93"/>
      <c r="S43" s="85"/>
      <c r="U43" s="94"/>
      <c r="V43" s="93"/>
      <c r="W43" s="85"/>
      <c r="Y43" s="94"/>
      <c r="Z43" s="93"/>
      <c r="AA43" s="85"/>
      <c r="AC43" s="94"/>
      <c r="AD43" s="93"/>
      <c r="AE43" s="85"/>
    </row>
    <row r="44" spans="5:31" x14ac:dyDescent="0.35">
      <c r="E44" s="92">
        <v>1</v>
      </c>
      <c r="F44" s="97" t="s">
        <v>784</v>
      </c>
      <c r="G44" s="92" t="s">
        <v>1154</v>
      </c>
      <c r="H44" s="90">
        <v>-118000</v>
      </c>
      <c r="I44" s="94">
        <v>8</v>
      </c>
      <c r="J44" s="93">
        <v>45061</v>
      </c>
      <c r="K44" s="85" t="s">
        <v>1489</v>
      </c>
      <c r="L44" s="87">
        <v>14.23</v>
      </c>
      <c r="M44" s="85"/>
      <c r="N44" s="93"/>
      <c r="O44" s="85"/>
      <c r="Q44" s="94"/>
      <c r="R44" s="93"/>
      <c r="S44" s="85"/>
      <c r="U44" s="94"/>
      <c r="V44" s="93"/>
      <c r="W44" s="85"/>
      <c r="Y44" s="94"/>
      <c r="Z44" s="93"/>
      <c r="AA44" s="85"/>
      <c r="AC44" s="94"/>
      <c r="AD44" s="93"/>
      <c r="AE44" s="85"/>
    </row>
    <row r="45" spans="5:31" x14ac:dyDescent="0.35">
      <c r="E45" s="92">
        <v>1</v>
      </c>
      <c r="F45" s="97" t="s">
        <v>699</v>
      </c>
      <c r="G45" s="92" t="s">
        <v>1490</v>
      </c>
      <c r="H45" s="90">
        <v>-32000</v>
      </c>
      <c r="I45" s="94">
        <v>16</v>
      </c>
      <c r="J45" s="93">
        <v>45061</v>
      </c>
      <c r="K45" s="85" t="s">
        <v>1489</v>
      </c>
      <c r="L45" s="87">
        <v>12</v>
      </c>
      <c r="M45" s="85"/>
      <c r="N45" s="93"/>
      <c r="O45" s="85"/>
      <c r="Q45" s="94"/>
      <c r="R45" s="93"/>
      <c r="S45" s="85"/>
      <c r="U45" s="94"/>
      <c r="V45" s="93"/>
      <c r="W45" s="85"/>
      <c r="Y45" s="94"/>
      <c r="Z45" s="93"/>
      <c r="AA45" s="85"/>
      <c r="AC45" s="94"/>
      <c r="AD45" s="93"/>
      <c r="AE45" s="85"/>
    </row>
    <row r="46" spans="5:31" x14ac:dyDescent="0.35">
      <c r="E46" s="92">
        <v>1</v>
      </c>
      <c r="F46" s="97" t="s">
        <v>1199</v>
      </c>
      <c r="G46" s="92" t="s">
        <v>1491</v>
      </c>
      <c r="H46" s="90">
        <v>-10000</v>
      </c>
      <c r="I46" s="117">
        <v>7</v>
      </c>
      <c r="J46" s="93">
        <v>45061</v>
      </c>
      <c r="K46" s="85" t="s">
        <v>1465</v>
      </c>
      <c r="L46" s="87">
        <v>16.649999999999999</v>
      </c>
      <c r="M46" s="85"/>
      <c r="N46" s="93"/>
      <c r="O46" s="85"/>
      <c r="Q46" s="94"/>
      <c r="R46" s="93"/>
      <c r="S46" s="85"/>
      <c r="U46" s="94"/>
      <c r="V46" s="93"/>
      <c r="W46" s="85"/>
      <c r="Y46" s="94"/>
      <c r="Z46" s="93"/>
      <c r="AA46" s="85"/>
      <c r="AC46" s="94"/>
      <c r="AD46" s="93"/>
      <c r="AE46" s="85"/>
    </row>
    <row r="47" spans="5:31" x14ac:dyDescent="0.35">
      <c r="E47" s="92">
        <v>1</v>
      </c>
      <c r="F47" s="97" t="s">
        <v>784</v>
      </c>
      <c r="G47" s="92" t="s">
        <v>1154</v>
      </c>
      <c r="H47" s="90">
        <v>-10000</v>
      </c>
      <c r="I47" s="117">
        <v>7</v>
      </c>
      <c r="J47" s="93">
        <v>45061</v>
      </c>
      <c r="K47" s="85" t="s">
        <v>1492</v>
      </c>
      <c r="L47" s="87">
        <v>11.66</v>
      </c>
      <c r="M47" s="85"/>
      <c r="N47" s="93"/>
      <c r="O47" s="85"/>
      <c r="Q47" s="94"/>
      <c r="R47" s="93"/>
      <c r="S47" s="85"/>
      <c r="U47" s="94"/>
      <c r="V47" s="93"/>
      <c r="W47" s="85"/>
      <c r="Y47" s="94"/>
      <c r="Z47" s="93"/>
      <c r="AA47" s="85"/>
      <c r="AC47" s="94"/>
      <c r="AD47" s="93"/>
      <c r="AE47" s="85"/>
    </row>
    <row r="48" spans="5:31" x14ac:dyDescent="0.35">
      <c r="E48" s="85">
        <v>19</v>
      </c>
      <c r="F48" s="93">
        <v>44942</v>
      </c>
      <c r="G48" s="85" t="s">
        <v>240</v>
      </c>
      <c r="H48" s="87">
        <v>400</v>
      </c>
      <c r="I48" s="94">
        <v>19</v>
      </c>
      <c r="J48" s="93">
        <v>45069</v>
      </c>
      <c r="K48" s="85" t="s">
        <v>1493</v>
      </c>
      <c r="L48" s="87">
        <v>420</v>
      </c>
      <c r="M48" s="85"/>
      <c r="N48" s="93"/>
      <c r="O48" s="85"/>
      <c r="Q48" s="94"/>
      <c r="R48" s="93"/>
      <c r="S48" s="85"/>
      <c r="U48" s="94"/>
      <c r="V48" s="93"/>
      <c r="W48" s="85"/>
      <c r="Y48" s="94"/>
      <c r="Z48" s="93"/>
      <c r="AA48" s="85"/>
      <c r="AC48" s="94"/>
      <c r="AD48" s="93"/>
      <c r="AE48" s="85"/>
    </row>
    <row r="49" spans="5:31" x14ac:dyDescent="0.35">
      <c r="E49" s="85">
        <v>19</v>
      </c>
      <c r="F49" s="93">
        <v>44949</v>
      </c>
      <c r="G49" s="85" t="s">
        <v>240</v>
      </c>
      <c r="H49" s="87">
        <v>400</v>
      </c>
      <c r="I49" s="94">
        <v>14</v>
      </c>
      <c r="J49" s="93">
        <v>45058</v>
      </c>
      <c r="K49" s="85" t="s">
        <v>1010</v>
      </c>
      <c r="L49" s="87">
        <v>440</v>
      </c>
      <c r="M49" s="85"/>
      <c r="N49" s="93"/>
      <c r="O49" s="85"/>
      <c r="Q49" s="94"/>
      <c r="R49" s="93"/>
      <c r="S49" s="85"/>
      <c r="U49" s="94"/>
      <c r="V49" s="93"/>
      <c r="W49" s="85"/>
      <c r="Y49" s="94"/>
      <c r="Z49" s="93"/>
      <c r="AA49" s="85"/>
      <c r="AC49" s="94"/>
      <c r="AD49" s="93"/>
      <c r="AE49" s="85"/>
    </row>
    <row r="50" spans="5:31" x14ac:dyDescent="0.35">
      <c r="E50" s="85">
        <v>19</v>
      </c>
      <c r="F50" s="93">
        <v>44985</v>
      </c>
      <c r="G50" s="85" t="s">
        <v>240</v>
      </c>
      <c r="H50" s="87">
        <v>400</v>
      </c>
      <c r="I50" s="94">
        <v>3</v>
      </c>
      <c r="J50" s="93">
        <v>45069</v>
      </c>
      <c r="K50" s="85" t="s">
        <v>1494</v>
      </c>
      <c r="L50" s="87">
        <v>5540</v>
      </c>
      <c r="M50" s="85"/>
      <c r="N50" s="93"/>
      <c r="O50" s="85"/>
      <c r="Q50" s="94"/>
      <c r="R50" s="93"/>
      <c r="S50" s="85"/>
      <c r="U50" s="94"/>
      <c r="V50" s="93"/>
      <c r="W50" s="85"/>
      <c r="Y50" s="94"/>
      <c r="Z50" s="93"/>
      <c r="AA50" s="85"/>
      <c r="AC50" s="94"/>
      <c r="AD50" s="93"/>
      <c r="AE50" s="85"/>
    </row>
    <row r="51" spans="5:31" x14ac:dyDescent="0.35">
      <c r="E51" s="85">
        <v>19</v>
      </c>
      <c r="F51" s="93">
        <v>45013</v>
      </c>
      <c r="G51" s="85" t="s">
        <v>240</v>
      </c>
      <c r="H51" s="87">
        <v>430</v>
      </c>
      <c r="I51" s="94">
        <v>14</v>
      </c>
      <c r="J51" s="93">
        <v>45068</v>
      </c>
      <c r="K51" s="85" t="s">
        <v>1495</v>
      </c>
      <c r="L51" s="87">
        <v>2105</v>
      </c>
      <c r="M51" s="85"/>
      <c r="N51" s="93"/>
      <c r="O51" s="85"/>
      <c r="Q51" s="94"/>
      <c r="R51" s="93"/>
      <c r="S51" s="85"/>
      <c r="U51" s="94"/>
      <c r="V51" s="93"/>
      <c r="W51" s="85"/>
      <c r="Y51" s="94"/>
      <c r="Z51" s="93"/>
      <c r="AA51" s="85"/>
      <c r="AC51" s="94"/>
      <c r="AD51" s="93"/>
      <c r="AE51" s="85"/>
    </row>
    <row r="52" spans="5:31" x14ac:dyDescent="0.35">
      <c r="E52" s="85">
        <v>19</v>
      </c>
      <c r="F52" s="93">
        <v>44767</v>
      </c>
      <c r="G52" s="85" t="s">
        <v>1496</v>
      </c>
      <c r="H52" s="87">
        <v>106</v>
      </c>
      <c r="I52" s="94">
        <v>20</v>
      </c>
      <c r="J52" s="93">
        <v>45064</v>
      </c>
      <c r="K52" s="85" t="s">
        <v>1497</v>
      </c>
      <c r="L52" s="87">
        <v>598.16999999999996</v>
      </c>
      <c r="M52" s="85"/>
      <c r="N52" s="93"/>
      <c r="O52" s="85"/>
      <c r="Q52" s="94"/>
      <c r="R52" s="93"/>
      <c r="S52" s="85"/>
      <c r="U52" s="94"/>
      <c r="V52" s="93"/>
      <c r="W52" s="85"/>
      <c r="Y52" s="94"/>
      <c r="Z52" s="93"/>
      <c r="AA52" s="85"/>
      <c r="AC52" s="94"/>
      <c r="AD52" s="93"/>
      <c r="AE52" s="85"/>
    </row>
    <row r="53" spans="5:31" x14ac:dyDescent="0.35">
      <c r="E53" s="85">
        <v>19</v>
      </c>
      <c r="F53" s="93">
        <v>44987</v>
      </c>
      <c r="G53" s="85" t="s">
        <v>240</v>
      </c>
      <c r="H53" s="87">
        <v>400</v>
      </c>
      <c r="I53" s="94">
        <v>14</v>
      </c>
      <c r="J53" s="93">
        <v>45068</v>
      </c>
      <c r="K53" s="85" t="s">
        <v>1498</v>
      </c>
      <c r="L53" s="87">
        <v>1996.5</v>
      </c>
      <c r="M53" s="85"/>
      <c r="N53" s="93"/>
      <c r="O53" s="85"/>
      <c r="Q53" s="94"/>
      <c r="R53" s="93"/>
      <c r="S53" s="85"/>
      <c r="U53" s="94"/>
      <c r="V53" s="93"/>
      <c r="W53" s="85"/>
      <c r="Y53" s="94"/>
      <c r="Z53" s="93"/>
      <c r="AA53" s="85"/>
      <c r="AC53" s="94"/>
      <c r="AD53" s="93"/>
      <c r="AE53" s="85"/>
    </row>
    <row r="54" spans="5:31" x14ac:dyDescent="0.35">
      <c r="E54" s="85">
        <v>20</v>
      </c>
      <c r="F54" s="93">
        <v>44799</v>
      </c>
      <c r="G54" s="85" t="s">
        <v>1499</v>
      </c>
      <c r="H54" s="87">
        <v>798</v>
      </c>
      <c r="I54" s="94">
        <v>14</v>
      </c>
      <c r="J54" s="93">
        <v>45019</v>
      </c>
      <c r="K54" s="85" t="s">
        <v>1500</v>
      </c>
      <c r="L54" s="87">
        <v>5900</v>
      </c>
      <c r="M54" s="85"/>
      <c r="N54" s="93"/>
      <c r="O54" s="85"/>
      <c r="Q54" s="94"/>
      <c r="R54" s="93"/>
      <c r="S54" s="85"/>
      <c r="U54" s="94"/>
      <c r="V54" s="93"/>
      <c r="W54" s="85"/>
      <c r="Y54" s="94"/>
      <c r="Z54" s="93"/>
      <c r="AA54" s="85"/>
      <c r="AC54" s="94"/>
      <c r="AD54" s="93"/>
      <c r="AE54" s="85"/>
    </row>
    <row r="55" spans="5:31" x14ac:dyDescent="0.35">
      <c r="E55" s="85">
        <v>20</v>
      </c>
      <c r="F55" s="93">
        <v>44946</v>
      </c>
      <c r="G55" s="85" t="s">
        <v>1501</v>
      </c>
      <c r="H55" s="87">
        <v>342.37</v>
      </c>
      <c r="I55" s="94">
        <v>14</v>
      </c>
      <c r="J55" s="93">
        <v>45071</v>
      </c>
      <c r="K55" s="85" t="s">
        <v>1502</v>
      </c>
      <c r="L55" s="87">
        <v>2759</v>
      </c>
      <c r="M55" s="85"/>
      <c r="N55" s="93"/>
      <c r="O55" s="85"/>
      <c r="Q55" s="94"/>
      <c r="R55" s="93"/>
      <c r="S55" s="85"/>
      <c r="U55" s="94"/>
      <c r="V55" s="93"/>
      <c r="W55" s="85"/>
      <c r="Y55" s="94"/>
      <c r="Z55" s="93"/>
      <c r="AA55" s="85"/>
      <c r="AC55" s="94"/>
      <c r="AD55" s="93"/>
      <c r="AE55" s="85"/>
    </row>
    <row r="56" spans="5:31" x14ac:dyDescent="0.35">
      <c r="E56" s="85">
        <v>20</v>
      </c>
      <c r="F56" s="93">
        <v>44971</v>
      </c>
      <c r="G56" s="85" t="s">
        <v>1448</v>
      </c>
      <c r="H56" s="87">
        <v>12.38</v>
      </c>
      <c r="I56" s="94">
        <v>9</v>
      </c>
      <c r="J56" s="93">
        <v>45026</v>
      </c>
      <c r="K56" s="85" t="s">
        <v>1503</v>
      </c>
      <c r="L56" s="87">
        <v>650</v>
      </c>
      <c r="M56" s="85"/>
      <c r="N56" s="93"/>
      <c r="O56" s="85"/>
      <c r="Q56" s="94"/>
      <c r="R56" s="93"/>
      <c r="S56" s="85"/>
      <c r="U56" s="94"/>
      <c r="V56" s="93"/>
      <c r="W56" s="85"/>
      <c r="Y56" s="94"/>
      <c r="Z56" s="93"/>
      <c r="AA56" s="85"/>
      <c r="AC56" s="94"/>
      <c r="AD56" s="93"/>
      <c r="AE56" s="85"/>
    </row>
    <row r="57" spans="5:31" x14ac:dyDescent="0.35">
      <c r="E57" s="85">
        <v>20</v>
      </c>
      <c r="F57" s="93">
        <v>44972</v>
      </c>
      <c r="G57" s="85" t="s">
        <v>1487</v>
      </c>
      <c r="H57" s="87">
        <v>2101.48</v>
      </c>
      <c r="I57" s="94">
        <v>9</v>
      </c>
      <c r="J57" s="93">
        <v>45056</v>
      </c>
      <c r="K57" s="85" t="s">
        <v>1504</v>
      </c>
      <c r="L57" s="87">
        <v>650</v>
      </c>
      <c r="M57" s="85"/>
      <c r="N57" s="93"/>
      <c r="O57" s="85"/>
      <c r="Q57" s="94"/>
      <c r="R57" s="93"/>
      <c r="S57" s="85"/>
      <c r="U57" s="94"/>
      <c r="V57" s="93"/>
      <c r="W57" s="85"/>
      <c r="Y57" s="94"/>
      <c r="Z57" s="93"/>
      <c r="AA57" s="85"/>
      <c r="AC57" s="94"/>
      <c r="AD57" s="93"/>
      <c r="AE57" s="85"/>
    </row>
    <row r="58" spans="5:31" x14ac:dyDescent="0.35">
      <c r="E58" s="85">
        <v>8</v>
      </c>
      <c r="F58" s="93">
        <v>44939</v>
      </c>
      <c r="G58" s="85" t="s">
        <v>1505</v>
      </c>
      <c r="H58" s="87">
        <v>1.1000000000000001</v>
      </c>
      <c r="I58" s="94">
        <v>9</v>
      </c>
      <c r="J58" s="93">
        <v>45087</v>
      </c>
      <c r="K58" s="85" t="s">
        <v>1506</v>
      </c>
      <c r="L58" s="87">
        <v>650</v>
      </c>
      <c r="M58" s="85"/>
      <c r="N58" s="93"/>
      <c r="O58" s="85"/>
      <c r="Q58" s="94"/>
      <c r="R58" s="93"/>
      <c r="S58" s="85"/>
      <c r="U58" s="94"/>
      <c r="V58" s="93"/>
      <c r="W58" s="85"/>
      <c r="Y58" s="94"/>
      <c r="Z58" s="93"/>
      <c r="AA58" s="85"/>
      <c r="AC58" s="94"/>
      <c r="AD58" s="93"/>
      <c r="AE58" s="85"/>
    </row>
    <row r="59" spans="5:31" x14ac:dyDescent="0.35">
      <c r="E59" s="85">
        <v>8</v>
      </c>
      <c r="F59" s="93">
        <v>44944</v>
      </c>
      <c r="G59" s="85" t="s">
        <v>1507</v>
      </c>
      <c r="H59" s="87">
        <v>17.420000000000002</v>
      </c>
      <c r="I59" s="94">
        <v>9</v>
      </c>
      <c r="J59" s="93">
        <v>45087</v>
      </c>
      <c r="K59" s="85" t="s">
        <v>1508</v>
      </c>
      <c r="L59" s="87">
        <v>650</v>
      </c>
      <c r="M59" s="85"/>
      <c r="N59" s="93"/>
      <c r="O59" s="85"/>
      <c r="Q59" s="94"/>
      <c r="R59" s="93"/>
      <c r="S59" s="85"/>
      <c r="U59" s="94"/>
      <c r="V59" s="93"/>
      <c r="W59" s="85"/>
      <c r="Y59" s="94"/>
      <c r="Z59" s="93"/>
      <c r="AA59" s="85"/>
      <c r="AC59" s="94"/>
      <c r="AD59" s="93"/>
      <c r="AE59" s="85"/>
    </row>
    <row r="60" spans="5:31" x14ac:dyDescent="0.35">
      <c r="E60" s="85">
        <v>16</v>
      </c>
      <c r="F60" s="93">
        <v>44950</v>
      </c>
      <c r="G60" s="85" t="s">
        <v>1509</v>
      </c>
      <c r="H60" s="87">
        <v>55.34</v>
      </c>
      <c r="I60" s="94">
        <v>7</v>
      </c>
      <c r="J60" s="93">
        <v>45072</v>
      </c>
      <c r="K60" s="85" t="s">
        <v>1510</v>
      </c>
      <c r="L60" s="87">
        <v>49.95</v>
      </c>
      <c r="M60" s="85"/>
      <c r="N60" s="93"/>
      <c r="O60" s="85"/>
      <c r="Q60" s="94"/>
      <c r="R60" s="93"/>
      <c r="S60" s="85"/>
      <c r="U60" s="94"/>
      <c r="V60" s="93"/>
      <c r="W60" s="85"/>
      <c r="Y60" s="94"/>
      <c r="Z60" s="93"/>
      <c r="AA60" s="85"/>
      <c r="AC60" s="94"/>
      <c r="AD60" s="93"/>
      <c r="AE60" s="85"/>
    </row>
    <row r="61" spans="5:31" x14ac:dyDescent="0.35">
      <c r="E61" s="85">
        <v>16</v>
      </c>
      <c r="F61" s="93">
        <v>44950</v>
      </c>
      <c r="G61" s="85" t="s">
        <v>1511</v>
      </c>
      <c r="H61" s="87">
        <v>9.4600000000000009</v>
      </c>
      <c r="I61" s="94">
        <v>7</v>
      </c>
      <c r="J61" s="93">
        <v>45072</v>
      </c>
      <c r="K61" s="85" t="s">
        <v>1492</v>
      </c>
      <c r="L61" s="87">
        <v>5.83</v>
      </c>
      <c r="M61" s="85"/>
      <c r="N61" s="93"/>
      <c r="O61" s="85"/>
      <c r="Q61" s="94"/>
      <c r="R61" s="93"/>
      <c r="S61" s="85"/>
      <c r="U61" s="94"/>
      <c r="V61" s="93"/>
      <c r="W61" s="85"/>
      <c r="Y61" s="94"/>
      <c r="Z61" s="93"/>
      <c r="AA61" s="85"/>
      <c r="AC61" s="94"/>
      <c r="AD61" s="93"/>
      <c r="AE61" s="85"/>
    </row>
    <row r="62" spans="5:31" x14ac:dyDescent="0.35">
      <c r="E62" s="85">
        <v>8</v>
      </c>
      <c r="F62" s="93">
        <v>44950</v>
      </c>
      <c r="G62" s="85" t="s">
        <v>1512</v>
      </c>
      <c r="H62" s="87">
        <v>43.99</v>
      </c>
      <c r="I62" s="94">
        <v>14</v>
      </c>
      <c r="J62" s="93">
        <v>45072</v>
      </c>
      <c r="K62" s="85" t="s">
        <v>1513</v>
      </c>
      <c r="L62" s="87">
        <v>122.95</v>
      </c>
      <c r="M62" s="85"/>
      <c r="N62" s="93"/>
      <c r="O62" s="85"/>
      <c r="Q62" s="94"/>
      <c r="R62" s="93"/>
      <c r="S62" s="85"/>
      <c r="U62" s="94"/>
      <c r="V62" s="93"/>
      <c r="W62" s="85"/>
      <c r="Y62" s="94"/>
      <c r="Z62" s="93"/>
      <c r="AA62" s="85"/>
      <c r="AC62" s="94"/>
      <c r="AD62" s="93"/>
      <c r="AE62" s="85"/>
    </row>
    <row r="63" spans="5:31" x14ac:dyDescent="0.35">
      <c r="E63" s="85">
        <v>16</v>
      </c>
      <c r="F63" s="93">
        <v>44952</v>
      </c>
      <c r="G63" s="85" t="s">
        <v>1514</v>
      </c>
      <c r="H63" s="87">
        <v>8.91</v>
      </c>
      <c r="I63" s="94">
        <v>8</v>
      </c>
      <c r="J63" s="93">
        <v>45072</v>
      </c>
      <c r="K63" s="85" t="s">
        <v>1515</v>
      </c>
      <c r="L63" s="87">
        <v>9.65</v>
      </c>
      <c r="M63" s="85"/>
      <c r="N63" s="93"/>
      <c r="O63" s="85"/>
      <c r="Q63" s="94"/>
      <c r="R63" s="93"/>
      <c r="S63" s="85"/>
      <c r="U63" s="94"/>
      <c r="V63" s="93"/>
      <c r="W63" s="85"/>
      <c r="Y63" s="94"/>
      <c r="Z63" s="93"/>
      <c r="AA63" s="85"/>
      <c r="AC63" s="94"/>
      <c r="AD63" s="93"/>
      <c r="AE63" s="85"/>
    </row>
    <row r="64" spans="5:31" x14ac:dyDescent="0.35">
      <c r="E64" s="85">
        <v>16</v>
      </c>
      <c r="F64" s="93">
        <v>44952</v>
      </c>
      <c r="G64" s="85" t="s">
        <v>1516</v>
      </c>
      <c r="H64" s="87">
        <v>25.95</v>
      </c>
      <c r="I64" s="94">
        <v>7</v>
      </c>
      <c r="J64" s="93">
        <v>45072</v>
      </c>
      <c r="K64" s="85" t="s">
        <v>1465</v>
      </c>
      <c r="L64" s="87">
        <v>13.32</v>
      </c>
      <c r="M64" s="85"/>
      <c r="N64" s="93"/>
      <c r="O64" s="85"/>
      <c r="Q64" s="94"/>
      <c r="R64" s="93"/>
      <c r="S64" s="85"/>
      <c r="U64" s="94"/>
      <c r="V64" s="93"/>
      <c r="W64" s="85"/>
      <c r="Y64" s="94"/>
      <c r="Z64" s="93"/>
      <c r="AA64" s="85"/>
      <c r="AC64" s="94"/>
      <c r="AD64" s="93"/>
      <c r="AE64" s="85"/>
    </row>
    <row r="65" spans="5:31" x14ac:dyDescent="0.35">
      <c r="E65" s="85">
        <v>16</v>
      </c>
      <c r="F65" s="93">
        <v>44952</v>
      </c>
      <c r="G65" s="85" t="s">
        <v>1517</v>
      </c>
      <c r="H65" s="87">
        <v>3.99</v>
      </c>
      <c r="I65" s="94">
        <v>16</v>
      </c>
      <c r="J65" s="93">
        <v>45072</v>
      </c>
      <c r="K65" s="85" t="s">
        <v>1449</v>
      </c>
      <c r="L65" s="87">
        <v>11.99</v>
      </c>
      <c r="M65" s="85"/>
      <c r="N65" s="93"/>
      <c r="O65" s="85"/>
      <c r="Q65" s="94"/>
      <c r="R65" s="93"/>
      <c r="S65" s="85"/>
      <c r="U65" s="94"/>
      <c r="V65" s="93"/>
      <c r="W65" s="85"/>
      <c r="Y65" s="94"/>
      <c r="Z65" s="93"/>
      <c r="AA65" s="85"/>
      <c r="AC65" s="94"/>
      <c r="AD65" s="93"/>
      <c r="AE65" s="85"/>
    </row>
    <row r="66" spans="5:31" x14ac:dyDescent="0.35">
      <c r="E66" s="85">
        <v>10</v>
      </c>
      <c r="F66" s="93">
        <v>44952</v>
      </c>
      <c r="G66" s="85" t="s">
        <v>1518</v>
      </c>
      <c r="H66" s="87">
        <v>39.97</v>
      </c>
      <c r="I66" s="94">
        <v>8</v>
      </c>
      <c r="J66" s="93">
        <v>45072</v>
      </c>
      <c r="K66" s="85" t="s">
        <v>1519</v>
      </c>
      <c r="L66" s="87">
        <v>5.15</v>
      </c>
      <c r="M66" s="85"/>
      <c r="N66" s="93"/>
      <c r="O66" s="85"/>
      <c r="Q66" s="94"/>
      <c r="R66" s="93"/>
      <c r="S66" s="85"/>
      <c r="U66" s="94"/>
      <c r="V66" s="93"/>
      <c r="W66" s="85"/>
      <c r="Y66" s="94"/>
      <c r="Z66" s="93"/>
      <c r="AA66" s="85"/>
      <c r="AC66" s="94"/>
      <c r="AD66" s="93"/>
      <c r="AE66" s="85"/>
    </row>
    <row r="67" spans="5:31" x14ac:dyDescent="0.35">
      <c r="E67" s="85">
        <v>10</v>
      </c>
      <c r="F67" s="93">
        <v>44952</v>
      </c>
      <c r="G67" s="85" t="s">
        <v>1520</v>
      </c>
      <c r="H67" s="87">
        <v>27.49</v>
      </c>
      <c r="I67" s="94">
        <v>15</v>
      </c>
      <c r="J67" s="93">
        <v>45121</v>
      </c>
      <c r="K67" s="85" t="s">
        <v>1521</v>
      </c>
      <c r="L67" s="87">
        <v>1630</v>
      </c>
      <c r="M67" s="85"/>
      <c r="N67" s="93"/>
      <c r="O67" s="85"/>
      <c r="Q67" s="94"/>
      <c r="R67" s="93"/>
      <c r="S67" s="85"/>
      <c r="U67" s="94"/>
      <c r="V67" s="93"/>
      <c r="W67" s="85"/>
      <c r="Y67" s="94"/>
      <c r="Z67" s="93"/>
      <c r="AA67" s="85"/>
      <c r="AC67" s="94"/>
      <c r="AD67" s="93"/>
      <c r="AE67" s="85"/>
    </row>
    <row r="68" spans="5:31" x14ac:dyDescent="0.35">
      <c r="E68" s="85">
        <v>10</v>
      </c>
      <c r="F68" s="93">
        <v>44952</v>
      </c>
      <c r="G68" s="85" t="s">
        <v>1522</v>
      </c>
      <c r="H68" s="87">
        <v>4.16</v>
      </c>
      <c r="I68" s="94">
        <v>14</v>
      </c>
      <c r="J68" s="93">
        <v>45093</v>
      </c>
      <c r="K68" s="85" t="s">
        <v>1523</v>
      </c>
      <c r="L68" s="87">
        <v>17596</v>
      </c>
      <c r="M68" s="85"/>
      <c r="N68" s="93"/>
      <c r="O68" s="85"/>
      <c r="Q68" s="94"/>
      <c r="R68" s="93"/>
      <c r="S68" s="85"/>
      <c r="U68" s="94"/>
      <c r="V68" s="93"/>
      <c r="W68" s="85"/>
      <c r="Y68" s="94"/>
      <c r="Z68" s="93"/>
      <c r="AA68" s="85"/>
      <c r="AC68" s="94"/>
      <c r="AD68" s="93"/>
      <c r="AE68" s="85"/>
    </row>
    <row r="69" spans="5:31" x14ac:dyDescent="0.35">
      <c r="G69" s="85"/>
      <c r="H69" s="87"/>
      <c r="K69" s="85"/>
      <c r="M69" s="85"/>
      <c r="N69" s="93"/>
      <c r="O69" s="85"/>
      <c r="Q69" s="94"/>
      <c r="R69" s="93"/>
      <c r="S69" s="85"/>
      <c r="U69" s="94"/>
      <c r="V69" s="93"/>
      <c r="W69" s="85"/>
      <c r="Y69" s="94"/>
      <c r="Z69" s="93"/>
      <c r="AA69" s="85"/>
      <c r="AC69" s="94"/>
      <c r="AD69" s="93"/>
      <c r="AE69" s="85"/>
    </row>
    <row r="70" spans="5:31" x14ac:dyDescent="0.35">
      <c r="E70" s="85">
        <v>7</v>
      </c>
      <c r="F70" s="93">
        <v>44959</v>
      </c>
      <c r="G70" s="85" t="s">
        <v>1527</v>
      </c>
      <c r="H70" s="87">
        <v>13.32</v>
      </c>
      <c r="I70" s="94">
        <v>14</v>
      </c>
      <c r="J70" s="93">
        <v>45047</v>
      </c>
      <c r="K70" s="85" t="s">
        <v>1528</v>
      </c>
      <c r="L70" s="87">
        <v>37885</v>
      </c>
      <c r="M70" s="85"/>
      <c r="N70" s="93"/>
      <c r="O70" s="85"/>
      <c r="Q70" s="94"/>
      <c r="R70" s="93"/>
      <c r="S70" s="85"/>
      <c r="U70" s="94"/>
      <c r="V70" s="93"/>
      <c r="W70" s="85"/>
      <c r="Y70" s="94"/>
      <c r="Z70" s="93"/>
      <c r="AA70" s="85"/>
      <c r="AC70" s="94"/>
      <c r="AD70" s="93"/>
      <c r="AE70" s="85"/>
    </row>
    <row r="71" spans="5:31" x14ac:dyDescent="0.35">
      <c r="G71" s="85"/>
      <c r="H71" s="87"/>
      <c r="I71" s="94">
        <v>14</v>
      </c>
      <c r="J71" s="93">
        <v>45086</v>
      </c>
      <c r="K71" s="85" t="s">
        <v>1529</v>
      </c>
      <c r="L71" s="87">
        <v>3225</v>
      </c>
      <c r="M71" s="85"/>
      <c r="N71" s="93"/>
      <c r="O71" s="85"/>
      <c r="Q71" s="94"/>
      <c r="R71" s="93"/>
      <c r="S71" s="85"/>
      <c r="U71" s="94"/>
      <c r="V71" s="93"/>
      <c r="W71" s="85"/>
      <c r="Y71" s="94"/>
      <c r="Z71" s="93"/>
      <c r="AA71" s="85"/>
      <c r="AC71" s="94"/>
      <c r="AD71" s="93"/>
      <c r="AE71" s="85"/>
    </row>
    <row r="72" spans="5:31" x14ac:dyDescent="0.35">
      <c r="E72" s="85">
        <v>8</v>
      </c>
      <c r="F72" s="93">
        <v>44974</v>
      </c>
      <c r="G72" s="85" t="s">
        <v>1530</v>
      </c>
      <c r="H72" s="87">
        <f>0.95+0.95+1.75+1.1+1.1</f>
        <v>5.85</v>
      </c>
      <c r="I72" s="94">
        <v>14</v>
      </c>
      <c r="J72" s="93" t="s">
        <v>1104</v>
      </c>
      <c r="K72" s="85" t="s">
        <v>1531</v>
      </c>
      <c r="L72" s="87">
        <f>46580-5000+1641+(11954+1027)*2/3</f>
        <v>51875</v>
      </c>
      <c r="M72" s="85"/>
      <c r="N72" s="93"/>
      <c r="O72" s="85"/>
      <c r="Q72" s="94"/>
      <c r="R72" s="93"/>
      <c r="S72" s="85"/>
      <c r="U72" s="94"/>
      <c r="V72" s="93"/>
      <c r="W72" s="85"/>
      <c r="Y72" s="94"/>
      <c r="Z72" s="93"/>
      <c r="AA72" s="85"/>
      <c r="AC72" s="94"/>
      <c r="AD72" s="93"/>
      <c r="AE72" s="85"/>
    </row>
    <row r="73" spans="5:31" x14ac:dyDescent="0.35">
      <c r="E73" s="85">
        <v>16</v>
      </c>
      <c r="F73" s="93">
        <v>44974</v>
      </c>
      <c r="G73" s="85" t="s">
        <v>1533</v>
      </c>
      <c r="H73" s="87">
        <v>10.42</v>
      </c>
      <c r="I73" s="94">
        <v>15</v>
      </c>
      <c r="J73" s="93" t="s">
        <v>1104</v>
      </c>
      <c r="K73" s="85" t="s">
        <v>1534</v>
      </c>
      <c r="L73" s="87">
        <v>5000</v>
      </c>
      <c r="M73" s="85"/>
      <c r="N73" s="93"/>
      <c r="O73" s="85"/>
      <c r="Q73" s="94"/>
      <c r="R73" s="93"/>
      <c r="S73" s="85"/>
      <c r="U73" s="94"/>
      <c r="V73" s="93"/>
      <c r="W73" s="85"/>
      <c r="Y73" s="94"/>
      <c r="Z73" s="93"/>
      <c r="AA73" s="85"/>
      <c r="AC73" s="94"/>
      <c r="AD73" s="93"/>
      <c r="AE73" s="85"/>
    </row>
    <row r="74" spans="5:31" x14ac:dyDescent="0.35">
      <c r="E74" s="85">
        <v>7</v>
      </c>
      <c r="F74" s="93">
        <v>44974</v>
      </c>
      <c r="G74" s="85" t="s">
        <v>1535</v>
      </c>
      <c r="H74" s="87">
        <f>13.32+3.33</f>
        <v>16.649999999999999</v>
      </c>
      <c r="I74" s="94">
        <v>14</v>
      </c>
      <c r="J74" s="93">
        <v>45096</v>
      </c>
      <c r="K74" s="85" t="s">
        <v>1536</v>
      </c>
      <c r="L74" s="87">
        <v>2250</v>
      </c>
      <c r="M74" s="85"/>
      <c r="N74" s="93"/>
      <c r="O74" s="85"/>
      <c r="Q74" s="94"/>
      <c r="R74" s="93"/>
      <c r="S74" s="85"/>
      <c r="U74" s="94"/>
      <c r="V74" s="93"/>
      <c r="W74" s="85"/>
      <c r="Y74" s="94"/>
      <c r="Z74" s="93"/>
      <c r="AA74" s="85"/>
      <c r="AC74" s="94"/>
      <c r="AD74" s="93"/>
      <c r="AE74" s="85"/>
    </row>
    <row r="75" spans="5:31" x14ac:dyDescent="0.35">
      <c r="E75" s="85">
        <v>20</v>
      </c>
      <c r="F75" s="93">
        <v>44975</v>
      </c>
      <c r="G75" s="85" t="s">
        <v>1537</v>
      </c>
      <c r="H75" s="87">
        <v>321.67</v>
      </c>
      <c r="I75" s="94">
        <v>14</v>
      </c>
      <c r="J75" s="93">
        <v>45096</v>
      </c>
      <c r="K75" s="85" t="s">
        <v>1538</v>
      </c>
      <c r="L75" s="87">
        <v>847</v>
      </c>
      <c r="M75" s="85"/>
      <c r="N75" s="93"/>
      <c r="O75" s="85"/>
      <c r="Q75" s="94"/>
      <c r="R75" s="93"/>
      <c r="S75" s="85"/>
      <c r="U75" s="94"/>
      <c r="V75" s="93"/>
      <c r="W75" s="85"/>
      <c r="Y75" s="94"/>
      <c r="Z75" s="93"/>
      <c r="AA75" s="85"/>
      <c r="AC75" s="94"/>
      <c r="AD75" s="93"/>
      <c r="AE75" s="85"/>
    </row>
    <row r="76" spans="5:31" x14ac:dyDescent="0.35">
      <c r="E76" s="85">
        <v>7</v>
      </c>
      <c r="F76" s="93">
        <v>44984</v>
      </c>
      <c r="G76" s="85" t="s">
        <v>1539</v>
      </c>
      <c r="H76" s="87">
        <v>15.82</v>
      </c>
      <c r="K76" s="85"/>
      <c r="M76" s="85"/>
      <c r="N76" s="93"/>
      <c r="O76" s="85"/>
      <c r="Q76" s="94"/>
      <c r="R76" s="93"/>
      <c r="S76" s="85"/>
      <c r="U76" s="94"/>
      <c r="V76" s="93"/>
      <c r="W76" s="85"/>
      <c r="Y76" s="94"/>
      <c r="Z76" s="93"/>
      <c r="AA76" s="85"/>
      <c r="AC76" s="94"/>
      <c r="AD76" s="93"/>
      <c r="AE76" s="85"/>
    </row>
    <row r="77" spans="5:31" x14ac:dyDescent="0.35">
      <c r="E77" s="85">
        <v>11</v>
      </c>
      <c r="F77" s="93">
        <v>44988</v>
      </c>
      <c r="G77" s="85" t="s">
        <v>1543</v>
      </c>
      <c r="H77" s="87">
        <v>415</v>
      </c>
      <c r="I77" s="94">
        <v>14</v>
      </c>
      <c r="J77" s="93">
        <v>45048</v>
      </c>
      <c r="K77" s="85" t="s">
        <v>1544</v>
      </c>
      <c r="L77" s="87">
        <v>124.13</v>
      </c>
      <c r="M77" s="85"/>
      <c r="N77" s="93"/>
      <c r="O77" s="85"/>
      <c r="Q77" s="94"/>
      <c r="R77" s="93"/>
      <c r="S77" s="85"/>
      <c r="U77" s="94"/>
      <c r="V77" s="93"/>
      <c r="W77" s="85"/>
      <c r="Y77" s="94"/>
      <c r="Z77" s="93"/>
      <c r="AA77" s="85"/>
      <c r="AC77" s="94"/>
      <c r="AD77" s="93"/>
      <c r="AE77" s="85"/>
    </row>
    <row r="78" spans="5:31" x14ac:dyDescent="0.35">
      <c r="E78" s="85">
        <v>16</v>
      </c>
      <c r="F78" s="93">
        <v>44993</v>
      </c>
      <c r="G78" s="85" t="s">
        <v>1545</v>
      </c>
      <c r="H78" s="87">
        <v>4.99</v>
      </c>
      <c r="I78" s="94">
        <v>14</v>
      </c>
      <c r="J78" s="93">
        <v>45062</v>
      </c>
      <c r="K78" s="85" t="s">
        <v>1546</v>
      </c>
      <c r="L78" s="87">
        <v>18.149999999999999</v>
      </c>
      <c r="M78" s="85"/>
      <c r="N78" s="93"/>
      <c r="O78" s="85"/>
      <c r="Q78" s="94"/>
      <c r="R78" s="93"/>
      <c r="S78" s="85"/>
      <c r="U78" s="94"/>
      <c r="V78" s="93"/>
      <c r="W78" s="85"/>
      <c r="Y78" s="94"/>
      <c r="Z78" s="93"/>
      <c r="AA78" s="85"/>
      <c r="AC78" s="94"/>
      <c r="AD78" s="93"/>
      <c r="AE78" s="85"/>
    </row>
    <row r="79" spans="5:31" x14ac:dyDescent="0.35">
      <c r="E79" s="85">
        <v>7</v>
      </c>
      <c r="F79" s="93">
        <v>44993</v>
      </c>
      <c r="G79" s="85" t="s">
        <v>1547</v>
      </c>
      <c r="H79" s="87">
        <v>43.29</v>
      </c>
      <c r="I79" s="94">
        <v>14</v>
      </c>
      <c r="J79" s="93">
        <v>45064</v>
      </c>
      <c r="K79" s="85" t="s">
        <v>1548</v>
      </c>
      <c r="L79" s="87">
        <v>58.3</v>
      </c>
      <c r="M79" s="85"/>
      <c r="N79" s="93"/>
      <c r="O79" s="85"/>
      <c r="Q79" s="94"/>
      <c r="R79" s="93"/>
      <c r="S79" s="85"/>
      <c r="U79" s="94"/>
      <c r="V79" s="93"/>
      <c r="W79" s="85"/>
      <c r="Y79" s="94"/>
      <c r="Z79" s="93"/>
      <c r="AA79" s="85"/>
      <c r="AC79" s="94"/>
      <c r="AD79" s="93"/>
      <c r="AE79" s="85"/>
    </row>
    <row r="80" spans="5:31" x14ac:dyDescent="0.35">
      <c r="E80" s="85">
        <v>11</v>
      </c>
      <c r="F80" s="93">
        <v>44998</v>
      </c>
      <c r="G80" s="85" t="s">
        <v>1549</v>
      </c>
      <c r="H80" s="87">
        <v>387.4</v>
      </c>
      <c r="I80" s="94">
        <v>14</v>
      </c>
      <c r="J80" s="93">
        <v>45068</v>
      </c>
      <c r="K80" s="85" t="s">
        <v>1550</v>
      </c>
      <c r="L80" s="87">
        <v>49.99</v>
      </c>
      <c r="M80" s="85"/>
      <c r="N80" s="93"/>
      <c r="O80" s="85"/>
      <c r="Q80" s="94"/>
      <c r="R80" s="93"/>
      <c r="S80" s="85"/>
      <c r="U80" s="94"/>
      <c r="V80" s="93"/>
      <c r="W80" s="85"/>
      <c r="Y80" s="94"/>
      <c r="Z80" s="93"/>
      <c r="AA80" s="85"/>
      <c r="AC80" s="94"/>
      <c r="AD80" s="93"/>
      <c r="AE80" s="85"/>
    </row>
    <row r="81" spans="5:31" x14ac:dyDescent="0.35">
      <c r="E81" s="85">
        <v>7</v>
      </c>
      <c r="F81" s="93">
        <v>45002</v>
      </c>
      <c r="G81" s="85" t="s">
        <v>1535</v>
      </c>
      <c r="H81" s="87">
        <v>6.66</v>
      </c>
      <c r="I81" s="94">
        <v>14</v>
      </c>
      <c r="J81" s="93">
        <v>45070</v>
      </c>
      <c r="K81" s="85" t="s">
        <v>1551</v>
      </c>
      <c r="L81" s="87">
        <v>74.400000000000006</v>
      </c>
      <c r="M81" s="85"/>
      <c r="N81" s="93"/>
      <c r="O81" s="85"/>
      <c r="Q81" s="94"/>
      <c r="R81" s="93"/>
      <c r="S81" s="85"/>
      <c r="U81" s="94"/>
      <c r="V81" s="93"/>
      <c r="W81" s="85"/>
      <c r="Y81" s="94"/>
      <c r="Z81" s="93"/>
      <c r="AA81" s="85"/>
      <c r="AC81" s="94"/>
      <c r="AD81" s="93"/>
      <c r="AE81" s="85"/>
    </row>
    <row r="82" spans="5:31" x14ac:dyDescent="0.35">
      <c r="E82" s="85">
        <v>8</v>
      </c>
      <c r="F82" s="93">
        <v>45002</v>
      </c>
      <c r="G82" s="85" t="s">
        <v>1552</v>
      </c>
      <c r="H82" s="87">
        <v>17.84</v>
      </c>
      <c r="I82" s="94">
        <v>16</v>
      </c>
      <c r="J82" s="93">
        <v>45127</v>
      </c>
      <c r="K82" s="85" t="s">
        <v>1553</v>
      </c>
      <c r="L82" s="87">
        <v>2.25</v>
      </c>
      <c r="M82" s="85"/>
      <c r="N82" s="93"/>
      <c r="O82" s="85"/>
      <c r="Q82" s="94"/>
      <c r="R82" s="93"/>
      <c r="S82" s="85"/>
      <c r="U82" s="94"/>
      <c r="V82" s="93"/>
      <c r="W82" s="85"/>
      <c r="Y82" s="94"/>
      <c r="Z82" s="93"/>
      <c r="AA82" s="85"/>
      <c r="AC82" s="94"/>
      <c r="AD82" s="93"/>
      <c r="AE82" s="85"/>
    </row>
    <row r="83" spans="5:31" x14ac:dyDescent="0.35">
      <c r="E83" s="85">
        <v>10</v>
      </c>
      <c r="F83" s="93">
        <v>45002</v>
      </c>
      <c r="G83" s="85" t="s">
        <v>1554</v>
      </c>
      <c r="H83" s="87">
        <v>12</v>
      </c>
      <c r="I83" s="94">
        <v>6</v>
      </c>
      <c r="J83" s="93">
        <v>45085</v>
      </c>
      <c r="K83" s="85" t="s">
        <v>1555</v>
      </c>
      <c r="L83" s="87">
        <v>55</v>
      </c>
      <c r="M83" s="85"/>
      <c r="N83" s="93"/>
      <c r="O83" s="85"/>
      <c r="Q83" s="94"/>
      <c r="R83" s="93"/>
      <c r="S83" s="85"/>
      <c r="U83" s="94"/>
      <c r="V83" s="93"/>
      <c r="W83" s="85"/>
      <c r="Y83" s="94"/>
      <c r="Z83" s="93"/>
      <c r="AA83" s="85"/>
      <c r="AC83" s="94"/>
      <c r="AD83" s="93"/>
      <c r="AE83" s="85"/>
    </row>
    <row r="84" spans="5:31" x14ac:dyDescent="0.35">
      <c r="E84" s="85">
        <v>7</v>
      </c>
      <c r="F84" s="93">
        <v>45002</v>
      </c>
      <c r="G84" s="85" t="s">
        <v>1556</v>
      </c>
      <c r="H84" s="87">
        <v>2.08</v>
      </c>
      <c r="I84" s="94">
        <v>6</v>
      </c>
      <c r="J84" s="93">
        <v>45085</v>
      </c>
      <c r="K84" s="85" t="s">
        <v>1557</v>
      </c>
      <c r="L84" s="87">
        <v>91.2</v>
      </c>
      <c r="M84" s="85"/>
      <c r="N84" s="93"/>
      <c r="O84" s="85"/>
      <c r="Q84" s="94"/>
      <c r="R84" s="93"/>
      <c r="S84" s="85"/>
      <c r="U84" s="94"/>
      <c r="V84" s="93"/>
      <c r="W84" s="85"/>
      <c r="Y84" s="94"/>
      <c r="Z84" s="93"/>
      <c r="AA84" s="85"/>
      <c r="AC84" s="94"/>
      <c r="AD84" s="93"/>
      <c r="AE84" s="85"/>
    </row>
    <row r="85" spans="5:31" x14ac:dyDescent="0.35">
      <c r="E85" s="85">
        <v>8</v>
      </c>
      <c r="F85" s="93">
        <v>45002</v>
      </c>
      <c r="G85" s="85" t="s">
        <v>1558</v>
      </c>
      <c r="H85" s="87">
        <v>6</v>
      </c>
      <c r="I85" s="94">
        <v>6</v>
      </c>
      <c r="J85" s="93">
        <v>45085</v>
      </c>
      <c r="K85" s="85" t="s">
        <v>1559</v>
      </c>
      <c r="L85" s="87">
        <v>812.39</v>
      </c>
      <c r="M85" s="85"/>
      <c r="N85" s="93"/>
      <c r="O85" s="85"/>
      <c r="Q85" s="94"/>
      <c r="R85" s="93"/>
      <c r="S85" s="85"/>
      <c r="U85" s="94"/>
      <c r="V85" s="93"/>
      <c r="W85" s="85"/>
      <c r="Y85" s="94"/>
      <c r="Z85" s="93"/>
      <c r="AA85" s="85"/>
      <c r="AC85" s="94"/>
      <c r="AD85" s="93"/>
      <c r="AE85" s="85"/>
    </row>
    <row r="86" spans="5:31" x14ac:dyDescent="0.35">
      <c r="E86" s="85">
        <v>7</v>
      </c>
      <c r="F86" s="93">
        <v>45002</v>
      </c>
      <c r="G86" s="85" t="s">
        <v>1560</v>
      </c>
      <c r="H86" s="87">
        <v>16.649999999999999</v>
      </c>
      <c r="I86" s="94">
        <v>6</v>
      </c>
      <c r="J86" s="93">
        <v>45085</v>
      </c>
      <c r="K86" s="85" t="s">
        <v>1561</v>
      </c>
      <c r="L86" s="87">
        <v>930.39</v>
      </c>
      <c r="M86" s="85"/>
      <c r="N86" s="93"/>
      <c r="O86" s="85"/>
      <c r="Q86" s="94"/>
      <c r="R86" s="93"/>
      <c r="S86" s="85"/>
      <c r="U86" s="94"/>
      <c r="V86" s="93"/>
      <c r="W86" s="85"/>
      <c r="Y86" s="94"/>
      <c r="Z86" s="93"/>
      <c r="AA86" s="85"/>
      <c r="AC86" s="94"/>
      <c r="AD86" s="93"/>
      <c r="AE86" s="85"/>
    </row>
    <row r="87" spans="5:31" x14ac:dyDescent="0.35">
      <c r="E87" s="85">
        <v>7</v>
      </c>
      <c r="F87" s="93">
        <v>45002</v>
      </c>
      <c r="G87" s="85" t="s">
        <v>1562</v>
      </c>
      <c r="H87" s="87">
        <v>38.299999999999997</v>
      </c>
      <c r="I87" s="94">
        <v>20</v>
      </c>
      <c r="J87" s="93">
        <v>45090</v>
      </c>
      <c r="K87" s="85" t="s">
        <v>1563</v>
      </c>
      <c r="L87" s="87">
        <v>528</v>
      </c>
      <c r="M87" s="85"/>
      <c r="N87" s="93"/>
      <c r="O87" s="85"/>
      <c r="Q87" s="94"/>
      <c r="R87" s="93"/>
      <c r="S87" s="85"/>
      <c r="U87" s="94"/>
      <c r="V87" s="93"/>
      <c r="W87" s="85"/>
      <c r="Y87" s="94"/>
      <c r="Z87" s="93"/>
      <c r="AA87" s="85"/>
      <c r="AC87" s="94"/>
      <c r="AD87" s="93"/>
      <c r="AE87" s="85"/>
    </row>
    <row r="88" spans="5:31" x14ac:dyDescent="0.35">
      <c r="E88" s="85">
        <v>6</v>
      </c>
      <c r="F88" s="93">
        <v>44989</v>
      </c>
      <c r="G88" s="85" t="s">
        <v>1450</v>
      </c>
      <c r="H88" s="87">
        <v>94.5</v>
      </c>
      <c r="I88" s="94">
        <v>6</v>
      </c>
      <c r="J88" s="93">
        <v>45092</v>
      </c>
      <c r="K88" s="85" t="s">
        <v>1564</v>
      </c>
      <c r="L88" s="87">
        <v>1077</v>
      </c>
      <c r="M88" s="85"/>
      <c r="N88" s="93"/>
      <c r="O88" s="85"/>
      <c r="Q88" s="94"/>
      <c r="R88" s="93"/>
      <c r="S88" s="85"/>
      <c r="U88" s="94"/>
      <c r="V88" s="93"/>
      <c r="W88" s="85"/>
      <c r="Y88" s="94"/>
      <c r="Z88" s="93"/>
      <c r="AA88" s="85"/>
      <c r="AC88" s="94"/>
      <c r="AD88" s="93"/>
      <c r="AE88" s="85"/>
    </row>
    <row r="89" spans="5:31" x14ac:dyDescent="0.35">
      <c r="E89" s="85">
        <v>10</v>
      </c>
      <c r="F89" s="93">
        <v>44980</v>
      </c>
      <c r="G89" s="85" t="s">
        <v>1565</v>
      </c>
      <c r="H89" s="87">
        <v>23.28</v>
      </c>
      <c r="I89" s="94">
        <v>7</v>
      </c>
      <c r="J89" s="93">
        <v>45086</v>
      </c>
      <c r="K89" s="85" t="s">
        <v>1465</v>
      </c>
      <c r="L89" s="87">
        <v>13.32</v>
      </c>
      <c r="M89" s="85"/>
      <c r="N89" s="93"/>
      <c r="O89" s="85"/>
      <c r="Q89" s="94"/>
      <c r="R89" s="93"/>
      <c r="S89" s="85"/>
      <c r="U89" s="94"/>
      <c r="V89" s="93"/>
      <c r="W89" s="85"/>
      <c r="Y89" s="94"/>
      <c r="Z89" s="93"/>
      <c r="AA89" s="85"/>
      <c r="AC89" s="94"/>
      <c r="AD89" s="93"/>
      <c r="AE89" s="85"/>
    </row>
    <row r="90" spans="5:31" x14ac:dyDescent="0.35">
      <c r="E90" s="85">
        <v>7</v>
      </c>
      <c r="F90" s="93">
        <v>45016</v>
      </c>
      <c r="G90" s="85" t="s">
        <v>1566</v>
      </c>
      <c r="H90" s="87">
        <v>19.98</v>
      </c>
      <c r="I90" s="94">
        <v>8</v>
      </c>
      <c r="J90" s="93">
        <v>45096</v>
      </c>
      <c r="K90" s="85" t="s">
        <v>1567</v>
      </c>
      <c r="L90" s="87">
        <v>7.6</v>
      </c>
      <c r="M90" s="85"/>
      <c r="N90" s="93"/>
      <c r="O90" s="85"/>
      <c r="Q90" s="94"/>
      <c r="R90" s="93"/>
      <c r="S90" s="85"/>
      <c r="U90" s="94"/>
      <c r="V90" s="93"/>
      <c r="W90" s="85"/>
      <c r="Y90" s="94"/>
      <c r="Z90" s="93"/>
      <c r="AA90" s="85"/>
      <c r="AC90" s="94"/>
      <c r="AD90" s="93"/>
      <c r="AE90" s="85"/>
    </row>
    <row r="91" spans="5:31" x14ac:dyDescent="0.35">
      <c r="E91" s="85">
        <v>7</v>
      </c>
      <c r="F91" s="93">
        <v>45016</v>
      </c>
      <c r="G91" s="85" t="s">
        <v>1568</v>
      </c>
      <c r="H91" s="87">
        <v>33.299999999999997</v>
      </c>
      <c r="I91" s="94">
        <v>16</v>
      </c>
      <c r="J91" s="93">
        <v>45096</v>
      </c>
      <c r="K91" s="85" t="s">
        <v>1569</v>
      </c>
      <c r="L91" s="87">
        <v>3.3</v>
      </c>
      <c r="M91" s="85"/>
      <c r="N91" s="93"/>
      <c r="O91" s="85"/>
      <c r="Q91" s="94"/>
      <c r="R91" s="93"/>
      <c r="S91" s="85"/>
      <c r="U91" s="94"/>
      <c r="V91" s="93"/>
      <c r="W91" s="85"/>
      <c r="Y91" s="94"/>
      <c r="Z91" s="93"/>
      <c r="AA91" s="85"/>
      <c r="AC91" s="94"/>
      <c r="AD91" s="93"/>
      <c r="AE91" s="85"/>
    </row>
    <row r="92" spans="5:31" x14ac:dyDescent="0.35">
      <c r="E92" s="85">
        <v>8</v>
      </c>
      <c r="F92" s="93">
        <v>45016</v>
      </c>
      <c r="G92" s="85" t="s">
        <v>1570</v>
      </c>
      <c r="H92" s="87">
        <v>5.05</v>
      </c>
      <c r="I92" s="94">
        <v>14</v>
      </c>
      <c r="J92" s="93">
        <v>45096</v>
      </c>
      <c r="K92" s="85" t="s">
        <v>1571</v>
      </c>
      <c r="L92" s="87">
        <v>14</v>
      </c>
      <c r="M92" s="85"/>
      <c r="N92" s="93"/>
      <c r="O92" s="85"/>
      <c r="Q92" s="94"/>
      <c r="R92" s="93"/>
      <c r="S92" s="85"/>
      <c r="U92" s="94"/>
      <c r="V92" s="93"/>
      <c r="W92" s="85"/>
      <c r="Y92" s="94"/>
      <c r="Z92" s="93"/>
      <c r="AA92" s="85"/>
      <c r="AC92" s="94"/>
      <c r="AD92" s="93"/>
      <c r="AE92" s="85"/>
    </row>
    <row r="93" spans="5:31" x14ac:dyDescent="0.35">
      <c r="E93" s="85">
        <v>7</v>
      </c>
      <c r="F93" s="93">
        <v>45016</v>
      </c>
      <c r="G93" s="85" t="s">
        <v>1560</v>
      </c>
      <c r="H93" s="87">
        <v>9.99</v>
      </c>
      <c r="I93" s="94">
        <v>14</v>
      </c>
      <c r="J93" s="93">
        <v>45096</v>
      </c>
      <c r="K93" s="85" t="s">
        <v>1572</v>
      </c>
      <c r="L93" s="87">
        <v>55.37</v>
      </c>
      <c r="M93" s="85"/>
      <c r="N93" s="93"/>
      <c r="O93" s="85"/>
      <c r="Q93" s="94"/>
      <c r="R93" s="93"/>
      <c r="S93" s="85"/>
      <c r="U93" s="94"/>
      <c r="V93" s="93"/>
      <c r="W93" s="85"/>
      <c r="Y93" s="94"/>
      <c r="Z93" s="93"/>
      <c r="AA93" s="85"/>
      <c r="AC93" s="94"/>
      <c r="AD93" s="93"/>
      <c r="AE93" s="85"/>
    </row>
    <row r="94" spans="5:31" x14ac:dyDescent="0.35">
      <c r="E94" s="85">
        <v>7</v>
      </c>
      <c r="F94" s="93">
        <v>45016</v>
      </c>
      <c r="G94" s="85" t="s">
        <v>1573</v>
      </c>
      <c r="H94" s="87">
        <v>14.57</v>
      </c>
      <c r="I94" s="94">
        <v>7</v>
      </c>
      <c r="J94" s="93">
        <v>45096</v>
      </c>
      <c r="K94" s="85" t="s">
        <v>1492</v>
      </c>
      <c r="L94" s="87">
        <v>6.66</v>
      </c>
      <c r="M94" s="85"/>
      <c r="N94" s="93"/>
      <c r="O94" s="85"/>
      <c r="Q94" s="94"/>
      <c r="R94" s="93"/>
      <c r="S94" s="85"/>
      <c r="U94" s="94"/>
      <c r="V94" s="93"/>
      <c r="W94" s="85"/>
      <c r="Y94" s="94"/>
      <c r="Z94" s="93"/>
      <c r="AA94" s="85"/>
      <c r="AC94" s="94"/>
      <c r="AD94" s="93"/>
      <c r="AE94" s="85"/>
    </row>
    <row r="95" spans="5:31" x14ac:dyDescent="0.35">
      <c r="E95" s="85">
        <v>7</v>
      </c>
      <c r="F95" s="93">
        <v>45016</v>
      </c>
      <c r="G95" s="85" t="s">
        <v>1574</v>
      </c>
      <c r="H95" s="87">
        <v>3.33</v>
      </c>
      <c r="I95" s="94">
        <v>7</v>
      </c>
      <c r="J95" s="93">
        <v>45096</v>
      </c>
      <c r="K95" s="85" t="s">
        <v>1465</v>
      </c>
      <c r="L95" s="87">
        <v>9.16</v>
      </c>
      <c r="M95" s="85"/>
      <c r="N95" s="93"/>
      <c r="O95" s="85"/>
      <c r="Q95" s="94"/>
      <c r="R95" s="93"/>
      <c r="S95" s="85"/>
      <c r="U95" s="94"/>
      <c r="V95" s="93"/>
      <c r="W95" s="85"/>
      <c r="Y95" s="94"/>
      <c r="Z95" s="93"/>
      <c r="AA95" s="85"/>
      <c r="AC95" s="94"/>
      <c r="AD95" s="93"/>
      <c r="AE95" s="85"/>
    </row>
    <row r="96" spans="5:31" x14ac:dyDescent="0.35">
      <c r="E96" s="85">
        <v>16</v>
      </c>
      <c r="F96" s="93">
        <v>44971</v>
      </c>
      <c r="G96" s="85" t="s">
        <v>1541</v>
      </c>
      <c r="H96" s="87">
        <v>5.62</v>
      </c>
      <c r="I96" s="94">
        <v>15</v>
      </c>
      <c r="J96" s="93">
        <v>45215</v>
      </c>
      <c r="K96" s="85" t="s">
        <v>1575</v>
      </c>
      <c r="L96" s="87">
        <f>7*80*1.5</f>
        <v>840</v>
      </c>
      <c r="M96" s="85"/>
      <c r="N96" s="93"/>
      <c r="O96" s="85"/>
      <c r="Q96" s="94"/>
      <c r="R96" s="93"/>
      <c r="S96" s="85"/>
      <c r="U96" s="94"/>
      <c r="V96" s="93"/>
      <c r="W96" s="85"/>
      <c r="Y96" s="94"/>
      <c r="Z96" s="93"/>
      <c r="AA96" s="85"/>
      <c r="AC96" s="94"/>
      <c r="AD96" s="93"/>
      <c r="AE96" s="85"/>
    </row>
    <row r="97" spans="5:31" x14ac:dyDescent="0.35">
      <c r="E97" s="85">
        <v>8</v>
      </c>
      <c r="F97" s="93">
        <v>44974</v>
      </c>
      <c r="G97" s="85" t="s">
        <v>1576</v>
      </c>
      <c r="H97" s="87">
        <v>2.8</v>
      </c>
      <c r="I97" s="94">
        <v>14</v>
      </c>
      <c r="J97" s="93">
        <v>45137</v>
      </c>
      <c r="K97" s="85" t="s">
        <v>2382</v>
      </c>
      <c r="L97" s="87">
        <v>1160.1199999999999</v>
      </c>
      <c r="M97" s="85"/>
      <c r="N97" s="93"/>
      <c r="O97" s="85"/>
      <c r="Q97" s="94"/>
      <c r="R97" s="93"/>
      <c r="S97" s="85"/>
      <c r="U97" s="94"/>
      <c r="V97" s="93"/>
      <c r="W97" s="85"/>
      <c r="Y97" s="94"/>
      <c r="Z97" s="93"/>
      <c r="AA97" s="85"/>
      <c r="AC97" s="94"/>
      <c r="AD97" s="93"/>
      <c r="AE97" s="85"/>
    </row>
    <row r="98" spans="5:31" x14ac:dyDescent="0.35">
      <c r="E98" s="85">
        <v>8</v>
      </c>
      <c r="F98" s="93">
        <v>44974</v>
      </c>
      <c r="G98" s="85" t="s">
        <v>1578</v>
      </c>
      <c r="H98" s="87">
        <v>5.0199999999999996</v>
      </c>
      <c r="I98" s="94">
        <v>8</v>
      </c>
      <c r="J98" s="93">
        <v>45029</v>
      </c>
      <c r="K98" s="85" t="s">
        <v>1579</v>
      </c>
      <c r="L98" s="87">
        <f>1.35+6.68</f>
        <v>8.0299999999999994</v>
      </c>
      <c r="M98" s="85"/>
      <c r="N98" s="93"/>
      <c r="O98" s="85"/>
      <c r="Q98" s="94"/>
      <c r="R98" s="93"/>
      <c r="S98" s="85"/>
      <c r="U98" s="94"/>
      <c r="V98" s="93"/>
      <c r="W98" s="85"/>
      <c r="Y98" s="94"/>
      <c r="Z98" s="93"/>
      <c r="AA98" s="85"/>
      <c r="AC98" s="94"/>
      <c r="AD98" s="93"/>
      <c r="AE98" s="85"/>
    </row>
    <row r="99" spans="5:31" x14ac:dyDescent="0.35">
      <c r="E99" s="85">
        <v>16</v>
      </c>
      <c r="F99" s="93">
        <v>44974</v>
      </c>
      <c r="G99" s="85" t="s">
        <v>1580</v>
      </c>
      <c r="H99" s="87">
        <v>2.65</v>
      </c>
      <c r="I99" s="94">
        <v>14</v>
      </c>
      <c r="J99" s="93">
        <v>45029</v>
      </c>
      <c r="K99" s="85" t="s">
        <v>1581</v>
      </c>
      <c r="L99" s="87">
        <v>17.5</v>
      </c>
      <c r="M99" s="85"/>
      <c r="N99" s="93"/>
      <c r="O99" s="85"/>
      <c r="Q99" s="94"/>
      <c r="R99" s="93"/>
      <c r="S99" s="85"/>
      <c r="U99" s="94"/>
      <c r="V99" s="93"/>
      <c r="W99" s="85"/>
      <c r="Y99" s="94"/>
      <c r="Z99" s="93"/>
      <c r="AA99" s="85"/>
      <c r="AC99" s="94"/>
      <c r="AD99" s="93"/>
      <c r="AE99" s="85"/>
    </row>
    <row r="100" spans="5:31" x14ac:dyDescent="0.35">
      <c r="E100" s="85">
        <v>8</v>
      </c>
      <c r="F100" s="93">
        <v>44980</v>
      </c>
      <c r="G100" s="85" t="s">
        <v>1512</v>
      </c>
      <c r="H100" s="87">
        <v>43.99</v>
      </c>
      <c r="I100" s="94">
        <v>14</v>
      </c>
      <c r="J100" s="93">
        <v>45030</v>
      </c>
      <c r="K100" s="85" t="s">
        <v>1582</v>
      </c>
      <c r="L100" s="87">
        <v>5.57</v>
      </c>
      <c r="M100" s="85"/>
      <c r="N100" s="93"/>
      <c r="O100" s="85"/>
      <c r="Q100" s="94"/>
      <c r="R100" s="93"/>
      <c r="S100" s="85"/>
      <c r="U100" s="94"/>
      <c r="V100" s="93"/>
      <c r="W100" s="85"/>
      <c r="Y100" s="94"/>
      <c r="Z100" s="93"/>
      <c r="AA100" s="85"/>
      <c r="AC100" s="94"/>
      <c r="AD100" s="93"/>
      <c r="AE100" s="85"/>
    </row>
    <row r="101" spans="5:31" x14ac:dyDescent="0.35">
      <c r="E101" s="85">
        <v>1</v>
      </c>
      <c r="F101" s="93">
        <v>44966</v>
      </c>
      <c r="G101" s="85" t="s">
        <v>1583</v>
      </c>
      <c r="H101" s="87">
        <v>-20</v>
      </c>
      <c r="I101" s="94">
        <v>8</v>
      </c>
      <c r="J101" s="93">
        <v>45042</v>
      </c>
      <c r="K101" s="85" t="s">
        <v>1579</v>
      </c>
      <c r="L101" s="87">
        <v>6</v>
      </c>
      <c r="M101" s="85"/>
      <c r="N101" s="93"/>
      <c r="O101" s="85"/>
      <c r="Q101" s="94"/>
      <c r="R101" s="93"/>
      <c r="S101" s="85"/>
      <c r="U101" s="94"/>
      <c r="V101" s="93"/>
      <c r="W101" s="85"/>
      <c r="Y101" s="94"/>
      <c r="Z101" s="93"/>
      <c r="AA101" s="85"/>
      <c r="AC101" s="94"/>
      <c r="AD101" s="93"/>
      <c r="AE101" s="85"/>
    </row>
    <row r="102" spans="5:31" x14ac:dyDescent="0.35">
      <c r="E102" s="85">
        <v>20</v>
      </c>
      <c r="F102" s="93">
        <v>45004</v>
      </c>
      <c r="G102" s="85" t="s">
        <v>1584</v>
      </c>
      <c r="H102" s="87">
        <v>145.27000000000001</v>
      </c>
      <c r="I102" s="94">
        <v>20</v>
      </c>
      <c r="J102" s="93">
        <v>45043</v>
      </c>
      <c r="K102" s="85" t="s">
        <v>1585</v>
      </c>
      <c r="L102" s="87">
        <v>56.2</v>
      </c>
      <c r="M102" s="85"/>
      <c r="N102" s="93"/>
      <c r="O102" s="85"/>
      <c r="Q102" s="94"/>
      <c r="R102" s="93"/>
      <c r="S102" s="85"/>
      <c r="U102" s="94"/>
      <c r="V102" s="93"/>
      <c r="W102" s="85"/>
      <c r="Y102" s="94"/>
      <c r="Z102" s="93"/>
      <c r="AA102" s="85"/>
      <c r="AC102" s="94"/>
      <c r="AD102" s="93"/>
      <c r="AE102" s="85"/>
    </row>
    <row r="103" spans="5:31" x14ac:dyDescent="0.35">
      <c r="E103" s="85">
        <v>16</v>
      </c>
      <c r="F103" s="93" t="s">
        <v>775</v>
      </c>
      <c r="G103" s="85" t="s">
        <v>1586</v>
      </c>
      <c r="H103" s="87">
        <v>96.68</v>
      </c>
      <c r="I103" s="94">
        <v>16</v>
      </c>
      <c r="J103" s="93">
        <v>45043</v>
      </c>
      <c r="K103" s="85" t="s">
        <v>1587</v>
      </c>
      <c r="L103" s="87">
        <v>8.4600000000000009</v>
      </c>
      <c r="M103" s="85"/>
      <c r="N103" s="93"/>
      <c r="O103" s="85"/>
      <c r="Q103" s="94"/>
      <c r="R103" s="93"/>
      <c r="S103" s="85"/>
      <c r="U103" s="94"/>
      <c r="V103" s="93"/>
      <c r="W103" s="85"/>
      <c r="Y103" s="94"/>
      <c r="Z103" s="93"/>
      <c r="AA103" s="85"/>
      <c r="AC103" s="94"/>
      <c r="AD103" s="93"/>
      <c r="AE103" s="85"/>
    </row>
    <row r="104" spans="5:31" x14ac:dyDescent="0.35">
      <c r="E104" s="85">
        <v>8</v>
      </c>
      <c r="F104" s="93">
        <v>45000</v>
      </c>
      <c r="G104" s="85" t="s">
        <v>1588</v>
      </c>
      <c r="H104" s="87">
        <v>11.4</v>
      </c>
      <c r="I104" s="94">
        <v>16</v>
      </c>
      <c r="J104" s="93">
        <v>45043</v>
      </c>
      <c r="K104" s="85" t="s">
        <v>1589</v>
      </c>
      <c r="L104" s="87">
        <v>16.57</v>
      </c>
      <c r="M104" s="85"/>
      <c r="N104" s="93"/>
      <c r="O104" s="85"/>
      <c r="Q104" s="94"/>
      <c r="R104" s="93"/>
      <c r="S104" s="85"/>
      <c r="U104" s="94"/>
      <c r="V104" s="93"/>
      <c r="W104" s="85"/>
      <c r="Y104" s="94"/>
      <c r="Z104" s="93"/>
      <c r="AA104" s="85"/>
      <c r="AC104" s="94"/>
      <c r="AD104" s="93"/>
      <c r="AE104" s="85"/>
    </row>
    <row r="105" spans="5:31" x14ac:dyDescent="0.35">
      <c r="E105" s="85">
        <v>16</v>
      </c>
      <c r="F105" s="93">
        <v>45001</v>
      </c>
      <c r="G105" s="85" t="s">
        <v>1553</v>
      </c>
      <c r="H105" s="87">
        <v>1.9</v>
      </c>
      <c r="I105" s="94">
        <v>16</v>
      </c>
      <c r="J105" s="93">
        <v>45043</v>
      </c>
      <c r="K105" s="85" t="s">
        <v>1590</v>
      </c>
      <c r="L105" s="87">
        <v>12.3</v>
      </c>
      <c r="M105" s="85"/>
      <c r="N105" s="93"/>
      <c r="O105" s="85"/>
      <c r="Q105" s="94"/>
      <c r="R105" s="93"/>
      <c r="S105" s="85"/>
      <c r="U105" s="94"/>
      <c r="V105" s="93"/>
      <c r="W105" s="85"/>
      <c r="Y105" s="94"/>
      <c r="Z105" s="93"/>
      <c r="AA105" s="85"/>
      <c r="AC105" s="94"/>
      <c r="AD105" s="93"/>
      <c r="AE105" s="85"/>
    </row>
    <row r="106" spans="5:31" x14ac:dyDescent="0.35">
      <c r="E106" s="85">
        <v>16</v>
      </c>
      <c r="F106" s="93">
        <v>45001</v>
      </c>
      <c r="G106" s="85" t="s">
        <v>715</v>
      </c>
      <c r="H106" s="87">
        <v>8.33</v>
      </c>
      <c r="I106" s="94">
        <v>16</v>
      </c>
      <c r="J106" s="93">
        <v>45043</v>
      </c>
      <c r="K106" s="85" t="s">
        <v>1516</v>
      </c>
      <c r="L106" s="87">
        <v>27.92</v>
      </c>
      <c r="M106" s="85"/>
      <c r="N106" s="93"/>
      <c r="O106" s="85"/>
      <c r="Q106" s="94"/>
      <c r="R106" s="93"/>
      <c r="S106" s="85"/>
      <c r="U106" s="94"/>
      <c r="V106" s="93"/>
      <c r="W106" s="85"/>
      <c r="Y106" s="94"/>
      <c r="Z106" s="93"/>
      <c r="AA106" s="85"/>
      <c r="AC106" s="94"/>
      <c r="AD106" s="93"/>
      <c r="AE106" s="85"/>
    </row>
    <row r="107" spans="5:31" x14ac:dyDescent="0.35">
      <c r="E107" s="85">
        <v>8</v>
      </c>
      <c r="F107" s="93">
        <v>45002</v>
      </c>
      <c r="G107" s="85" t="s">
        <v>1579</v>
      </c>
      <c r="H107" s="87">
        <v>3.9</v>
      </c>
      <c r="I107" s="94">
        <v>14</v>
      </c>
      <c r="J107" s="93">
        <v>45043</v>
      </c>
      <c r="K107" s="85" t="s">
        <v>1591</v>
      </c>
      <c r="L107" s="87">
        <v>33.840000000000003</v>
      </c>
      <c r="M107" s="85"/>
      <c r="N107" s="93"/>
      <c r="O107" s="85"/>
      <c r="Q107" s="94"/>
      <c r="R107" s="93"/>
      <c r="S107" s="85"/>
      <c r="U107" s="94"/>
      <c r="V107" s="93"/>
      <c r="W107" s="85"/>
      <c r="Y107" s="94"/>
      <c r="Z107" s="93"/>
      <c r="AA107" s="85"/>
      <c r="AC107" s="94"/>
      <c r="AD107" s="93"/>
      <c r="AE107" s="85"/>
    </row>
    <row r="108" spans="5:31" x14ac:dyDescent="0.35">
      <c r="E108" s="85">
        <v>8</v>
      </c>
      <c r="F108" s="93">
        <v>45002</v>
      </c>
      <c r="G108" s="85" t="s">
        <v>1592</v>
      </c>
      <c r="H108" s="87">
        <v>58.24</v>
      </c>
      <c r="I108" s="94">
        <v>16</v>
      </c>
      <c r="J108" s="93">
        <v>45047</v>
      </c>
      <c r="K108" s="85" t="s">
        <v>1593</v>
      </c>
      <c r="L108" s="87">
        <v>9.1199999999999992</v>
      </c>
      <c r="M108" s="85"/>
      <c r="N108" s="93"/>
      <c r="O108" s="85"/>
      <c r="Q108" s="94"/>
      <c r="R108" s="93"/>
      <c r="S108" s="85"/>
      <c r="U108" s="94"/>
      <c r="V108" s="93"/>
      <c r="W108" s="85"/>
      <c r="Y108" s="94"/>
      <c r="Z108" s="93"/>
      <c r="AA108" s="85"/>
      <c r="AC108" s="94"/>
      <c r="AD108" s="93"/>
      <c r="AE108" s="85"/>
    </row>
    <row r="109" spans="5:31" x14ac:dyDescent="0.35">
      <c r="E109" s="85">
        <v>16</v>
      </c>
      <c r="F109" s="93">
        <v>45011</v>
      </c>
      <c r="G109" s="85" t="s">
        <v>1516</v>
      </c>
      <c r="H109" s="87">
        <v>24.46</v>
      </c>
      <c r="I109" s="94">
        <v>8</v>
      </c>
      <c r="J109" s="93">
        <v>45039</v>
      </c>
      <c r="K109" s="85" t="s">
        <v>1512</v>
      </c>
      <c r="L109" s="87">
        <v>44.99</v>
      </c>
      <c r="M109" s="85"/>
      <c r="N109" s="93"/>
      <c r="O109" s="85"/>
      <c r="Q109" s="94"/>
      <c r="R109" s="93"/>
      <c r="S109" s="85"/>
      <c r="U109" s="94"/>
      <c r="V109" s="93"/>
      <c r="W109" s="85"/>
      <c r="Y109" s="94"/>
      <c r="Z109" s="93"/>
      <c r="AA109" s="85"/>
      <c r="AC109" s="94"/>
      <c r="AD109" s="93"/>
      <c r="AE109" s="85"/>
    </row>
    <row r="110" spans="5:31" x14ac:dyDescent="0.35">
      <c r="E110" s="85">
        <v>16</v>
      </c>
      <c r="F110" s="93">
        <v>45011</v>
      </c>
      <c r="G110" s="85" t="s">
        <v>1594</v>
      </c>
      <c r="H110" s="87">
        <v>5.82</v>
      </c>
      <c r="I110" s="94">
        <v>16</v>
      </c>
      <c r="J110" s="93">
        <v>45058</v>
      </c>
      <c r="K110" s="85" t="s">
        <v>1595</v>
      </c>
      <c r="L110" s="87">
        <v>8.32</v>
      </c>
      <c r="M110" s="85"/>
      <c r="N110" s="93"/>
      <c r="O110" s="85"/>
      <c r="Q110" s="94"/>
      <c r="R110" s="93"/>
      <c r="S110" s="85"/>
      <c r="U110" s="94"/>
      <c r="V110" s="93"/>
      <c r="W110" s="85"/>
      <c r="Y110" s="94"/>
      <c r="Z110" s="93"/>
      <c r="AA110" s="85"/>
      <c r="AC110" s="94"/>
      <c r="AD110" s="93"/>
      <c r="AE110" s="85"/>
    </row>
    <row r="111" spans="5:31" x14ac:dyDescent="0.35">
      <c r="E111" s="85">
        <v>8</v>
      </c>
      <c r="F111" s="93">
        <v>45008</v>
      </c>
      <c r="G111" s="85" t="s">
        <v>1512</v>
      </c>
      <c r="H111" s="87">
        <v>43.99</v>
      </c>
      <c r="I111" s="94">
        <v>20</v>
      </c>
      <c r="J111" s="93">
        <v>45059</v>
      </c>
      <c r="K111" s="85" t="s">
        <v>1596</v>
      </c>
      <c r="L111" s="87">
        <v>23.71</v>
      </c>
      <c r="M111" s="85"/>
      <c r="N111" s="93"/>
      <c r="O111" s="85"/>
      <c r="Q111" s="94"/>
      <c r="R111" s="93"/>
      <c r="S111" s="85"/>
      <c r="U111" s="94"/>
      <c r="V111" s="93"/>
      <c r="W111" s="85"/>
      <c r="Y111" s="94"/>
      <c r="Z111" s="93"/>
      <c r="AA111" s="85"/>
      <c r="AC111" s="94"/>
      <c r="AD111" s="93"/>
      <c r="AE111" s="85"/>
    </row>
    <row r="112" spans="5:31" x14ac:dyDescent="0.35">
      <c r="E112" s="85">
        <v>16</v>
      </c>
      <c r="F112" s="93">
        <v>45012</v>
      </c>
      <c r="G112" s="85" t="s">
        <v>1580</v>
      </c>
      <c r="H112" s="87">
        <v>1.5</v>
      </c>
      <c r="I112" s="94">
        <v>8</v>
      </c>
      <c r="J112" s="93">
        <v>45071</v>
      </c>
      <c r="K112" s="85" t="s">
        <v>1579</v>
      </c>
      <c r="L112" s="87">
        <v>29.59</v>
      </c>
      <c r="M112" s="85"/>
      <c r="N112" s="93"/>
      <c r="O112" s="85"/>
      <c r="Q112" s="94"/>
      <c r="R112" s="93"/>
      <c r="S112" s="85"/>
      <c r="U112" s="94"/>
      <c r="V112" s="93"/>
      <c r="W112" s="85"/>
      <c r="Y112" s="94"/>
      <c r="Z112" s="93"/>
      <c r="AA112" s="85"/>
      <c r="AC112" s="94"/>
      <c r="AD112" s="93"/>
      <c r="AE112" s="85"/>
    </row>
    <row r="113" spans="5:31" x14ac:dyDescent="0.35">
      <c r="E113" s="85" t="s">
        <v>1597</v>
      </c>
      <c r="G113" s="85" t="s">
        <v>1598</v>
      </c>
      <c r="H113" s="87">
        <v>1.77</v>
      </c>
      <c r="I113" s="94">
        <v>16</v>
      </c>
      <c r="J113" s="93">
        <v>45072</v>
      </c>
      <c r="K113" s="87" t="s">
        <v>1553</v>
      </c>
      <c r="L113" s="87">
        <v>1.1000000000000001</v>
      </c>
      <c r="M113" s="85"/>
      <c r="N113" s="93"/>
      <c r="O113" s="85"/>
      <c r="Q113" s="94"/>
      <c r="R113" s="93"/>
      <c r="S113" s="85"/>
      <c r="U113" s="94"/>
      <c r="V113" s="93"/>
      <c r="W113" s="85"/>
      <c r="Y113" s="94"/>
      <c r="Z113" s="93"/>
      <c r="AA113" s="85"/>
      <c r="AC113" s="94"/>
      <c r="AD113" s="93"/>
      <c r="AE113" s="85"/>
    </row>
    <row r="114" spans="5:31" x14ac:dyDescent="0.35">
      <c r="E114" s="85" t="s">
        <v>1597</v>
      </c>
      <c r="G114" s="85" t="s">
        <v>1599</v>
      </c>
      <c r="H114" s="87">
        <f>30.81+48.15</f>
        <v>78.959999999999994</v>
      </c>
      <c r="I114" s="94">
        <v>8</v>
      </c>
      <c r="J114" s="93">
        <v>45069</v>
      </c>
      <c r="K114" s="85" t="s">
        <v>1512</v>
      </c>
      <c r="L114" s="87">
        <v>44.99</v>
      </c>
      <c r="M114" s="85"/>
      <c r="N114" s="93"/>
      <c r="O114" s="85"/>
      <c r="Q114" s="94"/>
      <c r="R114" s="93"/>
      <c r="S114" s="85"/>
      <c r="U114" s="94"/>
      <c r="V114" s="93"/>
      <c r="W114" s="85"/>
      <c r="Y114" s="94"/>
      <c r="Z114" s="93"/>
      <c r="AA114" s="85"/>
      <c r="AC114" s="94"/>
      <c r="AD114" s="93"/>
      <c r="AE114" s="85"/>
    </row>
    <row r="115" spans="5:31" x14ac:dyDescent="0.35">
      <c r="G115" s="85"/>
      <c r="H115" s="87"/>
      <c r="I115" s="94">
        <v>20</v>
      </c>
      <c r="J115" s="93">
        <v>45095</v>
      </c>
      <c r="K115" s="87" t="s">
        <v>1600</v>
      </c>
      <c r="L115" s="87">
        <v>495.77</v>
      </c>
      <c r="M115" s="85"/>
      <c r="N115" s="93"/>
      <c r="O115" s="85"/>
      <c r="Q115" s="94"/>
      <c r="R115" s="93"/>
      <c r="S115" s="85"/>
      <c r="U115" s="94"/>
      <c r="V115" s="93"/>
      <c r="W115" s="85"/>
      <c r="Y115" s="94"/>
      <c r="Z115" s="93"/>
      <c r="AA115" s="85"/>
      <c r="AC115" s="94"/>
      <c r="AD115" s="93"/>
      <c r="AE115" s="85"/>
    </row>
    <row r="116" spans="5:31" x14ac:dyDescent="0.35">
      <c r="G116" s="85"/>
      <c r="H116" s="87"/>
      <c r="I116" s="94">
        <v>14</v>
      </c>
      <c r="J116" s="93">
        <v>45106</v>
      </c>
      <c r="K116" s="87" t="s">
        <v>1601</v>
      </c>
      <c r="L116" s="87">
        <v>729.77</v>
      </c>
      <c r="M116" s="85"/>
      <c r="N116" s="93"/>
      <c r="O116" s="85"/>
      <c r="Q116" s="94"/>
      <c r="R116" s="93"/>
      <c r="S116" s="85"/>
      <c r="U116" s="94"/>
      <c r="V116" s="93"/>
      <c r="W116" s="85"/>
      <c r="Y116" s="94"/>
      <c r="Z116" s="93"/>
      <c r="AA116" s="85"/>
      <c r="AC116" s="94"/>
      <c r="AD116" s="93"/>
      <c r="AE116" s="85"/>
    </row>
    <row r="117" spans="5:31" x14ac:dyDescent="0.35">
      <c r="G117" s="85"/>
      <c r="H117" s="87"/>
      <c r="I117" s="94">
        <v>14</v>
      </c>
      <c r="J117" s="93">
        <v>45104</v>
      </c>
      <c r="K117" s="87" t="s">
        <v>1602</v>
      </c>
      <c r="L117" s="87">
        <v>529.65</v>
      </c>
      <c r="M117" s="85"/>
      <c r="N117" s="93"/>
      <c r="O117" s="85"/>
      <c r="Q117" s="94"/>
      <c r="R117" s="93"/>
      <c r="S117" s="85"/>
      <c r="U117" s="94"/>
      <c r="V117" s="93"/>
      <c r="W117" s="85"/>
      <c r="Y117" s="94"/>
      <c r="Z117" s="93"/>
      <c r="AA117" s="85"/>
      <c r="AC117" s="94"/>
      <c r="AD117" s="93"/>
      <c r="AE117" s="85"/>
    </row>
    <row r="118" spans="5:31" x14ac:dyDescent="0.35">
      <c r="G118" s="85"/>
      <c r="H118" s="87"/>
      <c r="I118" s="94">
        <v>16</v>
      </c>
      <c r="J118" s="93">
        <v>45099</v>
      </c>
      <c r="K118" s="87" t="s">
        <v>1603</v>
      </c>
      <c r="L118" s="87">
        <v>90.7</v>
      </c>
      <c r="M118" s="85"/>
      <c r="N118" s="93"/>
      <c r="O118" s="85"/>
      <c r="Q118" s="94"/>
      <c r="R118" s="93"/>
      <c r="S118" s="85"/>
      <c r="U118" s="94"/>
      <c r="V118" s="93"/>
      <c r="W118" s="85"/>
      <c r="Y118" s="94"/>
      <c r="Z118" s="93"/>
      <c r="AA118" s="85"/>
      <c r="AC118" s="94"/>
      <c r="AD118" s="93"/>
      <c r="AE118" s="85"/>
    </row>
    <row r="119" spans="5:31" x14ac:dyDescent="0.35">
      <c r="G119" s="85"/>
      <c r="H119" s="87"/>
      <c r="I119" s="94">
        <v>8</v>
      </c>
      <c r="J119" s="93">
        <v>45106</v>
      </c>
      <c r="K119" s="87" t="s">
        <v>1579</v>
      </c>
      <c r="L119" s="87">
        <v>16.05</v>
      </c>
      <c r="M119" s="85"/>
      <c r="N119" s="93"/>
      <c r="O119" s="85"/>
      <c r="Q119" s="94"/>
      <c r="R119" s="93"/>
      <c r="S119" s="85"/>
      <c r="U119" s="94"/>
      <c r="V119" s="93"/>
      <c r="W119" s="85"/>
      <c r="Y119" s="94"/>
      <c r="Z119" s="93"/>
      <c r="AA119" s="85"/>
      <c r="AC119" s="94"/>
      <c r="AD119" s="93"/>
      <c r="AE119" s="85"/>
    </row>
    <row r="120" spans="5:31" x14ac:dyDescent="0.35">
      <c r="G120" s="85"/>
      <c r="H120" s="87"/>
      <c r="I120" s="94">
        <v>7</v>
      </c>
      <c r="J120" s="93">
        <v>45112</v>
      </c>
      <c r="K120" s="87" t="s">
        <v>1510</v>
      </c>
      <c r="L120" s="87">
        <v>56.61</v>
      </c>
      <c r="M120" s="85"/>
      <c r="N120" s="93"/>
      <c r="O120" s="85"/>
      <c r="Q120" s="94"/>
      <c r="R120" s="93"/>
      <c r="S120" s="85"/>
      <c r="U120" s="94"/>
      <c r="V120" s="93"/>
      <c r="W120" s="85"/>
      <c r="Y120" s="94"/>
      <c r="Z120" s="93"/>
      <c r="AA120" s="85"/>
      <c r="AC120" s="94"/>
      <c r="AD120" s="93"/>
      <c r="AE120" s="85"/>
    </row>
    <row r="121" spans="5:31" x14ac:dyDescent="0.35">
      <c r="G121" s="85"/>
      <c r="H121" s="87"/>
      <c r="I121" s="94">
        <v>7</v>
      </c>
      <c r="J121" s="93">
        <v>45112</v>
      </c>
      <c r="K121" s="87" t="s">
        <v>1604</v>
      </c>
      <c r="L121" s="87">
        <v>6.66</v>
      </c>
      <c r="M121" s="85"/>
      <c r="N121" s="93"/>
      <c r="O121" s="85"/>
      <c r="Q121" s="94"/>
      <c r="R121" s="93"/>
      <c r="S121" s="85"/>
      <c r="U121" s="94"/>
      <c r="V121" s="93"/>
      <c r="W121" s="85"/>
      <c r="Y121" s="94"/>
      <c r="Z121" s="93"/>
      <c r="AA121" s="85"/>
      <c r="AC121" s="94"/>
      <c r="AD121" s="93"/>
      <c r="AE121" s="85"/>
    </row>
    <row r="122" spans="5:31" x14ac:dyDescent="0.35">
      <c r="G122" s="85"/>
      <c r="H122" s="87"/>
      <c r="I122" s="94">
        <v>14</v>
      </c>
      <c r="J122" s="93">
        <v>45112</v>
      </c>
      <c r="K122" s="87" t="s">
        <v>1605</v>
      </c>
      <c r="L122" s="87">
        <v>10.75</v>
      </c>
      <c r="M122" s="85"/>
      <c r="N122" s="93"/>
      <c r="O122" s="85"/>
      <c r="Q122" s="94"/>
      <c r="R122" s="93"/>
      <c r="S122" s="85"/>
      <c r="U122" s="94"/>
      <c r="V122" s="93"/>
      <c r="W122" s="85"/>
      <c r="Y122" s="94"/>
      <c r="Z122" s="93"/>
      <c r="AA122" s="85"/>
      <c r="AC122" s="94"/>
      <c r="AD122" s="93"/>
      <c r="AE122" s="85"/>
    </row>
    <row r="123" spans="5:31" x14ac:dyDescent="0.35">
      <c r="G123" s="85"/>
      <c r="H123" s="87"/>
      <c r="I123" s="94">
        <v>15</v>
      </c>
      <c r="J123" s="93">
        <v>45107</v>
      </c>
      <c r="K123" s="87" t="s">
        <v>1606</v>
      </c>
      <c r="L123" s="87">
        <f>19+4</f>
        <v>23</v>
      </c>
      <c r="M123" s="85"/>
      <c r="N123" s="93"/>
      <c r="O123" s="85"/>
      <c r="Q123" s="94"/>
      <c r="R123" s="93"/>
      <c r="S123" s="85"/>
      <c r="U123" s="94"/>
      <c r="V123" s="93"/>
      <c r="W123" s="85"/>
      <c r="Y123" s="94"/>
      <c r="Z123" s="93"/>
      <c r="AA123" s="85"/>
      <c r="AC123" s="94"/>
      <c r="AD123" s="93"/>
      <c r="AE123" s="85"/>
    </row>
    <row r="124" spans="5:31" x14ac:dyDescent="0.35">
      <c r="G124" s="85"/>
      <c r="H124" s="87"/>
      <c r="I124" s="94">
        <v>14</v>
      </c>
      <c r="J124" s="93">
        <v>45107</v>
      </c>
      <c r="K124" s="87" t="s">
        <v>1607</v>
      </c>
      <c r="L124" s="87">
        <v>24</v>
      </c>
      <c r="M124" s="85"/>
      <c r="N124" s="93"/>
      <c r="O124" s="85"/>
      <c r="Q124" s="94"/>
      <c r="R124" s="93"/>
      <c r="S124" s="85"/>
      <c r="U124" s="94"/>
      <c r="V124" s="93"/>
      <c r="W124" s="85"/>
      <c r="Y124" s="94"/>
      <c r="Z124" s="93"/>
      <c r="AA124" s="85"/>
      <c r="AC124" s="94"/>
      <c r="AD124" s="93"/>
      <c r="AE124" s="85"/>
    </row>
    <row r="125" spans="5:31" x14ac:dyDescent="0.35">
      <c r="G125" s="85"/>
      <c r="H125" s="87"/>
      <c r="I125" s="94">
        <v>15</v>
      </c>
      <c r="J125" s="93">
        <v>45125</v>
      </c>
      <c r="K125" s="87" t="s">
        <v>1606</v>
      </c>
      <c r="L125" s="87">
        <v>57</v>
      </c>
      <c r="M125" s="85"/>
      <c r="N125" s="93"/>
      <c r="O125" s="85"/>
      <c r="Q125" s="94"/>
      <c r="R125" s="93"/>
      <c r="S125" s="85"/>
      <c r="U125" s="94"/>
      <c r="V125" s="93"/>
      <c r="W125" s="85"/>
      <c r="Y125" s="94"/>
      <c r="Z125" s="93"/>
      <c r="AA125" s="85"/>
      <c r="AC125" s="94"/>
      <c r="AD125" s="93"/>
      <c r="AE125" s="85"/>
    </row>
    <row r="126" spans="5:31" x14ac:dyDescent="0.35">
      <c r="G126" s="85"/>
      <c r="H126" s="87"/>
      <c r="I126" s="94">
        <v>14</v>
      </c>
      <c r="J126" s="93">
        <v>45118</v>
      </c>
      <c r="K126" s="87" t="s">
        <v>1607</v>
      </c>
      <c r="L126" s="87">
        <v>193</v>
      </c>
      <c r="M126" s="85"/>
      <c r="N126" s="93"/>
      <c r="O126" s="85"/>
      <c r="Q126" s="94"/>
      <c r="R126" s="93"/>
      <c r="S126" s="85"/>
      <c r="U126" s="94"/>
      <c r="V126" s="93"/>
      <c r="W126" s="85"/>
      <c r="Y126" s="94"/>
      <c r="Z126" s="93"/>
      <c r="AA126" s="85"/>
      <c r="AC126" s="94"/>
      <c r="AD126" s="93"/>
      <c r="AE126" s="85"/>
    </row>
    <row r="127" spans="5:31" x14ac:dyDescent="0.35">
      <c r="G127" s="85"/>
      <c r="H127" s="87"/>
      <c r="I127" s="94">
        <v>15</v>
      </c>
      <c r="J127" s="93">
        <v>45118</v>
      </c>
      <c r="K127" s="87" t="s">
        <v>1606</v>
      </c>
      <c r="L127" s="87">
        <v>28.5</v>
      </c>
      <c r="M127" s="85"/>
      <c r="N127" s="93"/>
      <c r="O127" s="85"/>
      <c r="Q127" s="94"/>
      <c r="R127" s="93"/>
      <c r="S127" s="85"/>
      <c r="U127" s="94"/>
      <c r="V127" s="93"/>
      <c r="W127" s="85"/>
      <c r="Y127" s="94"/>
      <c r="Z127" s="93"/>
      <c r="AA127" s="85"/>
      <c r="AC127" s="94"/>
      <c r="AD127" s="93"/>
      <c r="AE127" s="85"/>
    </row>
    <row r="128" spans="5:31" x14ac:dyDescent="0.35">
      <c r="G128" s="85"/>
      <c r="H128" s="87"/>
      <c r="I128" s="94">
        <v>14</v>
      </c>
      <c r="J128" s="93">
        <v>45127</v>
      </c>
      <c r="K128" s="87" t="s">
        <v>1608</v>
      </c>
      <c r="L128" s="87">
        <v>610</v>
      </c>
      <c r="M128" s="85"/>
      <c r="N128" s="93"/>
      <c r="O128" s="85"/>
      <c r="Q128" s="94"/>
      <c r="R128" s="93"/>
      <c r="S128" s="85"/>
      <c r="U128" s="94"/>
      <c r="V128" s="93"/>
      <c r="W128" s="85"/>
      <c r="Y128" s="94"/>
      <c r="Z128" s="93"/>
      <c r="AA128" s="85"/>
      <c r="AC128" s="94"/>
      <c r="AD128" s="93"/>
      <c r="AE128" s="85"/>
    </row>
    <row r="129" spans="7:31" x14ac:dyDescent="0.35">
      <c r="G129" s="85"/>
      <c r="H129" s="87"/>
      <c r="I129" s="94">
        <v>14</v>
      </c>
      <c r="J129" s="93">
        <v>45120</v>
      </c>
      <c r="K129" s="87" t="s">
        <v>1607</v>
      </c>
      <c r="L129" s="87">
        <v>199.47</v>
      </c>
      <c r="M129" s="85"/>
      <c r="N129" s="93"/>
      <c r="O129" s="85"/>
      <c r="Q129" s="94"/>
      <c r="R129" s="93"/>
      <c r="S129" s="85"/>
      <c r="U129" s="94"/>
      <c r="V129" s="93"/>
      <c r="W129" s="85"/>
      <c r="Y129" s="94"/>
      <c r="Z129" s="93"/>
      <c r="AA129" s="85"/>
      <c r="AC129" s="94"/>
      <c r="AD129" s="93"/>
      <c r="AE129" s="85"/>
    </row>
    <row r="130" spans="7:31" x14ac:dyDescent="0.35">
      <c r="G130" s="85"/>
      <c r="H130" s="87"/>
      <c r="I130" s="94">
        <v>14</v>
      </c>
      <c r="J130" s="93">
        <v>45079</v>
      </c>
      <c r="K130" s="87" t="s">
        <v>1609</v>
      </c>
      <c r="L130" s="87">
        <f>179.95+29.13+29.16+124.92+154.3+16.66</f>
        <v>534.12</v>
      </c>
      <c r="M130" s="85"/>
      <c r="N130" s="93"/>
      <c r="O130" s="85"/>
      <c r="Q130" s="94"/>
      <c r="R130" s="93"/>
      <c r="S130" s="85"/>
      <c r="U130" s="94"/>
      <c r="V130" s="93"/>
      <c r="W130" s="85"/>
      <c r="Y130" s="94"/>
      <c r="Z130" s="93"/>
      <c r="AA130" s="85"/>
      <c r="AC130" s="94"/>
      <c r="AD130" s="93"/>
      <c r="AE130" s="85"/>
    </row>
    <row r="131" spans="7:31" x14ac:dyDescent="0.35">
      <c r="G131" s="85"/>
      <c r="H131" s="87"/>
      <c r="I131" s="94">
        <v>19</v>
      </c>
      <c r="J131" s="93">
        <v>45110</v>
      </c>
      <c r="K131" s="87" t="s">
        <v>1610</v>
      </c>
      <c r="L131" s="87">
        <v>445</v>
      </c>
      <c r="M131" s="85"/>
      <c r="N131" s="93"/>
      <c r="O131" s="85"/>
      <c r="Q131" s="94"/>
      <c r="R131" s="93"/>
      <c r="S131" s="85"/>
      <c r="U131" s="94"/>
      <c r="V131" s="93"/>
      <c r="W131" s="85"/>
      <c r="Y131" s="94"/>
      <c r="Z131" s="93"/>
      <c r="AA131" s="85"/>
      <c r="AC131" s="94"/>
      <c r="AD131" s="93"/>
      <c r="AE131" s="85"/>
    </row>
    <row r="132" spans="7:31" x14ac:dyDescent="0.35">
      <c r="G132" s="85"/>
      <c r="H132" s="87"/>
      <c r="I132" s="94">
        <v>14</v>
      </c>
      <c r="J132" s="93">
        <v>45148</v>
      </c>
      <c r="K132" s="87" t="s">
        <v>1611</v>
      </c>
      <c r="L132" s="87">
        <v>537.57000000000005</v>
      </c>
      <c r="M132" s="85"/>
      <c r="N132" s="93"/>
      <c r="O132" s="85"/>
      <c r="Q132" s="94"/>
      <c r="R132" s="93"/>
      <c r="S132" s="85"/>
      <c r="U132" s="94"/>
      <c r="V132" s="93"/>
      <c r="W132" s="85"/>
      <c r="Y132" s="94"/>
      <c r="Z132" s="93"/>
      <c r="AA132" s="85"/>
      <c r="AC132" s="94"/>
      <c r="AD132" s="93"/>
      <c r="AE132" s="85"/>
    </row>
    <row r="133" spans="7:31" ht="29" x14ac:dyDescent="0.35">
      <c r="G133" s="85"/>
      <c r="H133" s="87"/>
      <c r="I133" s="94" t="s">
        <v>23</v>
      </c>
      <c r="J133" s="93" t="s">
        <v>719</v>
      </c>
      <c r="K133" s="86" t="s">
        <v>1612</v>
      </c>
      <c r="L133" s="87">
        <v>17000</v>
      </c>
      <c r="M133" s="85"/>
      <c r="N133" s="93"/>
      <c r="O133" s="85"/>
      <c r="Q133" s="94"/>
      <c r="R133" s="93"/>
      <c r="S133" s="85"/>
      <c r="U133" s="94"/>
      <c r="V133" s="93"/>
      <c r="W133" s="85"/>
      <c r="Y133" s="94"/>
      <c r="Z133" s="93"/>
      <c r="AA133" s="85"/>
      <c r="AC133" s="94"/>
      <c r="AD133" s="93"/>
      <c r="AE133" s="85"/>
    </row>
    <row r="134" spans="7:31" ht="87" x14ac:dyDescent="0.35">
      <c r="G134" s="85"/>
      <c r="H134" s="87"/>
      <c r="I134" s="94">
        <v>14</v>
      </c>
      <c r="J134" s="93">
        <v>45118</v>
      </c>
      <c r="K134" s="87" t="s">
        <v>1614</v>
      </c>
      <c r="L134" s="87">
        <v>4950</v>
      </c>
      <c r="M134" s="119" t="s">
        <v>1613</v>
      </c>
      <c r="N134" s="93"/>
      <c r="O134" s="85"/>
      <c r="Q134" s="94"/>
      <c r="R134" s="93"/>
      <c r="S134" s="85"/>
      <c r="U134" s="94"/>
      <c r="V134" s="93"/>
      <c r="W134" s="85"/>
      <c r="Y134" s="94"/>
      <c r="Z134" s="93"/>
      <c r="AA134" s="85"/>
      <c r="AC134" s="94"/>
      <c r="AD134" s="93"/>
      <c r="AE134" s="85"/>
    </row>
    <row r="135" spans="7:31" x14ac:dyDescent="0.35">
      <c r="G135" s="85"/>
      <c r="H135" s="87"/>
      <c r="I135" s="94">
        <v>14</v>
      </c>
      <c r="J135" s="93">
        <v>45152</v>
      </c>
      <c r="K135" s="87" t="s">
        <v>1615</v>
      </c>
      <c r="L135" s="87">
        <v>5950</v>
      </c>
      <c r="M135" s="87"/>
      <c r="N135" s="93"/>
      <c r="O135" s="85"/>
      <c r="Q135" s="94"/>
      <c r="R135" s="93"/>
      <c r="S135" s="85"/>
      <c r="U135" s="94"/>
      <c r="V135" s="93"/>
      <c r="W135" s="85"/>
      <c r="Y135" s="94"/>
      <c r="Z135" s="93"/>
      <c r="AA135" s="85"/>
      <c r="AC135" s="94"/>
      <c r="AD135" s="93"/>
      <c r="AE135" s="85"/>
    </row>
    <row r="136" spans="7:31" x14ac:dyDescent="0.35">
      <c r="G136" s="85"/>
      <c r="H136" s="87"/>
      <c r="I136" s="94">
        <v>19</v>
      </c>
      <c r="J136" s="93">
        <v>45133</v>
      </c>
      <c r="K136" s="87" t="s">
        <v>1616</v>
      </c>
      <c r="L136" s="87">
        <v>445</v>
      </c>
      <c r="M136" s="87"/>
      <c r="N136" s="93"/>
      <c r="O136" s="85"/>
      <c r="Q136" s="94"/>
      <c r="R136" s="93"/>
      <c r="S136" s="85"/>
      <c r="U136" s="94"/>
      <c r="V136" s="93"/>
      <c r="W136" s="85"/>
      <c r="Y136" s="94"/>
      <c r="Z136" s="93"/>
      <c r="AA136" s="85"/>
      <c r="AC136" s="94"/>
      <c r="AD136" s="93"/>
      <c r="AE136" s="85"/>
    </row>
    <row r="137" spans="7:31" x14ac:dyDescent="0.35">
      <c r="G137" s="85"/>
      <c r="H137" s="87"/>
      <c r="I137" s="94">
        <v>15</v>
      </c>
      <c r="J137" s="93">
        <v>45132</v>
      </c>
      <c r="K137" s="87" t="s">
        <v>1606</v>
      </c>
      <c r="L137" s="87">
        <v>57</v>
      </c>
      <c r="M137" s="87"/>
      <c r="N137" s="93"/>
      <c r="O137" s="85"/>
      <c r="Q137" s="94"/>
      <c r="R137" s="93"/>
      <c r="S137" s="85"/>
      <c r="U137" s="94"/>
      <c r="V137" s="93"/>
      <c r="W137" s="85"/>
      <c r="Y137" s="94"/>
      <c r="Z137" s="93"/>
      <c r="AA137" s="85"/>
      <c r="AC137" s="94"/>
      <c r="AD137" s="93"/>
      <c r="AE137" s="85"/>
    </row>
    <row r="138" spans="7:31" x14ac:dyDescent="0.35">
      <c r="G138" s="85"/>
      <c r="H138" s="87"/>
      <c r="I138" s="94">
        <v>20</v>
      </c>
      <c r="J138" s="93">
        <v>45125</v>
      </c>
      <c r="K138" s="87" t="s">
        <v>1617</v>
      </c>
      <c r="L138" s="87">
        <v>495.77</v>
      </c>
      <c r="M138" s="87"/>
      <c r="N138" s="93"/>
      <c r="O138" s="85"/>
      <c r="Q138" s="94"/>
      <c r="R138" s="93"/>
      <c r="S138" s="85"/>
      <c r="U138" s="94"/>
      <c r="V138" s="93"/>
      <c r="W138" s="85"/>
      <c r="Y138" s="94"/>
      <c r="Z138" s="93"/>
      <c r="AA138" s="85"/>
      <c r="AC138" s="94"/>
      <c r="AD138" s="93"/>
      <c r="AE138" s="85"/>
    </row>
    <row r="139" spans="7:31" x14ac:dyDescent="0.35">
      <c r="G139" s="85"/>
      <c r="H139" s="87"/>
      <c r="I139" s="94">
        <v>14</v>
      </c>
      <c r="J139" s="93">
        <v>45133</v>
      </c>
      <c r="K139" s="87" t="s">
        <v>1618</v>
      </c>
      <c r="L139" s="87">
        <v>10.58</v>
      </c>
      <c r="M139" s="87"/>
      <c r="N139" s="93"/>
      <c r="O139" s="85"/>
      <c r="Q139" s="94"/>
      <c r="R139" s="93"/>
      <c r="S139" s="85"/>
      <c r="U139" s="94"/>
      <c r="V139" s="93"/>
      <c r="W139" s="85"/>
      <c r="Y139" s="94"/>
      <c r="Z139" s="93"/>
      <c r="AA139" s="85"/>
      <c r="AC139" s="94"/>
      <c r="AD139" s="93"/>
      <c r="AE139" s="85"/>
    </row>
    <row r="140" spans="7:31" x14ac:dyDescent="0.35">
      <c r="G140" s="85"/>
      <c r="H140" s="87"/>
      <c r="I140" s="94">
        <v>15</v>
      </c>
      <c r="J140" s="93">
        <v>45133</v>
      </c>
      <c r="K140" s="87" t="s">
        <v>1619</v>
      </c>
      <c r="L140" s="87">
        <v>44.28</v>
      </c>
      <c r="M140" s="87"/>
      <c r="N140" s="93"/>
      <c r="O140" s="85"/>
      <c r="Q140" s="94"/>
      <c r="R140" s="93"/>
      <c r="S140" s="85"/>
      <c r="U140" s="94"/>
      <c r="V140" s="93"/>
      <c r="W140" s="85"/>
      <c r="Y140" s="94"/>
      <c r="Z140" s="93"/>
      <c r="AA140" s="85"/>
      <c r="AC140" s="94"/>
      <c r="AD140" s="93"/>
      <c r="AE140" s="85"/>
    </row>
    <row r="141" spans="7:31" x14ac:dyDescent="0.35">
      <c r="G141" s="85"/>
      <c r="H141" s="87"/>
      <c r="I141" s="94">
        <v>16</v>
      </c>
      <c r="J141" s="93">
        <v>45083</v>
      </c>
      <c r="K141" s="87" t="s">
        <v>1620</v>
      </c>
      <c r="L141" s="87">
        <v>0.83</v>
      </c>
      <c r="M141" s="87"/>
      <c r="N141" s="93"/>
      <c r="O141" s="85"/>
      <c r="Q141" s="94"/>
      <c r="R141" s="93"/>
      <c r="S141" s="85"/>
      <c r="U141" s="94"/>
      <c r="V141" s="93"/>
      <c r="W141" s="85"/>
      <c r="Y141" s="94"/>
      <c r="Z141" s="93"/>
      <c r="AA141" s="85"/>
      <c r="AC141" s="94"/>
      <c r="AD141" s="93"/>
      <c r="AE141" s="85"/>
    </row>
    <row r="142" spans="7:31" x14ac:dyDescent="0.35">
      <c r="G142" s="85"/>
      <c r="H142" s="87"/>
      <c r="I142" s="94">
        <v>16</v>
      </c>
      <c r="J142" s="93">
        <v>45083</v>
      </c>
      <c r="K142" s="87" t="s">
        <v>1516</v>
      </c>
      <c r="L142" s="87">
        <v>24.46</v>
      </c>
      <c r="M142" s="87"/>
      <c r="N142" s="93"/>
      <c r="O142" s="85"/>
      <c r="Q142" s="94"/>
      <c r="R142" s="93"/>
      <c r="S142" s="85"/>
      <c r="U142" s="94"/>
      <c r="V142" s="93"/>
      <c r="W142" s="85"/>
      <c r="Y142" s="94"/>
      <c r="Z142" s="93"/>
      <c r="AA142" s="85"/>
      <c r="AC142" s="94"/>
      <c r="AD142" s="93"/>
      <c r="AE142" s="85"/>
    </row>
    <row r="143" spans="7:31" x14ac:dyDescent="0.35">
      <c r="G143" s="85"/>
      <c r="H143" s="87"/>
      <c r="I143" s="94">
        <v>15</v>
      </c>
      <c r="J143" s="93">
        <v>45083</v>
      </c>
      <c r="K143" s="87" t="s">
        <v>1447</v>
      </c>
      <c r="L143" s="87">
        <v>12.52</v>
      </c>
      <c r="M143" s="87"/>
      <c r="N143" s="93"/>
      <c r="O143" s="85"/>
      <c r="Q143" s="94"/>
      <c r="R143" s="93"/>
      <c r="S143" s="85"/>
      <c r="U143" s="94"/>
      <c r="V143" s="93"/>
      <c r="W143" s="85"/>
      <c r="Y143" s="94"/>
      <c r="Z143" s="93"/>
      <c r="AA143" s="85"/>
      <c r="AC143" s="94"/>
      <c r="AD143" s="93"/>
      <c r="AE143" s="85"/>
    </row>
    <row r="144" spans="7:31" x14ac:dyDescent="0.35">
      <c r="G144" s="85"/>
      <c r="H144" s="87"/>
      <c r="I144" s="94">
        <v>16</v>
      </c>
      <c r="J144" s="93">
        <v>45086</v>
      </c>
      <c r="K144" s="87" t="s">
        <v>1595</v>
      </c>
      <c r="L144" s="87">
        <v>28.32</v>
      </c>
      <c r="M144" s="87"/>
      <c r="N144" s="93"/>
      <c r="O144" s="85"/>
      <c r="Q144" s="94"/>
      <c r="R144" s="93"/>
      <c r="S144" s="85"/>
      <c r="U144" s="94"/>
      <c r="V144" s="93"/>
      <c r="W144" s="85"/>
      <c r="Y144" s="94"/>
      <c r="Z144" s="93"/>
      <c r="AA144" s="85"/>
      <c r="AC144" s="94"/>
      <c r="AD144" s="93"/>
      <c r="AE144" s="85"/>
    </row>
    <row r="145" spans="7:31" x14ac:dyDescent="0.35">
      <c r="G145" s="85"/>
      <c r="H145" s="87"/>
      <c r="I145" s="94">
        <v>16</v>
      </c>
      <c r="J145" s="93">
        <v>45085</v>
      </c>
      <c r="K145" s="87" t="s">
        <v>1620</v>
      </c>
      <c r="L145" s="87">
        <v>5.81</v>
      </c>
      <c r="M145" s="87"/>
      <c r="N145" s="93"/>
      <c r="O145" s="85"/>
      <c r="Q145" s="94"/>
      <c r="R145" s="93"/>
      <c r="S145" s="85"/>
      <c r="U145" s="94"/>
      <c r="V145" s="93"/>
      <c r="W145" s="85"/>
      <c r="Y145" s="94"/>
      <c r="Z145" s="93"/>
      <c r="AA145" s="85"/>
      <c r="AC145" s="94"/>
      <c r="AD145" s="93"/>
      <c r="AE145" s="85"/>
    </row>
    <row r="146" spans="7:31" x14ac:dyDescent="0.35">
      <c r="G146" s="85"/>
      <c r="H146" s="87"/>
      <c r="I146" s="94">
        <v>14</v>
      </c>
      <c r="J146" s="93">
        <v>45090</v>
      </c>
      <c r="K146" s="87" t="s">
        <v>1621</v>
      </c>
      <c r="L146" s="87">
        <v>24.16</v>
      </c>
      <c r="M146" s="87"/>
      <c r="N146" s="93"/>
      <c r="O146" s="85"/>
      <c r="Q146" s="94"/>
      <c r="R146" s="93"/>
      <c r="S146" s="85"/>
      <c r="U146" s="94"/>
      <c r="V146" s="93"/>
      <c r="W146" s="85"/>
      <c r="Y146" s="94"/>
      <c r="Z146" s="93"/>
      <c r="AA146" s="85"/>
      <c r="AC146" s="94"/>
      <c r="AD146" s="93"/>
      <c r="AE146" s="85"/>
    </row>
    <row r="147" spans="7:31" x14ac:dyDescent="0.35">
      <c r="G147" s="85"/>
      <c r="H147" s="87"/>
      <c r="I147" s="94">
        <v>16</v>
      </c>
      <c r="J147" s="93">
        <v>45097</v>
      </c>
      <c r="K147" s="87" t="s">
        <v>1587</v>
      </c>
      <c r="L147" s="87">
        <v>18.16</v>
      </c>
      <c r="M147" s="87"/>
      <c r="N147" s="93"/>
      <c r="O147" s="85"/>
      <c r="Q147" s="94"/>
      <c r="R147" s="93"/>
      <c r="S147" s="85"/>
      <c r="U147" s="94"/>
      <c r="V147" s="93"/>
      <c r="W147" s="85"/>
      <c r="Y147" s="94"/>
      <c r="Z147" s="93"/>
      <c r="AA147" s="85"/>
      <c r="AC147" s="94"/>
      <c r="AD147" s="93"/>
      <c r="AE147" s="85"/>
    </row>
    <row r="148" spans="7:31" x14ac:dyDescent="0.35">
      <c r="G148" s="85"/>
      <c r="H148" s="87"/>
      <c r="I148" s="94">
        <v>20</v>
      </c>
      <c r="J148" s="93">
        <v>45097</v>
      </c>
      <c r="K148" s="87" t="s">
        <v>1622</v>
      </c>
      <c r="L148" s="87">
        <v>7.07</v>
      </c>
      <c r="M148" s="87"/>
      <c r="N148" s="93"/>
      <c r="O148" s="85"/>
      <c r="Q148" s="94"/>
      <c r="R148" s="93"/>
      <c r="S148" s="85"/>
      <c r="U148" s="94"/>
      <c r="V148" s="93"/>
      <c r="W148" s="85"/>
      <c r="Y148" s="94"/>
      <c r="Z148" s="93"/>
      <c r="AA148" s="85"/>
      <c r="AC148" s="94"/>
      <c r="AD148" s="93"/>
      <c r="AE148" s="85"/>
    </row>
    <row r="149" spans="7:31" x14ac:dyDescent="0.35">
      <c r="G149" s="85"/>
      <c r="H149" s="87"/>
      <c r="I149" s="94">
        <v>14</v>
      </c>
      <c r="J149" s="93">
        <v>45103</v>
      </c>
      <c r="K149" s="87" t="s">
        <v>1623</v>
      </c>
      <c r="L149" s="87">
        <v>131.85</v>
      </c>
      <c r="M149" s="87"/>
      <c r="N149" s="93"/>
      <c r="O149" s="85"/>
      <c r="Q149" s="94"/>
      <c r="R149" s="93"/>
      <c r="S149" s="85"/>
      <c r="U149" s="94"/>
      <c r="V149" s="93"/>
      <c r="W149" s="85"/>
      <c r="Y149" s="94"/>
      <c r="Z149" s="93"/>
      <c r="AA149" s="85"/>
      <c r="AC149" s="94"/>
      <c r="AD149" s="93"/>
      <c r="AE149" s="85"/>
    </row>
    <row r="150" spans="7:31" x14ac:dyDescent="0.35">
      <c r="G150" s="85"/>
      <c r="H150" s="87"/>
      <c r="I150" s="94">
        <v>15</v>
      </c>
      <c r="J150" s="93">
        <v>45103</v>
      </c>
      <c r="K150" s="87" t="s">
        <v>1624</v>
      </c>
      <c r="L150" s="87">
        <v>375.2</v>
      </c>
      <c r="M150" s="87"/>
      <c r="N150" s="93"/>
      <c r="O150" s="85"/>
      <c r="Q150" s="94"/>
      <c r="R150" s="93"/>
      <c r="S150" s="85"/>
      <c r="U150" s="94"/>
      <c r="V150" s="93"/>
      <c r="W150" s="85"/>
      <c r="Y150" s="94"/>
      <c r="Z150" s="93"/>
      <c r="AA150" s="85"/>
      <c r="AC150" s="94"/>
      <c r="AD150" s="93"/>
      <c r="AE150" s="85"/>
    </row>
    <row r="151" spans="7:31" x14ac:dyDescent="0.35">
      <c r="G151" s="85"/>
      <c r="H151" s="87"/>
      <c r="I151" s="94">
        <v>8</v>
      </c>
      <c r="J151" s="93">
        <v>45100</v>
      </c>
      <c r="K151" s="87" t="s">
        <v>1512</v>
      </c>
      <c r="L151" s="87">
        <v>44.99</v>
      </c>
      <c r="M151" s="87"/>
      <c r="N151" s="93"/>
      <c r="O151" s="85"/>
      <c r="Q151" s="94"/>
      <c r="R151" s="93"/>
      <c r="S151" s="85"/>
      <c r="U151" s="94"/>
      <c r="V151" s="93"/>
      <c r="W151" s="85"/>
      <c r="Y151" s="94"/>
      <c r="Z151" s="93"/>
      <c r="AA151" s="85"/>
      <c r="AC151" s="94"/>
      <c r="AD151" s="93"/>
      <c r="AE151" s="85"/>
    </row>
    <row r="152" spans="7:31" x14ac:dyDescent="0.35">
      <c r="G152" s="85"/>
      <c r="H152" s="87"/>
      <c r="I152" s="94">
        <v>7</v>
      </c>
      <c r="J152" s="93">
        <v>45142</v>
      </c>
      <c r="K152" s="87" t="s">
        <v>1465</v>
      </c>
      <c r="L152" s="87">
        <v>19.98</v>
      </c>
      <c r="M152" s="87"/>
      <c r="N152" s="93"/>
      <c r="O152" s="85"/>
      <c r="Q152" s="94"/>
      <c r="R152" s="93"/>
      <c r="S152" s="85"/>
      <c r="U152" s="94"/>
      <c r="V152" s="93"/>
      <c r="W152" s="85"/>
      <c r="Y152" s="94"/>
      <c r="Z152" s="93"/>
      <c r="AA152" s="85"/>
      <c r="AC152" s="94"/>
      <c r="AD152" s="93"/>
      <c r="AE152" s="85"/>
    </row>
    <row r="153" spans="7:31" x14ac:dyDescent="0.35">
      <c r="G153" s="85"/>
      <c r="H153" s="87"/>
      <c r="I153" s="94">
        <v>14</v>
      </c>
      <c r="J153" s="93">
        <v>45142</v>
      </c>
      <c r="K153" s="87" t="s">
        <v>1626</v>
      </c>
      <c r="L153" s="87">
        <v>84.97</v>
      </c>
      <c r="M153" s="87"/>
      <c r="N153" s="93"/>
      <c r="O153" s="85"/>
      <c r="Q153" s="94"/>
      <c r="R153" s="93"/>
      <c r="S153" s="85"/>
      <c r="U153" s="94"/>
      <c r="V153" s="93"/>
      <c r="W153" s="85"/>
      <c r="Y153" s="94"/>
      <c r="Z153" s="93"/>
      <c r="AA153" s="85"/>
      <c r="AC153" s="94"/>
      <c r="AD153" s="93"/>
      <c r="AE153" s="85"/>
    </row>
    <row r="154" spans="7:31" x14ac:dyDescent="0.35">
      <c r="G154" s="85"/>
      <c r="H154" s="87"/>
      <c r="I154" s="94">
        <v>8</v>
      </c>
      <c r="J154" s="93">
        <v>45142</v>
      </c>
      <c r="K154" s="87" t="s">
        <v>1558</v>
      </c>
      <c r="L154" s="87">
        <v>16.48</v>
      </c>
      <c r="M154" s="87"/>
      <c r="N154" s="93"/>
      <c r="O154" s="85"/>
      <c r="Q154" s="94"/>
      <c r="R154" s="93"/>
      <c r="S154" s="85"/>
      <c r="U154" s="94"/>
      <c r="V154" s="93"/>
      <c r="W154" s="85"/>
      <c r="Y154" s="94"/>
      <c r="Z154" s="93"/>
      <c r="AA154" s="85"/>
      <c r="AC154" s="94"/>
      <c r="AD154" s="93"/>
      <c r="AE154" s="85"/>
    </row>
    <row r="155" spans="7:31" x14ac:dyDescent="0.35">
      <c r="G155" s="85"/>
      <c r="H155" s="87"/>
      <c r="I155" s="94">
        <v>16</v>
      </c>
      <c r="J155" s="93">
        <v>45142</v>
      </c>
      <c r="K155" s="87" t="s">
        <v>1627</v>
      </c>
      <c r="L155" s="87">
        <v>4.4000000000000004</v>
      </c>
      <c r="M155" s="87"/>
      <c r="N155" s="93"/>
      <c r="O155" s="85"/>
      <c r="Q155" s="94"/>
      <c r="R155" s="93"/>
      <c r="S155" s="85"/>
      <c r="U155" s="94"/>
      <c r="V155" s="93"/>
      <c r="W155" s="85"/>
      <c r="Y155" s="94"/>
      <c r="Z155" s="93"/>
      <c r="AA155" s="85"/>
      <c r="AC155" s="94"/>
      <c r="AD155" s="93"/>
      <c r="AE155" s="85"/>
    </row>
    <row r="156" spans="7:31" x14ac:dyDescent="0.35">
      <c r="G156" s="85"/>
      <c r="H156" s="87"/>
      <c r="I156" s="94">
        <v>16</v>
      </c>
      <c r="J156" s="93">
        <v>45142</v>
      </c>
      <c r="K156" s="87" t="s">
        <v>1628</v>
      </c>
      <c r="L156" s="87">
        <v>44.97</v>
      </c>
      <c r="M156" s="87"/>
      <c r="N156" s="93"/>
      <c r="O156" s="85"/>
      <c r="Q156" s="94"/>
      <c r="R156" s="93"/>
      <c r="S156" s="85"/>
      <c r="U156" s="94"/>
      <c r="V156" s="93"/>
      <c r="W156" s="85"/>
      <c r="Y156" s="94"/>
      <c r="Z156" s="93"/>
      <c r="AA156" s="85"/>
      <c r="AC156" s="94"/>
      <c r="AD156" s="93"/>
      <c r="AE156" s="85"/>
    </row>
    <row r="157" spans="7:31" x14ac:dyDescent="0.35">
      <c r="G157" s="85"/>
      <c r="H157" s="87"/>
      <c r="I157" s="94">
        <v>7</v>
      </c>
      <c r="J157" s="93">
        <v>45145</v>
      </c>
      <c r="K157" s="87" t="s">
        <v>1515</v>
      </c>
      <c r="L157" s="87">
        <v>6.66</v>
      </c>
      <c r="M157" s="87"/>
      <c r="N157" s="93"/>
      <c r="O157" s="85"/>
      <c r="Q157" s="94"/>
      <c r="R157" s="93"/>
      <c r="S157" s="85"/>
      <c r="U157" s="94"/>
      <c r="V157" s="93"/>
      <c r="W157" s="85"/>
      <c r="Y157" s="94"/>
      <c r="Z157" s="93"/>
      <c r="AA157" s="85"/>
      <c r="AC157" s="94"/>
      <c r="AD157" s="93"/>
      <c r="AE157" s="85"/>
    </row>
    <row r="158" spans="7:31" x14ac:dyDescent="0.35">
      <c r="G158" s="85"/>
      <c r="H158" s="87"/>
      <c r="I158" s="94">
        <v>7</v>
      </c>
      <c r="J158" s="93">
        <v>45145</v>
      </c>
      <c r="K158" s="87" t="s">
        <v>1510</v>
      </c>
      <c r="L158" s="87">
        <f>3.33*15</f>
        <v>49.95</v>
      </c>
      <c r="M158" s="87"/>
      <c r="N158" s="93"/>
      <c r="O158" s="85"/>
      <c r="Q158" s="94"/>
      <c r="R158" s="93"/>
      <c r="S158" s="85"/>
      <c r="U158" s="94"/>
      <c r="V158" s="93"/>
      <c r="W158" s="85"/>
      <c r="Y158" s="94"/>
      <c r="Z158" s="93"/>
      <c r="AA158" s="85"/>
      <c r="AC158" s="94"/>
      <c r="AD158" s="93"/>
      <c r="AE158" s="85"/>
    </row>
    <row r="159" spans="7:31" x14ac:dyDescent="0.35">
      <c r="G159" s="85"/>
      <c r="H159" s="87"/>
      <c r="I159" s="94">
        <v>14</v>
      </c>
      <c r="J159" s="93">
        <v>45139</v>
      </c>
      <c r="K159" s="87" t="s">
        <v>1607</v>
      </c>
      <c r="L159" s="87">
        <v>30</v>
      </c>
      <c r="M159" s="87"/>
      <c r="N159" s="93"/>
      <c r="O159" s="85"/>
      <c r="Q159" s="94"/>
      <c r="R159" s="93"/>
      <c r="S159" s="85"/>
      <c r="U159" s="94"/>
      <c r="V159" s="93"/>
      <c r="W159" s="85"/>
      <c r="Y159" s="94"/>
      <c r="Z159" s="93"/>
      <c r="AA159" s="85"/>
      <c r="AC159" s="94"/>
      <c r="AD159" s="93"/>
      <c r="AE159" s="85"/>
    </row>
    <row r="160" spans="7:31" x14ac:dyDescent="0.35">
      <c r="G160" s="85"/>
      <c r="H160" s="87"/>
      <c r="I160" s="94">
        <v>14</v>
      </c>
      <c r="J160" s="93">
        <v>45111</v>
      </c>
      <c r="K160" s="87" t="s">
        <v>1629</v>
      </c>
      <c r="L160" s="87">
        <v>1490</v>
      </c>
      <c r="M160" s="87"/>
      <c r="N160" s="93"/>
      <c r="O160" s="85"/>
      <c r="Q160" s="94"/>
      <c r="R160" s="93"/>
      <c r="S160" s="85"/>
      <c r="U160" s="94"/>
      <c r="V160" s="93"/>
      <c r="W160" s="85"/>
      <c r="Y160" s="94"/>
      <c r="Z160" s="93"/>
      <c r="AA160" s="85"/>
      <c r="AC160" s="94"/>
      <c r="AD160" s="93"/>
      <c r="AE160" s="85"/>
    </row>
    <row r="161" spans="7:31" x14ac:dyDescent="0.35">
      <c r="G161" s="85"/>
      <c r="H161" s="87"/>
      <c r="I161" s="94">
        <v>14</v>
      </c>
      <c r="J161" s="93">
        <v>45152</v>
      </c>
      <c r="K161" s="87" t="s">
        <v>1630</v>
      </c>
      <c r="L161" s="87">
        <v>112</v>
      </c>
      <c r="M161" s="87"/>
      <c r="N161" s="93"/>
      <c r="O161" s="85"/>
      <c r="Q161" s="94"/>
      <c r="R161" s="93"/>
      <c r="S161" s="85"/>
      <c r="U161" s="94"/>
      <c r="V161" s="93"/>
      <c r="W161" s="85"/>
      <c r="Y161" s="94"/>
      <c r="Z161" s="93"/>
      <c r="AA161" s="85"/>
      <c r="AC161" s="94"/>
      <c r="AD161" s="93"/>
      <c r="AE161" s="85"/>
    </row>
    <row r="162" spans="7:31" x14ac:dyDescent="0.35">
      <c r="G162" s="85"/>
      <c r="H162" s="87"/>
      <c r="I162" s="94">
        <v>6</v>
      </c>
      <c r="J162" s="93">
        <v>45139</v>
      </c>
      <c r="K162" s="85" t="s">
        <v>1631</v>
      </c>
      <c r="L162" s="87">
        <v>930.39</v>
      </c>
      <c r="M162" s="87"/>
      <c r="N162" s="93"/>
      <c r="O162" s="85"/>
      <c r="Q162" s="94"/>
      <c r="R162" s="93"/>
      <c r="S162" s="85"/>
      <c r="U162" s="94"/>
      <c r="V162" s="93"/>
      <c r="W162" s="85"/>
      <c r="Y162" s="94"/>
      <c r="Z162" s="93"/>
      <c r="AA162" s="85"/>
      <c r="AC162" s="94"/>
      <c r="AD162" s="93"/>
      <c r="AE162" s="85"/>
    </row>
    <row r="163" spans="7:31" x14ac:dyDescent="0.35">
      <c r="G163" s="85"/>
      <c r="H163" s="87"/>
      <c r="I163" s="94">
        <v>6</v>
      </c>
      <c r="J163" s="93">
        <v>45108</v>
      </c>
      <c r="K163" s="85" t="s">
        <v>1632</v>
      </c>
      <c r="L163" s="87">
        <v>930.39</v>
      </c>
      <c r="M163" s="87"/>
      <c r="N163" s="93"/>
      <c r="O163" s="85"/>
      <c r="Q163" s="94"/>
      <c r="R163" s="93"/>
      <c r="S163" s="85"/>
      <c r="U163" s="94"/>
      <c r="V163" s="93"/>
      <c r="W163" s="85"/>
      <c r="Y163" s="94"/>
      <c r="Z163" s="93"/>
      <c r="AA163" s="85"/>
      <c r="AC163" s="94"/>
      <c r="AD163" s="93"/>
      <c r="AE163" s="85"/>
    </row>
    <row r="164" spans="7:31" x14ac:dyDescent="0.35">
      <c r="G164" s="85"/>
      <c r="H164" s="87"/>
      <c r="I164" s="94">
        <v>9</v>
      </c>
      <c r="J164" s="93">
        <v>45147</v>
      </c>
      <c r="K164" s="87" t="s">
        <v>1633</v>
      </c>
      <c r="L164" s="87">
        <v>700</v>
      </c>
      <c r="M164" s="87"/>
      <c r="N164" s="93"/>
      <c r="O164" s="85"/>
      <c r="Q164" s="94"/>
      <c r="R164" s="93"/>
      <c r="S164" s="85"/>
      <c r="U164" s="94"/>
      <c r="V164" s="93"/>
      <c r="W164" s="85"/>
      <c r="Y164" s="94"/>
      <c r="Z164" s="93"/>
      <c r="AA164" s="85"/>
      <c r="AC164" s="94"/>
      <c r="AD164" s="93"/>
      <c r="AE164" s="85"/>
    </row>
    <row r="165" spans="7:31" x14ac:dyDescent="0.35">
      <c r="G165" s="85"/>
      <c r="H165" s="87"/>
      <c r="I165" s="94">
        <v>7</v>
      </c>
      <c r="J165" s="93">
        <v>45117</v>
      </c>
      <c r="K165" s="87" t="s">
        <v>1634</v>
      </c>
      <c r="L165" s="87">
        <v>13.32</v>
      </c>
      <c r="M165" s="87"/>
      <c r="N165" s="93"/>
      <c r="O165" s="85"/>
      <c r="Q165" s="94"/>
      <c r="R165" s="93"/>
      <c r="S165" s="85"/>
      <c r="U165" s="94"/>
      <c r="V165" s="93"/>
      <c r="W165" s="85"/>
      <c r="Y165" s="94"/>
      <c r="Z165" s="93"/>
      <c r="AA165" s="85"/>
      <c r="AC165" s="94"/>
      <c r="AD165" s="93"/>
      <c r="AE165" s="85"/>
    </row>
    <row r="166" spans="7:31" x14ac:dyDescent="0.35">
      <c r="G166" s="85"/>
      <c r="H166" s="87"/>
      <c r="I166" s="94">
        <v>7</v>
      </c>
      <c r="J166" s="93">
        <v>45127</v>
      </c>
      <c r="K166" s="87" t="s">
        <v>1634</v>
      </c>
      <c r="L166" s="87">
        <v>9.99</v>
      </c>
      <c r="M166" s="87"/>
      <c r="N166" s="93"/>
      <c r="O166" s="85"/>
      <c r="Q166" s="94"/>
      <c r="R166" s="93"/>
      <c r="S166" s="85"/>
      <c r="U166" s="94"/>
      <c r="V166" s="93"/>
      <c r="W166" s="85"/>
      <c r="Y166" s="94"/>
      <c r="Z166" s="93"/>
      <c r="AA166" s="85"/>
      <c r="AC166" s="94"/>
      <c r="AD166" s="93"/>
      <c r="AE166" s="85"/>
    </row>
    <row r="167" spans="7:31" x14ac:dyDescent="0.35">
      <c r="G167" s="85"/>
      <c r="H167" s="87"/>
      <c r="I167" s="94">
        <v>7</v>
      </c>
      <c r="J167" s="93">
        <v>45127</v>
      </c>
      <c r="K167" s="87" t="s">
        <v>1634</v>
      </c>
      <c r="L167" s="87">
        <v>46.66</v>
      </c>
      <c r="M167" s="87"/>
      <c r="N167" s="93"/>
      <c r="O167" s="85"/>
      <c r="Q167" s="94"/>
      <c r="R167" s="93"/>
      <c r="S167" s="85"/>
      <c r="U167" s="94"/>
      <c r="V167" s="93"/>
      <c r="W167" s="85"/>
      <c r="Y167" s="94"/>
      <c r="Z167" s="93"/>
      <c r="AA167" s="85"/>
      <c r="AC167" s="94"/>
      <c r="AD167" s="93"/>
      <c r="AE167" s="85"/>
    </row>
    <row r="168" spans="7:31" x14ac:dyDescent="0.35">
      <c r="G168" s="85"/>
      <c r="H168" s="87"/>
      <c r="I168" s="94">
        <v>14</v>
      </c>
      <c r="J168" s="93">
        <v>45117</v>
      </c>
      <c r="K168" s="87" t="s">
        <v>1635</v>
      </c>
      <c r="L168" s="87">
        <v>101.57</v>
      </c>
      <c r="M168" s="87"/>
      <c r="N168" s="93"/>
      <c r="O168" s="85"/>
      <c r="Q168" s="94"/>
      <c r="R168" s="93"/>
      <c r="S168" s="85"/>
      <c r="U168" s="94"/>
      <c r="V168" s="93"/>
      <c r="W168" s="85"/>
      <c r="Y168" s="94"/>
      <c r="Z168" s="93"/>
      <c r="AA168" s="85"/>
      <c r="AC168" s="94"/>
      <c r="AD168" s="93"/>
      <c r="AE168" s="85"/>
    </row>
    <row r="169" spans="7:31" x14ac:dyDescent="0.35">
      <c r="G169" s="85"/>
      <c r="H169" s="87"/>
      <c r="I169" s="94">
        <v>15</v>
      </c>
      <c r="J169" s="93">
        <v>45117</v>
      </c>
      <c r="K169" s="87" t="s">
        <v>1636</v>
      </c>
      <c r="L169" s="87">
        <v>48.71</v>
      </c>
      <c r="M169" s="87"/>
      <c r="N169" s="93"/>
      <c r="O169" s="85"/>
      <c r="Q169" s="94"/>
      <c r="R169" s="93"/>
      <c r="S169" s="85"/>
      <c r="U169" s="94"/>
      <c r="V169" s="93"/>
      <c r="W169" s="85"/>
      <c r="Y169" s="94"/>
      <c r="Z169" s="93"/>
      <c r="AA169" s="85"/>
      <c r="AC169" s="94"/>
      <c r="AD169" s="93"/>
      <c r="AE169" s="85"/>
    </row>
    <row r="170" spans="7:31" x14ac:dyDescent="0.35">
      <c r="G170" s="85"/>
      <c r="H170" s="87"/>
      <c r="I170" s="94">
        <v>14</v>
      </c>
      <c r="J170" s="93">
        <v>45118</v>
      </c>
      <c r="K170" s="87" t="s">
        <v>1637</v>
      </c>
      <c r="L170" s="87">
        <v>37.78</v>
      </c>
      <c r="M170" s="87"/>
      <c r="N170" s="93"/>
      <c r="O170" s="85"/>
      <c r="Q170" s="94"/>
      <c r="R170" s="93"/>
      <c r="S170" s="85"/>
      <c r="U170" s="94"/>
      <c r="V170" s="93"/>
      <c r="W170" s="85"/>
      <c r="Y170" s="94"/>
      <c r="Z170" s="93"/>
      <c r="AA170" s="85"/>
      <c r="AC170" s="94"/>
      <c r="AD170" s="93"/>
      <c r="AE170" s="85"/>
    </row>
    <row r="171" spans="7:31" x14ac:dyDescent="0.35">
      <c r="G171" s="85"/>
      <c r="H171" s="87"/>
      <c r="I171" s="94">
        <v>14</v>
      </c>
      <c r="J171" s="93">
        <v>45124</v>
      </c>
      <c r="K171" s="87" t="s">
        <v>1638</v>
      </c>
      <c r="L171" s="87">
        <v>14.16</v>
      </c>
      <c r="M171" s="87"/>
      <c r="N171" s="93"/>
      <c r="O171" s="85"/>
      <c r="Q171" s="94"/>
      <c r="R171" s="93"/>
      <c r="S171" s="85"/>
      <c r="U171" s="94"/>
      <c r="V171" s="93"/>
      <c r="W171" s="85"/>
      <c r="Y171" s="94"/>
      <c r="Z171" s="93"/>
      <c r="AA171" s="85"/>
      <c r="AC171" s="94"/>
      <c r="AD171" s="93"/>
      <c r="AE171" s="85"/>
    </row>
    <row r="172" spans="7:31" x14ac:dyDescent="0.35">
      <c r="G172" s="85"/>
      <c r="H172" s="87"/>
      <c r="I172" s="94">
        <v>14</v>
      </c>
      <c r="J172" s="93">
        <v>45124</v>
      </c>
      <c r="K172" s="87" t="s">
        <v>1639</v>
      </c>
      <c r="L172" s="87">
        <v>111.24</v>
      </c>
      <c r="M172" s="87"/>
      <c r="N172" s="93"/>
      <c r="O172" s="85"/>
      <c r="Q172" s="94"/>
      <c r="R172" s="93"/>
      <c r="S172" s="85"/>
      <c r="U172" s="94"/>
      <c r="V172" s="93"/>
      <c r="W172" s="85"/>
      <c r="Y172" s="94"/>
      <c r="Z172" s="93"/>
      <c r="AA172" s="85"/>
      <c r="AC172" s="94"/>
      <c r="AD172" s="93"/>
      <c r="AE172" s="85"/>
    </row>
    <row r="173" spans="7:31" x14ac:dyDescent="0.35">
      <c r="G173" s="85"/>
      <c r="H173" s="87"/>
      <c r="I173" s="94">
        <v>14</v>
      </c>
      <c r="J173" s="93">
        <v>45138</v>
      </c>
      <c r="K173" s="87" t="s">
        <v>1640</v>
      </c>
      <c r="L173" s="87">
        <v>23.12</v>
      </c>
      <c r="M173" s="87"/>
      <c r="N173" s="93"/>
      <c r="O173" s="85"/>
      <c r="Q173" s="94"/>
      <c r="R173" s="93"/>
      <c r="S173" s="85"/>
      <c r="U173" s="94"/>
      <c r="V173" s="93"/>
      <c r="W173" s="85"/>
      <c r="Y173" s="94"/>
      <c r="Z173" s="93"/>
      <c r="AA173" s="85"/>
      <c r="AC173" s="94"/>
      <c r="AD173" s="93"/>
      <c r="AE173" s="85"/>
    </row>
    <row r="174" spans="7:31" x14ac:dyDescent="0.35">
      <c r="G174" s="85"/>
      <c r="H174" s="87"/>
      <c r="I174" s="94">
        <v>15</v>
      </c>
      <c r="J174" s="93">
        <v>45138</v>
      </c>
      <c r="K174" s="87" t="s">
        <v>1636</v>
      </c>
      <c r="L174" s="87">
        <v>49.98</v>
      </c>
      <c r="M174" s="87"/>
      <c r="N174" s="93"/>
      <c r="O174" s="85"/>
      <c r="Q174" s="94"/>
      <c r="R174" s="93"/>
      <c r="S174" s="85"/>
      <c r="U174" s="94"/>
      <c r="V174" s="93"/>
      <c r="W174" s="85"/>
      <c r="Y174" s="94"/>
      <c r="Z174" s="93"/>
      <c r="AA174" s="85"/>
      <c r="AC174" s="94"/>
      <c r="AD174" s="93"/>
      <c r="AE174" s="85"/>
    </row>
    <row r="175" spans="7:31" x14ac:dyDescent="0.35">
      <c r="G175" s="85"/>
      <c r="H175" s="87"/>
      <c r="I175" s="94">
        <v>15</v>
      </c>
      <c r="J175" s="93">
        <v>45155</v>
      </c>
      <c r="K175" s="87" t="s">
        <v>1641</v>
      </c>
      <c r="L175" s="87">
        <v>607.28</v>
      </c>
      <c r="M175" s="87"/>
      <c r="N175" s="93"/>
      <c r="O175" s="85"/>
      <c r="Q175" s="94"/>
      <c r="R175" s="93"/>
      <c r="S175" s="85"/>
      <c r="U175" s="94"/>
      <c r="V175" s="93"/>
      <c r="W175" s="85"/>
      <c r="Y175" s="94"/>
      <c r="Z175" s="93"/>
      <c r="AA175" s="85"/>
      <c r="AC175" s="94"/>
      <c r="AD175" s="93"/>
      <c r="AE175" s="85"/>
    </row>
    <row r="176" spans="7:31" x14ac:dyDescent="0.35">
      <c r="G176" s="85"/>
      <c r="H176" s="87"/>
      <c r="I176" s="94">
        <v>19</v>
      </c>
      <c r="J176" s="93">
        <v>45161</v>
      </c>
      <c r="K176" s="87" t="s">
        <v>1642</v>
      </c>
      <c r="L176" s="87">
        <v>420</v>
      </c>
      <c r="M176" s="87"/>
      <c r="N176" s="93"/>
      <c r="O176" s="85"/>
      <c r="Q176" s="94"/>
      <c r="R176" s="93"/>
      <c r="S176" s="85"/>
      <c r="U176" s="94"/>
      <c r="V176" s="93"/>
      <c r="W176" s="85"/>
      <c r="Y176" s="94"/>
      <c r="Z176" s="93"/>
      <c r="AA176" s="85"/>
      <c r="AC176" s="94"/>
      <c r="AD176" s="93"/>
      <c r="AE176" s="85"/>
    </row>
    <row r="177" spans="7:31" x14ac:dyDescent="0.35">
      <c r="G177" s="85"/>
      <c r="H177" s="87"/>
      <c r="I177" s="94">
        <v>14</v>
      </c>
      <c r="J177" s="93">
        <v>45155</v>
      </c>
      <c r="K177" s="87" t="s">
        <v>1607</v>
      </c>
      <c r="L177" s="87">
        <v>374.31</v>
      </c>
      <c r="M177" s="87"/>
      <c r="N177" s="93"/>
      <c r="O177" s="85"/>
      <c r="Q177" s="94"/>
      <c r="R177" s="93"/>
      <c r="S177" s="85"/>
      <c r="U177" s="94"/>
      <c r="V177" s="93"/>
      <c r="W177" s="85"/>
      <c r="Y177" s="94"/>
      <c r="Z177" s="93"/>
      <c r="AA177" s="85"/>
      <c r="AC177" s="94"/>
      <c r="AD177" s="93"/>
      <c r="AE177" s="85"/>
    </row>
    <row r="178" spans="7:31" x14ac:dyDescent="0.35">
      <c r="G178" s="85"/>
      <c r="H178" s="87"/>
      <c r="I178" s="94">
        <v>14</v>
      </c>
      <c r="J178" s="93">
        <v>45162</v>
      </c>
      <c r="K178" s="87" t="s">
        <v>1643</v>
      </c>
      <c r="L178" s="87">
        <v>80</v>
      </c>
      <c r="M178" s="87"/>
      <c r="N178" s="93"/>
      <c r="O178" s="85"/>
      <c r="Q178" s="94"/>
      <c r="R178" s="93"/>
      <c r="S178" s="85"/>
      <c r="U178" s="94"/>
      <c r="V178" s="93"/>
      <c r="W178" s="85"/>
      <c r="Y178" s="94"/>
      <c r="Z178" s="93"/>
      <c r="AA178" s="85"/>
      <c r="AC178" s="94"/>
      <c r="AD178" s="93"/>
      <c r="AE178" s="85"/>
    </row>
    <row r="179" spans="7:31" x14ac:dyDescent="0.35">
      <c r="G179" s="85"/>
      <c r="H179" s="87"/>
      <c r="I179" s="94">
        <v>16</v>
      </c>
      <c r="J179" s="93">
        <v>45118</v>
      </c>
      <c r="K179" s="87" t="s">
        <v>1644</v>
      </c>
      <c r="L179" s="87">
        <v>10</v>
      </c>
      <c r="M179" s="87"/>
      <c r="N179" s="93"/>
      <c r="O179" s="85"/>
      <c r="Q179" s="94"/>
      <c r="R179" s="93"/>
      <c r="S179" s="85"/>
      <c r="U179" s="94"/>
      <c r="V179" s="93"/>
      <c r="W179" s="85"/>
      <c r="Y179" s="94"/>
      <c r="Z179" s="93"/>
      <c r="AA179" s="85"/>
      <c r="AC179" s="94"/>
      <c r="AD179" s="93"/>
      <c r="AE179" s="85"/>
    </row>
    <row r="180" spans="7:31" x14ac:dyDescent="0.35">
      <c r="G180" s="85"/>
      <c r="H180" s="87"/>
      <c r="I180" s="94">
        <v>16</v>
      </c>
      <c r="J180" s="93">
        <v>45120</v>
      </c>
      <c r="K180" s="87" t="s">
        <v>1645</v>
      </c>
      <c r="L180" s="87">
        <v>22.36</v>
      </c>
      <c r="M180" s="87"/>
      <c r="N180" s="93"/>
      <c r="O180" s="85"/>
      <c r="Q180" s="94"/>
      <c r="R180" s="93"/>
      <c r="S180" s="85"/>
      <c r="U180" s="94"/>
      <c r="V180" s="93"/>
      <c r="W180" s="85"/>
      <c r="Y180" s="94"/>
      <c r="Z180" s="93"/>
      <c r="AA180" s="85"/>
      <c r="AC180" s="94"/>
      <c r="AD180" s="93"/>
      <c r="AE180" s="85"/>
    </row>
    <row r="181" spans="7:31" x14ac:dyDescent="0.35">
      <c r="G181" s="85"/>
      <c r="H181" s="87"/>
      <c r="I181" s="94">
        <v>14</v>
      </c>
      <c r="J181" s="93">
        <v>45126</v>
      </c>
      <c r="K181" s="87" t="s">
        <v>1646</v>
      </c>
      <c r="L181" s="87">
        <v>58.5</v>
      </c>
      <c r="M181" s="87"/>
      <c r="N181" s="93"/>
      <c r="O181" s="85"/>
      <c r="Q181" s="94"/>
      <c r="R181" s="93"/>
      <c r="S181" s="85"/>
      <c r="U181" s="94"/>
      <c r="V181" s="93"/>
      <c r="W181" s="85"/>
      <c r="Y181" s="94"/>
      <c r="Z181" s="93"/>
      <c r="AA181" s="85"/>
      <c r="AC181" s="94"/>
      <c r="AD181" s="93"/>
      <c r="AE181" s="85"/>
    </row>
    <row r="182" spans="7:31" x14ac:dyDescent="0.35">
      <c r="G182" s="85"/>
      <c r="H182" s="87"/>
      <c r="I182" s="94">
        <v>14</v>
      </c>
      <c r="J182" s="93">
        <v>45120</v>
      </c>
      <c r="K182" s="87" t="s">
        <v>1647</v>
      </c>
      <c r="L182" s="87">
        <v>5.83</v>
      </c>
      <c r="M182" s="87"/>
      <c r="N182" s="93"/>
      <c r="O182" s="85"/>
      <c r="Q182" s="94"/>
      <c r="R182" s="93"/>
      <c r="S182" s="85"/>
      <c r="U182" s="94"/>
      <c r="V182" s="93"/>
      <c r="W182" s="85"/>
      <c r="Y182" s="94"/>
      <c r="Z182" s="93"/>
      <c r="AA182" s="85"/>
      <c r="AC182" s="94"/>
      <c r="AD182" s="93"/>
      <c r="AE182" s="85"/>
    </row>
    <row r="183" spans="7:31" x14ac:dyDescent="0.35">
      <c r="G183" s="85"/>
      <c r="H183" s="87"/>
      <c r="I183" s="94">
        <v>14</v>
      </c>
      <c r="J183" s="93">
        <v>45126</v>
      </c>
      <c r="K183" s="87" t="s">
        <v>1648</v>
      </c>
      <c r="L183" s="87">
        <v>27</v>
      </c>
      <c r="M183" s="87"/>
      <c r="N183" s="93"/>
      <c r="O183" s="85"/>
      <c r="Q183" s="94"/>
      <c r="R183" s="93"/>
      <c r="S183" s="85"/>
      <c r="U183" s="94"/>
      <c r="V183" s="93"/>
      <c r="W183" s="85"/>
      <c r="Y183" s="94"/>
      <c r="Z183" s="93"/>
      <c r="AA183" s="85"/>
      <c r="AC183" s="94"/>
      <c r="AD183" s="93"/>
      <c r="AE183" s="85"/>
    </row>
    <row r="184" spans="7:31" x14ac:dyDescent="0.35">
      <c r="G184" s="85"/>
      <c r="H184" s="87"/>
      <c r="I184" s="94">
        <v>8</v>
      </c>
      <c r="J184" s="93">
        <v>45130</v>
      </c>
      <c r="K184" s="85" t="s">
        <v>1512</v>
      </c>
      <c r="L184" s="87">
        <v>44.99</v>
      </c>
      <c r="M184" s="87"/>
      <c r="N184" s="93"/>
      <c r="O184" s="85"/>
      <c r="Q184" s="94"/>
      <c r="R184" s="93"/>
      <c r="S184" s="85"/>
      <c r="U184" s="94"/>
      <c r="V184" s="93"/>
      <c r="W184" s="85"/>
      <c r="Y184" s="94"/>
      <c r="Z184" s="93"/>
      <c r="AA184" s="85"/>
      <c r="AC184" s="94"/>
      <c r="AD184" s="93"/>
      <c r="AE184" s="85"/>
    </row>
    <row r="185" spans="7:31" x14ac:dyDescent="0.35">
      <c r="G185" s="85"/>
      <c r="H185" s="87"/>
      <c r="I185" s="94">
        <v>16</v>
      </c>
      <c r="J185" s="93">
        <v>45139</v>
      </c>
      <c r="K185" s="87" t="s">
        <v>1516</v>
      </c>
      <c r="L185" s="87">
        <v>24.99</v>
      </c>
      <c r="M185" s="87"/>
      <c r="N185" s="93"/>
      <c r="O185" s="85"/>
      <c r="Q185" s="94"/>
      <c r="R185" s="93"/>
      <c r="S185" s="85"/>
      <c r="U185" s="94"/>
      <c r="V185" s="93"/>
      <c r="W185" s="85"/>
      <c r="Y185" s="94"/>
      <c r="Z185" s="93"/>
      <c r="AA185" s="85"/>
      <c r="AC185" s="94"/>
      <c r="AD185" s="93"/>
      <c r="AE185" s="85"/>
    </row>
    <row r="186" spans="7:31" x14ac:dyDescent="0.35">
      <c r="G186" s="85"/>
      <c r="H186" s="87"/>
      <c r="I186" s="94">
        <v>16</v>
      </c>
      <c r="J186" s="93">
        <v>45139</v>
      </c>
      <c r="K186" s="87" t="s">
        <v>1649</v>
      </c>
      <c r="L186" s="87">
        <v>8.32</v>
      </c>
      <c r="M186" s="87"/>
      <c r="N186" s="93"/>
      <c r="O186" s="85"/>
      <c r="Q186" s="94"/>
      <c r="R186" s="93"/>
      <c r="S186" s="85"/>
      <c r="U186" s="94"/>
      <c r="V186" s="93"/>
      <c r="W186" s="85"/>
      <c r="Y186" s="94"/>
      <c r="Z186" s="93"/>
      <c r="AA186" s="85"/>
      <c r="AC186" s="94"/>
      <c r="AD186" s="93"/>
      <c r="AE186" s="85"/>
    </row>
    <row r="187" spans="7:31" x14ac:dyDescent="0.35">
      <c r="G187" s="85"/>
      <c r="H187" s="87"/>
      <c r="I187" s="94">
        <v>14</v>
      </c>
      <c r="J187" s="93">
        <v>45162</v>
      </c>
      <c r="K187" s="87" t="s">
        <v>1650</v>
      </c>
      <c r="L187" s="87">
        <v>42.77</v>
      </c>
      <c r="M187" s="87"/>
      <c r="N187" s="93"/>
      <c r="O187" s="85"/>
      <c r="Q187" s="94"/>
      <c r="R187" s="93"/>
      <c r="S187" s="85"/>
      <c r="U187" s="94"/>
      <c r="V187" s="93"/>
      <c r="W187" s="85"/>
      <c r="Y187" s="94"/>
      <c r="Z187" s="93"/>
      <c r="AA187" s="85"/>
      <c r="AC187" s="94"/>
      <c r="AD187" s="93"/>
      <c r="AE187" s="85"/>
    </row>
    <row r="188" spans="7:31" x14ac:dyDescent="0.35">
      <c r="G188" s="85"/>
      <c r="H188" s="87"/>
      <c r="I188" s="94">
        <v>14</v>
      </c>
      <c r="J188" s="93">
        <v>45170</v>
      </c>
      <c r="K188" s="87" t="s">
        <v>1651</v>
      </c>
      <c r="L188" s="90">
        <v>726</v>
      </c>
      <c r="M188" s="87"/>
      <c r="N188" s="93"/>
      <c r="O188" s="85"/>
      <c r="Q188" s="94"/>
      <c r="R188" s="93"/>
      <c r="S188" s="85"/>
      <c r="U188" s="94"/>
      <c r="V188" s="93"/>
      <c r="W188" s="85"/>
      <c r="Y188" s="94"/>
      <c r="Z188" s="93"/>
      <c r="AA188" s="85"/>
      <c r="AC188" s="94"/>
      <c r="AD188" s="93"/>
      <c r="AE188" s="85"/>
    </row>
    <row r="189" spans="7:31" x14ac:dyDescent="0.35">
      <c r="G189" s="85"/>
      <c r="H189" s="87"/>
      <c r="I189" s="94">
        <v>13</v>
      </c>
      <c r="J189" s="93">
        <v>45184</v>
      </c>
      <c r="K189" s="87" t="s">
        <v>1652</v>
      </c>
      <c r="L189" s="87">
        <v>898.63</v>
      </c>
      <c r="M189" s="87"/>
      <c r="N189" s="93"/>
      <c r="O189" s="85"/>
      <c r="Q189" s="94"/>
      <c r="R189" s="93"/>
      <c r="S189" s="85"/>
      <c r="U189" s="94"/>
      <c r="V189" s="93"/>
      <c r="W189" s="85"/>
      <c r="Y189" s="94"/>
      <c r="Z189" s="93"/>
      <c r="AA189" s="85"/>
      <c r="AC189" s="94"/>
      <c r="AD189" s="93"/>
      <c r="AE189" s="85"/>
    </row>
    <row r="190" spans="7:31" x14ac:dyDescent="0.35">
      <c r="G190" s="85"/>
      <c r="H190" s="87"/>
      <c r="I190" s="94">
        <v>14</v>
      </c>
      <c r="J190" s="93">
        <v>45181</v>
      </c>
      <c r="K190" s="87" t="s">
        <v>1653</v>
      </c>
      <c r="L190" s="90">
        <v>77.13</v>
      </c>
      <c r="M190" s="86"/>
      <c r="N190" s="93"/>
      <c r="O190" s="85"/>
      <c r="Q190" s="94"/>
      <c r="R190" s="93"/>
      <c r="S190" s="85"/>
      <c r="U190" s="94"/>
      <c r="V190" s="93"/>
      <c r="W190" s="85"/>
      <c r="Y190" s="94"/>
      <c r="Z190" s="93"/>
      <c r="AA190" s="85"/>
      <c r="AC190" s="94"/>
      <c r="AD190" s="93"/>
      <c r="AE190" s="85"/>
    </row>
    <row r="191" spans="7:31" x14ac:dyDescent="0.35">
      <c r="G191" s="85"/>
      <c r="H191" s="87"/>
      <c r="I191" s="94">
        <v>14</v>
      </c>
      <c r="J191" s="93">
        <v>45140</v>
      </c>
      <c r="K191" s="87" t="s">
        <v>1607</v>
      </c>
      <c r="L191" s="87">
        <f>79.15+219.9</f>
        <v>299.05</v>
      </c>
      <c r="M191" s="87"/>
      <c r="N191" s="93"/>
      <c r="O191" s="85"/>
      <c r="Q191" s="94"/>
      <c r="R191" s="93"/>
      <c r="S191" s="85"/>
      <c r="U191" s="94"/>
      <c r="V191" s="93"/>
      <c r="W191" s="85"/>
      <c r="Y191" s="94"/>
      <c r="Z191" s="93"/>
      <c r="AA191" s="85"/>
      <c r="AC191" s="94"/>
      <c r="AD191" s="93"/>
      <c r="AE191" s="85"/>
    </row>
    <row r="192" spans="7:31" x14ac:dyDescent="0.35">
      <c r="G192" s="85"/>
      <c r="H192" s="87"/>
      <c r="I192" s="94">
        <v>14</v>
      </c>
      <c r="J192" s="93">
        <v>45141</v>
      </c>
      <c r="K192" s="87" t="s">
        <v>1324</v>
      </c>
      <c r="L192" s="87">
        <v>14.58</v>
      </c>
      <c r="M192" s="87"/>
      <c r="N192" s="93"/>
      <c r="O192" s="85"/>
      <c r="Q192" s="94"/>
      <c r="R192" s="93"/>
      <c r="S192" s="85"/>
      <c r="U192" s="94"/>
      <c r="V192" s="93"/>
      <c r="W192" s="85"/>
      <c r="Y192" s="94"/>
      <c r="Z192" s="93"/>
      <c r="AA192" s="85"/>
      <c r="AC192" s="94"/>
      <c r="AD192" s="93"/>
      <c r="AE192" s="85"/>
    </row>
    <row r="193" spans="7:31" x14ac:dyDescent="0.35">
      <c r="G193" s="85"/>
      <c r="H193" s="87"/>
      <c r="I193" s="94">
        <v>14</v>
      </c>
      <c r="J193" s="93">
        <v>45141</v>
      </c>
      <c r="K193" s="87" t="s">
        <v>1607</v>
      </c>
      <c r="L193" s="87">
        <v>29.16</v>
      </c>
      <c r="M193" s="87"/>
      <c r="N193" s="93"/>
      <c r="O193" s="85"/>
      <c r="Q193" s="94"/>
      <c r="R193" s="93"/>
      <c r="S193" s="85"/>
      <c r="U193" s="94"/>
      <c r="V193" s="93"/>
      <c r="W193" s="85"/>
      <c r="Y193" s="94"/>
      <c r="Z193" s="93"/>
      <c r="AA193" s="85"/>
      <c r="AC193" s="94"/>
      <c r="AD193" s="93"/>
      <c r="AE193" s="85"/>
    </row>
    <row r="194" spans="7:31" x14ac:dyDescent="0.35">
      <c r="G194" s="85"/>
      <c r="H194" s="87"/>
      <c r="I194" s="94">
        <v>14</v>
      </c>
      <c r="J194" s="93">
        <v>45183</v>
      </c>
      <c r="K194" s="87" t="s">
        <v>1643</v>
      </c>
      <c r="L194" s="87">
        <v>160</v>
      </c>
      <c r="M194" s="87"/>
      <c r="N194" s="93"/>
      <c r="O194" s="85"/>
      <c r="Q194" s="94"/>
      <c r="R194" s="93"/>
      <c r="S194" s="85"/>
      <c r="U194" s="94"/>
      <c r="V194" s="93"/>
      <c r="W194" s="85"/>
      <c r="Y194" s="94"/>
      <c r="Z194" s="93"/>
      <c r="AA194" s="85"/>
      <c r="AC194" s="94"/>
      <c r="AD194" s="93"/>
      <c r="AE194" s="85"/>
    </row>
    <row r="195" spans="7:31" x14ac:dyDescent="0.35">
      <c r="G195" s="85"/>
      <c r="H195" s="87"/>
      <c r="I195" s="94">
        <v>9</v>
      </c>
      <c r="J195" s="93">
        <v>45178</v>
      </c>
      <c r="K195" s="87" t="s">
        <v>1654</v>
      </c>
      <c r="L195" s="87">
        <v>900</v>
      </c>
      <c r="M195" s="87"/>
      <c r="N195" s="93"/>
      <c r="O195" s="85"/>
      <c r="Q195" s="94"/>
      <c r="R195" s="93"/>
      <c r="S195" s="85"/>
      <c r="U195" s="94"/>
      <c r="V195" s="93"/>
      <c r="W195" s="85"/>
      <c r="Y195" s="94"/>
      <c r="Z195" s="93"/>
      <c r="AA195" s="85"/>
      <c r="AC195" s="94"/>
      <c r="AD195" s="93"/>
      <c r="AE195" s="85"/>
    </row>
    <row r="196" spans="7:31" x14ac:dyDescent="0.35">
      <c r="G196" s="85"/>
      <c r="H196" s="87"/>
      <c r="I196" s="94">
        <v>14</v>
      </c>
      <c r="J196" s="93">
        <v>45175</v>
      </c>
      <c r="K196" s="87" t="s">
        <v>1655</v>
      </c>
      <c r="L196" s="87">
        <v>240.62</v>
      </c>
      <c r="M196" s="87"/>
      <c r="N196" s="93"/>
      <c r="O196" s="85"/>
      <c r="Q196" s="94"/>
      <c r="R196" s="93"/>
      <c r="S196" s="85"/>
      <c r="U196" s="94"/>
      <c r="V196" s="93"/>
      <c r="W196" s="85"/>
      <c r="Y196" s="94"/>
      <c r="Z196" s="93"/>
      <c r="AA196" s="85"/>
      <c r="AC196" s="94"/>
      <c r="AD196" s="93"/>
      <c r="AE196" s="85"/>
    </row>
    <row r="197" spans="7:31" x14ac:dyDescent="0.35">
      <c r="G197" s="85"/>
      <c r="H197" s="87"/>
      <c r="I197" s="94">
        <v>14</v>
      </c>
      <c r="J197" s="93">
        <v>45176</v>
      </c>
      <c r="K197" s="87" t="s">
        <v>1643</v>
      </c>
      <c r="L197" s="87">
        <v>80</v>
      </c>
      <c r="M197" s="87"/>
      <c r="N197" s="93"/>
      <c r="O197" s="85"/>
      <c r="Q197" s="94"/>
      <c r="R197" s="93"/>
      <c r="S197" s="85"/>
      <c r="U197" s="94"/>
      <c r="V197" s="93"/>
      <c r="W197" s="85"/>
      <c r="Y197" s="94"/>
      <c r="Z197" s="93"/>
      <c r="AA197" s="85"/>
      <c r="AC197" s="94"/>
      <c r="AD197" s="93"/>
      <c r="AE197" s="85"/>
    </row>
    <row r="198" spans="7:31" x14ac:dyDescent="0.35">
      <c r="G198" s="85"/>
      <c r="H198" s="87"/>
      <c r="I198" s="94">
        <v>18</v>
      </c>
      <c r="J198" s="93">
        <v>45187</v>
      </c>
      <c r="K198" s="87" t="s">
        <v>1656</v>
      </c>
      <c r="L198" s="87">
        <v>380</v>
      </c>
      <c r="M198" s="87"/>
      <c r="N198" s="93"/>
      <c r="O198" s="85"/>
      <c r="Q198" s="94"/>
      <c r="R198" s="93"/>
      <c r="S198" s="85"/>
      <c r="U198" s="94"/>
      <c r="V198" s="93"/>
      <c r="W198" s="85"/>
      <c r="Y198" s="94"/>
      <c r="Z198" s="93"/>
      <c r="AA198" s="85"/>
      <c r="AC198" s="94"/>
      <c r="AD198" s="93"/>
      <c r="AE198" s="85"/>
    </row>
    <row r="199" spans="7:31" x14ac:dyDescent="0.35">
      <c r="G199" s="85"/>
      <c r="H199" s="87"/>
      <c r="I199" s="94">
        <v>14</v>
      </c>
      <c r="J199" s="93">
        <v>45189</v>
      </c>
      <c r="K199" s="87" t="s">
        <v>1657</v>
      </c>
      <c r="L199" s="87">
        <v>330.34</v>
      </c>
      <c r="M199" s="87"/>
      <c r="N199" s="93"/>
      <c r="O199" s="85"/>
      <c r="Q199" s="94"/>
      <c r="R199" s="93"/>
      <c r="S199" s="85"/>
      <c r="U199" s="94"/>
      <c r="V199" s="93"/>
      <c r="W199" s="85"/>
      <c r="Y199" s="94"/>
      <c r="Z199" s="93"/>
      <c r="AA199" s="85"/>
      <c r="AC199" s="94"/>
      <c r="AD199" s="93"/>
      <c r="AE199" s="85"/>
    </row>
    <row r="200" spans="7:31" x14ac:dyDescent="0.35">
      <c r="G200" s="85"/>
      <c r="H200" s="87"/>
      <c r="I200" s="94">
        <v>14</v>
      </c>
      <c r="J200" s="93">
        <v>45190</v>
      </c>
      <c r="K200" s="87" t="s">
        <v>1658</v>
      </c>
      <c r="L200" s="87">
        <v>51.28</v>
      </c>
      <c r="M200" s="87"/>
      <c r="N200" s="93"/>
      <c r="O200" s="85"/>
      <c r="Q200" s="94"/>
      <c r="R200" s="93"/>
      <c r="S200" s="85"/>
      <c r="U200" s="94"/>
      <c r="V200" s="93"/>
      <c r="W200" s="85"/>
      <c r="Y200" s="94"/>
      <c r="Z200" s="93"/>
      <c r="AA200" s="85"/>
      <c r="AC200" s="94"/>
      <c r="AD200" s="93"/>
      <c r="AE200" s="85"/>
    </row>
    <row r="201" spans="7:31" x14ac:dyDescent="0.35">
      <c r="G201" s="85"/>
      <c r="H201" s="87"/>
      <c r="I201" s="94">
        <v>19</v>
      </c>
      <c r="J201" s="93">
        <v>45063</v>
      </c>
      <c r="K201" s="85" t="s">
        <v>1659</v>
      </c>
      <c r="L201" s="87">
        <v>445</v>
      </c>
      <c r="M201" s="87"/>
      <c r="N201" s="93"/>
      <c r="O201" s="85"/>
      <c r="Q201" s="94"/>
      <c r="R201" s="93"/>
      <c r="S201" s="85"/>
      <c r="U201" s="94"/>
      <c r="V201" s="93"/>
      <c r="W201" s="85"/>
      <c r="Y201" s="94"/>
      <c r="Z201" s="93"/>
      <c r="AA201" s="85"/>
      <c r="AC201" s="94"/>
      <c r="AD201" s="93"/>
      <c r="AE201" s="85"/>
    </row>
    <row r="202" spans="7:31" x14ac:dyDescent="0.35">
      <c r="G202" s="85"/>
      <c r="H202" s="87"/>
      <c r="I202" s="94">
        <v>7</v>
      </c>
      <c r="J202" s="93">
        <v>45173</v>
      </c>
      <c r="K202" s="85" t="s">
        <v>1465</v>
      </c>
      <c r="L202" s="87">
        <v>22.48</v>
      </c>
      <c r="M202" s="87"/>
      <c r="N202" s="93"/>
      <c r="O202" s="85"/>
      <c r="Q202" s="94"/>
      <c r="R202" s="93"/>
      <c r="S202" s="85"/>
      <c r="U202" s="94"/>
      <c r="V202" s="93"/>
      <c r="W202" s="85"/>
      <c r="Y202" s="94"/>
      <c r="Z202" s="93"/>
      <c r="AA202" s="85"/>
      <c r="AC202" s="94"/>
      <c r="AD202" s="93"/>
      <c r="AE202" s="85"/>
    </row>
    <row r="203" spans="7:31" x14ac:dyDescent="0.35">
      <c r="G203" s="85"/>
      <c r="H203" s="87"/>
      <c r="I203" s="94">
        <v>7</v>
      </c>
      <c r="J203" s="93">
        <v>45173</v>
      </c>
      <c r="K203" s="87" t="s">
        <v>1510</v>
      </c>
      <c r="L203" s="87">
        <f>3.33*15</f>
        <v>49.95</v>
      </c>
      <c r="M203" s="87"/>
      <c r="N203" s="93"/>
      <c r="O203" s="85"/>
      <c r="Q203" s="94"/>
      <c r="R203" s="93"/>
      <c r="S203" s="85"/>
      <c r="U203" s="94"/>
      <c r="V203" s="93"/>
      <c r="W203" s="85"/>
      <c r="Y203" s="94"/>
      <c r="Z203" s="93"/>
      <c r="AA203" s="85"/>
      <c r="AC203" s="94"/>
      <c r="AD203" s="93"/>
      <c r="AE203" s="85"/>
    </row>
    <row r="204" spans="7:31" x14ac:dyDescent="0.35">
      <c r="G204" s="85"/>
      <c r="H204" s="87"/>
      <c r="I204" s="94">
        <v>8</v>
      </c>
      <c r="J204" s="93">
        <v>45173</v>
      </c>
      <c r="K204" s="87" t="s">
        <v>1489</v>
      </c>
      <c r="L204" s="87">
        <v>19.899999999999999</v>
      </c>
      <c r="M204" s="87"/>
      <c r="N204" s="93"/>
      <c r="O204" s="85"/>
      <c r="Q204" s="94"/>
      <c r="R204" s="93"/>
      <c r="S204" s="85"/>
      <c r="U204" s="94"/>
      <c r="V204" s="93"/>
      <c r="W204" s="85"/>
      <c r="Y204" s="94"/>
      <c r="Z204" s="93"/>
      <c r="AA204" s="85"/>
      <c r="AC204" s="94"/>
      <c r="AD204" s="93"/>
      <c r="AE204" s="85"/>
    </row>
    <row r="205" spans="7:31" x14ac:dyDescent="0.35">
      <c r="G205" s="85"/>
      <c r="H205" s="87"/>
      <c r="I205" s="94">
        <v>7</v>
      </c>
      <c r="J205" s="93">
        <v>45187</v>
      </c>
      <c r="K205" s="87" t="s">
        <v>1660</v>
      </c>
      <c r="L205" s="87">
        <v>36.22</v>
      </c>
      <c r="M205" s="87"/>
      <c r="N205" s="93"/>
      <c r="O205" s="85"/>
      <c r="Q205" s="94"/>
      <c r="R205" s="93"/>
      <c r="S205" s="85"/>
      <c r="U205" s="94"/>
      <c r="V205" s="93"/>
      <c r="W205" s="85"/>
      <c r="Y205" s="94"/>
      <c r="Z205" s="93"/>
      <c r="AA205" s="85"/>
      <c r="AC205" s="94"/>
      <c r="AD205" s="93"/>
      <c r="AE205" s="85"/>
    </row>
    <row r="206" spans="7:31" x14ac:dyDescent="0.35">
      <c r="G206" s="85"/>
      <c r="H206" s="87"/>
      <c r="I206" s="94">
        <v>8</v>
      </c>
      <c r="J206" s="93">
        <v>45187</v>
      </c>
      <c r="K206" s="87" t="s">
        <v>1661</v>
      </c>
      <c r="L206" s="87">
        <v>3.8</v>
      </c>
      <c r="M206" s="87"/>
      <c r="N206" s="93"/>
      <c r="O206" s="85"/>
      <c r="Q206" s="94"/>
      <c r="R206" s="93"/>
      <c r="S206" s="85"/>
      <c r="U206" s="94"/>
      <c r="V206" s="93"/>
      <c r="W206" s="85"/>
      <c r="Y206" s="94"/>
      <c r="Z206" s="93"/>
      <c r="AA206" s="85"/>
      <c r="AC206" s="94"/>
      <c r="AD206" s="93"/>
      <c r="AE206" s="85"/>
    </row>
    <row r="207" spans="7:31" x14ac:dyDescent="0.35">
      <c r="G207" s="85"/>
      <c r="H207" s="87"/>
      <c r="I207" s="94">
        <v>16</v>
      </c>
      <c r="J207" s="93">
        <v>45187</v>
      </c>
      <c r="K207" s="87" t="s">
        <v>1662</v>
      </c>
      <c r="L207" s="87">
        <v>72.23</v>
      </c>
      <c r="M207" s="87"/>
      <c r="N207" s="93"/>
      <c r="O207" s="85"/>
      <c r="Q207" s="94"/>
      <c r="R207" s="93"/>
      <c r="S207" s="85"/>
      <c r="U207" s="94"/>
      <c r="V207" s="93"/>
      <c r="W207" s="85"/>
      <c r="Y207" s="94"/>
      <c r="Z207" s="93"/>
      <c r="AA207" s="85"/>
      <c r="AC207" s="94"/>
      <c r="AD207" s="93"/>
      <c r="AE207" s="85"/>
    </row>
    <row r="208" spans="7:31" x14ac:dyDescent="0.35">
      <c r="G208" s="85"/>
      <c r="H208" s="87"/>
      <c r="I208" s="94">
        <v>18</v>
      </c>
      <c r="J208" s="93">
        <v>45195</v>
      </c>
      <c r="K208" s="87" t="s">
        <v>1663</v>
      </c>
      <c r="L208" s="87">
        <v>1951</v>
      </c>
      <c r="M208" s="87"/>
      <c r="N208" s="93"/>
      <c r="O208" s="85"/>
      <c r="Q208" s="94"/>
      <c r="R208" s="93"/>
      <c r="S208" s="85"/>
      <c r="U208" s="94"/>
      <c r="V208" s="93"/>
      <c r="W208" s="85"/>
      <c r="Y208" s="94"/>
      <c r="Z208" s="93"/>
      <c r="AA208" s="85"/>
      <c r="AC208" s="94"/>
      <c r="AD208" s="93"/>
      <c r="AE208" s="85"/>
    </row>
    <row r="209" spans="7:31" x14ac:dyDescent="0.35">
      <c r="G209" s="85"/>
      <c r="H209" s="87"/>
      <c r="I209" s="94">
        <v>18</v>
      </c>
      <c r="J209" s="93">
        <v>45195</v>
      </c>
      <c r="K209" s="87" t="s">
        <v>1664</v>
      </c>
      <c r="L209" s="87">
        <v>3149</v>
      </c>
      <c r="M209" s="87"/>
      <c r="N209" s="93"/>
      <c r="O209" s="85"/>
      <c r="Q209" s="94"/>
      <c r="R209" s="93"/>
      <c r="S209" s="85"/>
      <c r="U209" s="94"/>
      <c r="V209" s="93"/>
      <c r="W209" s="85"/>
      <c r="Y209" s="94"/>
      <c r="Z209" s="93"/>
      <c r="AA209" s="85"/>
      <c r="AC209" s="94"/>
      <c r="AD209" s="93"/>
      <c r="AE209" s="85"/>
    </row>
    <row r="210" spans="7:31" x14ac:dyDescent="0.35">
      <c r="G210" s="85"/>
      <c r="H210" s="87"/>
      <c r="I210" s="94">
        <v>8</v>
      </c>
      <c r="J210" s="93">
        <v>45149</v>
      </c>
      <c r="K210" s="87" t="s">
        <v>1665</v>
      </c>
      <c r="L210" s="87">
        <v>200</v>
      </c>
      <c r="M210" s="87"/>
      <c r="N210" s="93"/>
      <c r="O210" s="85"/>
      <c r="Q210" s="94"/>
      <c r="R210" s="93"/>
      <c r="S210" s="85"/>
      <c r="U210" s="94"/>
      <c r="V210" s="93"/>
      <c r="W210" s="85"/>
      <c r="Y210" s="94"/>
      <c r="Z210" s="93"/>
      <c r="AA210" s="85"/>
      <c r="AC210" s="94"/>
      <c r="AD210" s="93"/>
      <c r="AE210" s="85"/>
    </row>
    <row r="211" spans="7:31" x14ac:dyDescent="0.35">
      <c r="G211" s="85"/>
      <c r="H211" s="87"/>
      <c r="I211" s="94">
        <v>14</v>
      </c>
      <c r="J211" s="93">
        <v>45140</v>
      </c>
      <c r="K211" s="87" t="s">
        <v>1607</v>
      </c>
      <c r="L211" s="87">
        <v>19.95</v>
      </c>
      <c r="M211" s="87"/>
      <c r="N211" s="93"/>
      <c r="O211" s="85"/>
      <c r="Q211" s="94"/>
      <c r="R211" s="93"/>
      <c r="S211" s="85"/>
      <c r="U211" s="94"/>
      <c r="V211" s="93"/>
      <c r="W211" s="85"/>
      <c r="Y211" s="94"/>
      <c r="Z211" s="93"/>
      <c r="AA211" s="85"/>
      <c r="AC211" s="94"/>
      <c r="AD211" s="93"/>
      <c r="AE211" s="85"/>
    </row>
    <row r="212" spans="7:31" x14ac:dyDescent="0.35">
      <c r="G212" s="85"/>
      <c r="H212" s="87"/>
      <c r="I212" s="94">
        <v>8</v>
      </c>
      <c r="J212" s="93">
        <v>45148</v>
      </c>
      <c r="K212" s="87" t="s">
        <v>1578</v>
      </c>
      <c r="L212" s="87">
        <v>9.89</v>
      </c>
      <c r="M212" s="87"/>
      <c r="N212" s="93"/>
      <c r="O212" s="85"/>
      <c r="Q212" s="94"/>
      <c r="R212" s="93"/>
      <c r="S212" s="85"/>
      <c r="U212" s="94"/>
      <c r="V212" s="93"/>
      <c r="W212" s="85"/>
      <c r="Y212" s="94"/>
      <c r="Z212" s="93"/>
      <c r="AA212" s="85"/>
      <c r="AC212" s="94"/>
      <c r="AD212" s="93"/>
      <c r="AE212" s="85"/>
    </row>
    <row r="213" spans="7:31" x14ac:dyDescent="0.35">
      <c r="G213" s="85"/>
      <c r="H213" s="87"/>
      <c r="I213" s="94">
        <v>14</v>
      </c>
      <c r="J213" s="93">
        <v>45169</v>
      </c>
      <c r="K213" s="87" t="s">
        <v>1666</v>
      </c>
      <c r="L213" s="87">
        <v>24.58</v>
      </c>
      <c r="M213" s="87"/>
      <c r="N213" s="93"/>
      <c r="O213" s="85"/>
      <c r="Q213" s="94"/>
      <c r="R213" s="93"/>
      <c r="S213" s="85"/>
      <c r="U213" s="94"/>
      <c r="V213" s="93"/>
      <c r="W213" s="85"/>
      <c r="Y213" s="94"/>
      <c r="Z213" s="93"/>
      <c r="AA213" s="85"/>
      <c r="AC213" s="94"/>
      <c r="AD213" s="93"/>
      <c r="AE213" s="85"/>
    </row>
    <row r="214" spans="7:31" x14ac:dyDescent="0.35">
      <c r="G214" s="85"/>
      <c r="H214" s="87"/>
      <c r="I214" s="94">
        <v>8</v>
      </c>
      <c r="J214" s="93">
        <v>45167</v>
      </c>
      <c r="K214" s="85" t="s">
        <v>1512</v>
      </c>
      <c r="L214" s="87">
        <v>44.99</v>
      </c>
      <c r="M214" s="87"/>
      <c r="N214" s="93"/>
      <c r="O214" s="85"/>
      <c r="Q214" s="94"/>
      <c r="R214" s="93"/>
      <c r="S214" s="85"/>
      <c r="U214" s="94"/>
      <c r="V214" s="93"/>
      <c r="W214" s="85"/>
      <c r="Y214" s="94"/>
      <c r="Z214" s="93"/>
      <c r="AA214" s="85"/>
      <c r="AC214" s="94"/>
      <c r="AD214" s="93"/>
      <c r="AE214" s="85"/>
    </row>
    <row r="215" spans="7:31" x14ac:dyDescent="0.35">
      <c r="G215" s="85"/>
      <c r="H215" s="87"/>
      <c r="I215" s="94">
        <v>16</v>
      </c>
      <c r="J215" s="93">
        <v>45174</v>
      </c>
      <c r="K215" s="87" t="s">
        <v>1553</v>
      </c>
      <c r="L215" s="87">
        <v>2.6</v>
      </c>
      <c r="M215" s="87"/>
      <c r="N215" s="93"/>
      <c r="O215" s="85"/>
      <c r="Q215" s="94"/>
      <c r="R215" s="93"/>
      <c r="S215" s="85"/>
      <c r="U215" s="94"/>
      <c r="V215" s="93"/>
      <c r="W215" s="85"/>
      <c r="Y215" s="94"/>
      <c r="Z215" s="93"/>
      <c r="AA215" s="85"/>
      <c r="AC215" s="94"/>
      <c r="AD215" s="93"/>
      <c r="AE215" s="85"/>
    </row>
    <row r="216" spans="7:31" x14ac:dyDescent="0.35">
      <c r="G216" s="85"/>
      <c r="H216" s="87"/>
      <c r="I216" s="94">
        <v>14</v>
      </c>
      <c r="J216" s="93">
        <v>45181</v>
      </c>
      <c r="K216" s="87" t="s">
        <v>1667</v>
      </c>
      <c r="L216" s="87">
        <v>51.62</v>
      </c>
      <c r="M216" s="87"/>
      <c r="N216" s="93"/>
      <c r="O216" s="85"/>
      <c r="Q216" s="94"/>
      <c r="R216" s="93"/>
      <c r="S216" s="85"/>
      <c r="U216" s="94"/>
      <c r="V216" s="93"/>
      <c r="W216" s="85"/>
      <c r="Y216" s="94"/>
      <c r="Z216" s="93"/>
      <c r="AA216" s="85"/>
      <c r="AC216" s="94"/>
      <c r="AD216" s="93"/>
      <c r="AE216" s="85"/>
    </row>
    <row r="217" spans="7:31" x14ac:dyDescent="0.35">
      <c r="G217" s="85"/>
      <c r="H217" s="87"/>
      <c r="I217" s="94">
        <v>14</v>
      </c>
      <c r="J217" s="93">
        <v>45181</v>
      </c>
      <c r="K217" s="87" t="s">
        <v>1668</v>
      </c>
      <c r="L217" s="87">
        <v>54.15</v>
      </c>
      <c r="M217" s="87"/>
      <c r="N217" s="93"/>
      <c r="O217" s="85"/>
      <c r="Q217" s="94"/>
      <c r="R217" s="93"/>
      <c r="S217" s="85"/>
      <c r="U217" s="94"/>
      <c r="V217" s="93"/>
      <c r="W217" s="85"/>
      <c r="Y217" s="94"/>
      <c r="Z217" s="93"/>
      <c r="AA217" s="85"/>
      <c r="AC217" s="94"/>
      <c r="AD217" s="93"/>
      <c r="AE217" s="85"/>
    </row>
    <row r="218" spans="7:31" x14ac:dyDescent="0.35">
      <c r="G218" s="85"/>
      <c r="H218" s="87"/>
      <c r="I218" s="94">
        <v>16</v>
      </c>
      <c r="J218" s="93">
        <v>45181</v>
      </c>
      <c r="K218" s="87" t="s">
        <v>1669</v>
      </c>
      <c r="L218" s="87">
        <v>12.96</v>
      </c>
      <c r="M218" s="87"/>
      <c r="N218" s="93"/>
      <c r="O218" s="85"/>
      <c r="Q218" s="94"/>
      <c r="R218" s="93"/>
      <c r="S218" s="85"/>
      <c r="U218" s="94"/>
      <c r="V218" s="93"/>
      <c r="W218" s="85"/>
      <c r="Y218" s="94"/>
      <c r="Z218" s="93"/>
      <c r="AA218" s="85"/>
      <c r="AC218" s="94"/>
      <c r="AD218" s="93"/>
      <c r="AE218" s="85"/>
    </row>
    <row r="219" spans="7:31" x14ac:dyDescent="0.35">
      <c r="G219" s="85"/>
      <c r="H219" s="87"/>
      <c r="I219" s="94">
        <v>16</v>
      </c>
      <c r="J219" s="93">
        <v>45181</v>
      </c>
      <c r="K219" s="87" t="s">
        <v>1669</v>
      </c>
      <c r="L219" s="87">
        <v>12.49</v>
      </c>
      <c r="M219" s="87"/>
      <c r="N219" s="93"/>
      <c r="O219" s="85"/>
      <c r="Q219" s="94"/>
      <c r="R219" s="93"/>
      <c r="S219" s="85"/>
      <c r="U219" s="94"/>
      <c r="V219" s="93"/>
      <c r="W219" s="85"/>
      <c r="Y219" s="94"/>
      <c r="Z219" s="93"/>
      <c r="AA219" s="85"/>
      <c r="AC219" s="94"/>
      <c r="AD219" s="93"/>
      <c r="AE219" s="85"/>
    </row>
    <row r="220" spans="7:31" x14ac:dyDescent="0.35">
      <c r="G220" s="85"/>
      <c r="H220" s="87"/>
      <c r="I220" s="94">
        <v>18</v>
      </c>
      <c r="J220" s="93">
        <v>45182</v>
      </c>
      <c r="K220" s="87" t="s">
        <v>1670</v>
      </c>
      <c r="L220" s="87">
        <v>87.48</v>
      </c>
      <c r="M220" s="87"/>
      <c r="N220" s="93"/>
      <c r="O220" s="85"/>
      <c r="Q220" s="94"/>
      <c r="R220" s="93"/>
      <c r="S220" s="85"/>
      <c r="U220" s="94"/>
      <c r="V220" s="93"/>
      <c r="W220" s="85"/>
      <c r="Y220" s="94"/>
      <c r="Z220" s="93"/>
      <c r="AA220" s="85"/>
      <c r="AC220" s="94"/>
      <c r="AD220" s="93"/>
      <c r="AE220" s="85"/>
    </row>
    <row r="221" spans="7:31" x14ac:dyDescent="0.35">
      <c r="G221" s="85"/>
      <c r="H221" s="87"/>
      <c r="I221" s="94">
        <v>18</v>
      </c>
      <c r="J221" s="93">
        <v>45182</v>
      </c>
      <c r="K221" s="87" t="s">
        <v>1671</v>
      </c>
      <c r="L221" s="87">
        <v>5.17</v>
      </c>
      <c r="M221" s="87"/>
      <c r="N221" s="93"/>
      <c r="O221" s="85"/>
      <c r="Q221" s="94"/>
      <c r="R221" s="93"/>
      <c r="S221" s="85"/>
      <c r="U221" s="94"/>
      <c r="V221" s="93"/>
      <c r="W221" s="85"/>
      <c r="Y221" s="94"/>
      <c r="Z221" s="93"/>
      <c r="AA221" s="85"/>
      <c r="AC221" s="94"/>
      <c r="AD221" s="93"/>
      <c r="AE221" s="85"/>
    </row>
    <row r="222" spans="7:31" x14ac:dyDescent="0.35">
      <c r="G222" s="85"/>
      <c r="H222" s="87"/>
      <c r="I222" s="94">
        <v>8</v>
      </c>
      <c r="J222" s="93">
        <v>45191</v>
      </c>
      <c r="K222" s="87" t="s">
        <v>1579</v>
      </c>
      <c r="L222" s="87">
        <v>7.5</v>
      </c>
      <c r="M222" s="87"/>
      <c r="N222" s="93"/>
      <c r="O222" s="85"/>
      <c r="Q222" s="94"/>
      <c r="R222" s="93"/>
      <c r="S222" s="85"/>
      <c r="U222" s="94"/>
      <c r="V222" s="93"/>
      <c r="W222" s="85"/>
      <c r="Y222" s="94"/>
      <c r="Z222" s="93"/>
      <c r="AA222" s="85"/>
      <c r="AC222" s="94"/>
      <c r="AD222" s="93"/>
      <c r="AE222" s="85"/>
    </row>
    <row r="223" spans="7:31" x14ac:dyDescent="0.35">
      <c r="G223" s="85"/>
      <c r="H223" s="87"/>
      <c r="I223" s="94">
        <v>18</v>
      </c>
      <c r="J223" s="93">
        <v>45192</v>
      </c>
      <c r="K223" s="87" t="s">
        <v>1672</v>
      </c>
      <c r="L223" s="87">
        <v>16.66</v>
      </c>
      <c r="M223" s="87"/>
      <c r="N223" s="93"/>
      <c r="O223" s="85"/>
      <c r="Q223" s="94"/>
      <c r="R223" s="93"/>
      <c r="S223" s="85"/>
      <c r="U223" s="94"/>
      <c r="V223" s="93"/>
      <c r="W223" s="85"/>
      <c r="Y223" s="94"/>
      <c r="Z223" s="93"/>
      <c r="AA223" s="85"/>
      <c r="AC223" s="94"/>
      <c r="AD223" s="93"/>
      <c r="AE223" s="85"/>
    </row>
    <row r="224" spans="7:31" x14ac:dyDescent="0.35">
      <c r="G224" s="85"/>
      <c r="H224" s="87"/>
      <c r="I224" s="94">
        <v>16</v>
      </c>
      <c r="J224" s="93">
        <v>45194</v>
      </c>
      <c r="K224" s="87" t="s">
        <v>1516</v>
      </c>
      <c r="L224" s="87">
        <v>17.329999999999998</v>
      </c>
      <c r="M224" s="87"/>
      <c r="N224" s="93"/>
      <c r="O224" s="85"/>
      <c r="Q224" s="94"/>
      <c r="R224" s="93"/>
      <c r="S224" s="85"/>
      <c r="U224" s="94"/>
      <c r="V224" s="93"/>
      <c r="W224" s="85"/>
      <c r="Y224" s="94"/>
      <c r="Z224" s="93"/>
      <c r="AA224" s="85"/>
      <c r="AC224" s="94"/>
      <c r="AD224" s="93"/>
      <c r="AE224" s="85"/>
    </row>
    <row r="225" spans="7:31" x14ac:dyDescent="0.35">
      <c r="G225" s="85"/>
      <c r="H225" s="87"/>
      <c r="I225" s="94">
        <v>14</v>
      </c>
      <c r="J225" s="93">
        <v>45194</v>
      </c>
      <c r="K225" s="87" t="s">
        <v>1673</v>
      </c>
      <c r="L225" s="87">
        <v>34.49</v>
      </c>
      <c r="M225" s="87"/>
      <c r="N225" s="93"/>
      <c r="O225" s="85"/>
      <c r="Q225" s="94"/>
      <c r="R225" s="93"/>
      <c r="S225" s="85"/>
      <c r="U225" s="94"/>
      <c r="V225" s="93"/>
      <c r="W225" s="85"/>
      <c r="Y225" s="94"/>
      <c r="Z225" s="93"/>
      <c r="AA225" s="85"/>
      <c r="AC225" s="94"/>
      <c r="AD225" s="93"/>
      <c r="AE225" s="85"/>
    </row>
    <row r="226" spans="7:31" x14ac:dyDescent="0.35">
      <c r="G226" s="85"/>
      <c r="H226" s="87"/>
      <c r="I226" s="94">
        <v>16</v>
      </c>
      <c r="J226" s="93">
        <v>45196</v>
      </c>
      <c r="K226" s="87" t="s">
        <v>1674</v>
      </c>
      <c r="L226" s="87">
        <v>9.74</v>
      </c>
      <c r="M226" s="87"/>
      <c r="N226" s="93"/>
      <c r="O226" s="85"/>
      <c r="Q226" s="94"/>
      <c r="R226" s="93"/>
      <c r="S226" s="85"/>
      <c r="U226" s="94"/>
      <c r="V226" s="93"/>
      <c r="W226" s="85"/>
      <c r="Y226" s="94"/>
      <c r="Z226" s="93"/>
      <c r="AA226" s="85"/>
      <c r="AC226" s="94"/>
      <c r="AD226" s="93"/>
      <c r="AE226" s="85"/>
    </row>
    <row r="227" spans="7:31" x14ac:dyDescent="0.35">
      <c r="G227" s="85"/>
      <c r="H227" s="87"/>
      <c r="I227" s="94">
        <v>18</v>
      </c>
      <c r="J227" s="93">
        <v>45190</v>
      </c>
      <c r="K227" s="87" t="s">
        <v>1675</v>
      </c>
      <c r="L227" s="87">
        <v>17.739999999999998</v>
      </c>
      <c r="M227" s="87"/>
      <c r="N227" s="93"/>
      <c r="O227" s="85"/>
      <c r="Q227" s="94"/>
      <c r="R227" s="93"/>
      <c r="S227" s="85"/>
      <c r="U227" s="94"/>
      <c r="V227" s="93"/>
      <c r="W227" s="85"/>
      <c r="Y227" s="94"/>
      <c r="Z227" s="93"/>
      <c r="AA227" s="85"/>
      <c r="AC227" s="94"/>
      <c r="AD227" s="93"/>
      <c r="AE227" s="85"/>
    </row>
    <row r="228" spans="7:31" x14ac:dyDescent="0.35">
      <c r="G228" s="85"/>
      <c r="H228" s="87"/>
      <c r="I228" s="94">
        <v>8</v>
      </c>
      <c r="J228" s="93">
        <v>45193</v>
      </c>
      <c r="K228" s="85" t="s">
        <v>1512</v>
      </c>
      <c r="L228" s="87">
        <v>44.99</v>
      </c>
      <c r="M228" s="87"/>
      <c r="N228" s="93"/>
      <c r="O228" s="85"/>
      <c r="Q228" s="94"/>
      <c r="R228" s="93"/>
      <c r="S228" s="85"/>
      <c r="U228" s="94"/>
      <c r="V228" s="93"/>
      <c r="W228" s="85"/>
      <c r="Y228" s="94"/>
      <c r="Z228" s="93"/>
      <c r="AA228" s="85"/>
      <c r="AC228" s="94"/>
      <c r="AD228" s="93"/>
      <c r="AE228" s="85"/>
    </row>
    <row r="229" spans="7:31" x14ac:dyDescent="0.35">
      <c r="G229" s="85"/>
      <c r="H229" s="87"/>
      <c r="I229" s="94">
        <v>18</v>
      </c>
      <c r="J229" s="93">
        <v>45195</v>
      </c>
      <c r="K229" s="87" t="s">
        <v>1676</v>
      </c>
      <c r="L229" s="87">
        <v>2806.31</v>
      </c>
      <c r="M229" s="87"/>
      <c r="N229" s="93"/>
      <c r="O229" s="85"/>
      <c r="Q229" s="94"/>
      <c r="R229" s="93"/>
      <c r="S229" s="85"/>
      <c r="U229" s="94"/>
      <c r="V229" s="93"/>
      <c r="W229" s="85"/>
      <c r="Y229" s="94"/>
      <c r="Z229" s="93"/>
      <c r="AA229" s="85"/>
      <c r="AC229" s="94"/>
      <c r="AD229" s="93"/>
      <c r="AE229" s="85"/>
    </row>
    <row r="230" spans="7:31" x14ac:dyDescent="0.35">
      <c r="G230" s="85"/>
      <c r="H230" s="87"/>
      <c r="I230" s="94">
        <v>6</v>
      </c>
      <c r="J230" s="93">
        <v>45170</v>
      </c>
      <c r="K230" s="87" t="s">
        <v>1677</v>
      </c>
      <c r="L230" s="87">
        <v>733.39</v>
      </c>
      <c r="M230" s="87"/>
      <c r="N230" s="93"/>
      <c r="O230" s="85"/>
      <c r="Q230" s="94"/>
      <c r="R230" s="93"/>
      <c r="S230" s="85"/>
      <c r="U230" s="94"/>
      <c r="V230" s="93"/>
      <c r="W230" s="85"/>
      <c r="Y230" s="94"/>
      <c r="Z230" s="93"/>
      <c r="AA230" s="85"/>
      <c r="AC230" s="94"/>
      <c r="AD230" s="93"/>
      <c r="AE230" s="85"/>
    </row>
    <row r="231" spans="7:31" x14ac:dyDescent="0.35">
      <c r="G231" s="85"/>
      <c r="H231" s="87"/>
      <c r="I231" s="94" t="s">
        <v>2162</v>
      </c>
      <c r="J231" s="93" t="s">
        <v>491</v>
      </c>
      <c r="K231" s="87" t="s">
        <v>793</v>
      </c>
      <c r="L231" s="87">
        <v>10000</v>
      </c>
      <c r="M231" s="87"/>
      <c r="N231" s="93"/>
      <c r="O231" s="85"/>
      <c r="Q231" s="94"/>
      <c r="R231" s="93"/>
      <c r="S231" s="85"/>
      <c r="U231" s="94"/>
      <c r="V231" s="93"/>
      <c r="W231" s="85"/>
      <c r="Y231" s="94"/>
      <c r="Z231" s="93"/>
      <c r="AA231" s="85"/>
      <c r="AC231" s="94"/>
      <c r="AD231" s="93"/>
      <c r="AE231" s="85"/>
    </row>
    <row r="232" spans="7:31" x14ac:dyDescent="0.35">
      <c r="G232" s="85"/>
      <c r="H232" s="87"/>
      <c r="I232" s="94">
        <v>20</v>
      </c>
      <c r="J232" s="93">
        <v>45156</v>
      </c>
      <c r="K232" s="87" t="s">
        <v>1678</v>
      </c>
      <c r="L232" s="87">
        <v>495.77</v>
      </c>
      <c r="M232" s="87"/>
      <c r="N232" s="93"/>
      <c r="O232" s="85"/>
      <c r="Q232" s="94"/>
      <c r="R232" s="93"/>
      <c r="S232" s="85"/>
      <c r="U232" s="94"/>
      <c r="V232" s="93"/>
      <c r="W232" s="85"/>
      <c r="Y232" s="94"/>
      <c r="Z232" s="93"/>
      <c r="AA232" s="85"/>
      <c r="AC232" s="94"/>
      <c r="AD232" s="93"/>
      <c r="AE232" s="85"/>
    </row>
    <row r="233" spans="7:31" x14ac:dyDescent="0.35">
      <c r="G233" s="85"/>
      <c r="H233" s="87"/>
      <c r="I233" s="94">
        <v>16</v>
      </c>
      <c r="J233" s="93">
        <v>45114</v>
      </c>
      <c r="K233" s="87" t="s">
        <v>1471</v>
      </c>
      <c r="L233" s="87">
        <v>230.15</v>
      </c>
      <c r="M233" s="87"/>
      <c r="N233" s="93"/>
      <c r="O233" s="85"/>
      <c r="Q233" s="94"/>
      <c r="R233" s="93"/>
      <c r="S233" s="85"/>
      <c r="U233" s="94"/>
      <c r="V233" s="93"/>
      <c r="W233" s="85"/>
      <c r="Y233" s="94"/>
      <c r="Z233" s="93"/>
      <c r="AA233" s="85"/>
      <c r="AC233" s="94"/>
      <c r="AD233" s="93"/>
      <c r="AE233" s="85"/>
    </row>
    <row r="234" spans="7:31" x14ac:dyDescent="0.35">
      <c r="G234" s="85"/>
      <c r="H234" s="87"/>
      <c r="I234" s="94">
        <v>14</v>
      </c>
      <c r="J234" s="93">
        <v>45180</v>
      </c>
      <c r="K234" s="87" t="s">
        <v>1630</v>
      </c>
      <c r="L234" s="87">
        <v>56.65</v>
      </c>
      <c r="M234" s="94"/>
      <c r="N234" s="93"/>
      <c r="O234" s="85"/>
      <c r="Q234" s="94"/>
      <c r="R234" s="93"/>
      <c r="S234" s="85"/>
      <c r="U234" s="94"/>
      <c r="V234" s="93"/>
      <c r="W234" s="85"/>
      <c r="Y234" s="94"/>
      <c r="Z234" s="93"/>
      <c r="AA234" s="85"/>
      <c r="AC234" s="94"/>
      <c r="AD234" s="93"/>
      <c r="AE234" s="85"/>
    </row>
    <row r="235" spans="7:31" x14ac:dyDescent="0.35">
      <c r="G235" s="85"/>
      <c r="H235" s="87"/>
      <c r="I235" s="94">
        <v>14</v>
      </c>
      <c r="J235" s="93">
        <v>45181</v>
      </c>
      <c r="K235" s="87" t="s">
        <v>1630</v>
      </c>
      <c r="L235" s="87">
        <v>49.98</v>
      </c>
      <c r="M235" s="94"/>
      <c r="N235" s="93"/>
      <c r="O235" s="85"/>
      <c r="Q235" s="94"/>
      <c r="R235" s="93"/>
      <c r="S235" s="85"/>
      <c r="U235" s="94"/>
      <c r="V235" s="93"/>
      <c r="W235" s="85"/>
      <c r="Y235" s="94"/>
      <c r="Z235" s="93"/>
      <c r="AA235" s="85"/>
      <c r="AC235" s="94"/>
      <c r="AD235" s="93"/>
      <c r="AE235" s="85"/>
    </row>
    <row r="236" spans="7:31" x14ac:dyDescent="0.35">
      <c r="G236" s="85"/>
      <c r="H236" s="87"/>
      <c r="I236" s="94">
        <v>14</v>
      </c>
      <c r="J236" s="93">
        <v>45181</v>
      </c>
      <c r="K236" s="87" t="s">
        <v>2307</v>
      </c>
      <c r="L236" s="87">
        <v>69.900000000000006</v>
      </c>
      <c r="M236" s="94"/>
      <c r="N236" s="93"/>
      <c r="O236" s="85"/>
      <c r="Q236" s="94"/>
      <c r="R236" s="93"/>
      <c r="S236" s="85"/>
      <c r="U236" s="94"/>
      <c r="V236" s="93"/>
      <c r="W236" s="85"/>
      <c r="Y236" s="94"/>
      <c r="Z236" s="93"/>
      <c r="AA236" s="85"/>
      <c r="AC236" s="94"/>
      <c r="AD236" s="93"/>
      <c r="AE236" s="85"/>
    </row>
    <row r="237" spans="7:31" x14ac:dyDescent="0.35">
      <c r="G237" s="85"/>
      <c r="H237" s="87"/>
      <c r="I237" s="94">
        <v>14</v>
      </c>
      <c r="J237" s="93">
        <v>45187</v>
      </c>
      <c r="K237" s="87" t="s">
        <v>2308</v>
      </c>
      <c r="L237" s="87">
        <v>28.33</v>
      </c>
      <c r="M237" s="94"/>
      <c r="N237" s="93"/>
      <c r="O237" s="85"/>
      <c r="Q237" s="94"/>
      <c r="R237" s="93"/>
      <c r="S237" s="85"/>
      <c r="U237" s="94"/>
      <c r="V237" s="93"/>
      <c r="W237" s="85"/>
      <c r="Y237" s="94"/>
      <c r="Z237" s="93"/>
      <c r="AA237" s="85"/>
      <c r="AC237" s="94"/>
      <c r="AD237" s="93"/>
      <c r="AE237" s="85"/>
    </row>
    <row r="238" spans="7:31" x14ac:dyDescent="0.35">
      <c r="G238" s="85"/>
      <c r="H238" s="87"/>
      <c r="I238" s="94">
        <v>14</v>
      </c>
      <c r="J238" s="93">
        <v>45187</v>
      </c>
      <c r="K238" s="87" t="s">
        <v>2309</v>
      </c>
      <c r="L238" s="87">
        <v>16.649999999999999</v>
      </c>
      <c r="M238" s="94"/>
      <c r="N238" s="93"/>
      <c r="O238" s="85"/>
      <c r="Q238" s="94"/>
      <c r="R238" s="93"/>
      <c r="S238" s="85"/>
      <c r="U238" s="94"/>
      <c r="V238" s="93"/>
      <c r="W238" s="85"/>
      <c r="Y238" s="94"/>
      <c r="Z238" s="93"/>
      <c r="AA238" s="85"/>
      <c r="AC238" s="94"/>
      <c r="AD238" s="93"/>
      <c r="AE238" s="85"/>
    </row>
    <row r="239" spans="7:31" x14ac:dyDescent="0.35">
      <c r="G239" s="85"/>
      <c r="H239" s="87"/>
      <c r="I239" s="94">
        <v>14</v>
      </c>
      <c r="J239" s="93">
        <v>45188</v>
      </c>
      <c r="K239" s="87" t="s">
        <v>2310</v>
      </c>
      <c r="L239" s="87">
        <v>94.98</v>
      </c>
      <c r="M239" s="94"/>
      <c r="N239" s="93"/>
      <c r="O239" s="85"/>
      <c r="Q239" s="94"/>
      <c r="R239" s="93"/>
      <c r="S239" s="85"/>
      <c r="U239" s="94"/>
      <c r="V239" s="93"/>
      <c r="W239" s="85"/>
      <c r="Y239" s="94"/>
      <c r="Z239" s="93"/>
      <c r="AA239" s="85"/>
      <c r="AC239" s="94"/>
      <c r="AD239" s="93"/>
      <c r="AE239" s="85"/>
    </row>
    <row r="240" spans="7:31" x14ac:dyDescent="0.35">
      <c r="G240" s="85"/>
      <c r="H240" s="87"/>
      <c r="I240" s="94">
        <v>18</v>
      </c>
      <c r="J240" s="93">
        <v>45188</v>
      </c>
      <c r="K240" s="87" t="s">
        <v>2208</v>
      </c>
      <c r="L240" s="87">
        <v>46.39</v>
      </c>
      <c r="M240" s="94"/>
      <c r="N240" s="93"/>
      <c r="O240" s="85"/>
      <c r="Q240" s="94"/>
      <c r="R240" s="93"/>
      <c r="S240" s="85"/>
      <c r="U240" s="94"/>
      <c r="V240" s="93"/>
      <c r="W240" s="85"/>
      <c r="Y240" s="94"/>
      <c r="Z240" s="93"/>
      <c r="AA240" s="85"/>
      <c r="AC240" s="94"/>
      <c r="AD240" s="93"/>
      <c r="AE240" s="85"/>
    </row>
    <row r="241" spans="7:31" x14ac:dyDescent="0.35">
      <c r="G241" s="85"/>
      <c r="H241" s="87"/>
      <c r="I241" s="94">
        <v>18</v>
      </c>
      <c r="J241" s="93">
        <v>45188</v>
      </c>
      <c r="K241" s="87" t="s">
        <v>2208</v>
      </c>
      <c r="L241" s="87">
        <v>44.15</v>
      </c>
      <c r="M241" s="94"/>
      <c r="N241" s="93"/>
      <c r="O241" s="85"/>
      <c r="Q241" s="94"/>
      <c r="R241" s="93"/>
      <c r="S241" s="85"/>
      <c r="U241" s="94"/>
      <c r="V241" s="93"/>
      <c r="W241" s="85"/>
      <c r="Y241" s="94"/>
      <c r="Z241" s="93"/>
      <c r="AA241" s="85"/>
      <c r="AC241" s="94"/>
      <c r="AD241" s="93"/>
      <c r="AE241" s="85"/>
    </row>
    <row r="242" spans="7:31" x14ac:dyDescent="0.35">
      <c r="G242" s="85"/>
      <c r="H242" s="87"/>
      <c r="I242" s="94">
        <v>14</v>
      </c>
      <c r="J242" s="93">
        <v>45125</v>
      </c>
      <c r="K242" s="87" t="s">
        <v>1630</v>
      </c>
      <c r="L242" s="87">
        <v>18</v>
      </c>
      <c r="M242" s="94"/>
      <c r="N242" s="93"/>
      <c r="O242" s="85"/>
      <c r="Q242" s="94"/>
      <c r="R242" s="93"/>
      <c r="S242" s="85"/>
      <c r="U242" s="94"/>
      <c r="V242" s="93"/>
      <c r="W242" s="85"/>
      <c r="Y242" s="94"/>
      <c r="Z242" s="93"/>
      <c r="AA242" s="85"/>
      <c r="AC242" s="94"/>
      <c r="AD242" s="93"/>
      <c r="AE242" s="85"/>
    </row>
    <row r="243" spans="7:31" x14ac:dyDescent="0.35">
      <c r="G243" s="85"/>
      <c r="H243" s="87"/>
      <c r="I243" s="94">
        <v>15</v>
      </c>
      <c r="J243" s="93">
        <v>45125</v>
      </c>
      <c r="K243" s="87" t="s">
        <v>1624</v>
      </c>
      <c r="L243" s="87">
        <v>169.88</v>
      </c>
      <c r="M243" s="94"/>
      <c r="N243" s="93"/>
      <c r="O243" s="85"/>
      <c r="Q243" s="94"/>
      <c r="R243" s="93"/>
      <c r="S243" s="85"/>
      <c r="U243" s="94"/>
      <c r="V243" s="93"/>
      <c r="W243" s="85"/>
      <c r="Y243" s="94"/>
      <c r="Z243" s="93"/>
      <c r="AA243" s="85"/>
      <c r="AC243" s="94"/>
      <c r="AD243" s="93"/>
      <c r="AE243" s="85"/>
    </row>
    <row r="244" spans="7:31" x14ac:dyDescent="0.35">
      <c r="G244" s="85"/>
      <c r="H244" s="87"/>
      <c r="I244" s="94">
        <v>14</v>
      </c>
      <c r="J244" s="93">
        <v>45140</v>
      </c>
      <c r="K244" s="87" t="s">
        <v>2311</v>
      </c>
      <c r="L244" s="87">
        <v>179.8</v>
      </c>
      <c r="M244" s="94"/>
      <c r="N244" s="93"/>
      <c r="O244" s="85"/>
      <c r="Q244" s="94"/>
      <c r="R244" s="93"/>
      <c r="S244" s="85"/>
      <c r="U244" s="94"/>
      <c r="V244" s="93"/>
      <c r="W244" s="85"/>
      <c r="Y244" s="94"/>
      <c r="Z244" s="93"/>
      <c r="AA244" s="85"/>
      <c r="AC244" s="94"/>
      <c r="AD244" s="93"/>
      <c r="AE244" s="85"/>
    </row>
    <row r="245" spans="7:31" x14ac:dyDescent="0.35">
      <c r="G245" s="85"/>
      <c r="H245" s="87"/>
      <c r="I245" s="94">
        <v>20</v>
      </c>
      <c r="J245" s="93">
        <v>45187</v>
      </c>
      <c r="K245" s="87" t="s">
        <v>2312</v>
      </c>
      <c r="L245" s="87">
        <v>495.77</v>
      </c>
      <c r="M245" s="94"/>
      <c r="N245" s="93"/>
      <c r="O245" s="85"/>
      <c r="Q245" s="94"/>
      <c r="R245" s="93"/>
      <c r="S245" s="85"/>
      <c r="U245" s="94"/>
      <c r="V245" s="93"/>
      <c r="W245" s="85"/>
      <c r="Y245" s="94"/>
      <c r="Z245" s="93"/>
      <c r="AA245" s="85"/>
      <c r="AC245" s="94"/>
      <c r="AD245" s="93"/>
      <c r="AE245" s="85"/>
    </row>
    <row r="246" spans="7:31" x14ac:dyDescent="0.35">
      <c r="G246" s="85"/>
      <c r="H246" s="87"/>
      <c r="I246" s="94">
        <v>14</v>
      </c>
      <c r="J246" s="93">
        <v>45202</v>
      </c>
      <c r="K246" s="87" t="s">
        <v>1679</v>
      </c>
      <c r="L246" s="87">
        <v>204.25</v>
      </c>
      <c r="M246" s="94"/>
      <c r="N246" s="93"/>
      <c r="O246" s="85"/>
      <c r="Q246" s="94"/>
      <c r="R246" s="93"/>
      <c r="S246" s="85"/>
      <c r="U246" s="94"/>
      <c r="V246" s="93"/>
      <c r="W246" s="85"/>
      <c r="Y246" s="94"/>
      <c r="Z246" s="93"/>
      <c r="AA246" s="85"/>
      <c r="AC246" s="94"/>
      <c r="AD246" s="93"/>
      <c r="AE246" s="85"/>
    </row>
    <row r="247" spans="7:31" x14ac:dyDescent="0.35">
      <c r="G247" s="85"/>
      <c r="H247" s="87"/>
      <c r="I247" s="94">
        <v>9</v>
      </c>
      <c r="J247" s="93">
        <v>45208</v>
      </c>
      <c r="K247" s="87" t="s">
        <v>1680</v>
      </c>
      <c r="L247" s="87">
        <v>900</v>
      </c>
      <c r="M247" s="94"/>
      <c r="N247" s="93"/>
      <c r="O247" s="85"/>
      <c r="Q247" s="94"/>
      <c r="R247" s="93"/>
      <c r="S247" s="85"/>
      <c r="U247" s="94"/>
      <c r="V247" s="93"/>
      <c r="W247" s="85"/>
      <c r="Y247" s="94"/>
      <c r="Z247" s="93"/>
      <c r="AA247" s="85"/>
      <c r="AC247" s="94"/>
      <c r="AD247" s="93"/>
      <c r="AE247" s="85"/>
    </row>
    <row r="248" spans="7:31" x14ac:dyDescent="0.35">
      <c r="G248" s="85"/>
      <c r="H248" s="87"/>
      <c r="I248" s="94">
        <v>6</v>
      </c>
      <c r="J248" s="93">
        <v>45200</v>
      </c>
      <c r="K248" s="85" t="s">
        <v>1681</v>
      </c>
      <c r="L248" s="87">
        <v>733.39</v>
      </c>
      <c r="M248" s="94"/>
      <c r="N248" s="93"/>
      <c r="O248" s="85"/>
      <c r="Q248" s="94"/>
      <c r="R248" s="93"/>
      <c r="S248" s="85"/>
      <c r="U248" s="94"/>
      <c r="V248" s="93"/>
      <c r="W248" s="85"/>
      <c r="Y248" s="94"/>
      <c r="Z248" s="93"/>
      <c r="AA248" s="85"/>
      <c r="AC248" s="94"/>
      <c r="AD248" s="93"/>
      <c r="AE248" s="85"/>
    </row>
    <row r="249" spans="7:31" x14ac:dyDescent="0.35">
      <c r="G249" s="85"/>
      <c r="H249" s="87"/>
      <c r="I249" s="94">
        <v>19</v>
      </c>
      <c r="J249" s="93">
        <v>45203</v>
      </c>
      <c r="K249" s="87" t="s">
        <v>1682</v>
      </c>
      <c r="L249" s="87">
        <v>2584</v>
      </c>
      <c r="M249" s="94"/>
      <c r="N249" s="93"/>
      <c r="O249" s="85"/>
      <c r="Q249" s="94"/>
      <c r="R249" s="93"/>
      <c r="S249" s="85"/>
      <c r="U249" s="94"/>
      <c r="V249" s="93"/>
      <c r="W249" s="85"/>
      <c r="Y249" s="94"/>
      <c r="Z249" s="93"/>
      <c r="AA249" s="85"/>
      <c r="AC249" s="94"/>
      <c r="AD249" s="93"/>
      <c r="AE249" s="85"/>
    </row>
    <row r="250" spans="7:31" x14ac:dyDescent="0.35">
      <c r="G250" s="85"/>
      <c r="H250" s="87"/>
      <c r="I250" s="94">
        <v>2</v>
      </c>
      <c r="J250" s="93">
        <v>45203</v>
      </c>
      <c r="K250" s="87" t="s">
        <v>1682</v>
      </c>
      <c r="L250" s="87">
        <v>1476.5</v>
      </c>
      <c r="M250" s="94"/>
      <c r="N250" s="93"/>
      <c r="O250" s="85"/>
      <c r="Q250" s="94"/>
      <c r="R250" s="93"/>
      <c r="S250" s="85"/>
      <c r="U250" s="94"/>
      <c r="V250" s="93"/>
      <c r="W250" s="85"/>
      <c r="Y250" s="94"/>
      <c r="Z250" s="93"/>
      <c r="AA250" s="85"/>
      <c r="AC250" s="94"/>
      <c r="AD250" s="93"/>
      <c r="AE250" s="85"/>
    </row>
    <row r="251" spans="7:31" x14ac:dyDescent="0.35">
      <c r="G251" s="85"/>
      <c r="H251" s="87"/>
      <c r="I251" s="94">
        <v>14</v>
      </c>
      <c r="J251" s="93">
        <v>45209</v>
      </c>
      <c r="K251" s="87" t="s">
        <v>1683</v>
      </c>
      <c r="L251" s="87">
        <v>430.55</v>
      </c>
      <c r="M251" s="94"/>
      <c r="N251" s="93"/>
      <c r="O251" s="85"/>
      <c r="Q251" s="94"/>
      <c r="R251" s="93"/>
      <c r="S251" s="85"/>
      <c r="U251" s="94"/>
      <c r="V251" s="93"/>
      <c r="W251" s="85"/>
      <c r="Y251" s="94"/>
      <c r="Z251" s="93"/>
      <c r="AA251" s="85"/>
      <c r="AC251" s="94"/>
      <c r="AD251" s="93"/>
      <c r="AE251" s="85"/>
    </row>
    <row r="252" spans="7:31" x14ac:dyDescent="0.35">
      <c r="G252" s="85"/>
      <c r="H252" s="87"/>
      <c r="I252" s="94">
        <v>15</v>
      </c>
      <c r="J252" s="93">
        <v>45202</v>
      </c>
      <c r="K252" s="87" t="s">
        <v>1624</v>
      </c>
      <c r="L252" s="87">
        <v>134.91</v>
      </c>
      <c r="M252" s="95"/>
      <c r="N252" s="93"/>
      <c r="O252" s="85"/>
      <c r="Q252" s="94"/>
      <c r="R252" s="93"/>
      <c r="S252" s="85"/>
      <c r="U252" s="94"/>
      <c r="V252" s="93"/>
      <c r="W252" s="85"/>
      <c r="Y252" s="94"/>
      <c r="Z252" s="93"/>
      <c r="AA252" s="85"/>
      <c r="AC252" s="94"/>
      <c r="AD252" s="93"/>
      <c r="AE252" s="85"/>
    </row>
    <row r="253" spans="7:31" x14ac:dyDescent="0.35">
      <c r="G253" s="85"/>
      <c r="H253" s="87"/>
      <c r="I253" s="94">
        <v>14</v>
      </c>
      <c r="J253" s="93">
        <v>45205</v>
      </c>
      <c r="K253" s="87" t="s">
        <v>1684</v>
      </c>
      <c r="L253" s="87">
        <v>612</v>
      </c>
      <c r="M253" s="94"/>
      <c r="N253" s="93"/>
      <c r="O253" s="85"/>
      <c r="Q253" s="94"/>
      <c r="R253" s="93"/>
      <c r="S253" s="85"/>
      <c r="U253" s="94"/>
      <c r="V253" s="93"/>
      <c r="W253" s="85"/>
      <c r="Y253" s="94"/>
      <c r="Z253" s="93"/>
      <c r="AA253" s="85"/>
      <c r="AC253" s="94"/>
      <c r="AD253" s="93"/>
      <c r="AE253" s="85"/>
    </row>
    <row r="254" spans="7:31" x14ac:dyDescent="0.35">
      <c r="G254" s="85"/>
      <c r="H254" s="87"/>
      <c r="I254" s="94">
        <v>14</v>
      </c>
      <c r="J254" s="93">
        <v>45202</v>
      </c>
      <c r="K254" s="87" t="s">
        <v>1685</v>
      </c>
      <c r="L254" s="87">
        <v>208.99</v>
      </c>
      <c r="M254" s="95"/>
      <c r="N254" s="93"/>
      <c r="O254" s="85"/>
      <c r="Q254" s="94"/>
      <c r="R254" s="93"/>
      <c r="S254" s="85"/>
      <c r="U254" s="94"/>
      <c r="V254" s="93"/>
      <c r="W254" s="85"/>
      <c r="Y254" s="94"/>
      <c r="Z254" s="93"/>
      <c r="AA254" s="85"/>
      <c r="AC254" s="94"/>
      <c r="AD254" s="93"/>
      <c r="AE254" s="85"/>
    </row>
    <row r="255" spans="7:31" x14ac:dyDescent="0.35">
      <c r="G255" s="85"/>
      <c r="H255" s="87"/>
      <c r="I255" s="94">
        <v>7</v>
      </c>
      <c r="J255" s="93">
        <v>45201</v>
      </c>
      <c r="K255" s="87" t="s">
        <v>1510</v>
      </c>
      <c r="L255" s="87">
        <f>16*3.33</f>
        <v>53.28</v>
      </c>
      <c r="M255" s="95"/>
      <c r="N255" s="95"/>
      <c r="O255" s="93"/>
      <c r="P255" s="85"/>
      <c r="Q255" s="87"/>
      <c r="R255" s="93"/>
      <c r="S255" s="85"/>
      <c r="U255" s="94"/>
      <c r="V255" s="93"/>
      <c r="W255" s="85"/>
      <c r="Y255" s="94"/>
      <c r="Z255" s="93"/>
      <c r="AA255" s="85"/>
      <c r="AC255" s="94"/>
      <c r="AD255" s="93"/>
      <c r="AE255" s="85"/>
    </row>
    <row r="256" spans="7:31" x14ac:dyDescent="0.35">
      <c r="G256" s="85"/>
      <c r="H256" s="87"/>
      <c r="I256" s="94">
        <v>7</v>
      </c>
      <c r="J256" s="93">
        <v>45201</v>
      </c>
      <c r="K256" s="87" t="s">
        <v>1492</v>
      </c>
      <c r="L256" s="87">
        <v>3.33</v>
      </c>
      <c r="N256" s="95"/>
      <c r="O256" s="93"/>
      <c r="P256" s="85"/>
      <c r="Q256" s="87"/>
      <c r="R256" s="93"/>
      <c r="S256" s="85"/>
      <c r="U256" s="94"/>
      <c r="V256" s="93"/>
      <c r="W256" s="85"/>
      <c r="Y256" s="94"/>
      <c r="Z256" s="93"/>
      <c r="AA256" s="85"/>
      <c r="AC256" s="94"/>
      <c r="AD256" s="93"/>
      <c r="AE256" s="85"/>
    </row>
    <row r="257" spans="7:31" x14ac:dyDescent="0.35">
      <c r="G257" s="85"/>
      <c r="H257" s="87"/>
      <c r="I257" s="94">
        <v>16</v>
      </c>
      <c r="J257" s="93">
        <v>45201</v>
      </c>
      <c r="K257" s="87" t="s">
        <v>1686</v>
      </c>
      <c r="L257" s="87">
        <v>28.04</v>
      </c>
      <c r="N257" s="93"/>
      <c r="O257" s="85"/>
      <c r="Q257" s="94"/>
      <c r="R257" s="93"/>
      <c r="S257" s="85"/>
      <c r="U257" s="94"/>
      <c r="V257" s="93"/>
      <c r="W257" s="85"/>
      <c r="Y257" s="94"/>
      <c r="Z257" s="93"/>
      <c r="AA257" s="85"/>
      <c r="AC257" s="94"/>
      <c r="AD257" s="93"/>
      <c r="AE257" s="85"/>
    </row>
    <row r="258" spans="7:31" x14ac:dyDescent="0.35">
      <c r="G258" s="85"/>
      <c r="H258" s="87"/>
      <c r="I258" s="94">
        <v>18</v>
      </c>
      <c r="J258" s="93">
        <v>45201</v>
      </c>
      <c r="K258" s="87" t="s">
        <v>715</v>
      </c>
      <c r="L258" s="87">
        <v>20</v>
      </c>
      <c r="M258" s="95"/>
      <c r="N258" s="93"/>
      <c r="O258" s="85"/>
      <c r="Q258" s="94"/>
      <c r="R258" s="93"/>
      <c r="S258" s="85"/>
      <c r="U258" s="94"/>
      <c r="V258" s="93"/>
      <c r="W258" s="85"/>
      <c r="Y258" s="94"/>
      <c r="Z258" s="93"/>
      <c r="AA258" s="85"/>
      <c r="AC258" s="94"/>
      <c r="AD258" s="93"/>
      <c r="AE258" s="85"/>
    </row>
    <row r="259" spans="7:31" x14ac:dyDescent="0.35">
      <c r="G259" s="85"/>
      <c r="H259" s="87"/>
      <c r="I259" s="94">
        <v>8</v>
      </c>
      <c r="J259" s="93">
        <v>45201</v>
      </c>
      <c r="K259" s="87" t="s">
        <v>1558</v>
      </c>
      <c r="L259" s="87">
        <v>9.69</v>
      </c>
      <c r="M259" s="95"/>
      <c r="N259" s="93"/>
      <c r="O259" s="85"/>
      <c r="Q259" s="94"/>
      <c r="R259" s="93"/>
      <c r="S259" s="85"/>
      <c r="U259" s="94"/>
      <c r="V259" s="93"/>
      <c r="W259" s="85"/>
      <c r="Y259" s="94"/>
      <c r="Z259" s="93"/>
      <c r="AA259" s="85"/>
      <c r="AC259" s="94"/>
      <c r="AD259" s="93"/>
      <c r="AE259" s="85"/>
    </row>
    <row r="260" spans="7:31" x14ac:dyDescent="0.35">
      <c r="G260" s="85"/>
      <c r="H260" s="87"/>
      <c r="I260" s="94">
        <v>14</v>
      </c>
      <c r="J260" s="93">
        <v>45208</v>
      </c>
      <c r="K260" s="87" t="s">
        <v>1687</v>
      </c>
      <c r="L260" s="87">
        <v>15</v>
      </c>
      <c r="M260" s="94"/>
      <c r="N260" s="93"/>
      <c r="O260" s="85"/>
      <c r="Q260" s="94"/>
      <c r="R260" s="93"/>
      <c r="S260" s="85"/>
      <c r="U260" s="94"/>
      <c r="V260" s="93"/>
      <c r="W260" s="85"/>
      <c r="Y260" s="94"/>
      <c r="Z260" s="93"/>
      <c r="AA260" s="85"/>
      <c r="AC260" s="94"/>
      <c r="AD260" s="93"/>
      <c r="AE260" s="85"/>
    </row>
    <row r="261" spans="7:31" x14ac:dyDescent="0.35">
      <c r="G261" s="85"/>
      <c r="H261" s="87"/>
      <c r="I261" s="94">
        <v>14</v>
      </c>
      <c r="J261" s="93">
        <v>45225</v>
      </c>
      <c r="K261" s="87" t="s">
        <v>2184</v>
      </c>
      <c r="L261" s="87">
        <v>442.81</v>
      </c>
      <c r="M261" s="94"/>
      <c r="N261" s="93"/>
      <c r="O261" s="85"/>
      <c r="Q261" s="94"/>
      <c r="R261" s="93"/>
      <c r="S261" s="85"/>
      <c r="U261" s="94"/>
      <c r="V261" s="93"/>
      <c r="W261" s="85"/>
      <c r="Y261" s="94"/>
      <c r="Z261" s="93"/>
      <c r="AA261" s="85"/>
      <c r="AC261" s="94"/>
      <c r="AD261" s="93"/>
      <c r="AE261" s="85"/>
    </row>
    <row r="262" spans="7:31" x14ac:dyDescent="0.35">
      <c r="G262" s="85"/>
      <c r="H262" s="87"/>
      <c r="I262" s="94">
        <v>18</v>
      </c>
      <c r="J262" s="93" t="s">
        <v>2363</v>
      </c>
      <c r="K262" s="87" t="s">
        <v>2185</v>
      </c>
      <c r="L262" s="87">
        <f>192.95+82.5+9.36+10.82+20.82+65.83+9.63</f>
        <v>391.90999999999997</v>
      </c>
      <c r="M262" s="94"/>
      <c r="N262" s="93"/>
      <c r="O262" s="85"/>
      <c r="Q262" s="94"/>
      <c r="R262" s="93"/>
      <c r="S262" s="85"/>
      <c r="U262" s="94"/>
      <c r="V262" s="93"/>
      <c r="W262" s="85"/>
      <c r="Y262" s="94"/>
      <c r="Z262" s="93"/>
      <c r="AA262" s="85"/>
      <c r="AC262" s="94"/>
      <c r="AD262" s="93"/>
      <c r="AE262" s="85"/>
    </row>
    <row r="263" spans="7:31" x14ac:dyDescent="0.35">
      <c r="G263" s="85"/>
      <c r="H263" s="87"/>
      <c r="I263" s="94">
        <v>18</v>
      </c>
      <c r="J263" s="93" t="s">
        <v>2363</v>
      </c>
      <c r="K263" s="87" t="s">
        <v>2186</v>
      </c>
      <c r="L263" s="87">
        <f>4.74+262.01</f>
        <v>266.75</v>
      </c>
      <c r="M263" s="94"/>
      <c r="N263" s="93"/>
      <c r="O263" s="85"/>
      <c r="Q263" s="94"/>
      <c r="R263" s="93"/>
      <c r="S263" s="85"/>
      <c r="U263" s="94"/>
      <c r="V263" s="93"/>
      <c r="W263" s="85"/>
      <c r="Y263" s="94"/>
      <c r="Z263" s="93"/>
      <c r="AA263" s="85"/>
      <c r="AC263" s="94"/>
      <c r="AD263" s="93"/>
      <c r="AE263" s="85"/>
    </row>
    <row r="264" spans="7:31" x14ac:dyDescent="0.35">
      <c r="G264" s="85"/>
      <c r="H264" s="87"/>
      <c r="I264" s="94">
        <v>18</v>
      </c>
      <c r="J264" s="93" t="s">
        <v>2363</v>
      </c>
      <c r="K264" s="87" t="s">
        <v>2187</v>
      </c>
      <c r="L264" s="87">
        <v>8.32</v>
      </c>
      <c r="M264" s="94"/>
      <c r="N264" s="93"/>
      <c r="O264" s="85"/>
      <c r="Q264" s="94"/>
      <c r="R264" s="93"/>
      <c r="S264" s="85"/>
      <c r="U264" s="94"/>
      <c r="V264" s="93"/>
      <c r="W264" s="85"/>
      <c r="Y264" s="94"/>
      <c r="Z264" s="93"/>
      <c r="AA264" s="85"/>
      <c r="AC264" s="94"/>
      <c r="AD264" s="93"/>
      <c r="AE264" s="85"/>
    </row>
    <row r="265" spans="7:31" x14ac:dyDescent="0.35">
      <c r="G265" s="85"/>
      <c r="H265" s="87"/>
      <c r="I265" s="94">
        <v>8</v>
      </c>
      <c r="J265" s="93">
        <v>45222</v>
      </c>
      <c r="K265" s="87" t="s">
        <v>1512</v>
      </c>
      <c r="L265" s="87">
        <v>44.99</v>
      </c>
      <c r="M265" s="94"/>
      <c r="N265" s="93"/>
      <c r="O265" s="85"/>
      <c r="Q265" s="94"/>
      <c r="R265" s="93"/>
      <c r="S265" s="85"/>
      <c r="U265" s="94"/>
      <c r="V265" s="93"/>
      <c r="W265" s="85"/>
      <c r="Y265" s="94"/>
      <c r="Z265" s="93"/>
      <c r="AA265" s="85"/>
      <c r="AC265" s="94"/>
      <c r="AD265" s="93"/>
      <c r="AE265" s="85"/>
    </row>
    <row r="266" spans="7:31" x14ac:dyDescent="0.35">
      <c r="G266" s="85"/>
      <c r="H266" s="87"/>
      <c r="I266" s="94">
        <v>18</v>
      </c>
      <c r="J266" s="93">
        <v>45215</v>
      </c>
      <c r="K266" s="87" t="s">
        <v>2188</v>
      </c>
      <c r="L266" s="87">
        <v>630</v>
      </c>
      <c r="M266" s="94"/>
      <c r="N266" s="93"/>
      <c r="O266" s="85"/>
      <c r="Q266" s="94"/>
      <c r="R266" s="93"/>
      <c r="S266" s="85"/>
      <c r="U266" s="94"/>
      <c r="V266" s="93"/>
      <c r="W266" s="85"/>
      <c r="Y266" s="94"/>
      <c r="Z266" s="93"/>
      <c r="AA266" s="85"/>
      <c r="AC266" s="94"/>
      <c r="AD266" s="93"/>
      <c r="AE266" s="85"/>
    </row>
    <row r="267" spans="7:31" x14ac:dyDescent="0.35">
      <c r="G267" s="85"/>
      <c r="H267" s="87"/>
      <c r="I267" s="94">
        <v>16</v>
      </c>
      <c r="J267" s="93">
        <v>45203</v>
      </c>
      <c r="K267" s="87" t="s">
        <v>1471</v>
      </c>
      <c r="L267" s="87">
        <v>224.77</v>
      </c>
      <c r="M267" s="94"/>
      <c r="N267" s="93"/>
      <c r="O267" s="85"/>
      <c r="Q267" s="94"/>
      <c r="R267" s="93"/>
      <c r="S267" s="85"/>
      <c r="U267" s="94"/>
      <c r="V267" s="93"/>
      <c r="W267" s="85"/>
      <c r="Y267" s="94"/>
      <c r="Z267" s="93"/>
      <c r="AA267" s="85"/>
      <c r="AC267" s="94"/>
      <c r="AD267" s="93"/>
      <c r="AE267" s="85"/>
    </row>
    <row r="268" spans="7:31" x14ac:dyDescent="0.35">
      <c r="G268" s="85"/>
      <c r="H268" s="87"/>
      <c r="I268" s="94">
        <v>10</v>
      </c>
      <c r="J268" s="93">
        <v>45210</v>
      </c>
      <c r="K268" s="87" t="s">
        <v>2189</v>
      </c>
      <c r="L268" s="87">
        <v>41</v>
      </c>
      <c r="M268" s="94"/>
      <c r="N268" s="93"/>
      <c r="O268" s="85"/>
      <c r="Q268" s="94"/>
      <c r="R268" s="93"/>
      <c r="S268" s="85"/>
      <c r="U268" s="94"/>
      <c r="V268" s="93"/>
      <c r="W268" s="85"/>
      <c r="Y268" s="94"/>
      <c r="Z268" s="93"/>
      <c r="AA268" s="85"/>
      <c r="AC268" s="94"/>
      <c r="AD268" s="93"/>
      <c r="AE268" s="85"/>
    </row>
    <row r="269" spans="7:31" x14ac:dyDescent="0.35">
      <c r="G269" s="85"/>
      <c r="H269" s="87"/>
      <c r="I269" s="94">
        <v>20</v>
      </c>
      <c r="J269" s="93">
        <v>45217</v>
      </c>
      <c r="K269" s="87" t="s">
        <v>2190</v>
      </c>
      <c r="L269" s="87">
        <v>495.77</v>
      </c>
      <c r="M269" s="94"/>
      <c r="N269" s="93"/>
      <c r="O269" s="85"/>
      <c r="Q269" s="94"/>
      <c r="R269" s="93"/>
      <c r="S269" s="85"/>
      <c r="U269" s="94"/>
      <c r="V269" s="93"/>
      <c r="W269" s="85"/>
      <c r="Y269" s="94"/>
      <c r="Z269" s="93"/>
      <c r="AA269" s="85"/>
      <c r="AC269" s="94"/>
      <c r="AD269" s="93"/>
      <c r="AE269" s="85"/>
    </row>
    <row r="270" spans="7:31" x14ac:dyDescent="0.35">
      <c r="G270" s="85"/>
      <c r="H270" s="87"/>
      <c r="I270" s="94">
        <v>18</v>
      </c>
      <c r="J270" s="93">
        <v>45225</v>
      </c>
      <c r="K270" s="87" t="s">
        <v>2191</v>
      </c>
      <c r="L270" s="87">
        <v>34.07</v>
      </c>
      <c r="M270" s="94"/>
      <c r="N270" s="93"/>
      <c r="O270" s="85"/>
      <c r="Q270" s="94"/>
      <c r="R270" s="93"/>
      <c r="S270" s="85"/>
      <c r="U270" s="94"/>
      <c r="V270" s="93"/>
      <c r="W270" s="85"/>
      <c r="Y270" s="94"/>
      <c r="Z270" s="93"/>
      <c r="AA270" s="85"/>
      <c r="AC270" s="94"/>
      <c r="AD270" s="93"/>
      <c r="AE270" s="85"/>
    </row>
    <row r="271" spans="7:31" x14ac:dyDescent="0.35">
      <c r="G271" s="85"/>
      <c r="H271" s="87"/>
      <c r="I271" s="94">
        <v>18</v>
      </c>
      <c r="J271" s="93">
        <v>45238</v>
      </c>
      <c r="K271" s="87" t="s">
        <v>2192</v>
      </c>
      <c r="L271" s="87">
        <v>18495</v>
      </c>
      <c r="M271" s="94"/>
      <c r="N271" s="93"/>
      <c r="O271" s="85"/>
      <c r="Q271" s="94"/>
      <c r="R271" s="93"/>
      <c r="S271" s="85"/>
      <c r="U271" s="94"/>
      <c r="V271" s="93"/>
      <c r="W271" s="85"/>
      <c r="Y271" s="94"/>
      <c r="Z271" s="93"/>
      <c r="AA271" s="85"/>
      <c r="AC271" s="94"/>
      <c r="AD271" s="93"/>
      <c r="AE271" s="85"/>
    </row>
    <row r="272" spans="7:31" x14ac:dyDescent="0.35">
      <c r="G272" s="85"/>
      <c r="H272" s="87"/>
      <c r="I272" s="94" t="s">
        <v>23</v>
      </c>
      <c r="J272" s="93" t="s">
        <v>676</v>
      </c>
      <c r="K272" s="87" t="s">
        <v>2193</v>
      </c>
      <c r="L272" s="87">
        <v>500</v>
      </c>
      <c r="M272" s="94"/>
      <c r="N272" s="93"/>
      <c r="O272" s="85"/>
      <c r="Q272" s="94"/>
      <c r="R272" s="93"/>
      <c r="S272" s="85"/>
      <c r="U272" s="94"/>
      <c r="V272" s="93"/>
      <c r="W272" s="85"/>
      <c r="Y272" s="94"/>
      <c r="Z272" s="93"/>
      <c r="AA272" s="85"/>
      <c r="AC272" s="94"/>
      <c r="AD272" s="93"/>
      <c r="AE272" s="85"/>
    </row>
    <row r="273" spans="7:31" x14ac:dyDescent="0.35">
      <c r="G273" s="85"/>
      <c r="H273" s="87"/>
      <c r="I273" s="94">
        <v>13</v>
      </c>
      <c r="J273" s="93">
        <v>45200</v>
      </c>
      <c r="K273" s="87" t="s">
        <v>2194</v>
      </c>
      <c r="L273" s="87">
        <v>1708.33</v>
      </c>
      <c r="M273" s="94"/>
      <c r="N273" s="93"/>
      <c r="O273" s="85"/>
      <c r="Q273" s="94"/>
      <c r="R273" s="93"/>
      <c r="S273" s="85"/>
      <c r="U273" s="94"/>
      <c r="V273" s="93"/>
      <c r="W273" s="85"/>
      <c r="Y273" s="94"/>
      <c r="Z273" s="93"/>
      <c r="AA273" s="85"/>
      <c r="AC273" s="94"/>
      <c r="AD273" s="93"/>
      <c r="AE273" s="85"/>
    </row>
    <row r="274" spans="7:31" x14ac:dyDescent="0.35">
      <c r="G274" s="85"/>
      <c r="H274" s="87"/>
      <c r="I274" s="94">
        <v>13</v>
      </c>
      <c r="J274" s="93">
        <v>45231</v>
      </c>
      <c r="K274" s="87" t="s">
        <v>2195</v>
      </c>
      <c r="L274" s="87">
        <v>1708.33</v>
      </c>
      <c r="M274" s="94"/>
      <c r="N274" s="93"/>
      <c r="O274" s="85"/>
      <c r="Q274" s="94"/>
      <c r="R274" s="93"/>
      <c r="S274" s="85"/>
      <c r="U274" s="94"/>
      <c r="V274" s="93"/>
      <c r="W274" s="85"/>
      <c r="Y274" s="94"/>
      <c r="Z274" s="93"/>
      <c r="AA274" s="85"/>
      <c r="AC274" s="94"/>
      <c r="AD274" s="93"/>
      <c r="AE274" s="85"/>
    </row>
    <row r="275" spans="7:31" x14ac:dyDescent="0.35">
      <c r="G275" s="85"/>
      <c r="H275" s="87"/>
      <c r="I275" s="94">
        <v>14</v>
      </c>
      <c r="J275" s="93">
        <v>45230</v>
      </c>
      <c r="K275" s="87" t="s">
        <v>2196</v>
      </c>
      <c r="L275" s="87">
        <v>1168.74</v>
      </c>
      <c r="M275" s="94"/>
      <c r="N275" s="93"/>
      <c r="O275" s="85"/>
      <c r="Q275" s="94"/>
      <c r="R275" s="93"/>
      <c r="S275" s="85"/>
      <c r="U275" s="94"/>
      <c r="V275" s="93"/>
      <c r="W275" s="85"/>
      <c r="Y275" s="94"/>
      <c r="Z275" s="93"/>
      <c r="AA275" s="85"/>
      <c r="AC275" s="94"/>
      <c r="AD275" s="93"/>
      <c r="AE275" s="85"/>
    </row>
    <row r="276" spans="7:31" x14ac:dyDescent="0.35">
      <c r="G276" s="85"/>
      <c r="H276" s="87"/>
      <c r="I276" s="94">
        <v>14</v>
      </c>
      <c r="J276" s="93">
        <v>45230</v>
      </c>
      <c r="K276" s="87" t="s">
        <v>2197</v>
      </c>
      <c r="L276" s="87">
        <v>110.78</v>
      </c>
      <c r="M276" s="94"/>
      <c r="N276" s="93"/>
      <c r="O276" s="85"/>
      <c r="Q276" s="94"/>
      <c r="R276" s="93"/>
      <c r="S276" s="85"/>
      <c r="U276" s="94"/>
      <c r="V276" s="93"/>
      <c r="W276" s="85"/>
      <c r="Y276" s="94"/>
      <c r="Z276" s="93"/>
      <c r="AA276" s="85"/>
      <c r="AC276" s="94"/>
      <c r="AD276" s="93"/>
      <c r="AE276" s="85"/>
    </row>
    <row r="277" spans="7:31" x14ac:dyDescent="0.35">
      <c r="G277" s="85"/>
      <c r="H277" s="87"/>
      <c r="I277" s="94">
        <v>14</v>
      </c>
      <c r="J277" s="93">
        <v>45226</v>
      </c>
      <c r="K277" s="87" t="s">
        <v>2198</v>
      </c>
      <c r="L277" s="87">
        <v>103.68</v>
      </c>
      <c r="M277" s="94"/>
      <c r="N277" s="93"/>
      <c r="O277" s="85"/>
      <c r="Q277" s="94"/>
      <c r="R277" s="93"/>
      <c r="S277" s="85"/>
      <c r="U277" s="94"/>
      <c r="V277" s="93"/>
      <c r="W277" s="85"/>
      <c r="Y277" s="94"/>
      <c r="Z277" s="93"/>
      <c r="AA277" s="85"/>
      <c r="AC277" s="94"/>
      <c r="AD277" s="93"/>
      <c r="AE277" s="85"/>
    </row>
    <row r="278" spans="7:31" x14ac:dyDescent="0.35">
      <c r="G278" s="85"/>
      <c r="H278" s="87"/>
      <c r="I278" s="94">
        <v>7</v>
      </c>
      <c r="J278" s="93">
        <v>45236</v>
      </c>
      <c r="K278" s="87" t="s">
        <v>1492</v>
      </c>
      <c r="L278" s="87">
        <v>7.91</v>
      </c>
      <c r="M278" s="94"/>
      <c r="N278" s="93"/>
      <c r="O278" s="85"/>
      <c r="Q278" s="94"/>
      <c r="R278" s="93"/>
      <c r="S278" s="85"/>
      <c r="U278" s="94"/>
      <c r="V278" s="93"/>
      <c r="W278" s="85"/>
      <c r="Y278" s="94"/>
      <c r="Z278" s="93"/>
      <c r="AA278" s="85"/>
      <c r="AC278" s="94"/>
      <c r="AD278" s="93"/>
      <c r="AE278" s="85"/>
    </row>
    <row r="279" spans="7:31" x14ac:dyDescent="0.35">
      <c r="G279" s="85"/>
      <c r="H279" s="87"/>
      <c r="I279" s="94">
        <v>7</v>
      </c>
      <c r="J279" s="93">
        <v>45236</v>
      </c>
      <c r="K279" s="87" t="s">
        <v>1510</v>
      </c>
      <c r="L279" s="87">
        <v>33.299999999999997</v>
      </c>
      <c r="M279" s="94"/>
      <c r="N279" s="93"/>
      <c r="O279" s="85"/>
      <c r="Q279" s="94"/>
      <c r="R279" s="93"/>
      <c r="S279" s="85"/>
      <c r="U279" s="94"/>
      <c r="V279" s="93"/>
      <c r="W279" s="85"/>
      <c r="Y279" s="94"/>
      <c r="Z279" s="93"/>
      <c r="AA279" s="85"/>
      <c r="AC279" s="94"/>
      <c r="AD279" s="93"/>
      <c r="AE279" s="85"/>
    </row>
    <row r="280" spans="7:31" x14ac:dyDescent="0.35">
      <c r="G280" s="85"/>
      <c r="H280" s="87"/>
      <c r="I280" s="94">
        <v>7</v>
      </c>
      <c r="J280" s="93">
        <v>45236</v>
      </c>
      <c r="K280" s="87" t="s">
        <v>1465</v>
      </c>
      <c r="L280" s="87">
        <v>13.32</v>
      </c>
      <c r="M280" s="94"/>
      <c r="N280" s="93"/>
      <c r="O280" s="85"/>
      <c r="Q280" s="94"/>
      <c r="R280" s="93"/>
      <c r="S280" s="85"/>
      <c r="U280" s="94"/>
      <c r="V280" s="93"/>
      <c r="W280" s="85"/>
      <c r="Y280" s="94"/>
      <c r="Z280" s="93"/>
      <c r="AA280" s="85"/>
      <c r="AC280" s="94"/>
      <c r="AD280" s="93"/>
      <c r="AE280" s="85"/>
    </row>
    <row r="281" spans="7:31" x14ac:dyDescent="0.35">
      <c r="G281" s="85"/>
      <c r="H281" s="87"/>
      <c r="I281" s="94">
        <v>9</v>
      </c>
      <c r="J281" s="93">
        <v>45239</v>
      </c>
      <c r="K281" s="87" t="s">
        <v>2199</v>
      </c>
      <c r="L281" s="87">
        <v>900</v>
      </c>
      <c r="M281" s="94"/>
      <c r="N281" s="93"/>
      <c r="O281" s="85"/>
      <c r="Q281" s="94"/>
      <c r="R281" s="93"/>
      <c r="S281" s="85"/>
      <c r="U281" s="94"/>
      <c r="V281" s="93"/>
      <c r="W281" s="85"/>
      <c r="Y281" s="94"/>
      <c r="Z281" s="93"/>
      <c r="AA281" s="85"/>
      <c r="AC281" s="94"/>
      <c r="AD281" s="93"/>
      <c r="AE281" s="85"/>
    </row>
    <row r="282" spans="7:31" x14ac:dyDescent="0.35">
      <c r="G282" s="85"/>
      <c r="H282" s="87"/>
      <c r="I282" s="94">
        <v>14</v>
      </c>
      <c r="J282" s="93">
        <v>45230</v>
      </c>
      <c r="K282" s="87" t="s">
        <v>589</v>
      </c>
      <c r="L282" s="87">
        <v>33.799999999999997</v>
      </c>
      <c r="M282" s="94"/>
      <c r="N282" s="93"/>
      <c r="O282" s="85"/>
      <c r="Q282" s="94"/>
      <c r="R282" s="93"/>
      <c r="S282" s="85"/>
      <c r="U282" s="94"/>
      <c r="V282" s="93"/>
      <c r="W282" s="85"/>
      <c r="Y282" s="94"/>
      <c r="Z282" s="93"/>
      <c r="AA282" s="85"/>
      <c r="AC282" s="94"/>
      <c r="AD282" s="93"/>
      <c r="AE282" s="85"/>
    </row>
    <row r="283" spans="7:31" x14ac:dyDescent="0.35">
      <c r="G283" s="85"/>
      <c r="H283" s="87"/>
      <c r="I283" s="94">
        <v>6</v>
      </c>
      <c r="J283" s="93">
        <v>45231</v>
      </c>
      <c r="K283" s="85" t="s">
        <v>2200</v>
      </c>
      <c r="L283" s="87">
        <v>733.39</v>
      </c>
      <c r="M283" s="94"/>
      <c r="N283" s="93"/>
      <c r="O283" s="85"/>
      <c r="Q283" s="94"/>
      <c r="R283" s="93"/>
      <c r="S283" s="85"/>
      <c r="U283" s="94"/>
      <c r="V283" s="93"/>
      <c r="W283" s="85"/>
      <c r="Y283" s="94"/>
      <c r="Z283" s="93"/>
      <c r="AA283" s="85"/>
      <c r="AC283" s="94"/>
      <c r="AD283" s="93"/>
      <c r="AE283" s="85"/>
    </row>
    <row r="284" spans="7:31" x14ac:dyDescent="0.35">
      <c r="G284" s="85"/>
      <c r="H284" s="87"/>
      <c r="I284" s="94">
        <v>14</v>
      </c>
      <c r="J284" s="93">
        <v>45245</v>
      </c>
      <c r="K284" s="87" t="s">
        <v>589</v>
      </c>
      <c r="L284" s="87">
        <v>40</v>
      </c>
      <c r="M284" s="94"/>
      <c r="N284" s="93"/>
      <c r="O284" s="85"/>
      <c r="Q284" s="94"/>
      <c r="R284" s="93"/>
      <c r="S284" s="85"/>
      <c r="U284" s="94"/>
      <c r="V284" s="93"/>
      <c r="W284" s="85"/>
      <c r="Y284" s="94"/>
      <c r="Z284" s="93"/>
      <c r="AA284" s="85"/>
      <c r="AC284" s="94"/>
      <c r="AD284" s="93"/>
      <c r="AE284" s="85"/>
    </row>
    <row r="285" spans="7:31" x14ac:dyDescent="0.35">
      <c r="G285" s="85"/>
      <c r="H285" s="87"/>
      <c r="I285" s="94">
        <v>14</v>
      </c>
      <c r="J285" s="93">
        <v>45246</v>
      </c>
      <c r="K285" s="87" t="s">
        <v>2184</v>
      </c>
      <c r="L285" s="87">
        <v>271.82</v>
      </c>
      <c r="M285" s="94"/>
      <c r="N285" s="93"/>
      <c r="O285" s="85"/>
      <c r="Q285" s="94"/>
      <c r="R285" s="93"/>
      <c r="S285" s="85"/>
      <c r="U285" s="94"/>
      <c r="V285" s="93"/>
      <c r="W285" s="85"/>
      <c r="Y285" s="94"/>
      <c r="Z285" s="93"/>
      <c r="AA285" s="85"/>
      <c r="AC285" s="94"/>
      <c r="AD285" s="93"/>
      <c r="AE285" s="85"/>
    </row>
    <row r="286" spans="7:31" x14ac:dyDescent="0.35">
      <c r="G286" s="85"/>
      <c r="H286" s="87"/>
      <c r="I286" s="94">
        <v>14</v>
      </c>
      <c r="J286" s="93">
        <v>45239</v>
      </c>
      <c r="K286" s="87" t="s">
        <v>2201</v>
      </c>
      <c r="L286" s="87">
        <v>116.55</v>
      </c>
      <c r="M286" s="94"/>
      <c r="N286" s="93"/>
      <c r="O286" s="85"/>
      <c r="Q286" s="94"/>
      <c r="R286" s="93"/>
      <c r="S286" s="85"/>
      <c r="U286" s="94"/>
      <c r="V286" s="93"/>
      <c r="W286" s="85"/>
      <c r="Y286" s="94"/>
      <c r="Z286" s="93"/>
      <c r="AA286" s="85"/>
      <c r="AC286" s="94"/>
      <c r="AD286" s="93"/>
      <c r="AE286" s="85"/>
    </row>
    <row r="287" spans="7:31" x14ac:dyDescent="0.35">
      <c r="G287" s="85"/>
      <c r="H287" s="87"/>
      <c r="I287" s="94">
        <v>14</v>
      </c>
      <c r="J287" s="93">
        <v>45152</v>
      </c>
      <c r="K287" s="87" t="s">
        <v>2202</v>
      </c>
      <c r="L287" s="87">
        <v>35.39</v>
      </c>
      <c r="M287" s="94"/>
      <c r="N287" s="93"/>
      <c r="O287" s="85"/>
      <c r="Q287" s="94"/>
      <c r="R287" s="93"/>
      <c r="S287" s="85"/>
      <c r="U287" s="94"/>
      <c r="V287" s="93"/>
      <c r="W287" s="85"/>
      <c r="Y287" s="94"/>
      <c r="Z287" s="93"/>
      <c r="AA287" s="85"/>
      <c r="AC287" s="94"/>
      <c r="AD287" s="93"/>
      <c r="AE287" s="85"/>
    </row>
    <row r="288" spans="7:31" x14ac:dyDescent="0.35">
      <c r="G288" s="85"/>
      <c r="H288" s="87"/>
      <c r="I288" s="94">
        <v>14</v>
      </c>
      <c r="J288" s="93">
        <v>45160</v>
      </c>
      <c r="K288" s="87" t="s">
        <v>1525</v>
      </c>
      <c r="L288" s="87">
        <v>900</v>
      </c>
      <c r="M288" s="94"/>
      <c r="N288" s="93"/>
      <c r="O288" s="85"/>
      <c r="Q288" s="94"/>
      <c r="R288" s="93"/>
      <c r="S288" s="85"/>
      <c r="U288" s="94"/>
      <c r="V288" s="93"/>
      <c r="W288" s="85"/>
      <c r="Y288" s="94"/>
      <c r="Z288" s="93"/>
      <c r="AA288" s="85"/>
      <c r="AC288" s="94"/>
      <c r="AD288" s="93"/>
      <c r="AE288" s="85"/>
    </row>
    <row r="289" spans="7:31" x14ac:dyDescent="0.35">
      <c r="G289" s="85"/>
      <c r="H289" s="87"/>
      <c r="I289" s="94">
        <v>14</v>
      </c>
      <c r="J289" s="93">
        <v>45146</v>
      </c>
      <c r="K289" s="87" t="s">
        <v>2203</v>
      </c>
      <c r="L289" s="87">
        <v>273</v>
      </c>
      <c r="M289" s="94"/>
      <c r="N289" s="93"/>
      <c r="O289" s="85"/>
      <c r="Q289" s="94"/>
      <c r="R289" s="93"/>
      <c r="S289" s="85"/>
      <c r="U289" s="94"/>
      <c r="V289" s="93"/>
      <c r="W289" s="85"/>
      <c r="Y289" s="94"/>
      <c r="Z289" s="93"/>
      <c r="AA289" s="85"/>
      <c r="AC289" s="94"/>
      <c r="AD289" s="93"/>
      <c r="AE289" s="85"/>
    </row>
    <row r="290" spans="7:31" x14ac:dyDescent="0.35">
      <c r="G290" s="85"/>
      <c r="H290" s="87"/>
      <c r="I290" s="94">
        <v>14</v>
      </c>
      <c r="J290" s="93">
        <v>45230</v>
      </c>
      <c r="K290" s="87" t="s">
        <v>2204</v>
      </c>
      <c r="L290" s="87">
        <v>428.75</v>
      </c>
      <c r="M290" s="94"/>
      <c r="N290" s="93"/>
      <c r="O290" s="85"/>
      <c r="Q290" s="94"/>
      <c r="R290" s="93"/>
      <c r="S290" s="85"/>
      <c r="U290" s="94"/>
      <c r="V290" s="93"/>
      <c r="W290" s="85"/>
      <c r="Y290" s="94"/>
      <c r="Z290" s="93"/>
      <c r="AA290" s="85"/>
      <c r="AC290" s="94"/>
      <c r="AD290" s="93"/>
      <c r="AE290" s="85"/>
    </row>
    <row r="291" spans="7:31" x14ac:dyDescent="0.35">
      <c r="G291" s="85"/>
      <c r="H291" s="87"/>
      <c r="I291" s="94">
        <v>14</v>
      </c>
      <c r="J291" s="93">
        <v>45229</v>
      </c>
      <c r="K291" s="87" t="s">
        <v>2205</v>
      </c>
      <c r="L291" s="87">
        <v>619</v>
      </c>
      <c r="M291" s="94"/>
      <c r="N291" s="93"/>
      <c r="O291" s="85"/>
      <c r="Q291" s="94"/>
      <c r="R291" s="93"/>
      <c r="S291" s="85"/>
      <c r="U291" s="94"/>
      <c r="V291" s="93"/>
      <c r="W291" s="85"/>
      <c r="Y291" s="94"/>
      <c r="Z291" s="93"/>
      <c r="AA291" s="85"/>
      <c r="AC291" s="94"/>
      <c r="AD291" s="93"/>
      <c r="AE291" s="85"/>
    </row>
    <row r="292" spans="7:31" x14ac:dyDescent="0.35">
      <c r="G292" s="85"/>
      <c r="H292" s="87"/>
      <c r="I292" s="94">
        <v>7</v>
      </c>
      <c r="J292" s="93">
        <v>45250</v>
      </c>
      <c r="K292" s="87" t="s">
        <v>1492</v>
      </c>
      <c r="L292" s="87">
        <v>3.33</v>
      </c>
      <c r="M292" s="94"/>
      <c r="N292" s="93"/>
      <c r="O292" s="85"/>
      <c r="Q292" s="94"/>
      <c r="R292" s="93"/>
      <c r="S292" s="85"/>
      <c r="U292" s="94"/>
      <c r="V292" s="93"/>
      <c r="W292" s="85"/>
      <c r="Y292" s="94"/>
      <c r="Z292" s="93"/>
      <c r="AA292" s="85"/>
      <c r="AC292" s="94"/>
      <c r="AD292" s="93"/>
      <c r="AE292" s="85"/>
    </row>
    <row r="293" spans="7:31" x14ac:dyDescent="0.35">
      <c r="G293" s="85"/>
      <c r="H293" s="87"/>
      <c r="I293" s="94">
        <v>16</v>
      </c>
      <c r="J293" s="93">
        <v>45250</v>
      </c>
      <c r="K293" s="87" t="s">
        <v>1449</v>
      </c>
      <c r="L293" s="87">
        <v>12.03</v>
      </c>
      <c r="M293" s="94"/>
      <c r="N293" s="93"/>
      <c r="O293" s="85"/>
      <c r="Q293" s="94"/>
      <c r="R293" s="93"/>
      <c r="S293" s="85"/>
      <c r="U293" s="94"/>
      <c r="V293" s="93"/>
      <c r="W293" s="85"/>
      <c r="Y293" s="94"/>
      <c r="Z293" s="93"/>
      <c r="AA293" s="85"/>
      <c r="AC293" s="94"/>
      <c r="AD293" s="93"/>
      <c r="AE293" s="85"/>
    </row>
    <row r="294" spans="7:31" x14ac:dyDescent="0.35">
      <c r="G294" s="85"/>
      <c r="H294" s="87"/>
      <c r="I294" s="94">
        <v>18</v>
      </c>
      <c r="J294" s="93">
        <v>45250</v>
      </c>
      <c r="K294" s="87" t="s">
        <v>2206</v>
      </c>
      <c r="L294" s="87">
        <v>2941.3</v>
      </c>
      <c r="M294" s="94"/>
      <c r="N294" s="93"/>
      <c r="O294" s="85"/>
      <c r="Q294" s="94"/>
      <c r="R294" s="93"/>
      <c r="S294" s="85"/>
      <c r="U294" s="94"/>
      <c r="V294" s="93"/>
      <c r="W294" s="85"/>
      <c r="Y294" s="94"/>
      <c r="Z294" s="93"/>
      <c r="AA294" s="85"/>
      <c r="AC294" s="94"/>
      <c r="AD294" s="93"/>
      <c r="AE294" s="85"/>
    </row>
    <row r="295" spans="7:31" x14ac:dyDescent="0.35">
      <c r="G295" s="85"/>
      <c r="H295" s="87"/>
      <c r="I295" s="94">
        <v>16</v>
      </c>
      <c r="J295" s="93">
        <v>45250</v>
      </c>
      <c r="K295" s="87" t="s">
        <v>1449</v>
      </c>
      <c r="L295" s="87">
        <v>24.5</v>
      </c>
      <c r="M295" s="94"/>
      <c r="N295" s="93"/>
      <c r="O295" s="85"/>
      <c r="Q295" s="94"/>
      <c r="R295" s="93"/>
      <c r="S295" s="85"/>
      <c r="U295" s="94"/>
      <c r="V295" s="93"/>
      <c r="W295" s="85"/>
      <c r="Y295" s="94"/>
      <c r="Z295" s="93"/>
      <c r="AA295" s="85"/>
      <c r="AC295" s="94"/>
      <c r="AD295" s="93"/>
      <c r="AE295" s="85"/>
    </row>
    <row r="296" spans="7:31" x14ac:dyDescent="0.35">
      <c r="G296" s="85"/>
      <c r="H296" s="87"/>
      <c r="I296" s="94">
        <v>18</v>
      </c>
      <c r="J296" s="93">
        <v>45210</v>
      </c>
      <c r="K296" s="87" t="s">
        <v>2207</v>
      </c>
      <c r="L296" s="87">
        <v>74.989999999999995</v>
      </c>
      <c r="M296" s="94"/>
      <c r="N296" s="93"/>
      <c r="O296" s="85"/>
      <c r="Q296" s="94"/>
      <c r="R296" s="93"/>
      <c r="S296" s="85"/>
      <c r="U296" s="94"/>
      <c r="V296" s="93"/>
      <c r="W296" s="85"/>
      <c r="Y296" s="94"/>
      <c r="Z296" s="93"/>
      <c r="AA296" s="85"/>
      <c r="AC296" s="94"/>
      <c r="AD296" s="93"/>
      <c r="AE296" s="85"/>
    </row>
    <row r="297" spans="7:31" x14ac:dyDescent="0.35">
      <c r="G297" s="85"/>
      <c r="H297" s="87"/>
      <c r="I297" s="94">
        <v>18</v>
      </c>
      <c r="J297" s="93">
        <v>45211</v>
      </c>
      <c r="K297" s="87" t="s">
        <v>2208</v>
      </c>
      <c r="L297" s="87">
        <v>30.13</v>
      </c>
      <c r="M297" s="94"/>
      <c r="N297" s="93"/>
      <c r="O297" s="85"/>
      <c r="Q297" s="94"/>
      <c r="R297" s="93"/>
      <c r="S297" s="85"/>
      <c r="U297" s="94"/>
      <c r="V297" s="93"/>
      <c r="W297" s="85"/>
      <c r="Y297" s="94"/>
      <c r="Z297" s="93"/>
      <c r="AA297" s="85"/>
      <c r="AC297" s="94"/>
      <c r="AD297" s="93"/>
      <c r="AE297" s="85"/>
    </row>
    <row r="298" spans="7:31" x14ac:dyDescent="0.35">
      <c r="G298" s="85"/>
      <c r="H298" s="87"/>
      <c r="I298" s="94">
        <v>18</v>
      </c>
      <c r="J298" s="93">
        <v>45216</v>
      </c>
      <c r="K298" s="87" t="s">
        <v>2209</v>
      </c>
      <c r="L298" s="87">
        <v>36.659999999999997</v>
      </c>
      <c r="M298" s="94"/>
      <c r="N298" s="93"/>
      <c r="O298" s="85"/>
      <c r="Q298" s="94"/>
      <c r="R298" s="93"/>
      <c r="S298" s="85"/>
      <c r="U298" s="94"/>
      <c r="V298" s="93"/>
      <c r="W298" s="85"/>
      <c r="Y298" s="94"/>
      <c r="Z298" s="93"/>
      <c r="AA298" s="85"/>
      <c r="AC298" s="94"/>
      <c r="AD298" s="93"/>
      <c r="AE298" s="85"/>
    </row>
    <row r="299" spans="7:31" x14ac:dyDescent="0.35">
      <c r="G299" s="85"/>
      <c r="H299" s="87"/>
      <c r="I299" s="94">
        <v>10</v>
      </c>
      <c r="J299" s="93">
        <v>45229</v>
      </c>
      <c r="K299" s="87" t="s">
        <v>1607</v>
      </c>
      <c r="L299" s="87">
        <v>118.96</v>
      </c>
      <c r="M299" s="94"/>
      <c r="N299" s="93"/>
      <c r="O299" s="85"/>
      <c r="Q299" s="94"/>
      <c r="R299" s="93"/>
      <c r="S299" s="85"/>
      <c r="U299" s="94"/>
      <c r="V299" s="93"/>
      <c r="W299" s="85"/>
      <c r="Y299" s="94"/>
      <c r="Z299" s="93"/>
      <c r="AA299" s="85"/>
      <c r="AC299" s="94"/>
      <c r="AD299" s="93"/>
      <c r="AE299" s="85"/>
    </row>
    <row r="300" spans="7:31" x14ac:dyDescent="0.35">
      <c r="G300" s="85"/>
      <c r="H300" s="87"/>
      <c r="I300" s="94">
        <v>20</v>
      </c>
      <c r="J300" s="93">
        <v>45248</v>
      </c>
      <c r="K300" s="87" t="s">
        <v>2210</v>
      </c>
      <c r="L300" s="87">
        <v>596.92999999999995</v>
      </c>
      <c r="M300" s="94"/>
      <c r="N300" s="93"/>
      <c r="O300" s="85"/>
      <c r="Q300" s="94"/>
      <c r="R300" s="93"/>
      <c r="S300" s="85"/>
      <c r="U300" s="94"/>
      <c r="V300" s="93"/>
      <c r="W300" s="85"/>
      <c r="Y300" s="94"/>
      <c r="Z300" s="93"/>
      <c r="AA300" s="85"/>
      <c r="AC300" s="94"/>
      <c r="AD300" s="93"/>
      <c r="AE300" s="85"/>
    </row>
    <row r="301" spans="7:31" x14ac:dyDescent="0.35">
      <c r="G301" s="85"/>
      <c r="H301" s="87"/>
      <c r="I301" s="94">
        <v>10</v>
      </c>
      <c r="J301" s="93">
        <v>45260</v>
      </c>
      <c r="K301" s="87" t="s">
        <v>2184</v>
      </c>
      <c r="L301" s="87">
        <v>105.31</v>
      </c>
      <c r="M301" s="94"/>
      <c r="N301" s="93"/>
      <c r="O301" s="85"/>
      <c r="Q301" s="94"/>
      <c r="R301" s="93"/>
      <c r="S301" s="85"/>
      <c r="U301" s="94"/>
      <c r="V301" s="93"/>
      <c r="W301" s="85"/>
      <c r="Y301" s="94"/>
      <c r="Z301" s="93"/>
      <c r="AA301" s="85"/>
      <c r="AC301" s="94"/>
      <c r="AD301" s="93"/>
      <c r="AE301" s="85"/>
    </row>
    <row r="302" spans="7:31" x14ac:dyDescent="0.35">
      <c r="G302" s="85"/>
      <c r="H302" s="87"/>
      <c r="I302" s="94">
        <v>18</v>
      </c>
      <c r="J302" s="93">
        <v>45254</v>
      </c>
      <c r="K302" s="87" t="s">
        <v>2211</v>
      </c>
      <c r="L302" s="87">
        <v>355.5</v>
      </c>
      <c r="M302" s="94"/>
      <c r="N302" s="93"/>
      <c r="O302" s="85"/>
      <c r="Q302" s="94"/>
      <c r="R302" s="93"/>
      <c r="S302" s="85"/>
      <c r="U302" s="94"/>
      <c r="V302" s="93"/>
      <c r="W302" s="85"/>
      <c r="Y302" s="94"/>
      <c r="Z302" s="93"/>
      <c r="AA302" s="85"/>
      <c r="AC302" s="94"/>
      <c r="AD302" s="93"/>
      <c r="AE302" s="85"/>
    </row>
    <row r="303" spans="7:31" x14ac:dyDescent="0.35">
      <c r="G303" s="85"/>
      <c r="H303" s="87"/>
      <c r="I303" s="94">
        <v>7</v>
      </c>
      <c r="J303" s="93">
        <v>45261</v>
      </c>
      <c r="K303" s="87" t="s">
        <v>1510</v>
      </c>
      <c r="L303" s="87">
        <v>29.97</v>
      </c>
      <c r="M303" s="94"/>
      <c r="N303" s="93"/>
      <c r="O303" s="85"/>
      <c r="Q303" s="94"/>
      <c r="R303" s="93"/>
      <c r="S303" s="85"/>
      <c r="U303" s="94"/>
      <c r="V303" s="93"/>
      <c r="W303" s="85"/>
      <c r="Y303" s="94"/>
      <c r="Z303" s="93"/>
      <c r="AA303" s="85"/>
      <c r="AC303" s="94"/>
      <c r="AD303" s="93"/>
      <c r="AE303" s="85"/>
    </row>
    <row r="304" spans="7:31" x14ac:dyDescent="0.35">
      <c r="G304" s="85"/>
      <c r="H304" s="87"/>
      <c r="I304" s="94">
        <v>8</v>
      </c>
      <c r="J304" s="93">
        <v>45261</v>
      </c>
      <c r="K304" s="87" t="s">
        <v>2242</v>
      </c>
      <c r="L304" s="87">
        <f>84+51.97</f>
        <v>135.97</v>
      </c>
      <c r="M304" s="94"/>
      <c r="N304" s="93"/>
      <c r="O304" s="85"/>
      <c r="Q304" s="94"/>
      <c r="R304" s="93"/>
      <c r="S304" s="85"/>
      <c r="U304" s="94"/>
      <c r="V304" s="93"/>
      <c r="W304" s="85"/>
      <c r="Y304" s="94"/>
      <c r="Z304" s="93"/>
      <c r="AA304" s="85"/>
      <c r="AC304" s="94"/>
      <c r="AD304" s="93"/>
      <c r="AE304" s="85"/>
    </row>
    <row r="305" spans="7:31" x14ac:dyDescent="0.35">
      <c r="G305" s="85"/>
      <c r="H305" s="87"/>
      <c r="I305" s="94">
        <v>16</v>
      </c>
      <c r="J305" s="93">
        <v>45261</v>
      </c>
      <c r="K305" s="87" t="s">
        <v>1569</v>
      </c>
      <c r="L305" s="87">
        <v>1.95</v>
      </c>
      <c r="M305" s="94"/>
      <c r="N305" s="93"/>
      <c r="O305" s="85"/>
      <c r="Q305" s="94"/>
      <c r="R305" s="93"/>
      <c r="S305" s="85"/>
      <c r="U305" s="94"/>
      <c r="V305" s="93"/>
      <c r="W305" s="85"/>
      <c r="Y305" s="94"/>
      <c r="Z305" s="93"/>
      <c r="AA305" s="85"/>
      <c r="AC305" s="94"/>
      <c r="AD305" s="93"/>
      <c r="AE305" s="85"/>
    </row>
    <row r="306" spans="7:31" x14ac:dyDescent="0.35">
      <c r="G306" s="85"/>
      <c r="H306" s="87"/>
      <c r="I306" s="94">
        <v>18</v>
      </c>
      <c r="J306" s="93">
        <v>45264</v>
      </c>
      <c r="K306" s="87" t="s">
        <v>2243</v>
      </c>
      <c r="L306" s="87">
        <v>358.33</v>
      </c>
      <c r="M306" s="94"/>
      <c r="N306" s="93"/>
      <c r="O306" s="85"/>
      <c r="Q306" s="94"/>
      <c r="R306" s="93"/>
      <c r="S306" s="85"/>
      <c r="U306" s="94"/>
      <c r="V306" s="93"/>
      <c r="W306" s="85"/>
      <c r="Y306" s="94"/>
      <c r="Z306" s="93"/>
      <c r="AA306" s="85"/>
      <c r="AC306" s="94"/>
      <c r="AD306" s="93"/>
      <c r="AE306" s="85"/>
    </row>
    <row r="307" spans="7:31" x14ac:dyDescent="0.35">
      <c r="G307" s="85"/>
      <c r="H307" s="87"/>
      <c r="I307" s="94">
        <v>6</v>
      </c>
      <c r="J307" s="93">
        <v>45261</v>
      </c>
      <c r="K307" s="87" t="s">
        <v>2244</v>
      </c>
      <c r="L307" s="87">
        <v>733.39</v>
      </c>
      <c r="M307" s="94"/>
      <c r="N307" s="93"/>
      <c r="O307" s="85"/>
      <c r="Q307" s="94"/>
      <c r="R307" s="93"/>
      <c r="S307" s="85"/>
      <c r="U307" s="94"/>
      <c r="V307" s="93"/>
      <c r="W307" s="85"/>
      <c r="Y307" s="94"/>
      <c r="Z307" s="93"/>
      <c r="AA307" s="85"/>
      <c r="AC307" s="94"/>
      <c r="AD307" s="93"/>
      <c r="AE307" s="85"/>
    </row>
    <row r="308" spans="7:31" x14ac:dyDescent="0.35">
      <c r="G308" s="85"/>
      <c r="H308" s="87"/>
      <c r="I308" s="94">
        <v>8</v>
      </c>
      <c r="J308" s="93">
        <v>45264</v>
      </c>
      <c r="K308" s="87" t="s">
        <v>2250</v>
      </c>
      <c r="L308" s="87">
        <v>332.5</v>
      </c>
      <c r="M308" s="94"/>
      <c r="N308" s="93"/>
      <c r="O308" s="85"/>
      <c r="Q308" s="94"/>
      <c r="R308" s="93"/>
      <c r="S308" s="85"/>
      <c r="U308" s="94"/>
      <c r="V308" s="93"/>
      <c r="W308" s="85"/>
      <c r="Y308" s="94"/>
      <c r="Z308" s="93"/>
      <c r="AA308" s="85"/>
      <c r="AC308" s="94"/>
      <c r="AD308" s="93"/>
      <c r="AE308" s="85"/>
    </row>
    <row r="309" spans="7:31" x14ac:dyDescent="0.35">
      <c r="G309" s="85"/>
      <c r="H309" s="87"/>
      <c r="I309" s="94">
        <v>14</v>
      </c>
      <c r="J309" s="93">
        <v>45267</v>
      </c>
      <c r="K309" s="87" t="s">
        <v>1607</v>
      </c>
      <c r="L309" s="87">
        <v>10</v>
      </c>
      <c r="M309" s="94"/>
      <c r="N309" s="93"/>
      <c r="O309" s="85"/>
      <c r="Q309" s="94"/>
      <c r="R309" s="93"/>
      <c r="S309" s="85"/>
      <c r="U309" s="94"/>
      <c r="V309" s="93"/>
      <c r="W309" s="85"/>
      <c r="Y309" s="94"/>
      <c r="Z309" s="93"/>
      <c r="AA309" s="85"/>
      <c r="AC309" s="94"/>
      <c r="AD309" s="93"/>
      <c r="AE309" s="85"/>
    </row>
    <row r="310" spans="7:31" x14ac:dyDescent="0.35">
      <c r="G310" s="85"/>
      <c r="H310" s="87"/>
      <c r="I310" s="94">
        <v>12</v>
      </c>
      <c r="J310" s="93">
        <v>45258</v>
      </c>
      <c r="K310" s="87" t="s">
        <v>2252</v>
      </c>
      <c r="L310" s="87">
        <v>864</v>
      </c>
      <c r="M310" s="94"/>
      <c r="N310" s="93"/>
      <c r="O310" s="85"/>
      <c r="Q310" s="94"/>
      <c r="R310" s="93"/>
      <c r="S310" s="85"/>
      <c r="U310" s="94"/>
      <c r="V310" s="93"/>
      <c r="W310" s="85"/>
      <c r="Y310" s="94"/>
      <c r="Z310" s="93"/>
      <c r="AA310" s="85"/>
      <c r="AC310" s="94"/>
      <c r="AD310" s="93"/>
      <c r="AE310" s="85"/>
    </row>
    <row r="311" spans="7:31" x14ac:dyDescent="0.35">
      <c r="G311" s="85"/>
      <c r="H311" s="87"/>
      <c r="I311" s="94">
        <v>14</v>
      </c>
      <c r="J311" s="93">
        <v>45266</v>
      </c>
      <c r="K311" s="87" t="s">
        <v>2254</v>
      </c>
      <c r="L311" s="87">
        <v>538.6</v>
      </c>
      <c r="M311" s="94"/>
      <c r="N311" s="93"/>
      <c r="O311" s="85"/>
      <c r="Q311" s="94"/>
      <c r="R311" s="93"/>
      <c r="S311" s="85"/>
      <c r="U311" s="94"/>
      <c r="V311" s="93"/>
      <c r="W311" s="85"/>
      <c r="Y311" s="94"/>
      <c r="Z311" s="93"/>
      <c r="AA311" s="85"/>
      <c r="AC311" s="94"/>
      <c r="AD311" s="93"/>
      <c r="AE311" s="85"/>
    </row>
    <row r="312" spans="7:31" x14ac:dyDescent="0.35">
      <c r="G312" s="85"/>
      <c r="H312" s="87"/>
      <c r="I312" s="94">
        <v>7</v>
      </c>
      <c r="J312" s="93">
        <v>45272</v>
      </c>
      <c r="K312" s="87" t="s">
        <v>2256</v>
      </c>
      <c r="L312" s="87">
        <v>32.47</v>
      </c>
      <c r="M312" s="94"/>
      <c r="N312" s="93"/>
      <c r="O312" s="85"/>
      <c r="Q312" s="94"/>
      <c r="R312" s="93"/>
      <c r="S312" s="85"/>
      <c r="U312" s="94"/>
      <c r="V312" s="93"/>
      <c r="W312" s="85"/>
      <c r="Y312" s="94"/>
      <c r="Z312" s="93"/>
      <c r="AA312" s="85"/>
      <c r="AC312" s="94"/>
      <c r="AD312" s="93"/>
      <c r="AE312" s="85"/>
    </row>
    <row r="313" spans="7:31" x14ac:dyDescent="0.35">
      <c r="G313" s="85"/>
      <c r="H313" s="87"/>
      <c r="I313" s="94">
        <v>8</v>
      </c>
      <c r="J313" s="93">
        <v>45272</v>
      </c>
      <c r="K313" s="87" t="s">
        <v>2257</v>
      </c>
      <c r="L313" s="87">
        <v>9.35</v>
      </c>
      <c r="M313" s="94"/>
      <c r="N313" s="93"/>
      <c r="O313" s="85"/>
      <c r="Q313" s="94"/>
      <c r="R313" s="93"/>
      <c r="S313" s="85"/>
      <c r="U313" s="94"/>
      <c r="V313" s="93"/>
      <c r="W313" s="85"/>
      <c r="Y313" s="94"/>
      <c r="Z313" s="93"/>
      <c r="AA313" s="85"/>
      <c r="AC313" s="94"/>
      <c r="AD313" s="93"/>
      <c r="AE313" s="85"/>
    </row>
    <row r="314" spans="7:31" x14ac:dyDescent="0.35">
      <c r="G314" s="85"/>
      <c r="H314" s="87"/>
      <c r="I314" s="94">
        <v>14</v>
      </c>
      <c r="J314" s="93">
        <v>45232</v>
      </c>
      <c r="K314" s="87" t="s">
        <v>1607</v>
      </c>
      <c r="L314" s="87">
        <v>64.95</v>
      </c>
      <c r="M314" s="94"/>
      <c r="N314" s="93"/>
      <c r="O314" s="85"/>
      <c r="Q314" s="94"/>
      <c r="R314" s="93"/>
      <c r="S314" s="85"/>
      <c r="U314" s="94"/>
      <c r="V314" s="93"/>
      <c r="W314" s="85"/>
      <c r="Y314" s="94"/>
      <c r="Z314" s="93"/>
      <c r="AA314" s="85"/>
      <c r="AC314" s="94"/>
      <c r="AD314" s="93"/>
      <c r="AE314" s="85"/>
    </row>
    <row r="315" spans="7:31" x14ac:dyDescent="0.35">
      <c r="G315" s="85"/>
      <c r="H315" s="87"/>
      <c r="I315" s="94">
        <v>18</v>
      </c>
      <c r="J315" s="93">
        <v>45238</v>
      </c>
      <c r="K315" s="87" t="s">
        <v>2269</v>
      </c>
      <c r="L315" s="87">
        <v>3.99</v>
      </c>
      <c r="M315" s="94"/>
      <c r="N315" s="93"/>
      <c r="O315" s="85"/>
      <c r="Q315" s="94"/>
      <c r="R315" s="93"/>
      <c r="S315" s="85"/>
      <c r="U315" s="94"/>
      <c r="V315" s="93"/>
      <c r="W315" s="85"/>
      <c r="Y315" s="94"/>
      <c r="Z315" s="93"/>
      <c r="AA315" s="85"/>
      <c r="AC315" s="94"/>
      <c r="AD315" s="93"/>
      <c r="AE315" s="85"/>
    </row>
    <row r="316" spans="7:31" x14ac:dyDescent="0.35">
      <c r="G316" s="85"/>
      <c r="H316" s="87"/>
      <c r="I316" s="94">
        <v>18</v>
      </c>
      <c r="J316" s="93">
        <v>45251</v>
      </c>
      <c r="K316" s="87" t="s">
        <v>2270</v>
      </c>
      <c r="L316" s="87">
        <v>50.08</v>
      </c>
      <c r="M316" s="94"/>
      <c r="N316" s="93"/>
      <c r="O316" s="85"/>
      <c r="Q316" s="94"/>
      <c r="R316" s="93"/>
      <c r="S316" s="85"/>
      <c r="U316" s="94"/>
      <c r="V316" s="93"/>
      <c r="W316" s="85"/>
      <c r="Y316" s="94"/>
      <c r="Z316" s="93"/>
      <c r="AA316" s="85"/>
      <c r="AC316" s="94"/>
      <c r="AD316" s="93"/>
      <c r="AE316" s="85"/>
    </row>
    <row r="317" spans="7:31" x14ac:dyDescent="0.35">
      <c r="G317" s="85"/>
      <c r="H317" s="87"/>
      <c r="I317" s="94">
        <v>14</v>
      </c>
      <c r="J317" s="93">
        <v>45281</v>
      </c>
      <c r="K317" s="87" t="s">
        <v>1607</v>
      </c>
      <c r="L317" s="87">
        <v>51.81</v>
      </c>
      <c r="M317" s="94"/>
      <c r="N317" s="93"/>
      <c r="O317" s="85"/>
      <c r="Q317" s="94"/>
      <c r="R317" s="93"/>
      <c r="S317" s="85"/>
      <c r="U317" s="94"/>
      <c r="V317" s="93"/>
      <c r="W317" s="85"/>
      <c r="Y317" s="94"/>
      <c r="Z317" s="93"/>
      <c r="AA317" s="85"/>
      <c r="AC317" s="94"/>
      <c r="AD317" s="93"/>
      <c r="AE317" s="85"/>
    </row>
    <row r="318" spans="7:31" x14ac:dyDescent="0.35">
      <c r="G318" s="85"/>
      <c r="H318" s="87"/>
      <c r="I318" s="94">
        <v>9</v>
      </c>
      <c r="J318" s="93">
        <v>45267</v>
      </c>
      <c r="K318" s="87" t="s">
        <v>2271</v>
      </c>
      <c r="L318" s="87">
        <v>900</v>
      </c>
      <c r="M318" s="94"/>
      <c r="N318" s="93"/>
      <c r="O318" s="85"/>
      <c r="Q318" s="94"/>
      <c r="R318" s="93"/>
      <c r="S318" s="85"/>
      <c r="U318" s="94"/>
      <c r="V318" s="93"/>
      <c r="W318" s="85"/>
      <c r="Y318" s="94"/>
      <c r="Z318" s="93"/>
      <c r="AA318" s="85"/>
      <c r="AC318" s="94"/>
      <c r="AD318" s="93"/>
      <c r="AE318" s="85"/>
    </row>
    <row r="319" spans="7:31" x14ac:dyDescent="0.35">
      <c r="G319" s="85"/>
      <c r="H319" s="87"/>
      <c r="I319" s="94">
        <v>6</v>
      </c>
      <c r="J319" s="93">
        <v>45640</v>
      </c>
      <c r="K319" s="87" t="s">
        <v>2275</v>
      </c>
      <c r="L319" s="87">
        <v>801.15</v>
      </c>
      <c r="M319" s="94"/>
      <c r="N319" s="93"/>
      <c r="O319" s="85"/>
      <c r="Q319" s="94"/>
      <c r="R319" s="93"/>
      <c r="S319" s="85"/>
      <c r="U319" s="94"/>
      <c r="V319" s="93"/>
      <c r="W319" s="85"/>
      <c r="Y319" s="94"/>
      <c r="Z319" s="93"/>
      <c r="AA319" s="85"/>
      <c r="AC319" s="94"/>
      <c r="AD319" s="93"/>
      <c r="AE319" s="85"/>
    </row>
    <row r="320" spans="7:31" x14ac:dyDescent="0.35">
      <c r="G320" s="85"/>
      <c r="H320" s="87"/>
      <c r="I320" s="94">
        <v>18</v>
      </c>
      <c r="J320" s="93">
        <v>45275</v>
      </c>
      <c r="K320" s="87" t="s">
        <v>2286</v>
      </c>
      <c r="L320" s="87">
        <v>10</v>
      </c>
      <c r="M320" s="94"/>
      <c r="N320" s="93"/>
      <c r="O320" s="85"/>
      <c r="Q320" s="94"/>
      <c r="R320" s="93"/>
      <c r="S320" s="85"/>
      <c r="U320" s="94"/>
      <c r="V320" s="93"/>
      <c r="W320" s="85"/>
      <c r="Y320" s="94"/>
      <c r="Z320" s="93"/>
      <c r="AA320" s="85"/>
      <c r="AC320" s="94"/>
      <c r="AD320" s="93"/>
      <c r="AE320" s="85"/>
    </row>
    <row r="321" spans="7:31" x14ac:dyDescent="0.35">
      <c r="G321" s="85"/>
      <c r="H321" s="87"/>
      <c r="I321" s="94">
        <v>7</v>
      </c>
      <c r="J321" s="93">
        <v>45275</v>
      </c>
      <c r="K321" s="87" t="s">
        <v>1604</v>
      </c>
      <c r="L321" s="87">
        <f>3.33*9</f>
        <v>29.97</v>
      </c>
      <c r="M321" s="94"/>
      <c r="N321" s="93"/>
      <c r="O321" s="85"/>
      <c r="Q321" s="94"/>
      <c r="R321" s="93"/>
      <c r="S321" s="85"/>
      <c r="U321" s="94"/>
      <c r="V321" s="93"/>
      <c r="W321" s="85"/>
      <c r="Y321" s="94"/>
      <c r="Z321" s="93"/>
      <c r="AA321" s="85"/>
      <c r="AC321" s="94"/>
      <c r="AD321" s="93"/>
      <c r="AE321" s="85"/>
    </row>
    <row r="322" spans="7:31" x14ac:dyDescent="0.35">
      <c r="G322" s="85"/>
      <c r="H322" s="87"/>
      <c r="I322" s="94">
        <v>7</v>
      </c>
      <c r="J322" s="93">
        <v>45275</v>
      </c>
      <c r="K322" s="87" t="s">
        <v>2287</v>
      </c>
      <c r="L322" s="87">
        <v>3.33</v>
      </c>
      <c r="M322" s="94"/>
      <c r="N322" s="93"/>
      <c r="O322" s="85"/>
      <c r="Q322" s="94"/>
      <c r="R322" s="93"/>
      <c r="S322" s="85"/>
      <c r="U322" s="94"/>
      <c r="V322" s="93"/>
      <c r="W322" s="85"/>
      <c r="Y322" s="94"/>
      <c r="Z322" s="93"/>
      <c r="AA322" s="85"/>
      <c r="AC322" s="94"/>
      <c r="AD322" s="93"/>
      <c r="AE322" s="85"/>
    </row>
    <row r="323" spans="7:31" x14ac:dyDescent="0.35">
      <c r="G323" s="85"/>
      <c r="H323" s="87"/>
      <c r="I323" s="94">
        <v>14</v>
      </c>
      <c r="J323" s="93">
        <v>45275</v>
      </c>
      <c r="K323" s="87" t="s">
        <v>2289</v>
      </c>
      <c r="L323" s="87">
        <v>2140.12</v>
      </c>
      <c r="M323" s="94"/>
      <c r="N323" s="93"/>
      <c r="O323" s="85"/>
      <c r="Q323" s="94"/>
      <c r="R323" s="93"/>
      <c r="S323" s="85"/>
      <c r="U323" s="94"/>
      <c r="V323" s="93"/>
      <c r="W323" s="85"/>
      <c r="Y323" s="94"/>
      <c r="Z323" s="93"/>
      <c r="AA323" s="85"/>
      <c r="AC323" s="94"/>
      <c r="AD323" s="93"/>
      <c r="AE323" s="85"/>
    </row>
    <row r="324" spans="7:31" x14ac:dyDescent="0.35">
      <c r="G324" s="85"/>
      <c r="H324" s="87"/>
      <c r="I324" s="94">
        <v>7</v>
      </c>
      <c r="J324" s="93">
        <v>45278</v>
      </c>
      <c r="K324" s="87" t="s">
        <v>1465</v>
      </c>
      <c r="L324" s="87">
        <v>16.649999999999999</v>
      </c>
      <c r="M324" s="94"/>
      <c r="N324" s="93"/>
      <c r="O324" s="85"/>
      <c r="Q324" s="94"/>
      <c r="R324" s="93"/>
      <c r="S324" s="85"/>
      <c r="U324" s="94"/>
      <c r="V324" s="93"/>
      <c r="W324" s="85"/>
      <c r="Y324" s="94"/>
      <c r="Z324" s="93"/>
      <c r="AA324" s="85"/>
      <c r="AC324" s="94"/>
      <c r="AD324" s="93"/>
      <c r="AE324" s="85"/>
    </row>
    <row r="325" spans="7:31" x14ac:dyDescent="0.35">
      <c r="G325" s="85"/>
      <c r="H325" s="87"/>
      <c r="I325" s="94">
        <v>8</v>
      </c>
      <c r="J325" s="93">
        <v>45280</v>
      </c>
      <c r="K325" s="87" t="s">
        <v>1558</v>
      </c>
      <c r="L325" s="87">
        <v>26.78</v>
      </c>
      <c r="M325" s="94"/>
      <c r="N325" s="93"/>
      <c r="O325" s="85"/>
      <c r="Q325" s="94"/>
      <c r="R325" s="93"/>
      <c r="S325" s="85"/>
      <c r="U325" s="94"/>
      <c r="V325" s="93"/>
      <c r="W325" s="85"/>
      <c r="Y325" s="94"/>
      <c r="Z325" s="93"/>
      <c r="AA325" s="85"/>
      <c r="AC325" s="94"/>
      <c r="AD325" s="93"/>
      <c r="AE325" s="85"/>
    </row>
    <row r="326" spans="7:31" x14ac:dyDescent="0.35">
      <c r="G326" s="85"/>
      <c r="H326" s="87"/>
      <c r="I326" s="94">
        <v>14</v>
      </c>
      <c r="J326" s="93">
        <v>45280</v>
      </c>
      <c r="K326" s="87" t="s">
        <v>2292</v>
      </c>
      <c r="L326" s="87">
        <v>482.5</v>
      </c>
      <c r="M326" s="94"/>
      <c r="N326" s="93"/>
      <c r="O326" s="85"/>
      <c r="Q326" s="94"/>
      <c r="R326" s="93"/>
      <c r="S326" s="85"/>
      <c r="U326" s="94"/>
      <c r="V326" s="93"/>
      <c r="W326" s="85"/>
      <c r="Y326" s="94"/>
      <c r="Z326" s="93"/>
      <c r="AA326" s="85"/>
      <c r="AC326" s="94"/>
      <c r="AD326" s="93"/>
      <c r="AE326" s="85"/>
    </row>
    <row r="327" spans="7:31" x14ac:dyDescent="0.35">
      <c r="G327" s="85"/>
      <c r="H327" s="87"/>
      <c r="I327" s="94">
        <v>16</v>
      </c>
      <c r="J327" s="93">
        <v>45280</v>
      </c>
      <c r="K327" s="87" t="s">
        <v>1553</v>
      </c>
      <c r="L327" s="87">
        <v>1.95</v>
      </c>
      <c r="M327" s="94"/>
      <c r="N327" s="93"/>
      <c r="O327" s="85"/>
      <c r="Q327" s="94"/>
      <c r="R327" s="93"/>
      <c r="S327" s="85"/>
      <c r="U327" s="94"/>
      <c r="V327" s="93"/>
      <c r="W327" s="85"/>
      <c r="Y327" s="94"/>
      <c r="Z327" s="93"/>
      <c r="AA327" s="85"/>
      <c r="AC327" s="94"/>
      <c r="AD327" s="93"/>
      <c r="AE327" s="85"/>
    </row>
    <row r="328" spans="7:31" x14ac:dyDescent="0.35">
      <c r="G328" s="85"/>
      <c r="H328" s="87"/>
      <c r="I328" s="94">
        <v>7</v>
      </c>
      <c r="J328" s="93">
        <v>45281</v>
      </c>
      <c r="K328" s="87" t="s">
        <v>1510</v>
      </c>
      <c r="L328" s="87">
        <v>6.66</v>
      </c>
      <c r="M328" s="94"/>
      <c r="N328" s="93"/>
      <c r="O328" s="85"/>
      <c r="Q328" s="94"/>
      <c r="R328" s="93"/>
      <c r="S328" s="85"/>
      <c r="U328" s="94"/>
      <c r="V328" s="93"/>
      <c r="W328" s="85"/>
      <c r="Y328" s="94"/>
      <c r="Z328" s="93"/>
      <c r="AA328" s="85"/>
      <c r="AC328" s="94"/>
      <c r="AD328" s="93"/>
      <c r="AE328" s="85"/>
    </row>
    <row r="329" spans="7:31" x14ac:dyDescent="0.35">
      <c r="G329" s="85"/>
      <c r="H329" s="87"/>
      <c r="I329" s="94">
        <v>7</v>
      </c>
      <c r="J329" s="93">
        <v>45281</v>
      </c>
      <c r="K329" s="87" t="s">
        <v>1465</v>
      </c>
      <c r="L329" s="87">
        <v>5.83</v>
      </c>
      <c r="M329" s="94"/>
      <c r="N329" s="93"/>
      <c r="O329" s="85"/>
      <c r="Q329" s="94"/>
      <c r="R329" s="93"/>
      <c r="S329" s="85"/>
      <c r="U329" s="94"/>
      <c r="V329" s="93"/>
      <c r="W329" s="85"/>
      <c r="Y329" s="94"/>
      <c r="Z329" s="93"/>
      <c r="AA329" s="85"/>
      <c r="AC329" s="94"/>
      <c r="AD329" s="93"/>
      <c r="AE329" s="85"/>
    </row>
    <row r="330" spans="7:31" x14ac:dyDescent="0.35">
      <c r="G330" s="85"/>
      <c r="H330" s="87"/>
      <c r="I330" s="94">
        <v>20</v>
      </c>
      <c r="J330" s="93">
        <v>45278</v>
      </c>
      <c r="K330" s="87" t="s">
        <v>2293</v>
      </c>
      <c r="L330" s="87">
        <v>559.77</v>
      </c>
      <c r="M330" s="94"/>
      <c r="N330" s="93"/>
      <c r="O330" s="85"/>
      <c r="Q330" s="94"/>
      <c r="R330" s="93"/>
      <c r="S330" s="85"/>
      <c r="U330" s="94"/>
      <c r="V330" s="93"/>
      <c r="W330" s="85"/>
      <c r="Y330" s="94"/>
      <c r="Z330" s="93"/>
      <c r="AA330" s="85"/>
      <c r="AC330" s="94"/>
      <c r="AD330" s="93"/>
      <c r="AE330" s="85"/>
    </row>
    <row r="331" spans="7:31" x14ac:dyDescent="0.35">
      <c r="G331" s="85"/>
      <c r="H331" s="87"/>
      <c r="I331" s="94">
        <v>14</v>
      </c>
      <c r="J331" s="93">
        <v>45233</v>
      </c>
      <c r="K331" s="87" t="s">
        <v>2317</v>
      </c>
      <c r="L331" s="87">
        <v>232.5</v>
      </c>
      <c r="M331" s="94"/>
      <c r="N331" s="93"/>
      <c r="O331" s="85"/>
      <c r="Q331" s="94"/>
      <c r="R331" s="93"/>
      <c r="S331" s="85"/>
      <c r="U331" s="94"/>
      <c r="V331" s="93"/>
      <c r="W331" s="85"/>
      <c r="Y331" s="94"/>
      <c r="Z331" s="93"/>
      <c r="AA331" s="85"/>
      <c r="AC331" s="94"/>
      <c r="AD331" s="93"/>
      <c r="AE331" s="85"/>
    </row>
    <row r="332" spans="7:31" x14ac:dyDescent="0.35">
      <c r="G332" s="85"/>
      <c r="H332" s="87"/>
      <c r="I332" s="94">
        <v>14</v>
      </c>
      <c r="J332" s="93">
        <v>45233</v>
      </c>
      <c r="K332" s="87" t="s">
        <v>2319</v>
      </c>
      <c r="L332" s="87">
        <v>76.400000000000006</v>
      </c>
      <c r="M332" s="94"/>
      <c r="N332" s="93"/>
      <c r="O332" s="85"/>
      <c r="Q332" s="94"/>
      <c r="R332" s="93"/>
      <c r="S332" s="85"/>
      <c r="U332" s="94"/>
      <c r="V332" s="93"/>
      <c r="W332" s="85"/>
      <c r="Y332" s="94"/>
      <c r="Z332" s="93"/>
      <c r="AA332" s="85"/>
      <c r="AC332" s="94"/>
      <c r="AD332" s="93"/>
      <c r="AE332" s="85"/>
    </row>
    <row r="333" spans="7:31" x14ac:dyDescent="0.35">
      <c r="G333" s="85"/>
      <c r="H333" s="87"/>
      <c r="I333" s="94">
        <v>14</v>
      </c>
      <c r="J333" s="93">
        <v>45237</v>
      </c>
      <c r="K333" s="87" t="s">
        <v>1607</v>
      </c>
      <c r="L333" s="87">
        <v>54.9</v>
      </c>
      <c r="M333" s="94"/>
      <c r="N333" s="93"/>
      <c r="O333" s="85"/>
      <c r="Q333" s="94"/>
      <c r="R333" s="93"/>
      <c r="S333" s="85"/>
      <c r="U333" s="94"/>
      <c r="V333" s="93"/>
      <c r="W333" s="85"/>
      <c r="Y333" s="94"/>
      <c r="Z333" s="93"/>
      <c r="AA333" s="85"/>
      <c r="AC333" s="94"/>
      <c r="AD333" s="93"/>
      <c r="AE333" s="85"/>
    </row>
    <row r="334" spans="7:31" x14ac:dyDescent="0.35">
      <c r="G334" s="85"/>
      <c r="H334" s="87"/>
      <c r="I334" s="94">
        <v>18</v>
      </c>
      <c r="J334" s="93">
        <v>45237</v>
      </c>
      <c r="K334" s="87" t="s">
        <v>2321</v>
      </c>
      <c r="L334" s="87">
        <v>91.66</v>
      </c>
      <c r="M334" s="94"/>
      <c r="N334" s="93"/>
      <c r="O334" s="85"/>
      <c r="Q334" s="94"/>
      <c r="R334" s="93"/>
      <c r="S334" s="85"/>
      <c r="U334" s="94"/>
      <c r="V334" s="93"/>
      <c r="W334" s="85"/>
      <c r="Y334" s="94"/>
      <c r="Z334" s="93"/>
      <c r="AA334" s="85"/>
      <c r="AC334" s="94"/>
      <c r="AD334" s="93"/>
      <c r="AE334" s="85"/>
    </row>
    <row r="335" spans="7:31" x14ac:dyDescent="0.35">
      <c r="G335" s="85"/>
      <c r="H335" s="87"/>
      <c r="I335" s="94">
        <v>18</v>
      </c>
      <c r="J335" s="93">
        <v>45237</v>
      </c>
      <c r="K335" s="87" t="s">
        <v>2322</v>
      </c>
      <c r="L335" s="87">
        <v>10.49</v>
      </c>
      <c r="M335" s="94"/>
      <c r="N335" s="93"/>
      <c r="O335" s="85"/>
      <c r="Q335" s="94"/>
      <c r="R335" s="93"/>
      <c r="S335" s="85"/>
      <c r="U335" s="94"/>
      <c r="V335" s="93"/>
      <c r="W335" s="85"/>
      <c r="Y335" s="94"/>
      <c r="Z335" s="93"/>
      <c r="AA335" s="85"/>
      <c r="AC335" s="94"/>
      <c r="AD335" s="93"/>
      <c r="AE335" s="85"/>
    </row>
    <row r="336" spans="7:31" x14ac:dyDescent="0.35">
      <c r="G336" s="85"/>
      <c r="H336" s="87"/>
      <c r="I336" s="94">
        <v>18</v>
      </c>
      <c r="J336" s="93">
        <v>45237</v>
      </c>
      <c r="K336" s="87" t="s">
        <v>2323</v>
      </c>
      <c r="L336" s="87">
        <v>23.32</v>
      </c>
      <c r="M336" s="94"/>
      <c r="N336" s="93"/>
      <c r="O336" s="85"/>
      <c r="Q336" s="94"/>
      <c r="R336" s="93"/>
      <c r="S336" s="85"/>
      <c r="U336" s="94"/>
      <c r="V336" s="93"/>
      <c r="W336" s="85"/>
      <c r="Y336" s="94"/>
      <c r="Z336" s="93"/>
      <c r="AA336" s="85"/>
      <c r="AC336" s="94"/>
      <c r="AD336" s="93"/>
      <c r="AE336" s="85"/>
    </row>
    <row r="337" spans="7:31" x14ac:dyDescent="0.35">
      <c r="G337" s="85"/>
      <c r="H337" s="87"/>
      <c r="I337" s="94">
        <v>18</v>
      </c>
      <c r="J337" s="93">
        <v>45238</v>
      </c>
      <c r="K337" s="87" t="s">
        <v>2324</v>
      </c>
      <c r="L337" s="87">
        <v>97.75</v>
      </c>
      <c r="M337" s="94"/>
      <c r="N337" s="93"/>
      <c r="O337" s="85"/>
      <c r="Q337" s="94"/>
      <c r="R337" s="93"/>
      <c r="S337" s="85"/>
      <c r="U337" s="94"/>
      <c r="V337" s="93"/>
      <c r="W337" s="85"/>
      <c r="Y337" s="94"/>
      <c r="Z337" s="93"/>
      <c r="AA337" s="85"/>
      <c r="AC337" s="94"/>
      <c r="AD337" s="93"/>
      <c r="AE337" s="85"/>
    </row>
    <row r="338" spans="7:31" x14ac:dyDescent="0.35">
      <c r="G338" s="85"/>
      <c r="H338" s="87"/>
      <c r="I338" s="94">
        <v>16</v>
      </c>
      <c r="J338" s="93">
        <v>45258</v>
      </c>
      <c r="K338" s="87" t="s">
        <v>1553</v>
      </c>
      <c r="L338" s="87">
        <v>1.25</v>
      </c>
      <c r="M338" s="94"/>
      <c r="N338" s="93"/>
      <c r="O338" s="85"/>
      <c r="Q338" s="94"/>
      <c r="R338" s="93"/>
      <c r="S338" s="85"/>
      <c r="U338" s="94"/>
      <c r="V338" s="93"/>
      <c r="W338" s="85"/>
      <c r="Y338" s="94"/>
      <c r="Z338" s="93"/>
      <c r="AA338" s="85"/>
      <c r="AC338" s="94"/>
      <c r="AD338" s="93"/>
      <c r="AE338" s="85"/>
    </row>
    <row r="339" spans="7:31" x14ac:dyDescent="0.35">
      <c r="G339" s="85"/>
      <c r="H339" s="87"/>
      <c r="I339" s="94">
        <v>16</v>
      </c>
      <c r="J339" s="93">
        <v>45234</v>
      </c>
      <c r="K339" s="87" t="s">
        <v>1516</v>
      </c>
      <c r="L339" s="87">
        <v>21.07</v>
      </c>
      <c r="M339" s="94"/>
      <c r="N339" s="93"/>
      <c r="O339" s="85"/>
      <c r="Q339" s="94"/>
      <c r="R339" s="93"/>
      <c r="S339" s="85"/>
      <c r="U339" s="94"/>
      <c r="V339" s="93"/>
      <c r="W339" s="85"/>
      <c r="Y339" s="94"/>
      <c r="Z339" s="93"/>
      <c r="AA339" s="85"/>
      <c r="AC339" s="94"/>
      <c r="AD339" s="93"/>
      <c r="AE339" s="85"/>
    </row>
    <row r="340" spans="7:31" x14ac:dyDescent="0.35">
      <c r="G340" s="85"/>
      <c r="H340" s="87"/>
      <c r="I340" s="94">
        <v>16</v>
      </c>
      <c r="J340" s="93">
        <v>45236</v>
      </c>
      <c r="K340" s="87" t="s">
        <v>1587</v>
      </c>
      <c r="L340" s="87">
        <v>10.17</v>
      </c>
      <c r="M340" s="94"/>
      <c r="N340" s="93"/>
      <c r="O340" s="85"/>
      <c r="Q340" s="94"/>
      <c r="R340" s="93"/>
      <c r="S340" s="85"/>
      <c r="U340" s="94"/>
      <c r="V340" s="93"/>
      <c r="W340" s="85"/>
      <c r="Y340" s="94"/>
      <c r="Z340" s="93"/>
      <c r="AA340" s="85"/>
      <c r="AC340" s="94"/>
      <c r="AD340" s="93"/>
      <c r="AE340" s="85"/>
    </row>
    <row r="341" spans="7:31" x14ac:dyDescent="0.35">
      <c r="G341" s="85"/>
      <c r="H341" s="87"/>
      <c r="I341" s="94">
        <v>16</v>
      </c>
      <c r="J341" s="93">
        <v>45235</v>
      </c>
      <c r="K341" s="87" t="s">
        <v>1587</v>
      </c>
      <c r="L341" s="87">
        <v>9.16</v>
      </c>
      <c r="M341" s="94"/>
      <c r="N341" s="93"/>
      <c r="O341" s="85"/>
      <c r="Q341" s="94"/>
      <c r="R341" s="93"/>
      <c r="S341" s="85"/>
      <c r="U341" s="94"/>
      <c r="V341" s="93"/>
      <c r="W341" s="85"/>
      <c r="Y341" s="94"/>
      <c r="Z341" s="93"/>
      <c r="AA341" s="85"/>
      <c r="AC341" s="94"/>
      <c r="AD341" s="93"/>
      <c r="AE341" s="85"/>
    </row>
    <row r="342" spans="7:31" x14ac:dyDescent="0.35">
      <c r="G342" s="85"/>
      <c r="H342" s="87"/>
      <c r="I342" s="94">
        <v>14</v>
      </c>
      <c r="J342" s="93">
        <v>45237</v>
      </c>
      <c r="K342" s="87" t="s">
        <v>2325</v>
      </c>
      <c r="L342" s="87">
        <v>316.66000000000003</v>
      </c>
      <c r="M342" s="94"/>
      <c r="N342" s="93"/>
      <c r="O342" s="85"/>
      <c r="Q342" s="94"/>
      <c r="R342" s="93"/>
      <c r="S342" s="85"/>
      <c r="U342" s="94"/>
      <c r="V342" s="93"/>
      <c r="W342" s="85"/>
      <c r="Y342" s="94"/>
      <c r="Z342" s="93"/>
      <c r="AA342" s="85"/>
      <c r="AC342" s="94"/>
      <c r="AD342" s="93"/>
      <c r="AE342" s="85"/>
    </row>
    <row r="343" spans="7:31" x14ac:dyDescent="0.35">
      <c r="G343" s="85"/>
      <c r="H343" s="87"/>
      <c r="I343" s="94">
        <v>16</v>
      </c>
      <c r="J343" s="93">
        <v>45245</v>
      </c>
      <c r="K343" s="87" t="s">
        <v>2326</v>
      </c>
      <c r="L343" s="87">
        <v>14.98</v>
      </c>
      <c r="M343" s="94"/>
      <c r="N343" s="93"/>
      <c r="O343" s="85"/>
      <c r="Q343" s="94"/>
      <c r="R343" s="93"/>
      <c r="S343" s="85"/>
      <c r="U343" s="94"/>
      <c r="V343" s="93"/>
      <c r="W343" s="85"/>
      <c r="Y343" s="94"/>
      <c r="Z343" s="93"/>
      <c r="AA343" s="85"/>
      <c r="AC343" s="94"/>
      <c r="AD343" s="93"/>
      <c r="AE343" s="85"/>
    </row>
    <row r="344" spans="7:31" x14ac:dyDescent="0.35">
      <c r="G344" s="85"/>
      <c r="H344" s="87"/>
      <c r="I344" s="94">
        <v>16</v>
      </c>
      <c r="J344" s="93">
        <v>45234</v>
      </c>
      <c r="K344" s="87" t="s">
        <v>1516</v>
      </c>
      <c r="L344" s="87">
        <v>21.07</v>
      </c>
      <c r="M344" s="94"/>
      <c r="N344" s="93"/>
      <c r="O344" s="85"/>
      <c r="Q344" s="94"/>
      <c r="R344" s="93"/>
      <c r="S344" s="85"/>
      <c r="U344" s="94"/>
      <c r="V344" s="93"/>
      <c r="W344" s="85"/>
      <c r="Y344" s="94"/>
      <c r="Z344" s="93"/>
      <c r="AA344" s="85"/>
      <c r="AC344" s="94"/>
      <c r="AD344" s="93"/>
      <c r="AE344" s="85"/>
    </row>
    <row r="345" spans="7:31" x14ac:dyDescent="0.35">
      <c r="G345" s="85"/>
      <c r="H345" s="87"/>
      <c r="I345" s="94">
        <v>16</v>
      </c>
      <c r="J345" s="93">
        <v>45252</v>
      </c>
      <c r="K345" s="87" t="s">
        <v>1541</v>
      </c>
      <c r="L345" s="87">
        <v>7.91</v>
      </c>
      <c r="M345" s="94"/>
      <c r="N345" s="93"/>
      <c r="O345" s="85"/>
      <c r="Q345" s="94"/>
      <c r="R345" s="93"/>
      <c r="S345" s="85"/>
      <c r="U345" s="94"/>
      <c r="V345" s="93"/>
      <c r="W345" s="85"/>
      <c r="Y345" s="94"/>
      <c r="Z345" s="93"/>
      <c r="AA345" s="85"/>
      <c r="AC345" s="94"/>
      <c r="AD345" s="93"/>
      <c r="AE345" s="85"/>
    </row>
    <row r="346" spans="7:31" x14ac:dyDescent="0.35">
      <c r="G346" s="85"/>
      <c r="H346" s="87"/>
      <c r="I346" s="94">
        <v>16</v>
      </c>
      <c r="J346" s="93">
        <v>45252</v>
      </c>
      <c r="K346" s="87" t="s">
        <v>2327</v>
      </c>
      <c r="L346" s="87">
        <v>4.8600000000000003</v>
      </c>
      <c r="M346" s="94"/>
      <c r="N346" s="93"/>
      <c r="O346" s="85"/>
      <c r="Q346" s="94"/>
      <c r="R346" s="93"/>
      <c r="S346" s="85"/>
      <c r="U346" s="94"/>
      <c r="V346" s="93"/>
      <c r="W346" s="85"/>
      <c r="Y346" s="94"/>
      <c r="Z346" s="93"/>
      <c r="AA346" s="85"/>
      <c r="AC346" s="94"/>
      <c r="AD346" s="93"/>
      <c r="AE346" s="85"/>
    </row>
    <row r="347" spans="7:31" x14ac:dyDescent="0.35">
      <c r="G347" s="85"/>
      <c r="H347" s="87"/>
      <c r="I347" s="94">
        <v>14</v>
      </c>
      <c r="J347" s="93">
        <v>45252</v>
      </c>
      <c r="K347" s="87" t="s">
        <v>1607</v>
      </c>
      <c r="L347" s="87">
        <v>15.74</v>
      </c>
      <c r="M347" s="94"/>
      <c r="N347" s="93"/>
      <c r="O347" s="85"/>
      <c r="Q347" s="94"/>
      <c r="R347" s="93"/>
      <c r="S347" s="85"/>
      <c r="U347" s="94"/>
      <c r="V347" s="93"/>
      <c r="W347" s="85"/>
      <c r="Y347" s="94"/>
      <c r="Z347" s="93"/>
      <c r="AA347" s="85"/>
      <c r="AC347" s="94"/>
      <c r="AD347" s="93"/>
      <c r="AE347" s="85"/>
    </row>
    <row r="348" spans="7:31" x14ac:dyDescent="0.35">
      <c r="G348" s="85"/>
      <c r="H348" s="87"/>
      <c r="I348" s="94">
        <v>18</v>
      </c>
      <c r="J348" s="93">
        <v>45259</v>
      </c>
      <c r="K348" s="87" t="s">
        <v>2328</v>
      </c>
      <c r="L348" s="87">
        <v>58.32</v>
      </c>
      <c r="M348" s="94"/>
      <c r="N348" s="93"/>
      <c r="O348" s="85"/>
      <c r="Q348" s="94"/>
      <c r="R348" s="93"/>
      <c r="S348" s="85"/>
      <c r="U348" s="94"/>
      <c r="V348" s="93"/>
      <c r="W348" s="85"/>
      <c r="Y348" s="94"/>
      <c r="Z348" s="93"/>
      <c r="AA348" s="85"/>
      <c r="AC348" s="94"/>
      <c r="AD348" s="93"/>
      <c r="AE348" s="85"/>
    </row>
    <row r="349" spans="7:31" x14ac:dyDescent="0.35">
      <c r="G349" s="85"/>
      <c r="H349" s="87"/>
      <c r="I349" s="94">
        <v>16</v>
      </c>
      <c r="J349" s="93">
        <v>45260</v>
      </c>
      <c r="K349" s="87" t="s">
        <v>2329</v>
      </c>
      <c r="L349" s="87">
        <v>13.74</v>
      </c>
      <c r="M349" s="94"/>
      <c r="N349" s="93"/>
      <c r="O349" s="85"/>
      <c r="Q349" s="94"/>
      <c r="R349" s="93"/>
      <c r="S349" s="85"/>
      <c r="U349" s="94"/>
      <c r="V349" s="93"/>
      <c r="W349" s="85"/>
      <c r="Y349" s="94"/>
      <c r="Z349" s="93"/>
      <c r="AA349" s="85"/>
      <c r="AC349" s="94"/>
      <c r="AD349" s="93"/>
      <c r="AE349" s="85"/>
    </row>
    <row r="350" spans="7:31" x14ac:dyDescent="0.35">
      <c r="G350" s="85"/>
      <c r="H350" s="87"/>
      <c r="I350" s="94">
        <v>8</v>
      </c>
      <c r="J350" s="93">
        <v>45253</v>
      </c>
      <c r="K350" s="87" t="s">
        <v>1512</v>
      </c>
      <c r="L350" s="87">
        <v>44.99</v>
      </c>
      <c r="M350" s="94"/>
      <c r="N350" s="93"/>
      <c r="O350" s="85"/>
      <c r="Q350" s="94"/>
      <c r="R350" s="93"/>
      <c r="S350" s="85"/>
      <c r="U350" s="94"/>
      <c r="V350" s="93"/>
      <c r="W350" s="85"/>
      <c r="Y350" s="94"/>
      <c r="Z350" s="93"/>
      <c r="AA350" s="85"/>
      <c r="AC350" s="94"/>
      <c r="AD350" s="93"/>
      <c r="AE350" s="85"/>
    </row>
    <row r="351" spans="7:31" x14ac:dyDescent="0.35">
      <c r="G351" s="85"/>
      <c r="H351" s="87"/>
      <c r="I351" s="94">
        <v>6</v>
      </c>
      <c r="J351" s="93">
        <v>45292</v>
      </c>
      <c r="K351" s="87" t="s">
        <v>2331</v>
      </c>
      <c r="L351" s="87">
        <v>930.39</v>
      </c>
      <c r="M351" s="94"/>
      <c r="N351" s="93"/>
      <c r="O351" s="85"/>
      <c r="Q351" s="94"/>
      <c r="R351" s="93"/>
      <c r="S351" s="85"/>
      <c r="U351" s="94"/>
      <c r="V351" s="93"/>
      <c r="W351" s="85"/>
      <c r="Y351" s="94"/>
      <c r="Z351" s="93"/>
      <c r="AA351" s="85"/>
      <c r="AC351" s="94"/>
      <c r="AD351" s="93"/>
      <c r="AE351" s="85"/>
    </row>
    <row r="352" spans="7:31" x14ac:dyDescent="0.35">
      <c r="G352" s="85"/>
      <c r="H352" s="87"/>
      <c r="I352" s="94">
        <v>13</v>
      </c>
      <c r="J352" s="93">
        <v>45292</v>
      </c>
      <c r="K352" s="87" t="s">
        <v>2333</v>
      </c>
      <c r="L352" s="87">
        <v>1708.33</v>
      </c>
      <c r="M352" s="94"/>
      <c r="N352" s="93"/>
      <c r="O352" s="85"/>
      <c r="Q352" s="94"/>
      <c r="R352" s="93"/>
      <c r="S352" s="85"/>
      <c r="U352" s="94"/>
      <c r="V352" s="93"/>
      <c r="W352" s="85"/>
      <c r="Y352" s="94"/>
      <c r="Z352" s="93"/>
      <c r="AA352" s="85"/>
      <c r="AC352" s="94"/>
      <c r="AD352" s="93"/>
      <c r="AE352" s="85"/>
    </row>
    <row r="353" spans="7:31" x14ac:dyDescent="0.35">
      <c r="G353" s="85"/>
      <c r="H353" s="87"/>
      <c r="I353" s="94">
        <v>18</v>
      </c>
      <c r="J353" s="93">
        <v>44929</v>
      </c>
      <c r="K353" s="87" t="s">
        <v>2334</v>
      </c>
      <c r="L353" s="87">
        <v>312.54000000000002</v>
      </c>
      <c r="M353" s="94"/>
      <c r="N353" s="93"/>
      <c r="O353" s="85"/>
      <c r="Q353" s="94"/>
      <c r="R353" s="93"/>
      <c r="S353" s="85"/>
      <c r="U353" s="94"/>
      <c r="V353" s="93"/>
      <c r="W353" s="85"/>
      <c r="Y353" s="94"/>
      <c r="Z353" s="93"/>
      <c r="AA353" s="85"/>
      <c r="AC353" s="94"/>
      <c r="AD353" s="93"/>
      <c r="AE353" s="85"/>
    </row>
    <row r="354" spans="7:31" x14ac:dyDescent="0.35">
      <c r="G354" s="85"/>
      <c r="H354" s="87"/>
      <c r="I354" s="94">
        <v>14</v>
      </c>
      <c r="J354" s="93">
        <v>45296</v>
      </c>
      <c r="K354" s="87" t="s">
        <v>2335</v>
      </c>
      <c r="L354" s="87">
        <v>1150.1199999999999</v>
      </c>
      <c r="M354" s="94"/>
      <c r="N354" s="93"/>
      <c r="O354" s="85"/>
      <c r="Q354" s="94"/>
      <c r="R354" s="93"/>
      <c r="S354" s="85"/>
      <c r="U354" s="94"/>
      <c r="V354" s="93"/>
      <c r="W354" s="85"/>
      <c r="Y354" s="94"/>
      <c r="Z354" s="93"/>
      <c r="AA354" s="85"/>
      <c r="AC354" s="94"/>
      <c r="AD354" s="93"/>
      <c r="AE354" s="85"/>
    </row>
    <row r="355" spans="7:31" x14ac:dyDescent="0.35">
      <c r="G355" s="85"/>
      <c r="H355" s="87"/>
      <c r="I355" s="94">
        <v>18</v>
      </c>
      <c r="J355" s="93">
        <v>45293</v>
      </c>
      <c r="K355" s="87" t="s">
        <v>2338</v>
      </c>
      <c r="L355" s="87">
        <v>3845.88</v>
      </c>
      <c r="M355" s="94"/>
      <c r="N355" s="93"/>
      <c r="O355" s="85"/>
      <c r="Q355" s="94"/>
      <c r="R355" s="93"/>
      <c r="S355" s="85"/>
      <c r="U355" s="94"/>
      <c r="V355" s="93"/>
      <c r="W355" s="85"/>
      <c r="Y355" s="94"/>
      <c r="Z355" s="93"/>
      <c r="AA355" s="85"/>
      <c r="AC355" s="94"/>
      <c r="AD355" s="93"/>
      <c r="AE355" s="85"/>
    </row>
    <row r="356" spans="7:31" x14ac:dyDescent="0.35">
      <c r="G356" s="85"/>
      <c r="H356" s="87"/>
      <c r="I356" s="94">
        <v>18</v>
      </c>
      <c r="J356" s="93">
        <v>45265</v>
      </c>
      <c r="K356" s="87" t="s">
        <v>2345</v>
      </c>
      <c r="L356" s="87">
        <v>40.380000000000003</v>
      </c>
      <c r="M356" s="94"/>
      <c r="N356" s="93"/>
      <c r="O356" s="85"/>
      <c r="Q356" s="94"/>
      <c r="R356" s="93"/>
      <c r="S356" s="85"/>
      <c r="U356" s="94"/>
      <c r="V356" s="93"/>
      <c r="W356" s="85"/>
      <c r="Y356" s="94"/>
      <c r="Z356" s="93"/>
      <c r="AA356" s="85"/>
      <c r="AC356" s="94"/>
      <c r="AD356" s="93"/>
      <c r="AE356" s="85"/>
    </row>
    <row r="357" spans="7:31" x14ac:dyDescent="0.35">
      <c r="G357" s="85"/>
      <c r="H357" s="87"/>
      <c r="I357" s="94">
        <v>18</v>
      </c>
      <c r="J357" s="93">
        <v>45267</v>
      </c>
      <c r="K357" s="87" t="s">
        <v>2346</v>
      </c>
      <c r="L357" s="87">
        <v>99.9</v>
      </c>
      <c r="M357" s="94"/>
      <c r="N357" s="93"/>
      <c r="O357" s="85"/>
      <c r="Q357" s="94"/>
      <c r="R357" s="93"/>
      <c r="S357" s="85"/>
      <c r="U357" s="94"/>
      <c r="V357" s="93"/>
      <c r="W357" s="85"/>
      <c r="Y357" s="94"/>
      <c r="Z357" s="93"/>
      <c r="AA357" s="85"/>
      <c r="AC357" s="94"/>
      <c r="AD357" s="93"/>
      <c r="AE357" s="85"/>
    </row>
    <row r="358" spans="7:31" x14ac:dyDescent="0.35">
      <c r="G358" s="85"/>
      <c r="H358" s="87"/>
      <c r="I358" s="94">
        <v>18</v>
      </c>
      <c r="J358" s="93">
        <v>45280</v>
      </c>
      <c r="K358" s="87" t="s">
        <v>2345</v>
      </c>
      <c r="L358" s="87">
        <v>144.97999999999999</v>
      </c>
      <c r="M358" s="94"/>
      <c r="N358" s="93"/>
      <c r="O358" s="85"/>
      <c r="Q358" s="94"/>
      <c r="R358" s="93"/>
      <c r="S358" s="85"/>
      <c r="U358" s="94"/>
      <c r="V358" s="93"/>
      <c r="W358" s="85"/>
      <c r="Y358" s="94"/>
      <c r="Z358" s="93"/>
      <c r="AA358" s="85"/>
      <c r="AC358" s="94"/>
      <c r="AD358" s="93"/>
      <c r="AE358" s="85"/>
    </row>
    <row r="359" spans="7:31" x14ac:dyDescent="0.35">
      <c r="G359" s="85"/>
      <c r="H359" s="87"/>
      <c r="I359" s="94">
        <v>18</v>
      </c>
      <c r="J359" s="93">
        <v>45282</v>
      </c>
      <c r="K359" s="87" t="s">
        <v>2345</v>
      </c>
      <c r="L359" s="87">
        <v>16.66</v>
      </c>
      <c r="M359" s="94"/>
      <c r="N359" s="93"/>
      <c r="O359" s="85"/>
      <c r="Q359" s="94"/>
      <c r="R359" s="93"/>
      <c r="S359" s="85"/>
      <c r="U359" s="94"/>
      <c r="V359" s="93"/>
      <c r="W359" s="85"/>
      <c r="Y359" s="94"/>
      <c r="Z359" s="93"/>
      <c r="AA359" s="85"/>
      <c r="AC359" s="94"/>
      <c r="AD359" s="93"/>
      <c r="AE359" s="85"/>
    </row>
    <row r="360" spans="7:31" x14ac:dyDescent="0.35">
      <c r="G360" s="85"/>
      <c r="H360" s="87"/>
      <c r="I360" s="94">
        <v>14</v>
      </c>
      <c r="J360" s="93">
        <v>45264</v>
      </c>
      <c r="K360" s="87" t="s">
        <v>1607</v>
      </c>
      <c r="L360" s="87">
        <v>39.99</v>
      </c>
      <c r="M360" s="94"/>
      <c r="N360" s="93"/>
      <c r="O360" s="85"/>
      <c r="Q360" s="94"/>
      <c r="R360" s="93"/>
      <c r="S360" s="85"/>
      <c r="U360" s="94"/>
      <c r="V360" s="93"/>
      <c r="W360" s="85"/>
      <c r="Y360" s="94"/>
      <c r="Z360" s="93"/>
      <c r="AA360" s="85"/>
      <c r="AC360" s="94"/>
      <c r="AD360" s="93"/>
      <c r="AE360" s="85"/>
    </row>
    <row r="361" spans="7:31" x14ac:dyDescent="0.35">
      <c r="G361" s="85"/>
      <c r="H361" s="87"/>
      <c r="I361" s="94">
        <v>14</v>
      </c>
      <c r="J361" s="93">
        <v>45302</v>
      </c>
      <c r="K361" s="87" t="s">
        <v>2347</v>
      </c>
      <c r="L361" s="87">
        <v>649.76</v>
      </c>
      <c r="M361" s="94"/>
      <c r="N361" s="93"/>
      <c r="O361" s="85"/>
      <c r="Q361" s="94"/>
      <c r="R361" s="93"/>
      <c r="S361" s="85"/>
      <c r="U361" s="94"/>
      <c r="V361" s="93"/>
      <c r="W361" s="85"/>
      <c r="Y361" s="94"/>
      <c r="Z361" s="93"/>
      <c r="AA361" s="85"/>
      <c r="AC361" s="94"/>
      <c r="AD361" s="93"/>
      <c r="AE361" s="85"/>
    </row>
    <row r="362" spans="7:31" x14ac:dyDescent="0.35">
      <c r="G362" s="85"/>
      <c r="H362" s="87"/>
      <c r="I362" s="94">
        <v>16</v>
      </c>
      <c r="J362" s="93" t="s">
        <v>2363</v>
      </c>
      <c r="K362" s="87" t="s">
        <v>2364</v>
      </c>
      <c r="L362" s="87">
        <f>21.92+1.5+15.79+4.75</f>
        <v>43.96</v>
      </c>
      <c r="M362" s="94"/>
      <c r="N362" s="93"/>
      <c r="O362" s="85"/>
      <c r="Q362" s="94"/>
      <c r="R362" s="93"/>
      <c r="S362" s="85"/>
      <c r="U362" s="94"/>
      <c r="V362" s="93"/>
      <c r="W362" s="85"/>
      <c r="Y362" s="94"/>
      <c r="Z362" s="93"/>
      <c r="AA362" s="85"/>
      <c r="AC362" s="94"/>
      <c r="AD362" s="93"/>
      <c r="AE362" s="85"/>
    </row>
    <row r="363" spans="7:31" x14ac:dyDescent="0.35">
      <c r="G363" s="85"/>
      <c r="H363" s="87"/>
      <c r="I363" s="94">
        <v>18</v>
      </c>
      <c r="J363" s="93">
        <v>45220</v>
      </c>
      <c r="K363" s="87" t="s">
        <v>2365</v>
      </c>
      <c r="L363" s="87">
        <v>220</v>
      </c>
      <c r="M363" s="94"/>
      <c r="N363" s="93"/>
      <c r="O363" s="85"/>
      <c r="Q363" s="94"/>
      <c r="R363" s="93"/>
      <c r="S363" s="85"/>
      <c r="U363" s="94"/>
      <c r="V363" s="93"/>
      <c r="W363" s="85"/>
      <c r="Y363" s="94"/>
      <c r="Z363" s="93"/>
      <c r="AA363" s="85"/>
      <c r="AC363" s="94"/>
      <c r="AD363" s="93"/>
      <c r="AE363" s="85"/>
    </row>
    <row r="364" spans="7:31" x14ac:dyDescent="0.35">
      <c r="G364" s="85"/>
      <c r="H364" s="87"/>
      <c r="I364" s="94">
        <v>18</v>
      </c>
      <c r="J364" s="93">
        <v>45223</v>
      </c>
      <c r="K364" s="87" t="s">
        <v>2208</v>
      </c>
      <c r="L364" s="87">
        <f>11.82+15.42</f>
        <v>27.240000000000002</v>
      </c>
      <c r="M364" s="94"/>
      <c r="N364" s="93"/>
      <c r="O364" s="85"/>
      <c r="Q364" s="94"/>
      <c r="R364" s="93"/>
      <c r="S364" s="85"/>
      <c r="U364" s="94"/>
      <c r="V364" s="93"/>
      <c r="W364" s="85"/>
      <c r="Y364" s="94"/>
      <c r="Z364" s="93"/>
      <c r="AA364" s="85"/>
      <c r="AC364" s="94"/>
      <c r="AD364" s="93"/>
      <c r="AE364" s="85"/>
    </row>
    <row r="365" spans="7:31" x14ac:dyDescent="0.35">
      <c r="G365" s="85"/>
      <c r="H365" s="87"/>
      <c r="I365" s="94">
        <v>18</v>
      </c>
      <c r="J365" s="93">
        <v>45226</v>
      </c>
      <c r="K365" s="87" t="s">
        <v>2365</v>
      </c>
      <c r="L365" s="87">
        <v>47.44</v>
      </c>
      <c r="M365" s="94"/>
      <c r="N365" s="93"/>
      <c r="O365" s="85"/>
      <c r="Q365" s="94"/>
      <c r="R365" s="93"/>
      <c r="S365" s="85"/>
      <c r="U365" s="94"/>
      <c r="V365" s="93"/>
      <c r="W365" s="85"/>
      <c r="Y365" s="94"/>
      <c r="Z365" s="93"/>
      <c r="AA365" s="85"/>
      <c r="AC365" s="94"/>
      <c r="AD365" s="93"/>
      <c r="AE365" s="85"/>
    </row>
    <row r="366" spans="7:31" x14ac:dyDescent="0.35">
      <c r="G366" s="85"/>
      <c r="H366" s="87"/>
      <c r="I366" s="94">
        <v>7</v>
      </c>
      <c r="J366" s="93">
        <v>45211</v>
      </c>
      <c r="K366" s="87" t="s">
        <v>1634</v>
      </c>
      <c r="L366" s="87">
        <v>13.32</v>
      </c>
      <c r="M366" s="94"/>
      <c r="N366" s="93"/>
      <c r="O366" s="85"/>
      <c r="Q366" s="94"/>
      <c r="R366" s="93"/>
      <c r="S366" s="85"/>
      <c r="U366" s="94"/>
      <c r="V366" s="93"/>
      <c r="W366" s="85"/>
      <c r="Y366" s="94"/>
      <c r="Z366" s="93"/>
      <c r="AA366" s="85"/>
      <c r="AC366" s="94"/>
      <c r="AD366" s="93"/>
      <c r="AE366" s="85"/>
    </row>
    <row r="367" spans="7:31" x14ac:dyDescent="0.35">
      <c r="G367" s="85"/>
      <c r="H367" s="87"/>
      <c r="I367" s="94">
        <v>9</v>
      </c>
      <c r="J367" s="93">
        <v>45300</v>
      </c>
      <c r="K367" s="87" t="s">
        <v>2373</v>
      </c>
      <c r="L367" s="87">
        <v>900</v>
      </c>
      <c r="M367" s="94"/>
      <c r="N367" s="93"/>
      <c r="O367" s="85"/>
      <c r="Q367" s="94"/>
      <c r="R367" s="93"/>
      <c r="S367" s="85"/>
      <c r="U367" s="94"/>
      <c r="V367" s="93"/>
      <c r="W367" s="85"/>
      <c r="Y367" s="94"/>
      <c r="Z367" s="93"/>
      <c r="AA367" s="85"/>
      <c r="AC367" s="94"/>
      <c r="AD367" s="93"/>
      <c r="AE367" s="85"/>
    </row>
    <row r="368" spans="7:31" x14ac:dyDescent="0.35">
      <c r="G368" s="85"/>
      <c r="H368" s="87"/>
      <c r="I368" s="94">
        <v>13</v>
      </c>
      <c r="J368" s="93">
        <v>45261</v>
      </c>
      <c r="K368" s="87" t="s">
        <v>2375</v>
      </c>
      <c r="L368" s="87">
        <v>1708.33</v>
      </c>
      <c r="M368" s="94"/>
      <c r="N368" s="93"/>
      <c r="O368" s="85"/>
      <c r="Q368" s="94"/>
      <c r="R368" s="93"/>
      <c r="S368" s="85"/>
      <c r="U368" s="94"/>
      <c r="V368" s="93"/>
      <c r="W368" s="85"/>
      <c r="Y368" s="94"/>
      <c r="Z368" s="93"/>
      <c r="AA368" s="85"/>
      <c r="AC368" s="94"/>
      <c r="AD368" s="93"/>
      <c r="AE368" s="85"/>
    </row>
    <row r="369" spans="7:31" x14ac:dyDescent="0.35">
      <c r="G369" s="85"/>
      <c r="H369" s="87"/>
      <c r="I369" s="94">
        <v>14</v>
      </c>
      <c r="J369" s="93">
        <v>45211</v>
      </c>
      <c r="K369" s="87" t="s">
        <v>2383</v>
      </c>
      <c r="L369" s="87">
        <v>9.9700000000000006</v>
      </c>
      <c r="M369" s="94"/>
      <c r="N369" s="93"/>
      <c r="O369" s="85"/>
      <c r="Q369" s="94"/>
      <c r="R369" s="93"/>
      <c r="S369" s="85"/>
      <c r="U369" s="94"/>
      <c r="V369" s="93"/>
      <c r="W369" s="85"/>
      <c r="Y369" s="94"/>
      <c r="Z369" s="93"/>
      <c r="AA369" s="85"/>
      <c r="AC369" s="94"/>
      <c r="AD369" s="93"/>
      <c r="AE369" s="85"/>
    </row>
    <row r="370" spans="7:31" x14ac:dyDescent="0.35">
      <c r="G370" s="85"/>
      <c r="H370" s="87"/>
      <c r="I370" s="94">
        <v>14</v>
      </c>
      <c r="J370" s="125">
        <v>45215</v>
      </c>
      <c r="K370" s="87" t="s">
        <v>2384</v>
      </c>
      <c r="L370" s="87">
        <v>1570.24</v>
      </c>
      <c r="M370" s="94"/>
      <c r="N370" s="93"/>
      <c r="O370" s="85"/>
      <c r="Q370" s="94"/>
      <c r="R370" s="93"/>
      <c r="S370" s="85"/>
      <c r="U370" s="94"/>
      <c r="V370" s="93"/>
      <c r="W370" s="85"/>
      <c r="Y370" s="94"/>
      <c r="Z370" s="93"/>
      <c r="AA370" s="85"/>
      <c r="AC370" s="94"/>
      <c r="AD370" s="93"/>
      <c r="AE370" s="85"/>
    </row>
    <row r="371" spans="7:31" x14ac:dyDescent="0.35">
      <c r="G371" s="85"/>
      <c r="H371" s="87"/>
      <c r="I371" s="94">
        <v>20</v>
      </c>
      <c r="J371" s="93">
        <v>45314</v>
      </c>
      <c r="K371" s="87" t="s">
        <v>2754</v>
      </c>
      <c r="L371" s="87">
        <v>560.29999999999995</v>
      </c>
      <c r="M371" s="94"/>
      <c r="N371" s="93"/>
      <c r="O371" s="85"/>
      <c r="Q371" s="94"/>
      <c r="R371" s="93"/>
      <c r="S371" s="85"/>
      <c r="U371" s="94"/>
      <c r="V371" s="93"/>
      <c r="W371" s="85"/>
      <c r="Y371" s="94"/>
      <c r="Z371" s="93"/>
      <c r="AA371" s="85"/>
      <c r="AC371" s="94"/>
      <c r="AD371" s="93"/>
      <c r="AE371" s="85"/>
    </row>
    <row r="372" spans="7:31" x14ac:dyDescent="0.35">
      <c r="G372" s="85"/>
      <c r="H372" s="87"/>
      <c r="I372" s="94">
        <v>6</v>
      </c>
      <c r="J372" s="93">
        <v>45323</v>
      </c>
      <c r="K372" s="87" t="s">
        <v>2542</v>
      </c>
      <c r="L372" s="87">
        <v>903.75</v>
      </c>
      <c r="M372" s="94"/>
      <c r="N372" s="93"/>
      <c r="O372" s="85"/>
      <c r="Q372" s="94"/>
      <c r="R372" s="93"/>
      <c r="S372" s="85"/>
      <c r="U372" s="94"/>
      <c r="V372" s="93"/>
      <c r="W372" s="85"/>
      <c r="Y372" s="94"/>
      <c r="Z372" s="93"/>
      <c r="AA372" s="85"/>
      <c r="AC372" s="94"/>
      <c r="AD372" s="93"/>
      <c r="AE372" s="85"/>
    </row>
    <row r="373" spans="7:31" x14ac:dyDescent="0.35">
      <c r="G373" s="85"/>
      <c r="H373" s="87"/>
      <c r="I373" s="94">
        <v>14</v>
      </c>
      <c r="J373" s="93">
        <v>45308</v>
      </c>
      <c r="K373" s="87" t="s">
        <v>2408</v>
      </c>
      <c r="L373" s="87">
        <v>1258.54</v>
      </c>
      <c r="M373" s="94"/>
      <c r="N373" s="93"/>
      <c r="O373" s="85"/>
      <c r="Q373" s="94"/>
      <c r="R373" s="93"/>
      <c r="S373" s="85"/>
      <c r="U373" s="94"/>
      <c r="V373" s="93"/>
      <c r="W373" s="85"/>
      <c r="Y373" s="94"/>
      <c r="Z373" s="93"/>
      <c r="AA373" s="85"/>
      <c r="AC373" s="94"/>
      <c r="AD373" s="93"/>
      <c r="AE373" s="85"/>
    </row>
    <row r="374" spans="7:31" x14ac:dyDescent="0.35">
      <c r="G374" s="85"/>
      <c r="H374" s="87"/>
      <c r="I374" s="94">
        <v>16</v>
      </c>
      <c r="J374" s="93">
        <v>45273</v>
      </c>
      <c r="K374" s="87" t="s">
        <v>2327</v>
      </c>
      <c r="L374" s="87">
        <v>6.67</v>
      </c>
      <c r="M374" s="94"/>
      <c r="N374" s="93"/>
      <c r="O374" s="85"/>
      <c r="Q374" s="94"/>
      <c r="R374" s="93"/>
      <c r="S374" s="85"/>
      <c r="U374" s="94"/>
      <c r="V374" s="93"/>
      <c r="W374" s="85"/>
      <c r="Y374" s="94"/>
      <c r="Z374" s="93"/>
      <c r="AA374" s="85"/>
      <c r="AC374" s="94"/>
      <c r="AD374" s="93"/>
      <c r="AE374" s="85"/>
    </row>
    <row r="375" spans="7:31" x14ac:dyDescent="0.35">
      <c r="G375" s="85"/>
      <c r="H375" s="87"/>
      <c r="I375" s="94">
        <v>16</v>
      </c>
      <c r="J375" s="93">
        <v>45273</v>
      </c>
      <c r="K375" s="87" t="s">
        <v>2412</v>
      </c>
      <c r="L375" s="87">
        <v>9.98</v>
      </c>
      <c r="M375" s="94"/>
      <c r="N375" s="93"/>
      <c r="O375" s="85"/>
      <c r="Q375" s="94"/>
      <c r="R375" s="93"/>
      <c r="S375" s="85"/>
      <c r="U375" s="94"/>
      <c r="V375" s="93"/>
      <c r="W375" s="85"/>
      <c r="Y375" s="94"/>
      <c r="Z375" s="93"/>
      <c r="AA375" s="85"/>
      <c r="AC375" s="94"/>
      <c r="AD375" s="93"/>
      <c r="AE375" s="85"/>
    </row>
    <row r="376" spans="7:31" x14ac:dyDescent="0.35">
      <c r="G376" s="85"/>
      <c r="H376" s="87"/>
      <c r="I376" s="94">
        <v>8</v>
      </c>
      <c r="J376" s="93">
        <v>45278</v>
      </c>
      <c r="K376" s="87" t="s">
        <v>1579</v>
      </c>
      <c r="L376" s="87">
        <v>12.2</v>
      </c>
      <c r="M376" s="94"/>
      <c r="N376" s="93"/>
      <c r="O376" s="85"/>
      <c r="Q376" s="94"/>
      <c r="R376" s="93"/>
      <c r="S376" s="85"/>
      <c r="U376" s="94"/>
      <c r="V376" s="93"/>
      <c r="W376" s="85"/>
      <c r="Y376" s="94"/>
      <c r="Z376" s="93"/>
      <c r="AA376" s="85"/>
      <c r="AC376" s="94"/>
      <c r="AD376" s="93"/>
      <c r="AE376" s="85"/>
    </row>
    <row r="377" spans="7:31" x14ac:dyDescent="0.35">
      <c r="G377" s="85"/>
      <c r="H377" s="87"/>
      <c r="I377" s="94">
        <v>8</v>
      </c>
      <c r="J377" s="93">
        <v>45278</v>
      </c>
      <c r="K377" s="87" t="s">
        <v>1579</v>
      </c>
      <c r="L377" s="87">
        <v>33.78</v>
      </c>
      <c r="M377" s="94"/>
      <c r="N377" s="93"/>
      <c r="O377" s="85"/>
      <c r="Q377" s="94"/>
      <c r="R377" s="93"/>
      <c r="S377" s="85"/>
      <c r="U377" s="94"/>
      <c r="V377" s="93"/>
      <c r="W377" s="85"/>
      <c r="Y377" s="94"/>
      <c r="Z377" s="93"/>
      <c r="AA377" s="85"/>
      <c r="AC377" s="94"/>
      <c r="AD377" s="93"/>
      <c r="AE377" s="85"/>
    </row>
    <row r="378" spans="7:31" x14ac:dyDescent="0.35">
      <c r="G378" s="85"/>
      <c r="H378" s="87"/>
      <c r="I378" s="94">
        <v>16</v>
      </c>
      <c r="J378" s="93">
        <v>45280</v>
      </c>
      <c r="K378" s="87" t="s">
        <v>2413</v>
      </c>
      <c r="L378" s="87">
        <v>7.49</v>
      </c>
      <c r="M378" s="94"/>
      <c r="N378" s="93"/>
      <c r="O378" s="85"/>
      <c r="Q378" s="94"/>
      <c r="R378" s="93"/>
      <c r="S378" s="85"/>
      <c r="U378" s="94"/>
      <c r="V378" s="93"/>
      <c r="W378" s="85"/>
      <c r="Y378" s="94"/>
      <c r="Z378" s="93"/>
      <c r="AA378" s="85"/>
      <c r="AC378" s="94"/>
      <c r="AD378" s="93"/>
      <c r="AE378" s="85"/>
    </row>
    <row r="379" spans="7:31" x14ac:dyDescent="0.35">
      <c r="G379" s="85"/>
      <c r="H379" s="87"/>
      <c r="I379" s="94">
        <v>16</v>
      </c>
      <c r="J379" s="93">
        <v>45265</v>
      </c>
      <c r="K379" s="87" t="s">
        <v>1589</v>
      </c>
      <c r="L379" s="87">
        <v>12.1</v>
      </c>
      <c r="M379" s="94"/>
      <c r="N379" s="93"/>
      <c r="O379" s="85"/>
      <c r="Q379" s="94"/>
      <c r="R379" s="93"/>
      <c r="S379" s="85"/>
      <c r="U379" s="94"/>
      <c r="V379" s="93"/>
      <c r="W379" s="85"/>
      <c r="Y379" s="94"/>
      <c r="Z379" s="93"/>
      <c r="AA379" s="85"/>
      <c r="AC379" s="94"/>
      <c r="AD379" s="93"/>
      <c r="AE379" s="85"/>
    </row>
    <row r="380" spans="7:31" x14ac:dyDescent="0.35">
      <c r="G380" s="85"/>
      <c r="H380" s="87"/>
      <c r="I380" s="94">
        <v>18</v>
      </c>
      <c r="J380" s="93">
        <v>45271</v>
      </c>
      <c r="K380" s="87" t="s">
        <v>2416</v>
      </c>
      <c r="L380" s="87">
        <v>103.28</v>
      </c>
      <c r="M380" s="94"/>
      <c r="N380" s="93"/>
      <c r="O380" s="85"/>
      <c r="Q380" s="94"/>
      <c r="R380" s="93"/>
      <c r="S380" s="85"/>
      <c r="U380" s="94"/>
      <c r="V380" s="93"/>
      <c r="W380" s="85"/>
      <c r="Y380" s="94"/>
      <c r="Z380" s="93"/>
      <c r="AA380" s="85"/>
      <c r="AC380" s="94"/>
      <c r="AD380" s="93"/>
      <c r="AE380" s="85"/>
    </row>
    <row r="381" spans="7:31" x14ac:dyDescent="0.35">
      <c r="G381" s="85"/>
      <c r="H381" s="87"/>
      <c r="I381" s="94">
        <v>16</v>
      </c>
      <c r="J381" s="93">
        <v>45280</v>
      </c>
      <c r="K381" s="87" t="s">
        <v>2327</v>
      </c>
      <c r="L381" s="87">
        <v>13.32</v>
      </c>
      <c r="M381" s="94"/>
      <c r="N381" s="93"/>
      <c r="O381" s="85"/>
      <c r="Q381" s="94"/>
      <c r="R381" s="93"/>
      <c r="S381" s="85"/>
      <c r="U381" s="94"/>
      <c r="V381" s="93"/>
      <c r="W381" s="85"/>
      <c r="Y381" s="94"/>
      <c r="Z381" s="93"/>
      <c r="AA381" s="85"/>
      <c r="AC381" s="94"/>
      <c r="AD381" s="93"/>
      <c r="AE381" s="85"/>
    </row>
    <row r="382" spans="7:31" x14ac:dyDescent="0.35">
      <c r="G382" s="85"/>
      <c r="H382" s="87"/>
      <c r="I382" s="94">
        <v>8</v>
      </c>
      <c r="J382" s="93">
        <v>45283</v>
      </c>
      <c r="K382" s="87" t="s">
        <v>1512</v>
      </c>
      <c r="L382" s="87">
        <v>44.99</v>
      </c>
      <c r="M382" s="94"/>
      <c r="N382" s="93"/>
      <c r="O382" s="85"/>
      <c r="Q382" s="94"/>
      <c r="R382" s="93"/>
      <c r="S382" s="85"/>
      <c r="U382" s="94"/>
      <c r="V382" s="93"/>
      <c r="W382" s="85"/>
      <c r="Y382" s="94"/>
      <c r="Z382" s="93"/>
      <c r="AA382" s="85"/>
      <c r="AC382" s="94"/>
      <c r="AD382" s="93"/>
      <c r="AE382" s="85"/>
    </row>
    <row r="383" spans="7:31" x14ac:dyDescent="0.35">
      <c r="G383" s="85"/>
      <c r="H383" s="87"/>
      <c r="I383" s="94">
        <v>18</v>
      </c>
      <c r="J383" s="93">
        <v>45309</v>
      </c>
      <c r="K383" s="87" t="s">
        <v>2419</v>
      </c>
      <c r="L383" s="87">
        <v>640</v>
      </c>
      <c r="M383" s="94"/>
      <c r="N383" s="93"/>
      <c r="O383" s="85"/>
      <c r="Q383" s="94"/>
      <c r="R383" s="93"/>
      <c r="S383" s="85"/>
      <c r="U383" s="94"/>
      <c r="V383" s="93"/>
      <c r="W383" s="85"/>
      <c r="Y383" s="94"/>
      <c r="Z383" s="93"/>
      <c r="AA383" s="85"/>
      <c r="AC383" s="94"/>
      <c r="AD383" s="93"/>
      <c r="AE383" s="85"/>
    </row>
    <row r="384" spans="7:31" x14ac:dyDescent="0.35">
      <c r="G384" s="85"/>
      <c r="H384" s="87"/>
      <c r="I384" s="94">
        <v>18</v>
      </c>
      <c r="J384" s="93">
        <v>45303</v>
      </c>
      <c r="K384" s="87" t="s">
        <v>2420</v>
      </c>
      <c r="L384" s="87">
        <v>120</v>
      </c>
      <c r="M384" s="94"/>
      <c r="N384" s="93"/>
      <c r="O384" s="85"/>
      <c r="Q384" s="94"/>
      <c r="R384" s="93"/>
      <c r="S384" s="85"/>
      <c r="U384" s="94"/>
      <c r="V384" s="93"/>
      <c r="W384" s="85"/>
      <c r="Y384" s="94"/>
      <c r="Z384" s="93"/>
      <c r="AA384" s="85"/>
      <c r="AC384" s="94"/>
      <c r="AD384" s="93"/>
      <c r="AE384" s="85"/>
    </row>
    <row r="385" spans="7:31" x14ac:dyDescent="0.35">
      <c r="G385" s="85"/>
      <c r="H385" s="87"/>
      <c r="I385" s="94">
        <v>7</v>
      </c>
      <c r="J385" s="93">
        <v>45314</v>
      </c>
      <c r="K385" s="87" t="s">
        <v>1465</v>
      </c>
      <c r="L385" s="87">
        <v>9.99</v>
      </c>
      <c r="M385" s="94"/>
      <c r="N385" s="93"/>
      <c r="O385" s="85"/>
      <c r="Q385" s="94"/>
      <c r="R385" s="93"/>
      <c r="S385" s="85"/>
      <c r="U385" s="94"/>
      <c r="V385" s="93"/>
      <c r="W385" s="85"/>
      <c r="Y385" s="94"/>
      <c r="Z385" s="93"/>
      <c r="AA385" s="85"/>
      <c r="AC385" s="94"/>
      <c r="AD385" s="93"/>
      <c r="AE385" s="85"/>
    </row>
    <row r="386" spans="7:31" x14ac:dyDescent="0.35">
      <c r="G386" s="85"/>
      <c r="H386" s="87"/>
      <c r="I386" s="94">
        <v>14</v>
      </c>
      <c r="J386" s="93">
        <v>45335</v>
      </c>
      <c r="K386" s="87" t="s">
        <v>2533</v>
      </c>
      <c r="L386" s="87">
        <v>13400</v>
      </c>
      <c r="M386" s="94"/>
      <c r="N386" s="93"/>
      <c r="O386" s="85"/>
      <c r="Q386" s="94"/>
      <c r="R386" s="93"/>
      <c r="S386" s="85"/>
      <c r="U386" s="94"/>
      <c r="V386" s="93"/>
      <c r="W386" s="85"/>
      <c r="Y386" s="94"/>
      <c r="Z386" s="93"/>
      <c r="AA386" s="85"/>
      <c r="AC386" s="94"/>
      <c r="AD386" s="93"/>
      <c r="AE386" s="85"/>
    </row>
    <row r="387" spans="7:31" x14ac:dyDescent="0.35">
      <c r="G387" s="85"/>
      <c r="H387" s="87"/>
      <c r="I387" s="94">
        <v>16</v>
      </c>
      <c r="J387" s="93">
        <v>45295</v>
      </c>
      <c r="K387" s="87" t="s">
        <v>2537</v>
      </c>
      <c r="L387" s="87">
        <v>295.37</v>
      </c>
      <c r="M387" s="94"/>
      <c r="N387" s="93"/>
      <c r="O387" s="85"/>
      <c r="Q387" s="94"/>
      <c r="R387" s="93"/>
      <c r="S387" s="85"/>
      <c r="U387" s="94"/>
      <c r="V387" s="93"/>
      <c r="W387" s="85"/>
      <c r="Y387" s="94"/>
      <c r="Z387" s="93"/>
      <c r="AA387" s="85"/>
      <c r="AC387" s="94"/>
      <c r="AD387" s="93"/>
      <c r="AE387" s="85"/>
    </row>
    <row r="388" spans="7:31" x14ac:dyDescent="0.35">
      <c r="G388" s="85"/>
      <c r="H388" s="87"/>
      <c r="I388" s="94">
        <v>14</v>
      </c>
      <c r="J388" s="93">
        <v>45343</v>
      </c>
      <c r="K388" s="87" t="s">
        <v>2539</v>
      </c>
      <c r="L388" s="87">
        <v>1148</v>
      </c>
      <c r="M388" s="94"/>
      <c r="N388" s="93"/>
      <c r="O388" s="85"/>
      <c r="Q388" s="94"/>
      <c r="R388" s="93"/>
      <c r="S388" s="85"/>
      <c r="U388" s="94"/>
      <c r="V388" s="93"/>
      <c r="W388" s="85"/>
      <c r="Y388" s="94"/>
      <c r="Z388" s="93"/>
      <c r="AA388" s="85"/>
      <c r="AC388" s="94"/>
      <c r="AD388" s="93"/>
      <c r="AE388" s="85"/>
    </row>
    <row r="389" spans="7:31" x14ac:dyDescent="0.35">
      <c r="G389" s="85"/>
      <c r="H389" s="87"/>
      <c r="I389" s="94">
        <v>16</v>
      </c>
      <c r="J389" s="93">
        <v>45343</v>
      </c>
      <c r="K389" s="87" t="s">
        <v>1607</v>
      </c>
      <c r="L389" s="87">
        <v>176.77</v>
      </c>
      <c r="M389" s="94"/>
      <c r="N389" s="93"/>
      <c r="O389" s="85"/>
      <c r="Q389" s="94"/>
      <c r="R389" s="93"/>
      <c r="S389" s="85"/>
      <c r="U389" s="94"/>
      <c r="V389" s="93"/>
      <c r="W389" s="85"/>
      <c r="Y389" s="94"/>
      <c r="Z389" s="93"/>
      <c r="AA389" s="85"/>
      <c r="AC389" s="94"/>
      <c r="AD389" s="93"/>
      <c r="AE389" s="85"/>
    </row>
    <row r="390" spans="7:31" x14ac:dyDescent="0.35">
      <c r="G390" s="85"/>
      <c r="H390" s="87"/>
      <c r="I390" s="94">
        <v>14</v>
      </c>
      <c r="J390" s="93">
        <v>45327</v>
      </c>
      <c r="K390" s="87" t="s">
        <v>2544</v>
      </c>
      <c r="L390" s="87">
        <v>975.94</v>
      </c>
      <c r="M390" s="94"/>
      <c r="N390" s="93"/>
      <c r="O390" s="85"/>
      <c r="Q390" s="94"/>
      <c r="R390" s="93"/>
      <c r="S390" s="85"/>
      <c r="U390" s="94"/>
      <c r="V390" s="93"/>
      <c r="W390" s="85"/>
      <c r="Y390" s="94"/>
      <c r="Z390" s="93"/>
      <c r="AA390" s="85"/>
      <c r="AC390" s="94"/>
      <c r="AD390" s="93"/>
      <c r="AE390" s="85"/>
    </row>
    <row r="391" spans="7:31" x14ac:dyDescent="0.35">
      <c r="G391" s="85"/>
      <c r="H391" s="87"/>
      <c r="I391" s="94">
        <v>14</v>
      </c>
      <c r="J391" s="93">
        <v>45327</v>
      </c>
      <c r="K391" s="87" t="s">
        <v>2545</v>
      </c>
      <c r="L391" s="87">
        <v>496.88</v>
      </c>
      <c r="M391" s="94"/>
      <c r="N391" s="93"/>
      <c r="O391" s="85"/>
      <c r="Q391" s="94"/>
      <c r="R391" s="93"/>
      <c r="S391" s="85"/>
      <c r="U391" s="94"/>
      <c r="V391" s="93"/>
      <c r="W391" s="85"/>
      <c r="Y391" s="94"/>
      <c r="Z391" s="93"/>
      <c r="AA391" s="85"/>
      <c r="AC391" s="94"/>
      <c r="AD391" s="93"/>
      <c r="AE391" s="85"/>
    </row>
    <row r="392" spans="7:31" x14ac:dyDescent="0.35">
      <c r="G392" s="85"/>
      <c r="H392" s="87"/>
      <c r="I392" s="94">
        <v>15</v>
      </c>
      <c r="J392" s="93">
        <v>45257</v>
      </c>
      <c r="K392" s="87" t="s">
        <v>2557</v>
      </c>
      <c r="L392" s="87">
        <v>104.64</v>
      </c>
      <c r="M392" s="94"/>
      <c r="N392" s="93"/>
      <c r="O392" s="85"/>
      <c r="Q392" s="94"/>
      <c r="R392" s="93"/>
      <c r="S392" s="85"/>
      <c r="U392" s="94"/>
      <c r="V392" s="93"/>
      <c r="W392" s="85"/>
      <c r="Y392" s="94"/>
      <c r="Z392" s="93"/>
      <c r="AA392" s="85"/>
      <c r="AC392" s="94"/>
      <c r="AD392" s="93"/>
      <c r="AE392" s="85"/>
    </row>
    <row r="393" spans="7:31" x14ac:dyDescent="0.35">
      <c r="G393" s="85"/>
      <c r="H393" s="87"/>
      <c r="I393" s="94">
        <v>13</v>
      </c>
      <c r="J393" s="93">
        <v>45337</v>
      </c>
      <c r="K393" s="87" t="s">
        <v>2558</v>
      </c>
      <c r="L393" s="87">
        <v>519.72</v>
      </c>
      <c r="M393" s="94"/>
      <c r="N393" s="93"/>
      <c r="O393" s="85"/>
      <c r="Q393" s="94"/>
      <c r="R393" s="93"/>
      <c r="S393" s="85"/>
      <c r="U393" s="94"/>
      <c r="V393" s="93"/>
      <c r="W393" s="85"/>
      <c r="Y393" s="94"/>
      <c r="Z393" s="93"/>
      <c r="AA393" s="85"/>
      <c r="AC393" s="94"/>
      <c r="AD393" s="93"/>
      <c r="AE393" s="85"/>
    </row>
    <row r="394" spans="7:31" x14ac:dyDescent="0.35">
      <c r="G394" s="85"/>
      <c r="H394" s="87"/>
      <c r="I394" s="94">
        <v>20</v>
      </c>
      <c r="J394" s="93">
        <v>45330</v>
      </c>
      <c r="K394" s="87" t="s">
        <v>2561</v>
      </c>
      <c r="L394" s="87">
        <v>580</v>
      </c>
      <c r="M394" s="94"/>
      <c r="N394" s="93"/>
      <c r="O394" s="85"/>
      <c r="Q394" s="94"/>
      <c r="R394" s="93"/>
      <c r="S394" s="85"/>
      <c r="U394" s="94"/>
      <c r="V394" s="93"/>
      <c r="W394" s="85"/>
      <c r="Y394" s="94"/>
      <c r="Z394" s="93"/>
      <c r="AA394" s="85"/>
      <c r="AC394" s="94"/>
      <c r="AD394" s="93"/>
      <c r="AE394" s="85"/>
    </row>
    <row r="395" spans="7:31" x14ac:dyDescent="0.35">
      <c r="G395" s="85"/>
      <c r="H395" s="87"/>
      <c r="I395" s="94">
        <v>14</v>
      </c>
      <c r="J395" s="93">
        <v>45348</v>
      </c>
      <c r="K395" s="87" t="s">
        <v>589</v>
      </c>
      <c r="L395" s="87">
        <v>30</v>
      </c>
      <c r="M395" s="94"/>
      <c r="N395" s="93"/>
      <c r="O395" s="85"/>
      <c r="Q395" s="94"/>
      <c r="R395" s="93"/>
      <c r="S395" s="85"/>
      <c r="U395" s="94"/>
      <c r="V395" s="93"/>
      <c r="W395" s="85"/>
      <c r="Y395" s="94"/>
      <c r="Z395" s="93"/>
      <c r="AA395" s="85"/>
      <c r="AC395" s="94"/>
      <c r="AD395" s="93"/>
      <c r="AE395" s="85"/>
    </row>
    <row r="396" spans="7:31" x14ac:dyDescent="0.35">
      <c r="G396" s="85"/>
      <c r="H396" s="87"/>
      <c r="I396" s="94">
        <v>13</v>
      </c>
      <c r="J396" s="93">
        <v>45337</v>
      </c>
      <c r="K396" s="87" t="s">
        <v>2583</v>
      </c>
      <c r="L396" s="87">
        <v>578.26</v>
      </c>
      <c r="M396" s="94"/>
      <c r="N396" s="93"/>
      <c r="O396" s="85"/>
      <c r="Q396" s="94"/>
      <c r="R396" s="93"/>
      <c r="S396" s="85"/>
      <c r="U396" s="94"/>
      <c r="V396" s="93"/>
      <c r="W396" s="85"/>
      <c r="Y396" s="94"/>
      <c r="Z396" s="93"/>
      <c r="AA396" s="85"/>
      <c r="AC396" s="94"/>
      <c r="AD396" s="93"/>
      <c r="AE396" s="85"/>
    </row>
    <row r="397" spans="7:31" x14ac:dyDescent="0.35">
      <c r="G397" s="85"/>
      <c r="H397" s="87"/>
      <c r="I397" s="94">
        <v>16</v>
      </c>
      <c r="J397" s="93">
        <v>45324</v>
      </c>
      <c r="K397" s="87" t="s">
        <v>2589</v>
      </c>
      <c r="L397" s="87">
        <v>3.2</v>
      </c>
      <c r="M397" s="94"/>
      <c r="N397" s="93"/>
      <c r="O397" s="85"/>
      <c r="Q397" s="94"/>
      <c r="R397" s="93"/>
      <c r="S397" s="85"/>
      <c r="U397" s="94"/>
      <c r="V397" s="93"/>
      <c r="W397" s="85"/>
      <c r="Y397" s="94"/>
      <c r="Z397" s="93"/>
      <c r="AA397" s="85"/>
      <c r="AC397" s="94"/>
      <c r="AD397" s="93"/>
      <c r="AE397" s="85"/>
    </row>
    <row r="398" spans="7:31" x14ac:dyDescent="0.35">
      <c r="G398" s="85"/>
      <c r="H398" s="87"/>
      <c r="I398" s="94">
        <v>8</v>
      </c>
      <c r="J398" s="93">
        <v>45324</v>
      </c>
      <c r="K398" s="87" t="s">
        <v>1530</v>
      </c>
      <c r="L398" s="87">
        <v>9.1999999999999993</v>
      </c>
      <c r="M398" s="94"/>
      <c r="N398" s="93"/>
      <c r="O398" s="85"/>
      <c r="Q398" s="94"/>
      <c r="R398" s="93"/>
      <c r="S398" s="85"/>
      <c r="U398" s="94"/>
      <c r="V398" s="93"/>
      <c r="W398" s="85"/>
      <c r="Y398" s="94"/>
      <c r="Z398" s="93"/>
      <c r="AA398" s="85"/>
      <c r="AC398" s="94"/>
      <c r="AD398" s="93"/>
      <c r="AE398" s="85"/>
    </row>
    <row r="399" spans="7:31" x14ac:dyDescent="0.35">
      <c r="G399" s="85"/>
      <c r="H399" s="87"/>
      <c r="I399" s="94">
        <v>8</v>
      </c>
      <c r="J399" s="93">
        <v>45324</v>
      </c>
      <c r="K399" s="87" t="s">
        <v>1558</v>
      </c>
      <c r="L399" s="87">
        <v>12.98</v>
      </c>
      <c r="M399" s="94"/>
      <c r="N399" s="93"/>
      <c r="O399" s="85"/>
      <c r="Q399" s="94"/>
      <c r="R399" s="93"/>
      <c r="S399" s="85"/>
      <c r="U399" s="94"/>
      <c r="V399" s="93"/>
      <c r="W399" s="85"/>
      <c r="Y399" s="94"/>
      <c r="Z399" s="93"/>
      <c r="AA399" s="85"/>
      <c r="AC399" s="94"/>
      <c r="AD399" s="93"/>
      <c r="AE399" s="85"/>
    </row>
    <row r="400" spans="7:31" x14ac:dyDescent="0.35">
      <c r="G400" s="85"/>
      <c r="H400" s="87"/>
      <c r="I400" s="94">
        <v>7</v>
      </c>
      <c r="J400" s="93">
        <v>45330</v>
      </c>
      <c r="K400" s="87" t="s">
        <v>1465</v>
      </c>
      <c r="L400" s="87">
        <v>12.49</v>
      </c>
      <c r="M400" s="94"/>
      <c r="N400" s="93"/>
      <c r="O400" s="85"/>
      <c r="Q400" s="94"/>
      <c r="R400" s="93"/>
      <c r="S400" s="85"/>
      <c r="U400" s="94"/>
      <c r="V400" s="93"/>
      <c r="W400" s="85"/>
      <c r="Y400" s="94"/>
      <c r="Z400" s="93"/>
      <c r="AA400" s="85"/>
      <c r="AC400" s="94"/>
      <c r="AD400" s="93"/>
      <c r="AE400" s="85"/>
    </row>
    <row r="401" spans="7:31" x14ac:dyDescent="0.35">
      <c r="G401" s="85"/>
      <c r="H401" s="87"/>
      <c r="I401" s="94">
        <v>8</v>
      </c>
      <c r="J401" s="93">
        <v>45344</v>
      </c>
      <c r="K401" s="87" t="s">
        <v>1530</v>
      </c>
      <c r="L401" s="87">
        <v>6.08</v>
      </c>
      <c r="M401" s="94"/>
      <c r="N401" s="93"/>
      <c r="O401" s="85"/>
      <c r="Q401" s="94"/>
      <c r="R401" s="93"/>
      <c r="S401" s="85"/>
      <c r="U401" s="94"/>
      <c r="V401" s="93"/>
      <c r="W401" s="85"/>
      <c r="Y401" s="94"/>
      <c r="Z401" s="93"/>
      <c r="AA401" s="85"/>
      <c r="AC401" s="94"/>
      <c r="AD401" s="93"/>
      <c r="AE401" s="85"/>
    </row>
    <row r="402" spans="7:31" x14ac:dyDescent="0.35">
      <c r="G402" s="85"/>
      <c r="H402" s="87"/>
      <c r="I402" s="94">
        <v>14</v>
      </c>
      <c r="J402" s="93">
        <v>45323</v>
      </c>
      <c r="K402" s="87" t="s">
        <v>2345</v>
      </c>
      <c r="L402" s="87">
        <v>119.13</v>
      </c>
      <c r="M402" s="94"/>
      <c r="N402" s="93"/>
      <c r="O402" s="85"/>
      <c r="Q402" s="94"/>
      <c r="R402" s="93"/>
      <c r="S402" s="85"/>
      <c r="U402" s="94"/>
      <c r="V402" s="93"/>
      <c r="W402" s="85"/>
      <c r="Y402" s="94"/>
      <c r="Z402" s="93"/>
      <c r="AA402" s="85"/>
      <c r="AC402" s="94"/>
      <c r="AD402" s="93"/>
      <c r="AE402" s="85"/>
    </row>
    <row r="403" spans="7:31" x14ac:dyDescent="0.35">
      <c r="G403" s="85"/>
      <c r="H403" s="87"/>
      <c r="I403" s="94">
        <v>14</v>
      </c>
      <c r="J403" s="93">
        <v>45323</v>
      </c>
      <c r="K403" s="87" t="s">
        <v>2598</v>
      </c>
      <c r="L403" s="87">
        <v>3.74</v>
      </c>
      <c r="M403" s="94"/>
      <c r="N403" s="93"/>
      <c r="O403" s="85"/>
      <c r="Q403" s="94"/>
      <c r="R403" s="93"/>
      <c r="S403" s="85"/>
      <c r="U403" s="94"/>
      <c r="V403" s="93"/>
      <c r="W403" s="85"/>
      <c r="Y403" s="94"/>
      <c r="Z403" s="93"/>
      <c r="AA403" s="85"/>
      <c r="AC403" s="94"/>
      <c r="AD403" s="93"/>
      <c r="AE403" s="85"/>
    </row>
    <row r="404" spans="7:31" x14ac:dyDescent="0.35">
      <c r="G404" s="85"/>
      <c r="H404" s="87"/>
      <c r="I404" s="94">
        <v>14</v>
      </c>
      <c r="J404" s="93">
        <v>45327</v>
      </c>
      <c r="K404" s="87" t="s">
        <v>2599</v>
      </c>
      <c r="L404" s="87">
        <v>13.3</v>
      </c>
      <c r="M404" s="94"/>
      <c r="N404" s="93"/>
      <c r="O404" s="85"/>
      <c r="Q404" s="94"/>
      <c r="R404" s="93"/>
      <c r="S404" s="85"/>
      <c r="U404" s="94"/>
      <c r="V404" s="93"/>
      <c r="W404" s="85"/>
      <c r="Y404" s="94"/>
      <c r="Z404" s="93"/>
      <c r="AA404" s="85"/>
      <c r="AC404" s="94"/>
      <c r="AD404" s="93"/>
      <c r="AE404" s="85"/>
    </row>
    <row r="405" spans="7:31" x14ac:dyDescent="0.35">
      <c r="G405" s="85"/>
      <c r="H405" s="87"/>
      <c r="I405" s="94">
        <v>14</v>
      </c>
      <c r="J405" s="93">
        <v>45330</v>
      </c>
      <c r="K405" s="87" t="s">
        <v>2600</v>
      </c>
      <c r="L405" s="87">
        <v>96.63</v>
      </c>
      <c r="M405" s="94"/>
      <c r="N405" s="93"/>
      <c r="O405" s="85"/>
      <c r="Q405" s="94"/>
      <c r="R405" s="93"/>
      <c r="S405" s="85"/>
      <c r="U405" s="94"/>
      <c r="V405" s="93"/>
      <c r="W405" s="85"/>
      <c r="Y405" s="94"/>
      <c r="Z405" s="93"/>
      <c r="AA405" s="85"/>
      <c r="AC405" s="94"/>
      <c r="AD405" s="93"/>
      <c r="AE405" s="85"/>
    </row>
    <row r="406" spans="7:31" x14ac:dyDescent="0.35">
      <c r="G406" s="85"/>
      <c r="H406" s="87"/>
      <c r="I406" s="94">
        <v>14</v>
      </c>
      <c r="J406" s="93">
        <v>45335</v>
      </c>
      <c r="K406" s="87" t="s">
        <v>2601</v>
      </c>
      <c r="L406" s="87">
        <v>7.48</v>
      </c>
      <c r="M406" s="94"/>
      <c r="N406" s="93"/>
      <c r="O406" s="85"/>
      <c r="Q406" s="94"/>
      <c r="R406" s="93"/>
      <c r="S406" s="85"/>
      <c r="U406" s="94"/>
      <c r="V406" s="93"/>
      <c r="W406" s="85"/>
      <c r="Y406" s="94"/>
      <c r="Z406" s="93"/>
      <c r="AA406" s="85"/>
      <c r="AC406" s="94"/>
      <c r="AD406" s="93"/>
      <c r="AE406" s="85"/>
    </row>
    <row r="407" spans="7:31" x14ac:dyDescent="0.35">
      <c r="G407" s="85"/>
      <c r="H407" s="87"/>
      <c r="I407" s="94">
        <v>14</v>
      </c>
      <c r="J407" s="93">
        <v>45336</v>
      </c>
      <c r="K407" s="87" t="s">
        <v>2603</v>
      </c>
      <c r="L407" s="87">
        <v>27.49</v>
      </c>
      <c r="M407" s="94"/>
      <c r="N407" s="93"/>
      <c r="O407" s="85"/>
      <c r="Q407" s="94"/>
      <c r="R407" s="93"/>
      <c r="S407" s="85"/>
      <c r="U407" s="94"/>
      <c r="V407" s="93"/>
      <c r="W407" s="85"/>
      <c r="Y407" s="94"/>
      <c r="Z407" s="93"/>
      <c r="AA407" s="85"/>
      <c r="AC407" s="94"/>
      <c r="AD407" s="93"/>
      <c r="AE407" s="85"/>
    </row>
    <row r="408" spans="7:31" x14ac:dyDescent="0.35">
      <c r="G408" s="85"/>
      <c r="H408" s="87"/>
      <c r="I408" s="94">
        <v>20</v>
      </c>
      <c r="J408" s="93">
        <v>45340</v>
      </c>
      <c r="K408" s="87" t="s">
        <v>2605</v>
      </c>
      <c r="L408" s="87">
        <v>559.77</v>
      </c>
      <c r="M408" s="94"/>
      <c r="N408" s="93"/>
      <c r="O408" s="85"/>
      <c r="Q408" s="94"/>
      <c r="R408" s="93"/>
      <c r="S408" s="85"/>
      <c r="U408" s="94"/>
      <c r="V408" s="93"/>
      <c r="W408" s="85"/>
      <c r="Y408" s="94"/>
      <c r="Z408" s="93"/>
      <c r="AA408" s="85"/>
      <c r="AC408" s="94"/>
      <c r="AD408" s="93"/>
      <c r="AE408" s="85"/>
    </row>
    <row r="409" spans="7:31" x14ac:dyDescent="0.35">
      <c r="G409" s="85"/>
      <c r="H409" s="87"/>
      <c r="I409" s="94">
        <v>14</v>
      </c>
      <c r="J409" s="93">
        <v>45293</v>
      </c>
      <c r="K409" s="87" t="s">
        <v>1636</v>
      </c>
      <c r="L409" s="87">
        <v>62.48</v>
      </c>
      <c r="M409" s="94"/>
      <c r="N409" s="93"/>
      <c r="O409" s="85"/>
      <c r="Q409" s="94"/>
      <c r="R409" s="93"/>
      <c r="S409" s="85"/>
      <c r="U409" s="94"/>
      <c r="V409" s="93"/>
      <c r="W409" s="85"/>
      <c r="Y409" s="94"/>
      <c r="Z409" s="93"/>
      <c r="AA409" s="85"/>
      <c r="AC409" s="94"/>
      <c r="AD409" s="93"/>
      <c r="AE409" s="85"/>
    </row>
    <row r="410" spans="7:31" x14ac:dyDescent="0.35">
      <c r="G410" s="85"/>
      <c r="H410" s="87"/>
      <c r="I410" s="94">
        <v>14</v>
      </c>
      <c r="J410" s="93">
        <v>45301</v>
      </c>
      <c r="K410" s="87" t="s">
        <v>2607</v>
      </c>
      <c r="L410" s="87">
        <v>67.06</v>
      </c>
      <c r="M410" s="94"/>
      <c r="N410" s="93"/>
      <c r="O410" s="85"/>
      <c r="Q410" s="94"/>
      <c r="R410" s="93"/>
      <c r="S410" s="85"/>
      <c r="U410" s="94"/>
      <c r="V410" s="93"/>
      <c r="W410" s="85"/>
      <c r="Y410" s="94"/>
      <c r="Z410" s="93"/>
      <c r="AA410" s="85"/>
      <c r="AC410" s="94"/>
      <c r="AD410" s="93"/>
      <c r="AE410" s="85"/>
    </row>
    <row r="411" spans="7:31" x14ac:dyDescent="0.35">
      <c r="G411" s="85"/>
      <c r="H411" s="87"/>
      <c r="I411" s="94">
        <v>8</v>
      </c>
      <c r="J411" s="93">
        <v>45299</v>
      </c>
      <c r="K411" s="87" t="s">
        <v>2612</v>
      </c>
      <c r="L411" s="87">
        <v>7</v>
      </c>
      <c r="M411" s="94"/>
      <c r="N411" s="93"/>
      <c r="O411" s="85"/>
      <c r="Q411" s="94"/>
      <c r="R411" s="93"/>
      <c r="S411" s="85"/>
      <c r="U411" s="94"/>
      <c r="V411" s="93"/>
      <c r="W411" s="85"/>
      <c r="Y411" s="94"/>
      <c r="Z411" s="93"/>
      <c r="AA411" s="85"/>
      <c r="AC411" s="94"/>
      <c r="AD411" s="93"/>
      <c r="AE411" s="85"/>
    </row>
    <row r="412" spans="7:31" x14ac:dyDescent="0.35">
      <c r="G412" s="85"/>
      <c r="H412" s="87"/>
      <c r="I412" s="94">
        <v>8</v>
      </c>
      <c r="J412" s="93">
        <v>45306</v>
      </c>
      <c r="K412" s="87" t="s">
        <v>1578</v>
      </c>
      <c r="L412" s="87">
        <v>12.16</v>
      </c>
      <c r="M412" s="94"/>
      <c r="N412" s="93"/>
      <c r="O412" s="85"/>
      <c r="Q412" s="94"/>
      <c r="R412" s="93"/>
      <c r="S412" s="85"/>
      <c r="U412" s="94"/>
      <c r="V412" s="93"/>
      <c r="W412" s="85"/>
      <c r="Y412" s="94"/>
      <c r="Z412" s="93"/>
      <c r="AA412" s="85"/>
      <c r="AC412" s="94"/>
      <c r="AD412" s="93"/>
      <c r="AE412" s="85"/>
    </row>
    <row r="413" spans="7:31" x14ac:dyDescent="0.35">
      <c r="G413" s="85"/>
      <c r="H413" s="87"/>
      <c r="I413" s="94">
        <v>8</v>
      </c>
      <c r="J413" s="93">
        <v>45308</v>
      </c>
      <c r="K413" s="87" t="s">
        <v>1578</v>
      </c>
      <c r="L413" s="87">
        <v>41.22</v>
      </c>
      <c r="M413" s="94"/>
      <c r="N413" s="93"/>
      <c r="O413" s="85"/>
      <c r="Q413" s="94"/>
      <c r="R413" s="93"/>
      <c r="S413" s="85"/>
      <c r="U413" s="94"/>
      <c r="V413" s="93"/>
      <c r="W413" s="85"/>
      <c r="Y413" s="94"/>
      <c r="Z413" s="93"/>
      <c r="AA413" s="85"/>
      <c r="AC413" s="94"/>
      <c r="AD413" s="93"/>
      <c r="AE413" s="85"/>
    </row>
    <row r="414" spans="7:31" x14ac:dyDescent="0.35">
      <c r="G414" s="85"/>
      <c r="H414" s="87"/>
      <c r="I414" s="94">
        <v>14</v>
      </c>
      <c r="J414" s="93">
        <v>45309</v>
      </c>
      <c r="K414" s="87" t="s">
        <v>2614</v>
      </c>
      <c r="L414" s="87">
        <v>29.55</v>
      </c>
      <c r="M414" s="94"/>
      <c r="N414" s="93"/>
      <c r="O414" s="85"/>
      <c r="Q414" s="94"/>
      <c r="R414" s="93"/>
      <c r="S414" s="85"/>
      <c r="U414" s="94"/>
      <c r="V414" s="93"/>
      <c r="W414" s="85"/>
      <c r="Y414" s="94"/>
      <c r="Z414" s="93"/>
      <c r="AA414" s="85"/>
      <c r="AC414" s="94"/>
      <c r="AD414" s="93"/>
      <c r="AE414" s="85"/>
    </row>
    <row r="415" spans="7:31" x14ac:dyDescent="0.35">
      <c r="G415" s="85"/>
      <c r="H415" s="87"/>
      <c r="I415" s="94">
        <v>16</v>
      </c>
      <c r="J415" s="93">
        <v>45309</v>
      </c>
      <c r="K415" s="87" t="s">
        <v>2615</v>
      </c>
      <c r="L415" s="87">
        <v>25</v>
      </c>
      <c r="M415" s="94"/>
      <c r="N415" s="93"/>
      <c r="O415" s="85"/>
      <c r="Q415" s="94"/>
      <c r="R415" s="93"/>
      <c r="S415" s="85"/>
      <c r="U415" s="94"/>
      <c r="V415" s="93"/>
      <c r="W415" s="85"/>
      <c r="Y415" s="94"/>
      <c r="Z415" s="93"/>
      <c r="AA415" s="85"/>
      <c r="AC415" s="94"/>
      <c r="AD415" s="93"/>
      <c r="AE415" s="85"/>
    </row>
    <row r="416" spans="7:31" x14ac:dyDescent="0.35">
      <c r="G416" s="85"/>
      <c r="H416" s="87"/>
      <c r="I416" s="94">
        <v>16</v>
      </c>
      <c r="J416" s="93">
        <v>45312</v>
      </c>
      <c r="K416" s="87" t="s">
        <v>1516</v>
      </c>
      <c r="L416" s="87">
        <v>20.82</v>
      </c>
      <c r="M416" s="94"/>
      <c r="N416" s="93"/>
      <c r="O416" s="85"/>
      <c r="Q416" s="94"/>
      <c r="R416" s="93"/>
      <c r="S416" s="85"/>
      <c r="U416" s="94"/>
      <c r="V416" s="93"/>
      <c r="W416" s="85"/>
      <c r="Y416" s="94"/>
      <c r="Z416" s="93"/>
      <c r="AA416" s="85"/>
      <c r="AC416" s="94"/>
      <c r="AD416" s="93"/>
      <c r="AE416" s="85"/>
    </row>
    <row r="417" spans="7:31" x14ac:dyDescent="0.35">
      <c r="G417" s="85"/>
      <c r="H417" s="87"/>
      <c r="I417" s="94">
        <v>16</v>
      </c>
      <c r="J417" s="93">
        <v>45316</v>
      </c>
      <c r="K417" s="87" t="s">
        <v>1580</v>
      </c>
      <c r="L417" s="87">
        <v>15</v>
      </c>
      <c r="M417" s="94"/>
      <c r="N417" s="93"/>
      <c r="O417" s="85"/>
      <c r="Q417" s="94"/>
      <c r="R417" s="93"/>
      <c r="S417" s="85"/>
      <c r="U417" s="94"/>
      <c r="V417" s="93"/>
      <c r="W417" s="85"/>
      <c r="Y417" s="94"/>
      <c r="Z417" s="93"/>
      <c r="AA417" s="85"/>
      <c r="AC417" s="94"/>
      <c r="AD417" s="93"/>
      <c r="AE417" s="85"/>
    </row>
    <row r="418" spans="7:31" x14ac:dyDescent="0.35">
      <c r="G418" s="85"/>
      <c r="H418" s="87"/>
      <c r="I418" s="94">
        <v>8</v>
      </c>
      <c r="J418" s="93">
        <v>45321</v>
      </c>
      <c r="K418" s="87" t="s">
        <v>2617</v>
      </c>
      <c r="L418" s="87">
        <v>0.99</v>
      </c>
      <c r="M418" s="94"/>
      <c r="N418" s="93"/>
      <c r="O418" s="85"/>
      <c r="Q418" s="94"/>
      <c r="R418" s="93"/>
      <c r="S418" s="85"/>
      <c r="U418" s="94"/>
      <c r="V418" s="93"/>
      <c r="W418" s="85"/>
      <c r="Y418" s="94"/>
      <c r="Z418" s="93"/>
      <c r="AA418" s="85"/>
      <c r="AC418" s="94"/>
      <c r="AD418" s="93"/>
      <c r="AE418" s="85"/>
    </row>
    <row r="419" spans="7:31" x14ac:dyDescent="0.35">
      <c r="G419" s="85"/>
      <c r="H419" s="87"/>
      <c r="I419" s="94">
        <v>8</v>
      </c>
      <c r="J419" s="93">
        <v>45321</v>
      </c>
      <c r="K419" s="87" t="s">
        <v>1578</v>
      </c>
      <c r="L419" s="87">
        <v>21.25</v>
      </c>
      <c r="M419" s="94"/>
      <c r="N419" s="93"/>
      <c r="O419" s="85"/>
      <c r="Q419" s="94"/>
      <c r="R419" s="93"/>
      <c r="S419" s="85"/>
      <c r="U419" s="94"/>
      <c r="V419" s="93"/>
      <c r="W419" s="85"/>
      <c r="Y419" s="94"/>
      <c r="Z419" s="93"/>
      <c r="AA419" s="85"/>
      <c r="AC419" s="94"/>
      <c r="AD419" s="93"/>
      <c r="AE419" s="85"/>
    </row>
    <row r="420" spans="7:31" x14ac:dyDescent="0.35">
      <c r="G420" s="85"/>
      <c r="H420" s="87"/>
      <c r="I420" s="94">
        <v>16</v>
      </c>
      <c r="J420" s="93">
        <v>45323</v>
      </c>
      <c r="K420" s="87" t="s">
        <v>1580</v>
      </c>
      <c r="L420" s="87">
        <v>2.75</v>
      </c>
      <c r="M420" s="94"/>
      <c r="N420" s="93"/>
      <c r="O420" s="85"/>
      <c r="Q420" s="94"/>
      <c r="R420" s="93"/>
      <c r="S420" s="85"/>
      <c r="U420" s="94"/>
      <c r="V420" s="93"/>
      <c r="W420" s="85"/>
      <c r="Y420" s="94"/>
      <c r="Z420" s="93"/>
      <c r="AA420" s="85"/>
      <c r="AC420" s="94"/>
      <c r="AD420" s="93"/>
      <c r="AE420" s="85"/>
    </row>
    <row r="421" spans="7:31" x14ac:dyDescent="0.35">
      <c r="G421" s="85"/>
      <c r="H421" s="87"/>
      <c r="I421" s="94">
        <v>16</v>
      </c>
      <c r="J421" s="93">
        <v>45313</v>
      </c>
      <c r="K421" s="87" t="s">
        <v>2619</v>
      </c>
      <c r="L421" s="87">
        <v>4.1399999999999997</v>
      </c>
      <c r="M421" s="94"/>
      <c r="N421" s="93"/>
      <c r="O421" s="85"/>
      <c r="Q421" s="94"/>
      <c r="R421" s="93"/>
      <c r="S421" s="85"/>
      <c r="U421" s="94"/>
      <c r="V421" s="93"/>
      <c r="W421" s="85"/>
      <c r="Y421" s="94"/>
      <c r="Z421" s="93"/>
      <c r="AA421" s="85"/>
      <c r="AC421" s="94"/>
      <c r="AD421" s="93"/>
      <c r="AE421" s="85"/>
    </row>
    <row r="422" spans="7:31" x14ac:dyDescent="0.35">
      <c r="G422" s="85"/>
      <c r="H422" s="87"/>
      <c r="I422" s="94">
        <v>8</v>
      </c>
      <c r="J422" s="93">
        <v>45314</v>
      </c>
      <c r="K422" s="87" t="s">
        <v>1512</v>
      </c>
      <c r="L422" s="87">
        <v>44.99</v>
      </c>
      <c r="M422" s="94"/>
      <c r="N422" s="93"/>
      <c r="O422" s="85"/>
      <c r="Q422" s="94"/>
      <c r="R422" s="93"/>
      <c r="S422" s="85"/>
      <c r="U422" s="94"/>
      <c r="V422" s="93"/>
      <c r="W422" s="85"/>
      <c r="Y422" s="94"/>
      <c r="Z422" s="93"/>
      <c r="AA422" s="85"/>
      <c r="AC422" s="94"/>
      <c r="AD422" s="93"/>
      <c r="AE422" s="85"/>
    </row>
    <row r="423" spans="7:31" x14ac:dyDescent="0.35">
      <c r="G423" s="85"/>
      <c r="H423" s="87"/>
      <c r="I423" s="94">
        <v>14</v>
      </c>
      <c r="J423" s="93">
        <v>45314</v>
      </c>
      <c r="K423" s="87" t="s">
        <v>1673</v>
      </c>
      <c r="L423" s="87">
        <v>27.82</v>
      </c>
      <c r="M423" s="94"/>
      <c r="N423" s="93"/>
      <c r="O423" s="85"/>
      <c r="Q423" s="94"/>
      <c r="R423" s="93"/>
      <c r="S423" s="85"/>
      <c r="U423" s="94"/>
      <c r="V423" s="93"/>
      <c r="W423" s="85"/>
      <c r="Y423" s="94"/>
      <c r="Z423" s="93"/>
      <c r="AA423" s="85"/>
      <c r="AC423" s="94"/>
      <c r="AD423" s="93"/>
      <c r="AE423" s="85"/>
    </row>
    <row r="424" spans="7:31" x14ac:dyDescent="0.35">
      <c r="G424" s="85"/>
      <c r="H424" s="87"/>
      <c r="I424" s="94">
        <v>14</v>
      </c>
      <c r="J424" s="93">
        <v>45314</v>
      </c>
      <c r="K424" s="87" t="s">
        <v>2620</v>
      </c>
      <c r="L424" s="87">
        <v>16.66</v>
      </c>
      <c r="M424" s="94"/>
      <c r="N424" s="93"/>
      <c r="O424" s="85"/>
      <c r="Q424" s="94"/>
      <c r="R424" s="93"/>
      <c r="S424" s="85"/>
      <c r="U424" s="94"/>
      <c r="V424" s="93"/>
      <c r="W424" s="85"/>
      <c r="Y424" s="94"/>
      <c r="Z424" s="93"/>
      <c r="AA424" s="85"/>
      <c r="AC424" s="94"/>
      <c r="AD424" s="93"/>
      <c r="AE424" s="85"/>
    </row>
    <row r="425" spans="7:31" x14ac:dyDescent="0.35">
      <c r="G425" s="85"/>
      <c r="H425" s="87"/>
      <c r="I425" s="94">
        <v>14</v>
      </c>
      <c r="J425" s="93">
        <v>45315</v>
      </c>
      <c r="K425" s="87" t="s">
        <v>2621</v>
      </c>
      <c r="L425" s="87">
        <v>66.64</v>
      </c>
      <c r="M425" s="94"/>
      <c r="N425" s="93"/>
      <c r="O425" s="85"/>
      <c r="Q425" s="94"/>
      <c r="R425" s="93"/>
      <c r="S425" s="85"/>
      <c r="U425" s="94"/>
      <c r="V425" s="93"/>
      <c r="W425" s="85"/>
      <c r="Y425" s="94"/>
      <c r="Z425" s="93"/>
      <c r="AA425" s="85"/>
      <c r="AC425" s="94"/>
      <c r="AD425" s="93"/>
      <c r="AE425" s="85"/>
    </row>
    <row r="426" spans="7:31" x14ac:dyDescent="0.35">
      <c r="G426" s="85"/>
      <c r="H426" s="87"/>
      <c r="I426" s="94">
        <v>14</v>
      </c>
      <c r="J426" s="93">
        <v>45315</v>
      </c>
      <c r="K426" s="87" t="s">
        <v>2622</v>
      </c>
      <c r="L426" s="87">
        <v>29.98</v>
      </c>
      <c r="M426" s="94"/>
      <c r="N426" s="93"/>
      <c r="O426" s="85"/>
      <c r="Q426" s="94"/>
      <c r="R426" s="93"/>
      <c r="S426" s="85"/>
      <c r="U426" s="94"/>
      <c r="V426" s="93"/>
      <c r="W426" s="85"/>
      <c r="Y426" s="94"/>
      <c r="Z426" s="93"/>
      <c r="AA426" s="85"/>
      <c r="AC426" s="94"/>
      <c r="AD426" s="93"/>
      <c r="AE426" s="85"/>
    </row>
    <row r="427" spans="7:31" x14ac:dyDescent="0.35">
      <c r="G427" s="85"/>
      <c r="H427" s="87"/>
      <c r="I427" s="94">
        <v>14</v>
      </c>
      <c r="J427" s="93">
        <v>45315</v>
      </c>
      <c r="K427" s="87" t="s">
        <v>2625</v>
      </c>
      <c r="L427" s="87">
        <v>16.66</v>
      </c>
      <c r="M427" s="94"/>
      <c r="N427" s="93"/>
      <c r="O427" s="85"/>
      <c r="Q427" s="94"/>
      <c r="R427" s="93"/>
      <c r="S427" s="85"/>
      <c r="U427" s="94"/>
      <c r="V427" s="93"/>
      <c r="W427" s="85"/>
      <c r="Y427" s="94"/>
      <c r="Z427" s="93"/>
      <c r="AA427" s="85"/>
      <c r="AC427" s="94"/>
      <c r="AD427" s="93"/>
      <c r="AE427" s="85"/>
    </row>
    <row r="428" spans="7:31" x14ac:dyDescent="0.35">
      <c r="G428" s="85"/>
      <c r="H428" s="87"/>
      <c r="I428" s="94">
        <v>20</v>
      </c>
      <c r="J428" s="93">
        <v>45657</v>
      </c>
      <c r="K428" s="87" t="s">
        <v>2626</v>
      </c>
      <c r="L428" s="87">
        <v>2680</v>
      </c>
      <c r="M428" s="94"/>
      <c r="N428" s="93"/>
      <c r="O428" s="85"/>
      <c r="Q428" s="94"/>
      <c r="R428" s="93"/>
      <c r="S428" s="85"/>
      <c r="U428" s="94"/>
      <c r="V428" s="93"/>
      <c r="W428" s="85"/>
      <c r="Y428" s="94"/>
      <c r="Z428" s="93"/>
      <c r="AA428" s="85"/>
      <c r="AC428" s="94"/>
      <c r="AD428" s="93"/>
      <c r="AE428" s="85"/>
    </row>
    <row r="429" spans="7:31" x14ac:dyDescent="0.35">
      <c r="G429" s="85"/>
      <c r="H429" s="87"/>
      <c r="I429" s="94" t="s">
        <v>23</v>
      </c>
      <c r="J429" s="93" t="s">
        <v>1929</v>
      </c>
      <c r="K429" s="87" t="s">
        <v>2627</v>
      </c>
      <c r="L429" s="87">
        <f>5119-L428</f>
        <v>2439</v>
      </c>
      <c r="M429" s="94"/>
      <c r="N429" s="93"/>
      <c r="O429" s="85"/>
      <c r="Q429" s="94"/>
      <c r="R429" s="93"/>
      <c r="S429" s="85"/>
      <c r="U429" s="94"/>
      <c r="V429" s="93"/>
      <c r="W429" s="85"/>
      <c r="Y429" s="94"/>
      <c r="Z429" s="93"/>
      <c r="AA429" s="85"/>
      <c r="AC429" s="94"/>
      <c r="AD429" s="93"/>
      <c r="AE429" s="85"/>
    </row>
    <row r="430" spans="7:31" x14ac:dyDescent="0.35">
      <c r="G430" s="85"/>
      <c r="H430" s="87"/>
      <c r="I430" s="94">
        <v>7</v>
      </c>
      <c r="J430" s="93">
        <v>45355</v>
      </c>
      <c r="K430" s="87" t="s">
        <v>1510</v>
      </c>
      <c r="L430" s="87">
        <v>16.649999999999999</v>
      </c>
      <c r="M430" s="94"/>
      <c r="N430" s="93"/>
      <c r="O430" s="85"/>
      <c r="Q430" s="94"/>
      <c r="R430" s="93"/>
      <c r="S430" s="85"/>
      <c r="U430" s="94"/>
      <c r="V430" s="93"/>
      <c r="W430" s="85"/>
      <c r="Y430" s="94"/>
      <c r="Z430" s="93"/>
      <c r="AA430" s="85"/>
      <c r="AC430" s="94"/>
      <c r="AD430" s="93"/>
      <c r="AE430" s="85"/>
    </row>
    <row r="431" spans="7:31" x14ac:dyDescent="0.35">
      <c r="G431" s="85"/>
      <c r="H431" s="87"/>
      <c r="I431" s="94">
        <v>14</v>
      </c>
      <c r="J431" s="93">
        <v>45357</v>
      </c>
      <c r="K431" s="87" t="s">
        <v>2629</v>
      </c>
      <c r="L431" s="87">
        <v>106.5</v>
      </c>
      <c r="M431" s="94"/>
      <c r="N431" s="93"/>
      <c r="O431" s="85"/>
      <c r="Q431" s="94"/>
      <c r="R431" s="93"/>
      <c r="S431" s="85"/>
      <c r="U431" s="94"/>
      <c r="V431" s="93"/>
      <c r="W431" s="85"/>
      <c r="Y431" s="94"/>
      <c r="Z431" s="93"/>
      <c r="AA431" s="85"/>
      <c r="AC431" s="94"/>
      <c r="AD431" s="93"/>
      <c r="AE431" s="85"/>
    </row>
    <row r="432" spans="7:31" x14ac:dyDescent="0.35">
      <c r="G432" s="85"/>
      <c r="H432" s="87"/>
      <c r="I432" s="94">
        <v>14</v>
      </c>
      <c r="J432" s="93">
        <v>45355</v>
      </c>
      <c r="K432" s="87" t="s">
        <v>2635</v>
      </c>
      <c r="L432" s="87">
        <v>1638.92</v>
      </c>
      <c r="M432" s="94"/>
      <c r="N432" s="93"/>
      <c r="O432" s="85"/>
      <c r="Q432" s="94"/>
      <c r="R432" s="93"/>
      <c r="S432" s="85"/>
      <c r="U432" s="94"/>
      <c r="V432" s="93"/>
      <c r="W432" s="85"/>
      <c r="Y432" s="94"/>
      <c r="Z432" s="93"/>
      <c r="AA432" s="85"/>
      <c r="AC432" s="94"/>
      <c r="AD432" s="93"/>
      <c r="AE432" s="85"/>
    </row>
    <row r="433" spans="7:31" x14ac:dyDescent="0.35">
      <c r="G433" s="85"/>
      <c r="H433" s="87"/>
      <c r="I433" s="94">
        <v>13</v>
      </c>
      <c r="J433" s="93">
        <v>45352</v>
      </c>
      <c r="K433" s="87" t="s">
        <v>2638</v>
      </c>
      <c r="L433" s="87">
        <v>1708.33</v>
      </c>
      <c r="M433" s="94"/>
      <c r="N433" s="93"/>
      <c r="O433" s="85"/>
      <c r="Q433" s="94"/>
      <c r="R433" s="93"/>
      <c r="S433" s="85"/>
      <c r="U433" s="94"/>
      <c r="V433" s="93"/>
      <c r="W433" s="85"/>
      <c r="Y433" s="94"/>
      <c r="Z433" s="93"/>
      <c r="AA433" s="85"/>
      <c r="AC433" s="94"/>
      <c r="AD433" s="93"/>
      <c r="AE433" s="85"/>
    </row>
    <row r="434" spans="7:31" x14ac:dyDescent="0.35">
      <c r="G434" s="85"/>
      <c r="H434" s="87"/>
      <c r="I434" s="94">
        <v>18</v>
      </c>
      <c r="J434" s="93">
        <v>45357</v>
      </c>
      <c r="K434" s="87" t="s">
        <v>2639</v>
      </c>
      <c r="L434" s="87">
        <v>52.49</v>
      </c>
      <c r="M434" s="94"/>
      <c r="N434" s="93"/>
      <c r="O434" s="85"/>
      <c r="Q434" s="94"/>
      <c r="R434" s="93"/>
      <c r="S434" s="85"/>
      <c r="U434" s="94"/>
      <c r="V434" s="93"/>
      <c r="W434" s="85"/>
      <c r="Y434" s="94"/>
      <c r="Z434" s="93"/>
      <c r="AA434" s="85"/>
      <c r="AC434" s="94"/>
      <c r="AD434" s="93"/>
      <c r="AE434" s="85"/>
    </row>
    <row r="435" spans="7:31" x14ac:dyDescent="0.35">
      <c r="G435" s="85"/>
      <c r="H435" s="87"/>
      <c r="I435" s="94">
        <v>7</v>
      </c>
      <c r="J435" s="93">
        <v>45359</v>
      </c>
      <c r="K435" s="87" t="s">
        <v>1465</v>
      </c>
      <c r="L435" s="87">
        <v>13.32</v>
      </c>
      <c r="M435" s="94"/>
      <c r="N435" s="93"/>
      <c r="O435" s="85"/>
      <c r="Q435" s="94"/>
      <c r="R435" s="93"/>
      <c r="S435" s="85"/>
      <c r="U435" s="94"/>
      <c r="V435" s="93"/>
      <c r="W435" s="85"/>
      <c r="Y435" s="94"/>
      <c r="Z435" s="93"/>
      <c r="AA435" s="85"/>
      <c r="AC435" s="94"/>
      <c r="AD435" s="93"/>
      <c r="AE435" s="85"/>
    </row>
    <row r="436" spans="7:31" x14ac:dyDescent="0.35">
      <c r="G436" s="85"/>
      <c r="H436" s="87"/>
      <c r="I436" s="94">
        <v>14</v>
      </c>
      <c r="J436" s="93">
        <v>45328</v>
      </c>
      <c r="K436" s="87" t="s">
        <v>2643</v>
      </c>
      <c r="L436" s="87">
        <v>10.07</v>
      </c>
      <c r="M436" s="94"/>
      <c r="N436" s="93"/>
      <c r="O436" s="85"/>
      <c r="Q436" s="94"/>
      <c r="R436" s="93"/>
      <c r="S436" s="85"/>
      <c r="U436" s="94"/>
      <c r="V436" s="93"/>
      <c r="W436" s="85"/>
      <c r="Y436" s="94"/>
      <c r="Z436" s="93"/>
      <c r="AA436" s="85"/>
      <c r="AC436" s="94"/>
      <c r="AD436" s="93"/>
      <c r="AE436" s="85"/>
    </row>
    <row r="437" spans="7:31" x14ac:dyDescent="0.35">
      <c r="G437" s="85"/>
      <c r="H437" s="87"/>
      <c r="I437" s="94">
        <v>8</v>
      </c>
      <c r="J437" s="93">
        <v>45334</v>
      </c>
      <c r="K437" s="87" t="s">
        <v>1579</v>
      </c>
      <c r="L437" s="87">
        <v>19.7</v>
      </c>
      <c r="M437" s="94"/>
      <c r="N437" s="93"/>
      <c r="O437" s="85"/>
      <c r="Q437" s="94"/>
      <c r="R437" s="93"/>
      <c r="S437" s="85"/>
      <c r="U437" s="94"/>
      <c r="V437" s="93"/>
      <c r="W437" s="85"/>
      <c r="Y437" s="94"/>
      <c r="Z437" s="93"/>
      <c r="AA437" s="85"/>
      <c r="AC437" s="94"/>
      <c r="AD437" s="93"/>
      <c r="AE437" s="85"/>
    </row>
    <row r="438" spans="7:31" x14ac:dyDescent="0.35">
      <c r="G438" s="85"/>
      <c r="H438" s="87"/>
      <c r="I438" s="94">
        <v>14</v>
      </c>
      <c r="J438" s="93">
        <v>45344</v>
      </c>
      <c r="K438" s="87" t="s">
        <v>2644</v>
      </c>
      <c r="L438" s="87">
        <v>23.14</v>
      </c>
      <c r="M438" s="94"/>
      <c r="N438" s="93"/>
      <c r="O438" s="85"/>
      <c r="Q438" s="94"/>
      <c r="R438" s="93"/>
      <c r="S438" s="85"/>
      <c r="U438" s="94"/>
      <c r="V438" s="93"/>
      <c r="W438" s="85"/>
      <c r="Y438" s="94"/>
      <c r="Z438" s="93"/>
      <c r="AA438" s="85"/>
      <c r="AC438" s="94"/>
      <c r="AD438" s="93"/>
      <c r="AE438" s="85"/>
    </row>
    <row r="439" spans="7:31" x14ac:dyDescent="0.35">
      <c r="G439" s="85"/>
      <c r="H439" s="87"/>
      <c r="I439" s="94">
        <v>18</v>
      </c>
      <c r="J439" s="93">
        <v>45347</v>
      </c>
      <c r="K439" s="87" t="s">
        <v>2645</v>
      </c>
      <c r="L439" s="87">
        <v>229.92</v>
      </c>
      <c r="M439" s="94"/>
      <c r="N439" s="93"/>
      <c r="O439" s="85"/>
      <c r="Q439" s="94"/>
      <c r="R439" s="93"/>
      <c r="S439" s="85"/>
      <c r="U439" s="94"/>
      <c r="V439" s="93"/>
      <c r="W439" s="85"/>
      <c r="Y439" s="94"/>
      <c r="Z439" s="93"/>
      <c r="AA439" s="85"/>
      <c r="AC439" s="94"/>
      <c r="AD439" s="93"/>
      <c r="AE439" s="85"/>
    </row>
    <row r="440" spans="7:31" x14ac:dyDescent="0.35">
      <c r="G440" s="85"/>
      <c r="H440" s="87"/>
      <c r="I440" s="94">
        <v>16</v>
      </c>
      <c r="J440" s="93">
        <v>45347</v>
      </c>
      <c r="K440" s="87" t="s">
        <v>1674</v>
      </c>
      <c r="L440" s="87">
        <v>16.420000000000002</v>
      </c>
      <c r="M440" s="94"/>
      <c r="N440" s="93"/>
      <c r="O440" s="85"/>
      <c r="Q440" s="94"/>
      <c r="R440" s="93"/>
      <c r="S440" s="85"/>
      <c r="U440" s="94"/>
      <c r="V440" s="93"/>
      <c r="W440" s="85"/>
      <c r="Y440" s="94"/>
      <c r="Z440" s="93"/>
      <c r="AA440" s="85"/>
      <c r="AC440" s="94"/>
      <c r="AD440" s="93"/>
      <c r="AE440" s="85"/>
    </row>
    <row r="441" spans="7:31" x14ac:dyDescent="0.35">
      <c r="G441" s="85"/>
      <c r="H441" s="87"/>
      <c r="I441" s="94">
        <v>8</v>
      </c>
      <c r="J441" s="93">
        <v>45348</v>
      </c>
      <c r="K441" s="87" t="s">
        <v>1579</v>
      </c>
      <c r="L441" s="87">
        <v>6</v>
      </c>
      <c r="M441" s="94"/>
      <c r="N441" s="93"/>
      <c r="O441" s="85"/>
      <c r="Q441" s="94"/>
      <c r="R441" s="93"/>
      <c r="S441" s="85"/>
      <c r="U441" s="94"/>
      <c r="V441" s="93"/>
      <c r="W441" s="85"/>
      <c r="Y441" s="94"/>
      <c r="Z441" s="93"/>
      <c r="AA441" s="85"/>
      <c r="AC441" s="94"/>
      <c r="AD441" s="93"/>
      <c r="AE441" s="85"/>
    </row>
    <row r="442" spans="7:31" x14ac:dyDescent="0.35">
      <c r="G442" s="85"/>
      <c r="H442" s="87"/>
      <c r="I442" s="94">
        <v>8</v>
      </c>
      <c r="J442" s="93">
        <v>45348</v>
      </c>
      <c r="K442" s="87" t="s">
        <v>1579</v>
      </c>
      <c r="L442" s="87">
        <v>3.35</v>
      </c>
      <c r="M442" s="94"/>
      <c r="N442" s="93"/>
      <c r="O442" s="85"/>
      <c r="Q442" s="94"/>
      <c r="R442" s="93"/>
      <c r="S442" s="85"/>
      <c r="U442" s="94"/>
      <c r="V442" s="93"/>
      <c r="W442" s="85"/>
      <c r="Y442" s="94"/>
      <c r="Z442" s="93"/>
      <c r="AA442" s="85"/>
      <c r="AC442" s="94"/>
      <c r="AD442" s="93"/>
      <c r="AE442" s="85"/>
    </row>
    <row r="443" spans="7:31" x14ac:dyDescent="0.35">
      <c r="G443" s="85"/>
      <c r="H443" s="87"/>
      <c r="I443" s="94">
        <v>14</v>
      </c>
      <c r="J443" s="93">
        <v>45349</v>
      </c>
      <c r="K443" s="87" t="s">
        <v>2647</v>
      </c>
      <c r="L443" s="87">
        <v>27.48</v>
      </c>
      <c r="M443" s="94"/>
      <c r="N443" s="93"/>
      <c r="O443" s="85"/>
      <c r="Q443" s="94"/>
      <c r="R443" s="93"/>
      <c r="S443" s="85"/>
      <c r="U443" s="94"/>
      <c r="V443" s="93"/>
      <c r="W443" s="85"/>
      <c r="Y443" s="94"/>
      <c r="Z443" s="93"/>
      <c r="AA443" s="85"/>
      <c r="AC443" s="94"/>
      <c r="AD443" s="93"/>
      <c r="AE443" s="85"/>
    </row>
    <row r="444" spans="7:31" x14ac:dyDescent="0.35">
      <c r="G444" s="85"/>
      <c r="H444" s="87"/>
      <c r="I444" s="94">
        <v>8</v>
      </c>
      <c r="J444" s="93">
        <v>45351</v>
      </c>
      <c r="K444" s="87" t="s">
        <v>1579</v>
      </c>
      <c r="L444" s="87">
        <v>15</v>
      </c>
      <c r="M444" s="94"/>
      <c r="N444" s="93"/>
      <c r="O444" s="85"/>
      <c r="Q444" s="94"/>
      <c r="R444" s="93"/>
      <c r="S444" s="85"/>
      <c r="U444" s="94"/>
      <c r="V444" s="93"/>
      <c r="W444" s="85"/>
      <c r="Y444" s="94"/>
      <c r="Z444" s="93"/>
      <c r="AA444" s="85"/>
      <c r="AC444" s="94"/>
      <c r="AD444" s="93"/>
      <c r="AE444" s="85"/>
    </row>
    <row r="445" spans="7:31" x14ac:dyDescent="0.35">
      <c r="G445" s="85"/>
      <c r="H445" s="87"/>
      <c r="I445" s="94">
        <v>8</v>
      </c>
      <c r="J445" s="93">
        <v>45351</v>
      </c>
      <c r="K445" s="87" t="s">
        <v>2617</v>
      </c>
      <c r="L445" s="87">
        <v>3.27</v>
      </c>
      <c r="M445" s="94"/>
      <c r="N445" s="93"/>
      <c r="O445" s="85"/>
      <c r="Q445" s="94"/>
      <c r="R445" s="93"/>
      <c r="S445" s="85"/>
      <c r="U445" s="94"/>
      <c r="V445" s="93"/>
      <c r="W445" s="85"/>
      <c r="Y445" s="94"/>
      <c r="Z445" s="93"/>
      <c r="AA445" s="85"/>
      <c r="AC445" s="94"/>
      <c r="AD445" s="93"/>
      <c r="AE445" s="85"/>
    </row>
    <row r="446" spans="7:31" x14ac:dyDescent="0.35">
      <c r="G446" s="85"/>
      <c r="H446" s="87"/>
      <c r="I446" s="94">
        <v>16</v>
      </c>
      <c r="J446" s="93">
        <v>45336</v>
      </c>
      <c r="K446" s="87" t="s">
        <v>1674</v>
      </c>
      <c r="L446" s="87">
        <v>9.4700000000000006</v>
      </c>
      <c r="M446" s="94"/>
      <c r="N446" s="93"/>
      <c r="O446" s="85"/>
      <c r="Q446" s="94"/>
      <c r="R446" s="93"/>
      <c r="S446" s="85"/>
      <c r="U446" s="94"/>
      <c r="V446" s="93"/>
      <c r="W446" s="85"/>
      <c r="Y446" s="94"/>
      <c r="Z446" s="93"/>
      <c r="AA446" s="85"/>
      <c r="AC446" s="94"/>
      <c r="AD446" s="93"/>
      <c r="AE446" s="85"/>
    </row>
    <row r="447" spans="7:31" x14ac:dyDescent="0.35">
      <c r="G447" s="85"/>
      <c r="H447" s="87"/>
      <c r="I447" s="94">
        <v>18</v>
      </c>
      <c r="J447" s="93">
        <v>45337</v>
      </c>
      <c r="K447" s="87" t="s">
        <v>2650</v>
      </c>
      <c r="L447" s="87">
        <v>6.18</v>
      </c>
      <c r="M447" s="94"/>
      <c r="N447" s="93"/>
      <c r="O447" s="85"/>
      <c r="Q447" s="94"/>
      <c r="R447" s="93"/>
      <c r="S447" s="85"/>
      <c r="U447" s="94"/>
      <c r="V447" s="93"/>
      <c r="W447" s="85"/>
      <c r="Y447" s="94"/>
      <c r="Z447" s="93"/>
      <c r="AA447" s="85"/>
      <c r="AC447" s="94"/>
      <c r="AD447" s="93"/>
      <c r="AE447" s="85"/>
    </row>
    <row r="448" spans="7:31" x14ac:dyDescent="0.35">
      <c r="G448" s="85"/>
      <c r="H448" s="87"/>
      <c r="I448" s="94">
        <v>8</v>
      </c>
      <c r="J448" s="93">
        <v>45345</v>
      </c>
      <c r="K448" s="87" t="s">
        <v>1512</v>
      </c>
      <c r="L448" s="87">
        <v>44.99</v>
      </c>
      <c r="M448" s="94"/>
      <c r="N448" s="93"/>
      <c r="O448" s="85"/>
      <c r="Q448" s="94"/>
      <c r="R448" s="93"/>
      <c r="S448" s="85"/>
      <c r="U448" s="94"/>
      <c r="V448" s="93"/>
      <c r="W448" s="85"/>
      <c r="Y448" s="94"/>
      <c r="Z448" s="93"/>
      <c r="AA448" s="85"/>
      <c r="AC448" s="94"/>
      <c r="AD448" s="93"/>
      <c r="AE448" s="85"/>
    </row>
    <row r="449" spans="7:31" x14ac:dyDescent="0.35">
      <c r="G449" s="85"/>
      <c r="H449" s="87"/>
      <c r="I449" s="94">
        <v>18</v>
      </c>
      <c r="J449" s="93">
        <v>45349</v>
      </c>
      <c r="K449" s="87" t="s">
        <v>2653</v>
      </c>
      <c r="L449" s="87">
        <v>25</v>
      </c>
      <c r="M449" s="94"/>
      <c r="N449" s="93"/>
      <c r="O449" s="85"/>
      <c r="Q449" s="94"/>
      <c r="R449" s="93"/>
      <c r="S449" s="85"/>
      <c r="U449" s="94"/>
      <c r="V449" s="93"/>
      <c r="W449" s="85"/>
      <c r="Y449" s="94"/>
      <c r="Z449" s="93"/>
      <c r="AA449" s="85"/>
      <c r="AC449" s="94"/>
      <c r="AD449" s="93"/>
      <c r="AE449" s="85"/>
    </row>
    <row r="450" spans="7:31" x14ac:dyDescent="0.35">
      <c r="G450" s="85"/>
      <c r="H450" s="87"/>
      <c r="I450" s="94">
        <v>14</v>
      </c>
      <c r="J450" s="93">
        <v>45349</v>
      </c>
      <c r="K450" s="87" t="s">
        <v>2654</v>
      </c>
      <c r="L450" s="87">
        <v>21.64</v>
      </c>
      <c r="M450" s="94"/>
      <c r="N450" s="93"/>
      <c r="O450" s="85"/>
      <c r="Q450" s="94"/>
      <c r="R450" s="93"/>
      <c r="S450" s="85"/>
      <c r="U450" s="94"/>
      <c r="V450" s="93"/>
      <c r="W450" s="85"/>
      <c r="Y450" s="94"/>
      <c r="Z450" s="93"/>
      <c r="AA450" s="85"/>
      <c r="AC450" s="94"/>
      <c r="AD450" s="93"/>
      <c r="AE450" s="85"/>
    </row>
    <row r="451" spans="7:31" x14ac:dyDescent="0.35">
      <c r="G451" s="85"/>
      <c r="H451" s="87"/>
      <c r="I451" s="94">
        <v>8</v>
      </c>
      <c r="J451" s="93">
        <v>45373</v>
      </c>
      <c r="K451" s="87" t="s">
        <v>1558</v>
      </c>
      <c r="L451" s="87">
        <v>4</v>
      </c>
      <c r="M451" s="94"/>
      <c r="N451" s="93"/>
      <c r="O451" s="85"/>
      <c r="Q451" s="94"/>
      <c r="R451" s="93"/>
      <c r="S451" s="85"/>
      <c r="U451" s="94"/>
      <c r="V451" s="93"/>
      <c r="W451" s="85"/>
      <c r="Y451" s="94"/>
      <c r="Z451" s="93"/>
      <c r="AA451" s="85"/>
      <c r="AC451" s="94"/>
      <c r="AD451" s="93"/>
      <c r="AE451" s="85"/>
    </row>
    <row r="452" spans="7:31" x14ac:dyDescent="0.35">
      <c r="G452" s="85"/>
      <c r="H452" s="87"/>
      <c r="I452" s="94">
        <v>18</v>
      </c>
      <c r="J452" s="93">
        <v>45359</v>
      </c>
      <c r="K452" s="87" t="s">
        <v>2675</v>
      </c>
      <c r="L452" s="87">
        <v>1347.71</v>
      </c>
      <c r="M452" s="94"/>
      <c r="N452" s="93"/>
      <c r="O452" s="85"/>
      <c r="Q452" s="94"/>
      <c r="R452" s="93"/>
      <c r="S452" s="85"/>
      <c r="U452" s="94"/>
      <c r="V452" s="93"/>
      <c r="W452" s="85"/>
      <c r="Y452" s="94"/>
      <c r="Z452" s="93"/>
      <c r="AA452" s="85"/>
      <c r="AC452" s="94"/>
      <c r="AD452" s="93"/>
      <c r="AE452" s="85"/>
    </row>
    <row r="453" spans="7:31" x14ac:dyDescent="0.35">
      <c r="G453" s="85"/>
      <c r="H453" s="87"/>
      <c r="I453" s="94">
        <v>18</v>
      </c>
      <c r="J453" s="93">
        <v>45359</v>
      </c>
      <c r="K453" s="87" t="s">
        <v>2676</v>
      </c>
      <c r="L453" s="87">
        <v>1988.78</v>
      </c>
      <c r="M453" s="94"/>
      <c r="N453" s="93"/>
      <c r="O453" s="85"/>
      <c r="Q453" s="94"/>
      <c r="R453" s="93"/>
      <c r="S453" s="85"/>
      <c r="U453" s="94"/>
      <c r="V453" s="93"/>
      <c r="W453" s="85"/>
      <c r="Y453" s="94"/>
      <c r="Z453" s="93"/>
      <c r="AA453" s="85"/>
      <c r="AC453" s="94"/>
      <c r="AD453" s="93"/>
      <c r="AE453" s="85"/>
    </row>
    <row r="454" spans="7:31" x14ac:dyDescent="0.35">
      <c r="G454" s="85"/>
      <c r="H454" s="87"/>
      <c r="I454" s="94">
        <v>9</v>
      </c>
      <c r="J454" s="93">
        <v>45331</v>
      </c>
      <c r="K454" s="87" t="s">
        <v>2695</v>
      </c>
      <c r="L454" s="87">
        <v>912</v>
      </c>
      <c r="M454" s="94"/>
      <c r="N454" s="93"/>
      <c r="O454" s="85"/>
      <c r="Q454" s="94"/>
      <c r="R454" s="93"/>
      <c r="S454" s="85"/>
      <c r="U454" s="94"/>
      <c r="V454" s="93"/>
      <c r="W454" s="85"/>
      <c r="Y454" s="94"/>
      <c r="Z454" s="93"/>
      <c r="AA454" s="85"/>
      <c r="AC454" s="94"/>
      <c r="AD454" s="93"/>
      <c r="AE454" s="85"/>
    </row>
    <row r="455" spans="7:31" x14ac:dyDescent="0.35">
      <c r="G455" s="85"/>
      <c r="H455" s="87"/>
      <c r="I455" s="94">
        <v>9</v>
      </c>
      <c r="J455" s="93">
        <v>45360</v>
      </c>
      <c r="K455" s="87" t="s">
        <v>2696</v>
      </c>
      <c r="L455" s="87">
        <v>920</v>
      </c>
      <c r="M455" s="94"/>
      <c r="N455" s="93"/>
      <c r="O455" s="85"/>
      <c r="Q455" s="94"/>
      <c r="R455" s="93"/>
      <c r="S455" s="85"/>
      <c r="U455" s="94"/>
      <c r="V455" s="93"/>
      <c r="W455" s="85"/>
      <c r="Y455" s="94"/>
      <c r="Z455" s="93"/>
      <c r="AA455" s="85"/>
      <c r="AC455" s="94"/>
      <c r="AD455" s="93"/>
      <c r="AE455" s="85"/>
    </row>
    <row r="456" spans="7:31" x14ac:dyDescent="0.35">
      <c r="G456" s="85"/>
      <c r="H456" s="87"/>
      <c r="I456" s="94">
        <v>13</v>
      </c>
      <c r="J456" s="93">
        <v>45310</v>
      </c>
      <c r="K456" s="87" t="s">
        <v>2705</v>
      </c>
      <c r="L456" s="87">
        <v>1083.6600000000001</v>
      </c>
      <c r="M456" s="94"/>
      <c r="N456" s="93"/>
      <c r="O456" s="85"/>
      <c r="Q456" s="94"/>
      <c r="R456" s="93"/>
      <c r="S456" s="85"/>
      <c r="U456" s="94"/>
      <c r="V456" s="93"/>
      <c r="W456" s="85"/>
      <c r="Y456" s="94"/>
      <c r="Z456" s="93"/>
      <c r="AA456" s="85"/>
      <c r="AC456" s="94"/>
      <c r="AD456" s="93"/>
      <c r="AE456" s="85"/>
    </row>
    <row r="457" spans="7:31" x14ac:dyDescent="0.35">
      <c r="G457" s="85"/>
      <c r="H457" s="87"/>
      <c r="I457" s="94">
        <v>13</v>
      </c>
      <c r="J457" s="93">
        <v>45323</v>
      </c>
      <c r="K457" s="87" t="s">
        <v>2706</v>
      </c>
      <c r="L457" s="87">
        <v>1708.33</v>
      </c>
      <c r="M457" s="94"/>
      <c r="N457" s="93"/>
      <c r="O457" s="85"/>
      <c r="Q457" s="94"/>
      <c r="R457" s="93"/>
      <c r="S457" s="85"/>
      <c r="U457" s="94"/>
      <c r="V457" s="93"/>
      <c r="W457" s="85"/>
      <c r="Y457" s="94"/>
      <c r="Z457" s="93"/>
      <c r="AA457" s="85"/>
      <c r="AC457" s="94"/>
      <c r="AD457" s="93"/>
      <c r="AE457" s="85"/>
    </row>
    <row r="458" spans="7:31" x14ac:dyDescent="0.35">
      <c r="G458" s="85"/>
      <c r="H458" s="87"/>
      <c r="I458" s="94">
        <v>15</v>
      </c>
      <c r="J458" s="93">
        <v>45356</v>
      </c>
      <c r="K458" s="87" t="s">
        <v>2714</v>
      </c>
      <c r="L458" s="87">
        <v>1916.84</v>
      </c>
      <c r="M458" s="94"/>
      <c r="N458" s="93"/>
      <c r="O458" s="85"/>
      <c r="Q458" s="94"/>
      <c r="R458" s="93"/>
      <c r="S458" s="85"/>
      <c r="U458" s="94"/>
      <c r="V458" s="93"/>
      <c r="W458" s="85"/>
      <c r="Y458" s="94"/>
      <c r="Z458" s="93"/>
      <c r="AA458" s="85"/>
      <c r="AC458" s="94"/>
      <c r="AD458" s="93"/>
      <c r="AE458" s="85"/>
    </row>
    <row r="459" spans="7:31" x14ac:dyDescent="0.35">
      <c r="G459" s="85"/>
      <c r="H459" s="87"/>
      <c r="I459" s="94">
        <v>15</v>
      </c>
      <c r="J459" s="93">
        <v>45356</v>
      </c>
      <c r="K459" s="87" t="s">
        <v>2715</v>
      </c>
      <c r="L459" s="87">
        <v>1694.4</v>
      </c>
      <c r="M459" s="94"/>
      <c r="N459" s="93"/>
      <c r="O459" s="85"/>
      <c r="Q459" s="94"/>
      <c r="R459" s="93"/>
      <c r="S459" s="85"/>
      <c r="U459" s="94"/>
      <c r="V459" s="93"/>
      <c r="W459" s="85"/>
      <c r="Y459" s="94"/>
      <c r="Z459" s="93"/>
      <c r="AA459" s="85"/>
      <c r="AC459" s="94"/>
      <c r="AD459" s="93"/>
      <c r="AE459" s="85"/>
    </row>
    <row r="460" spans="7:31" x14ac:dyDescent="0.35">
      <c r="G460" s="85"/>
      <c r="H460" s="87"/>
      <c r="I460" s="94">
        <v>14</v>
      </c>
      <c r="J460" s="93">
        <v>45308</v>
      </c>
      <c r="K460" s="87" t="s">
        <v>2727</v>
      </c>
      <c r="L460" s="87">
        <v>22.81</v>
      </c>
      <c r="M460" s="94"/>
      <c r="N460" s="93"/>
      <c r="O460" s="85"/>
      <c r="Q460" s="94"/>
      <c r="R460" s="93"/>
      <c r="S460" s="85"/>
      <c r="U460" s="94"/>
      <c r="V460" s="93"/>
      <c r="W460" s="85"/>
      <c r="Y460" s="94"/>
      <c r="Z460" s="93"/>
      <c r="AA460" s="85"/>
      <c r="AC460" s="94"/>
      <c r="AD460" s="93"/>
      <c r="AE460" s="85"/>
    </row>
    <row r="461" spans="7:31" x14ac:dyDescent="0.35">
      <c r="G461" s="85"/>
      <c r="H461" s="87"/>
      <c r="I461" s="94">
        <v>14</v>
      </c>
      <c r="J461" s="93">
        <v>45313</v>
      </c>
      <c r="K461" s="87" t="s">
        <v>1607</v>
      </c>
      <c r="L461" s="87">
        <v>34.75</v>
      </c>
      <c r="M461" s="94"/>
      <c r="N461" s="93"/>
      <c r="O461" s="85"/>
      <c r="Q461" s="94"/>
      <c r="R461" s="93"/>
      <c r="S461" s="85"/>
      <c r="U461" s="94"/>
      <c r="V461" s="93"/>
      <c r="W461" s="85"/>
      <c r="Y461" s="94"/>
      <c r="Z461" s="93"/>
      <c r="AA461" s="85"/>
      <c r="AC461" s="94"/>
      <c r="AD461" s="93"/>
      <c r="AE461" s="85"/>
    </row>
    <row r="462" spans="7:31" x14ac:dyDescent="0.35">
      <c r="G462" s="85"/>
      <c r="H462" s="87"/>
      <c r="I462" s="94">
        <v>14</v>
      </c>
      <c r="J462" s="93">
        <v>45314</v>
      </c>
      <c r="K462" s="87" t="s">
        <v>1614</v>
      </c>
      <c r="L462" s="87">
        <v>5500</v>
      </c>
      <c r="M462" s="94"/>
      <c r="N462" s="93"/>
      <c r="O462" s="85"/>
      <c r="Q462" s="94"/>
      <c r="R462" s="93"/>
      <c r="S462" s="85"/>
      <c r="U462" s="94"/>
      <c r="V462" s="93"/>
      <c r="W462" s="85"/>
      <c r="Y462" s="94"/>
      <c r="Z462" s="93"/>
      <c r="AA462" s="85"/>
      <c r="AC462" s="94"/>
      <c r="AD462" s="93"/>
      <c r="AE462" s="85"/>
    </row>
    <row r="463" spans="7:31" x14ac:dyDescent="0.35">
      <c r="G463" s="85"/>
      <c r="H463" s="87"/>
      <c r="I463" s="94">
        <v>14</v>
      </c>
      <c r="J463" s="93">
        <v>45317</v>
      </c>
      <c r="K463" s="87" t="s">
        <v>2728</v>
      </c>
      <c r="L463" s="87">
        <v>1400</v>
      </c>
      <c r="M463" s="94"/>
      <c r="N463" s="93"/>
      <c r="O463" s="85"/>
      <c r="Q463" s="94"/>
      <c r="R463" s="93"/>
      <c r="S463" s="85"/>
      <c r="U463" s="94"/>
      <c r="V463" s="93"/>
      <c r="W463" s="85"/>
      <c r="Y463" s="94"/>
      <c r="Z463" s="93"/>
      <c r="AA463" s="85"/>
      <c r="AC463" s="94"/>
      <c r="AD463" s="93"/>
      <c r="AE463" s="85"/>
    </row>
    <row r="464" spans="7:31" x14ac:dyDescent="0.35">
      <c r="G464" s="85"/>
      <c r="H464" s="87"/>
      <c r="I464" s="94">
        <v>14</v>
      </c>
      <c r="J464" s="93">
        <v>45348</v>
      </c>
      <c r="K464" s="87" t="s">
        <v>2729</v>
      </c>
      <c r="L464" s="87">
        <v>34.86</v>
      </c>
      <c r="M464" s="94"/>
      <c r="N464" s="93"/>
      <c r="O464" s="85"/>
      <c r="Q464" s="94"/>
      <c r="R464" s="93"/>
      <c r="S464" s="85"/>
      <c r="U464" s="94"/>
      <c r="V464" s="93"/>
      <c r="W464" s="85"/>
      <c r="Y464" s="94"/>
      <c r="Z464" s="93"/>
      <c r="AA464" s="85"/>
      <c r="AC464" s="94"/>
      <c r="AD464" s="93"/>
      <c r="AE464" s="85"/>
    </row>
    <row r="465" spans="7:31" x14ac:dyDescent="0.35">
      <c r="G465" s="85"/>
      <c r="H465" s="87"/>
      <c r="I465" s="94">
        <v>14</v>
      </c>
      <c r="J465" s="93">
        <v>45355</v>
      </c>
      <c r="K465" s="87" t="s">
        <v>1484</v>
      </c>
      <c r="L465" s="87">
        <v>100</v>
      </c>
      <c r="M465" s="94"/>
      <c r="N465" s="93"/>
      <c r="O465" s="85"/>
      <c r="Q465" s="94"/>
      <c r="R465" s="93"/>
      <c r="S465" s="85"/>
      <c r="U465" s="94"/>
      <c r="V465" s="93"/>
      <c r="W465" s="85"/>
      <c r="Y465" s="94"/>
      <c r="Z465" s="93"/>
      <c r="AA465" s="85"/>
      <c r="AC465" s="94"/>
      <c r="AD465" s="93"/>
      <c r="AE465" s="85"/>
    </row>
    <row r="466" spans="7:31" x14ac:dyDescent="0.35">
      <c r="G466" s="85"/>
      <c r="H466" s="87"/>
      <c r="I466" s="94">
        <v>14</v>
      </c>
      <c r="J466" s="93">
        <v>45359</v>
      </c>
      <c r="K466" s="87" t="s">
        <v>1630</v>
      </c>
      <c r="L466" s="87">
        <v>33</v>
      </c>
      <c r="M466" s="94"/>
      <c r="N466" s="93"/>
      <c r="O466" s="85"/>
      <c r="Q466" s="94"/>
      <c r="R466" s="93"/>
      <c r="S466" s="85"/>
      <c r="U466" s="94"/>
      <c r="V466" s="93"/>
      <c r="W466" s="85"/>
      <c r="Y466" s="94"/>
      <c r="Z466" s="93"/>
      <c r="AA466" s="85"/>
      <c r="AC466" s="94"/>
      <c r="AD466" s="93"/>
      <c r="AE466" s="85"/>
    </row>
    <row r="467" spans="7:31" x14ac:dyDescent="0.35">
      <c r="G467" s="85"/>
      <c r="H467" s="87"/>
      <c r="I467" s="94">
        <v>14</v>
      </c>
      <c r="J467" s="93">
        <v>45369</v>
      </c>
      <c r="K467" s="87" t="s">
        <v>2557</v>
      </c>
      <c r="L467" s="87">
        <v>183.1</v>
      </c>
      <c r="M467" s="94"/>
      <c r="N467" s="93"/>
      <c r="O467" s="85"/>
      <c r="Q467" s="94"/>
      <c r="R467" s="93"/>
      <c r="S467" s="85"/>
      <c r="U467" s="94"/>
      <c r="V467" s="93"/>
      <c r="W467" s="85"/>
      <c r="Y467" s="94"/>
      <c r="Z467" s="93"/>
      <c r="AA467" s="85"/>
      <c r="AC467" s="94"/>
      <c r="AD467" s="93"/>
      <c r="AE467" s="85"/>
    </row>
    <row r="468" spans="7:31" x14ac:dyDescent="0.35">
      <c r="G468" s="85"/>
      <c r="H468" s="87"/>
      <c r="I468" s="94">
        <v>6</v>
      </c>
      <c r="J468" s="93">
        <v>45352</v>
      </c>
      <c r="K468" s="87" t="s">
        <v>2733</v>
      </c>
      <c r="L468" s="87">
        <v>903.75</v>
      </c>
      <c r="M468" s="94"/>
      <c r="N468" s="93"/>
      <c r="O468" s="85"/>
      <c r="Q468" s="94"/>
      <c r="R468" s="93"/>
      <c r="S468" s="85"/>
      <c r="U468" s="94"/>
      <c r="V468" s="93"/>
      <c r="W468" s="85"/>
      <c r="Y468" s="94"/>
      <c r="Z468" s="93"/>
      <c r="AA468" s="85"/>
      <c r="AC468" s="94"/>
      <c r="AD468" s="93"/>
      <c r="AE468" s="85"/>
    </row>
    <row r="469" spans="7:31" x14ac:dyDescent="0.35">
      <c r="G469" s="85"/>
      <c r="H469" s="87"/>
      <c r="I469" s="94">
        <v>18</v>
      </c>
      <c r="J469" s="93">
        <v>45377</v>
      </c>
      <c r="K469" s="87" t="s">
        <v>2736</v>
      </c>
      <c r="L469" s="87">
        <v>3408.89</v>
      </c>
      <c r="M469" s="94"/>
      <c r="N469" s="93"/>
      <c r="O469" s="85"/>
      <c r="Q469" s="94"/>
      <c r="R469" s="93"/>
      <c r="S469" s="85"/>
      <c r="U469" s="94"/>
      <c r="V469" s="93"/>
      <c r="W469" s="85"/>
      <c r="Y469" s="94"/>
      <c r="Z469" s="93"/>
      <c r="AA469" s="85"/>
      <c r="AC469" s="94"/>
      <c r="AD469" s="93"/>
      <c r="AE469" s="85"/>
    </row>
    <row r="470" spans="7:31" x14ac:dyDescent="0.35">
      <c r="G470" s="85"/>
      <c r="H470" s="87"/>
      <c r="I470" s="94">
        <v>18</v>
      </c>
      <c r="J470" s="93">
        <v>45377</v>
      </c>
      <c r="K470" s="87" t="s">
        <v>2737</v>
      </c>
      <c r="L470" s="87">
        <v>220</v>
      </c>
      <c r="M470" s="94"/>
      <c r="N470" s="93"/>
      <c r="O470" s="85"/>
      <c r="Q470" s="94"/>
      <c r="R470" s="93"/>
      <c r="S470" s="85"/>
      <c r="U470" s="94"/>
      <c r="V470" s="93"/>
      <c r="W470" s="85"/>
      <c r="Y470" s="94"/>
      <c r="Z470" s="93"/>
      <c r="AA470" s="85"/>
      <c r="AC470" s="94"/>
      <c r="AD470" s="93"/>
      <c r="AE470" s="85"/>
    </row>
    <row r="471" spans="7:31" x14ac:dyDescent="0.35">
      <c r="G471" s="85"/>
      <c r="H471" s="87"/>
      <c r="I471" s="94">
        <v>14</v>
      </c>
      <c r="J471" s="93">
        <v>45378</v>
      </c>
      <c r="K471" s="87" t="s">
        <v>2751</v>
      </c>
      <c r="L471" s="87">
        <v>12</v>
      </c>
      <c r="M471" s="94"/>
      <c r="N471" s="93"/>
      <c r="O471" s="85"/>
      <c r="Q471" s="94"/>
      <c r="R471" s="93"/>
      <c r="S471" s="85"/>
      <c r="U471" s="94"/>
      <c r="V471" s="93"/>
      <c r="W471" s="85"/>
      <c r="Y471" s="94"/>
      <c r="Z471" s="93"/>
      <c r="AA471" s="85"/>
      <c r="AC471" s="94"/>
      <c r="AD471" s="93"/>
      <c r="AE471" s="85"/>
    </row>
    <row r="472" spans="7:31" x14ac:dyDescent="0.35">
      <c r="G472" s="85"/>
      <c r="H472" s="87"/>
      <c r="I472" s="94">
        <v>20</v>
      </c>
      <c r="J472" s="93">
        <v>45369</v>
      </c>
      <c r="K472" s="87" t="s">
        <v>1584</v>
      </c>
      <c r="L472" s="87">
        <v>553.37</v>
      </c>
      <c r="M472" s="94"/>
      <c r="N472" s="93"/>
      <c r="O472" s="85"/>
      <c r="Q472" s="94"/>
      <c r="R472" s="93"/>
      <c r="S472" s="85"/>
      <c r="U472" s="94"/>
      <c r="V472" s="93"/>
      <c r="W472" s="85"/>
      <c r="Y472" s="94"/>
      <c r="Z472" s="93"/>
      <c r="AA472" s="85"/>
      <c r="AC472" s="94"/>
      <c r="AD472" s="93"/>
      <c r="AE472" s="85"/>
    </row>
    <row r="473" spans="7:31" x14ac:dyDescent="0.35">
      <c r="G473" s="85"/>
      <c r="H473" s="87"/>
      <c r="I473" s="94">
        <v>7</v>
      </c>
      <c r="J473" s="93">
        <v>45379</v>
      </c>
      <c r="K473" s="87" t="s">
        <v>1510</v>
      </c>
      <c r="L473" s="87">
        <v>23.31</v>
      </c>
      <c r="M473" s="94"/>
      <c r="N473" s="93"/>
      <c r="O473" s="85"/>
      <c r="Q473" s="94"/>
      <c r="R473" s="93"/>
      <c r="S473" s="85"/>
      <c r="U473" s="94"/>
      <c r="V473" s="93"/>
      <c r="W473" s="85"/>
      <c r="Y473" s="94"/>
      <c r="Z473" s="93"/>
      <c r="AA473" s="85"/>
      <c r="AC473" s="94"/>
      <c r="AD473" s="93"/>
      <c r="AE473" s="85"/>
    </row>
    <row r="474" spans="7:31" x14ac:dyDescent="0.35">
      <c r="G474" s="85"/>
      <c r="H474" s="87"/>
      <c r="I474" s="94">
        <v>7</v>
      </c>
      <c r="J474" s="93">
        <v>45379</v>
      </c>
      <c r="K474" s="87" t="s">
        <v>1465</v>
      </c>
      <c r="L474" s="87">
        <v>9.99</v>
      </c>
      <c r="M474" s="94"/>
      <c r="N474" s="93"/>
      <c r="O474" s="85"/>
      <c r="Q474" s="94"/>
      <c r="R474" s="93"/>
      <c r="S474" s="85"/>
      <c r="U474" s="94"/>
      <c r="V474" s="93"/>
      <c r="W474" s="85"/>
      <c r="Y474" s="94"/>
      <c r="Z474" s="93"/>
      <c r="AA474" s="85"/>
      <c r="AC474" s="94"/>
      <c r="AD474" s="93"/>
      <c r="AE474" s="85"/>
    </row>
    <row r="475" spans="7:31" x14ac:dyDescent="0.35">
      <c r="G475" s="85"/>
      <c r="H475" s="87"/>
      <c r="I475" s="94">
        <v>14</v>
      </c>
      <c r="J475" s="93">
        <v>45379</v>
      </c>
      <c r="K475" s="87" t="s">
        <v>2755</v>
      </c>
      <c r="L475" s="87">
        <v>358.29</v>
      </c>
      <c r="M475" s="94"/>
      <c r="N475" s="93"/>
      <c r="O475" s="85"/>
      <c r="Q475" s="94"/>
      <c r="R475" s="93"/>
      <c r="S475" s="85"/>
      <c r="U475" s="94"/>
      <c r="V475" s="93"/>
      <c r="W475" s="85"/>
      <c r="Y475" s="94"/>
      <c r="Z475" s="93"/>
      <c r="AA475" s="85"/>
      <c r="AC475" s="94"/>
      <c r="AD475" s="93"/>
      <c r="AE475" s="85"/>
    </row>
    <row r="476" spans="7:31" x14ac:dyDescent="0.35">
      <c r="G476" s="85"/>
      <c r="H476" s="87"/>
      <c r="I476" s="94">
        <v>18</v>
      </c>
      <c r="J476" s="93">
        <v>45379</v>
      </c>
      <c r="K476" s="87" t="s">
        <v>2757</v>
      </c>
      <c r="L476" s="87">
        <v>29.73</v>
      </c>
      <c r="M476" s="94"/>
      <c r="N476" s="93"/>
      <c r="O476" s="85"/>
      <c r="Q476" s="94"/>
      <c r="R476" s="93"/>
      <c r="S476" s="85"/>
      <c r="U476" s="94"/>
      <c r="V476" s="93"/>
      <c r="W476" s="85"/>
      <c r="Y476" s="94"/>
      <c r="Z476" s="93"/>
      <c r="AA476" s="85"/>
      <c r="AC476" s="94"/>
      <c r="AD476" s="93"/>
      <c r="AE476" s="85"/>
    </row>
    <row r="477" spans="7:31" x14ac:dyDescent="0.35">
      <c r="G477" s="85"/>
      <c r="H477" s="87"/>
      <c r="I477" s="94">
        <v>8</v>
      </c>
      <c r="J477" s="93">
        <v>45379</v>
      </c>
      <c r="K477" s="87" t="s">
        <v>1558</v>
      </c>
      <c r="L477" s="87">
        <v>15.81</v>
      </c>
      <c r="M477" s="94"/>
      <c r="N477" s="93"/>
      <c r="O477" s="85"/>
      <c r="Q477" s="94"/>
      <c r="R477" s="93"/>
      <c r="S477" s="85"/>
      <c r="U477" s="94"/>
      <c r="V477" s="93"/>
      <c r="W477" s="85"/>
      <c r="Y477" s="94"/>
      <c r="Z477" s="93"/>
      <c r="AA477" s="85"/>
      <c r="AC477" s="94"/>
      <c r="AD477" s="93"/>
      <c r="AE477" s="85"/>
    </row>
    <row r="478" spans="7:31" x14ac:dyDescent="0.35">
      <c r="G478" s="85"/>
      <c r="H478" s="87"/>
      <c r="I478" s="94">
        <v>16</v>
      </c>
      <c r="J478" s="93">
        <v>45379</v>
      </c>
      <c r="K478" s="87" t="s">
        <v>2758</v>
      </c>
      <c r="L478" s="87">
        <v>3</v>
      </c>
      <c r="M478" s="94"/>
      <c r="N478" s="93"/>
      <c r="O478" s="85"/>
      <c r="Q478" s="94"/>
      <c r="R478" s="93"/>
      <c r="S478" s="85"/>
      <c r="U478" s="94"/>
      <c r="V478" s="93"/>
      <c r="W478" s="85"/>
      <c r="Y478" s="94"/>
      <c r="Z478" s="93"/>
      <c r="AA478" s="85"/>
      <c r="AC478" s="94"/>
      <c r="AD478" s="93"/>
      <c r="AE478" s="85"/>
    </row>
    <row r="479" spans="7:31" x14ac:dyDescent="0.35">
      <c r="G479" s="85"/>
      <c r="H479" s="87"/>
      <c r="I479" s="94">
        <v>16</v>
      </c>
      <c r="J479" s="93">
        <v>45379</v>
      </c>
      <c r="K479" s="87" t="s">
        <v>2760</v>
      </c>
      <c r="L479" s="87">
        <v>1.25</v>
      </c>
      <c r="M479" s="94"/>
      <c r="N479" s="93"/>
      <c r="O479" s="85"/>
      <c r="Q479" s="94"/>
      <c r="R479" s="93"/>
      <c r="S479" s="85"/>
      <c r="U479" s="94"/>
      <c r="V479" s="93"/>
      <c r="W479" s="85"/>
      <c r="Y479" s="94"/>
      <c r="Z479" s="93"/>
      <c r="AA479" s="85"/>
      <c r="AC479" s="94"/>
      <c r="AD479" s="93"/>
      <c r="AE479" s="85"/>
    </row>
    <row r="480" spans="7:31" x14ac:dyDescent="0.35">
      <c r="G480" s="85"/>
      <c r="H480" s="87"/>
      <c r="I480" s="94">
        <v>16</v>
      </c>
      <c r="J480" s="93" t="s">
        <v>775</v>
      </c>
      <c r="K480" s="87" t="s">
        <v>2779</v>
      </c>
      <c r="L480" s="87">
        <v>160.52000000000001</v>
      </c>
      <c r="M480" s="94"/>
      <c r="N480" s="93"/>
      <c r="O480" s="85"/>
      <c r="Q480" s="94"/>
      <c r="R480" s="93"/>
      <c r="S480" s="85"/>
      <c r="U480" s="94"/>
      <c r="V480" s="93"/>
      <c r="W480" s="85"/>
      <c r="Y480" s="94"/>
      <c r="Z480" s="93"/>
      <c r="AA480" s="85"/>
      <c r="AC480" s="94"/>
      <c r="AD480" s="93"/>
      <c r="AE480" s="85"/>
    </row>
    <row r="481" spans="7:31" x14ac:dyDescent="0.35">
      <c r="G481" s="85"/>
      <c r="H481" s="87"/>
      <c r="I481" s="94">
        <v>14</v>
      </c>
      <c r="J481" s="93" t="s">
        <v>775</v>
      </c>
      <c r="K481" s="87" t="s">
        <v>2790</v>
      </c>
      <c r="L481" s="87">
        <v>1150</v>
      </c>
      <c r="M481" s="94"/>
      <c r="N481" s="93"/>
      <c r="O481" s="85"/>
      <c r="Q481" s="94"/>
      <c r="R481" s="93"/>
      <c r="S481" s="85"/>
      <c r="U481" s="94"/>
      <c r="V481" s="93"/>
      <c r="W481" s="85"/>
      <c r="Y481" s="94"/>
      <c r="Z481" s="93"/>
      <c r="AA481" s="85"/>
      <c r="AC481" s="94"/>
      <c r="AD481" s="93"/>
      <c r="AE481" s="85"/>
    </row>
    <row r="482" spans="7:31" x14ac:dyDescent="0.35">
      <c r="G482" s="85"/>
      <c r="H482" s="87"/>
      <c r="I482" s="94">
        <v>16</v>
      </c>
      <c r="J482" s="93" t="s">
        <v>775</v>
      </c>
      <c r="K482" s="87" t="s">
        <v>2791</v>
      </c>
      <c r="L482" s="87">
        <v>40.96</v>
      </c>
      <c r="M482" s="94"/>
      <c r="N482" s="93"/>
      <c r="O482" s="85"/>
      <c r="Q482" s="94"/>
      <c r="R482" s="93"/>
      <c r="S482" s="85"/>
      <c r="U482" s="94"/>
      <c r="V482" s="93"/>
      <c r="W482" s="85"/>
      <c r="Y482" s="94"/>
      <c r="Z482" s="93"/>
      <c r="AA482" s="85"/>
      <c r="AC482" s="94"/>
      <c r="AD482" s="93"/>
      <c r="AE482" s="85"/>
    </row>
    <row r="483" spans="7:31" x14ac:dyDescent="0.35">
      <c r="G483" s="85"/>
      <c r="H483" s="87"/>
      <c r="I483" s="94">
        <v>10</v>
      </c>
      <c r="J483" s="93" t="s">
        <v>775</v>
      </c>
      <c r="K483" s="87" t="s">
        <v>2792</v>
      </c>
      <c r="L483" s="87">
        <v>109.99</v>
      </c>
      <c r="M483" s="94"/>
      <c r="N483" s="93"/>
      <c r="O483" s="85"/>
      <c r="Q483" s="94"/>
      <c r="R483" s="93"/>
      <c r="S483" s="85"/>
      <c r="U483" s="94"/>
      <c r="V483" s="93"/>
      <c r="W483" s="85"/>
      <c r="Y483" s="94"/>
      <c r="Z483" s="93"/>
      <c r="AA483" s="85"/>
      <c r="AC483" s="94"/>
      <c r="AD483" s="93"/>
      <c r="AE483" s="85"/>
    </row>
    <row r="484" spans="7:31" x14ac:dyDescent="0.35">
      <c r="G484" s="85"/>
      <c r="H484" s="87"/>
      <c r="I484" s="94">
        <v>8</v>
      </c>
      <c r="J484" s="93" t="s">
        <v>775</v>
      </c>
      <c r="K484" s="87" t="s">
        <v>2793</v>
      </c>
      <c r="L484" s="87">
        <v>78.099999999999994</v>
      </c>
      <c r="M484" s="94"/>
      <c r="N484" s="93"/>
      <c r="O484" s="85"/>
      <c r="Q484" s="94"/>
      <c r="R484" s="93"/>
      <c r="S484" s="85"/>
      <c r="U484" s="94"/>
      <c r="V484" s="93"/>
      <c r="W484" s="85"/>
      <c r="Y484" s="94"/>
      <c r="Z484" s="93"/>
      <c r="AA484" s="85"/>
      <c r="AC484" s="94"/>
      <c r="AD484" s="93"/>
      <c r="AE484" s="85"/>
    </row>
    <row r="485" spans="7:31" x14ac:dyDescent="0.35">
      <c r="G485" s="85"/>
      <c r="H485" s="87"/>
      <c r="I485" s="94">
        <v>13</v>
      </c>
      <c r="J485" s="93">
        <v>45376</v>
      </c>
      <c r="K485" s="87" t="s">
        <v>2810</v>
      </c>
      <c r="L485" s="87">
        <v>553.57000000000005</v>
      </c>
      <c r="M485" s="94"/>
      <c r="N485" s="93"/>
      <c r="O485" s="85"/>
      <c r="Q485" s="94"/>
      <c r="R485" s="93"/>
      <c r="S485" s="85"/>
      <c r="U485" s="94"/>
      <c r="V485" s="93"/>
      <c r="W485" s="85"/>
      <c r="Y485" s="94"/>
      <c r="Z485" s="93"/>
      <c r="AA485" s="85"/>
      <c r="AC485" s="94"/>
      <c r="AD485" s="93"/>
      <c r="AE485" s="85"/>
    </row>
    <row r="486" spans="7:31" x14ac:dyDescent="0.35">
      <c r="G486" s="85"/>
      <c r="H486" s="87"/>
      <c r="I486" s="94">
        <v>13</v>
      </c>
      <c r="J486" s="93" t="s">
        <v>775</v>
      </c>
      <c r="K486" s="87" t="s">
        <v>2811</v>
      </c>
      <c r="L486" s="148">
        <f>L485*31/60</f>
        <v>286.01116666666672</v>
      </c>
      <c r="M486" s="94"/>
      <c r="N486" s="93"/>
      <c r="O486" s="85"/>
      <c r="Q486" s="94"/>
      <c r="R486" s="93"/>
      <c r="S486" s="85"/>
      <c r="U486" s="94"/>
      <c r="V486" s="93"/>
      <c r="W486" s="85"/>
      <c r="Y486" s="94"/>
      <c r="Z486" s="93"/>
      <c r="AA486" s="85"/>
      <c r="AC486" s="94"/>
      <c r="AD486" s="93"/>
      <c r="AE486" s="85"/>
    </row>
    <row r="487" spans="7:31" x14ac:dyDescent="0.35">
      <c r="G487" s="85"/>
      <c r="H487" s="87"/>
      <c r="K487" s="85"/>
      <c r="M487" s="94"/>
      <c r="N487" s="93"/>
      <c r="O487" s="85"/>
      <c r="Q487" s="94"/>
      <c r="R487" s="93"/>
      <c r="S487" s="85"/>
      <c r="U487" s="94"/>
      <c r="V487" s="93"/>
      <c r="W487" s="85"/>
      <c r="Y487" s="94"/>
      <c r="Z487" s="93"/>
      <c r="AA487" s="85"/>
      <c r="AC487" s="94"/>
      <c r="AD487" s="93"/>
      <c r="AE487" s="85"/>
    </row>
    <row r="488" spans="7:31" x14ac:dyDescent="0.35">
      <c r="G488" s="85"/>
      <c r="H488" s="87"/>
      <c r="K488" s="85"/>
      <c r="M488" s="94"/>
      <c r="N488" s="93"/>
      <c r="O488" s="85"/>
      <c r="Q488" s="94"/>
      <c r="R488" s="93"/>
      <c r="S488" s="85"/>
      <c r="U488" s="94"/>
      <c r="V488" s="93"/>
      <c r="W488" s="85"/>
      <c r="Y488" s="94"/>
      <c r="Z488" s="93"/>
      <c r="AA488" s="85"/>
      <c r="AC488" s="94"/>
      <c r="AD488" s="93"/>
      <c r="AE488" s="85"/>
    </row>
    <row r="489" spans="7:31" x14ac:dyDescent="0.35">
      <c r="G489" s="85"/>
      <c r="H489" s="87"/>
      <c r="K489" s="85"/>
      <c r="M489" s="94"/>
      <c r="N489" s="93"/>
      <c r="O489" s="85"/>
      <c r="Q489" s="94"/>
      <c r="R489" s="93"/>
      <c r="S489" s="85"/>
      <c r="U489" s="94"/>
      <c r="V489" s="93"/>
      <c r="W489" s="85"/>
      <c r="Y489" s="94"/>
      <c r="Z489" s="93"/>
      <c r="AA489" s="85"/>
      <c r="AC489" s="94"/>
      <c r="AD489" s="93"/>
      <c r="AE489" s="85"/>
    </row>
    <row r="490" spans="7:31" x14ac:dyDescent="0.35">
      <c r="G490" s="85"/>
      <c r="H490" s="87"/>
      <c r="K490" s="85"/>
      <c r="M490" s="94"/>
      <c r="N490" s="93"/>
      <c r="O490" s="85"/>
      <c r="Q490" s="94"/>
      <c r="R490" s="93"/>
      <c r="S490" s="85"/>
      <c r="U490" s="94"/>
      <c r="V490" s="93"/>
      <c r="W490" s="85"/>
      <c r="Y490" s="94"/>
      <c r="Z490" s="93"/>
      <c r="AA490" s="85"/>
      <c r="AC490" s="94"/>
      <c r="AD490" s="93"/>
      <c r="AE490" s="85"/>
    </row>
    <row r="491" spans="7:31" x14ac:dyDescent="0.35">
      <c r="G491" s="85"/>
      <c r="H491" s="87"/>
      <c r="K491" s="85"/>
      <c r="M491" s="94"/>
      <c r="N491" s="93"/>
      <c r="O491" s="85"/>
      <c r="Q491" s="94"/>
      <c r="R491" s="93"/>
      <c r="S491" s="85"/>
      <c r="U491" s="94"/>
      <c r="V491" s="93"/>
      <c r="W491" s="85"/>
      <c r="Y491" s="94"/>
      <c r="Z491" s="93"/>
      <c r="AA491" s="85"/>
      <c r="AC491" s="94"/>
      <c r="AD491" s="93"/>
      <c r="AE491" s="85"/>
    </row>
    <row r="492" spans="7:31" x14ac:dyDescent="0.35">
      <c r="G492" s="85"/>
      <c r="H492" s="87"/>
      <c r="K492" s="85"/>
      <c r="M492" s="94"/>
      <c r="N492" s="93"/>
      <c r="O492" s="85"/>
      <c r="Q492" s="94"/>
      <c r="R492" s="93"/>
      <c r="S492" s="85"/>
      <c r="U492" s="94"/>
      <c r="V492" s="93"/>
      <c r="W492" s="85"/>
      <c r="Y492" s="94"/>
      <c r="Z492" s="93"/>
      <c r="AA492" s="85"/>
      <c r="AC492" s="94"/>
      <c r="AD492" s="93"/>
      <c r="AE492" s="85"/>
    </row>
    <row r="493" spans="7:31" x14ac:dyDescent="0.35">
      <c r="G493" s="85"/>
      <c r="H493" s="87"/>
      <c r="K493" s="85"/>
      <c r="M493" s="94"/>
      <c r="N493" s="93"/>
      <c r="O493" s="85"/>
      <c r="Q493" s="94"/>
      <c r="R493" s="93"/>
      <c r="S493" s="85"/>
      <c r="U493" s="94"/>
      <c r="V493" s="93"/>
      <c r="W493" s="85"/>
      <c r="Y493" s="94"/>
      <c r="Z493" s="93"/>
      <c r="AA493" s="85"/>
      <c r="AC493" s="94"/>
      <c r="AD493" s="93"/>
      <c r="AE493" s="85"/>
    </row>
    <row r="494" spans="7:31" x14ac:dyDescent="0.35">
      <c r="G494" s="85"/>
      <c r="H494" s="87"/>
      <c r="K494" s="85"/>
      <c r="M494" s="94"/>
      <c r="N494" s="93"/>
      <c r="O494" s="85"/>
      <c r="Q494" s="94"/>
      <c r="R494" s="93"/>
      <c r="S494" s="85"/>
      <c r="U494" s="94"/>
      <c r="V494" s="93"/>
      <c r="W494" s="85"/>
      <c r="Y494" s="94"/>
      <c r="Z494" s="93"/>
      <c r="AA494" s="85"/>
      <c r="AC494" s="94"/>
      <c r="AD494" s="93"/>
      <c r="AE494" s="85"/>
    </row>
    <row r="495" spans="7:31" x14ac:dyDescent="0.35">
      <c r="G495" s="85"/>
      <c r="H495" s="87"/>
      <c r="K495" s="85"/>
      <c r="M495" s="94"/>
      <c r="N495" s="93"/>
      <c r="O495" s="85"/>
      <c r="Q495" s="94"/>
      <c r="R495" s="93"/>
      <c r="S495" s="85"/>
      <c r="U495" s="94"/>
      <c r="V495" s="93"/>
      <c r="W495" s="85"/>
      <c r="Y495" s="94"/>
      <c r="Z495" s="93"/>
      <c r="AA495" s="85"/>
      <c r="AC495" s="94"/>
      <c r="AD495" s="93"/>
      <c r="AE495" s="85"/>
    </row>
    <row r="496" spans="7:31" x14ac:dyDescent="0.35">
      <c r="G496" s="85"/>
      <c r="H496" s="87"/>
      <c r="K496" s="85"/>
      <c r="M496" s="94"/>
      <c r="N496" s="93"/>
      <c r="O496" s="85"/>
      <c r="Q496" s="94"/>
      <c r="R496" s="93"/>
      <c r="S496" s="85"/>
      <c r="U496" s="94"/>
      <c r="V496" s="93"/>
      <c r="W496" s="85"/>
      <c r="Y496" s="94"/>
      <c r="Z496" s="93"/>
      <c r="AA496" s="85"/>
      <c r="AC496" s="94"/>
      <c r="AD496" s="93"/>
      <c r="AE496" s="85"/>
    </row>
    <row r="497" spans="7:31" x14ac:dyDescent="0.35">
      <c r="G497" s="85"/>
      <c r="H497" s="87"/>
      <c r="K497" s="85"/>
      <c r="M497" s="94"/>
      <c r="N497" s="93"/>
      <c r="O497" s="85"/>
      <c r="Q497" s="94"/>
      <c r="R497" s="93"/>
      <c r="S497" s="85"/>
      <c r="U497" s="94"/>
      <c r="V497" s="93"/>
      <c r="W497" s="85"/>
      <c r="Y497" s="94"/>
      <c r="Z497" s="93"/>
      <c r="AA497" s="85"/>
      <c r="AC497" s="94"/>
      <c r="AD497" s="93"/>
      <c r="AE497" s="85"/>
    </row>
    <row r="498" spans="7:31" x14ac:dyDescent="0.35">
      <c r="G498" s="85"/>
      <c r="H498" s="87"/>
      <c r="K498" s="85"/>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Q987" s="94"/>
      <c r="R987" s="93"/>
      <c r="S987" s="85"/>
      <c r="U987" s="94"/>
      <c r="V987" s="93"/>
      <c r="W987" s="85"/>
      <c r="Y987" s="94"/>
      <c r="Z987" s="93"/>
      <c r="AA987" s="85"/>
      <c r="AC987" s="94"/>
      <c r="AD987" s="93"/>
      <c r="AE987" s="85"/>
    </row>
    <row r="988" spans="7:31" x14ac:dyDescent="0.35">
      <c r="K988" s="85"/>
    </row>
    <row r="989" spans="7:31" x14ac:dyDescent="0.35">
      <c r="K989" s="85"/>
    </row>
    <row r="990" spans="7:31" x14ac:dyDescent="0.35">
      <c r="K990" s="85"/>
    </row>
    <row r="991" spans="7:31" x14ac:dyDescent="0.35">
      <c r="K991" s="85"/>
    </row>
    <row r="992" spans="7:31" x14ac:dyDescent="0.35">
      <c r="K992" s="85"/>
    </row>
    <row r="993" spans="11:11" x14ac:dyDescent="0.35">
      <c r="K993" s="85"/>
    </row>
    <row r="994" spans="11:11" x14ac:dyDescent="0.35">
      <c r="K994" s="85"/>
    </row>
    <row r="995" spans="11:11" x14ac:dyDescent="0.35">
      <c r="K995" s="85"/>
    </row>
    <row r="996" spans="11:11" x14ac:dyDescent="0.35">
      <c r="K996" s="85"/>
    </row>
    <row r="997" spans="11:11" x14ac:dyDescent="0.35">
      <c r="K997" s="85"/>
    </row>
    <row r="998" spans="11:11" x14ac:dyDescent="0.35">
      <c r="K998" s="85"/>
    </row>
    <row r="999" spans="11:11" x14ac:dyDescent="0.35">
      <c r="K999" s="85"/>
    </row>
    <row r="1000" spans="11:11" x14ac:dyDescent="0.35">
      <c r="K1000" s="85"/>
    </row>
  </sheetData>
  <autoFilter ref="E15:M455" xr:uid="{00000000-0001-0000-2500-000000000000}"/>
  <conditionalFormatting sqref="A1:AG16 A17:L1048576 Q17:AG1048576 M17:P17">
    <cfRule type="expression" dxfId="20" priority="1">
      <formula>$A4="Spend to Date"</formula>
    </cfRule>
  </conditionalFormatting>
  <conditionalFormatting sqref="M18:P1048576">
    <cfRule type="expression" dxfId="19" priority="80">
      <formula>$A20="Spend to Date"</formula>
    </cfRule>
  </conditionalFormatting>
  <pageMargins left="0.7" right="0.7" top="0.75" bottom="0.75" header="0.3" footer="0.3"/>
  <pageSetup scale="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AH1001"/>
  <sheetViews>
    <sheetView zoomScaleNormal="100" workbookViewId="0">
      <pane xSplit="2" ySplit="1" topLeftCell="K441" activePane="bottomRight" state="frozen"/>
      <selection pane="topRight" activeCell="C1" sqref="C1"/>
      <selection pane="bottomLeft" activeCell="A2" sqref="A2"/>
      <selection pane="bottomRight" activeCell="K459" sqref="K459"/>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94" bestFit="1" customWidth="1"/>
    <col min="10" max="10" width="19.54296875" style="93" bestFit="1" customWidth="1"/>
    <col min="11" max="11" width="32.54296875" style="87" customWidth="1"/>
    <col min="12" max="12" width="39.54296875" style="87" customWidth="1"/>
    <col min="13" max="13" width="31.1796875" style="89" customWidth="1"/>
    <col min="14" max="14" width="13.81640625" style="87" customWidth="1"/>
    <col min="15" max="15" width="11.81640625" style="87" bestFit="1" customWidth="1"/>
    <col min="16" max="16" width="35.17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4" ht="20.5" customHeight="1" x14ac:dyDescent="0.35">
      <c r="A1" s="84" t="s">
        <v>2861</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4" x14ac:dyDescent="0.35">
      <c r="A2" s="86" t="s">
        <v>10</v>
      </c>
      <c r="D2" s="87"/>
      <c r="E2" s="87">
        <f>SUM(E3:E3)</f>
        <v>0</v>
      </c>
      <c r="F2" s="87">
        <f>SUM(F3:F3)</f>
        <v>-60020</v>
      </c>
      <c r="I2" s="89">
        <f>SUM(I3:I3)</f>
        <v>0</v>
      </c>
      <c r="J2" s="87">
        <f>SUM(J3:J3)</f>
        <v>0</v>
      </c>
      <c r="K2" s="113"/>
      <c r="M2" s="89">
        <f>SUM(M3:M3)</f>
        <v>0</v>
      </c>
      <c r="N2" s="87">
        <f>SUM(N3:N3)</f>
        <v>0</v>
      </c>
      <c r="Q2" s="89">
        <f>SUM(Q3:Q3)</f>
        <v>0</v>
      </c>
      <c r="R2" s="87">
        <f>SUM(R3:R3)</f>
        <v>0</v>
      </c>
      <c r="U2" s="89">
        <f>SUM(U3:U3)</f>
        <v>0</v>
      </c>
      <c r="V2" s="87">
        <f>SUM(V3:V3)</f>
        <v>0</v>
      </c>
      <c r="Y2" s="89">
        <f>SUM(Y3:Y3)</f>
        <v>0</v>
      </c>
      <c r="Z2" s="87">
        <f>SUM(Z3:Z3)</f>
        <v>0</v>
      </c>
      <c r="AC2" s="89">
        <f>SUM(AC3:AC3)</f>
        <v>0</v>
      </c>
      <c r="AD2" s="87">
        <f>SUM(AD3:AD3)</f>
        <v>0</v>
      </c>
    </row>
    <row r="3" spans="1:34" ht="26.5" customHeight="1" x14ac:dyDescent="0.35">
      <c r="A3" s="86" t="s">
        <v>2861</v>
      </c>
      <c r="B3" s="85">
        <v>1</v>
      </c>
      <c r="D3" s="86">
        <v>0</v>
      </c>
      <c r="E3" s="87">
        <v>0</v>
      </c>
      <c r="F3" s="87">
        <f>SUMIFS(H$17:H$993,E$17:E$993,$B3)</f>
        <v>-60020</v>
      </c>
      <c r="G3" s="87">
        <f>D3+E3-F3+SUMIFS(E$6:E$7,$C$6:$C$7,$A3)-SUMIFS(F$6:F$7,$C$6:$C$7,$A3)</f>
        <v>60020</v>
      </c>
      <c r="I3" s="91">
        <v>0</v>
      </c>
      <c r="J3" s="87">
        <f>SUMIFS(L$17:L$1006,I$17:I$1006,$B3)</f>
        <v>0</v>
      </c>
      <c r="K3" s="87">
        <v>0</v>
      </c>
      <c r="L3" s="84" t="s">
        <v>222</v>
      </c>
      <c r="M3" s="89">
        <v>0</v>
      </c>
      <c r="N3" s="87">
        <f>SUMIFS(P$17:P$991,M$17:M$991,$B3)</f>
        <v>0</v>
      </c>
      <c r="O3" s="87">
        <f>K3+M3-N3+SUMIFS(M$6:M$10,$C$6:$C$10,$A3)-SUMIFS(N$6:N$10,$C$6:$C$10,$A3)</f>
        <v>20678.32</v>
      </c>
      <c r="P3" s="85"/>
      <c r="R3" s="87">
        <f>SUMIFS(T$17:T$993,Q$17:Q$993,$B3)</f>
        <v>0</v>
      </c>
      <c r="S3" s="87">
        <f>O3+Q3-R3+SUMIFS(Q$6:Q$7,$C$6:$C$7,$A3)-SUMIFS(R$6:R$7,$C$6:$C$7,$A3)</f>
        <v>20678.32</v>
      </c>
      <c r="V3" s="87">
        <f>SUMIFS(X$17:X$993,U$17:U$993,$B3)</f>
        <v>0</v>
      </c>
      <c r="W3" s="87">
        <f>S3+U3-V3+SUMIFS(U$6:U$7,$C$6:$C$7,$A3)-SUMIFS(V$6:V$7,$C$6:$C$7,$A3)</f>
        <v>20678.32</v>
      </c>
      <c r="Z3" s="87">
        <f>SUMIFS(AB$17:AB$993,Y$17:Y$993,$B3)</f>
        <v>0</v>
      </c>
      <c r="AA3" s="87">
        <f>W3+Y3-Z3+SUMIFS(Y$6:Y$7,$C$6:$C$7,$A3)-SUMIFS(Z$6:Z$7,$C$6:$C$7,$A3)</f>
        <v>20678.32</v>
      </c>
      <c r="AD3" s="87">
        <f>SUMIFS(AF$17:AF$993,AC$17:AC$993,$B3)</f>
        <v>0</v>
      </c>
      <c r="AE3" s="87">
        <f>AA3+AC3-AD3+SUMIFS(AC$6:AC$7,$C$6:$C$7,$A3)-SUMIFS(AD$6:AD$7,$C$6:$C$7,$A3)</f>
        <v>20678.32</v>
      </c>
      <c r="AG3" s="87">
        <v>100000</v>
      </c>
    </row>
    <row r="4" spans="1:34" ht="26.5" customHeight="1" x14ac:dyDescent="0.35">
      <c r="E4" s="87"/>
      <c r="F4" s="87"/>
      <c r="I4" s="89"/>
      <c r="J4" s="87"/>
      <c r="P4" s="85"/>
    </row>
    <row r="5" spans="1:34" x14ac:dyDescent="0.35">
      <c r="A5" s="84" t="s">
        <v>3014</v>
      </c>
      <c r="D5" s="84"/>
      <c r="E5" s="87">
        <f>SUM(E6:E10)</f>
        <v>0</v>
      </c>
      <c r="F5" s="87">
        <f>SUM(F6:F10)</f>
        <v>0</v>
      </c>
      <c r="I5" s="87">
        <f>SUM(I6:I10)</f>
        <v>190000</v>
      </c>
      <c r="J5" s="87">
        <f>SUM(J6:J10)</f>
        <v>205602.56999999992</v>
      </c>
      <c r="M5" s="87">
        <f>SUM(M6:M10)</f>
        <v>43050</v>
      </c>
      <c r="N5" s="87">
        <f>SUM(N6:N10)</f>
        <v>22371.68</v>
      </c>
      <c r="Q5" s="89">
        <f>SUM(Q6:Q7)</f>
        <v>0</v>
      </c>
      <c r="R5" s="87">
        <f>$Q$5</f>
        <v>0</v>
      </c>
      <c r="U5" s="89">
        <f>SUM(U6:U7)</f>
        <v>0</v>
      </c>
      <c r="V5" s="87">
        <f>$U$5</f>
        <v>0</v>
      </c>
      <c r="Y5" s="89">
        <f>SUM(Y6:Y7)</f>
        <v>0</v>
      </c>
      <c r="Z5" s="87">
        <f>$Y$5</f>
        <v>0</v>
      </c>
      <c r="AC5" s="89">
        <f>SUM(AC6:AC7)</f>
        <v>0</v>
      </c>
      <c r="AD5" s="87">
        <f>$AC$5</f>
        <v>0</v>
      </c>
    </row>
    <row r="6" spans="1:34" s="90" customFormat="1" x14ac:dyDescent="0.35">
      <c r="A6" s="86" t="s">
        <v>237</v>
      </c>
      <c r="B6" s="92">
        <v>14</v>
      </c>
      <c r="C6" s="92" t="s">
        <v>2861</v>
      </c>
      <c r="D6" s="84"/>
      <c r="E6" s="90">
        <v>0</v>
      </c>
      <c r="F6" s="90">
        <f>SUMIFS(H$17:H$993,E$17:E$993,$B6)</f>
        <v>0</v>
      </c>
      <c r="H6" s="99"/>
      <c r="I6" s="91">
        <v>160000</v>
      </c>
      <c r="J6" s="90">
        <f>SUMIFS(L$17:L$1006,I$17:I$1006,$B6)</f>
        <v>192328.42999999993</v>
      </c>
      <c r="M6" s="89">
        <v>0</v>
      </c>
      <c r="N6" s="87">
        <f>SUMIFS(P$17:P$1006,M$17:M$1006,$B6)</f>
        <v>2474.3999999999996</v>
      </c>
      <c r="P6" s="105"/>
      <c r="Q6" s="91">
        <v>0</v>
      </c>
      <c r="R6" s="90">
        <f>$Q$6</f>
        <v>0</v>
      </c>
      <c r="U6" s="91">
        <v>0</v>
      </c>
      <c r="V6" s="90">
        <f>$U$6</f>
        <v>0</v>
      </c>
      <c r="Y6" s="91">
        <v>0</v>
      </c>
      <c r="Z6" s="90">
        <f>$Y$6</f>
        <v>0</v>
      </c>
      <c r="AC6" s="91">
        <v>0</v>
      </c>
      <c r="AD6" s="90">
        <f>$AC$6</f>
        <v>0</v>
      </c>
    </row>
    <row r="7" spans="1:34" ht="29" x14ac:dyDescent="0.35">
      <c r="A7" s="84" t="s">
        <v>238</v>
      </c>
      <c r="B7" s="92">
        <v>15</v>
      </c>
      <c r="C7" s="92" t="s">
        <v>2861</v>
      </c>
      <c r="D7" s="84"/>
      <c r="E7" s="90">
        <v>0</v>
      </c>
      <c r="F7" s="90">
        <f>SUMIFS(H$17:H$993,E$17:E$993,$B7)</f>
        <v>0</v>
      </c>
      <c r="I7" s="89">
        <v>30000</v>
      </c>
      <c r="J7" s="90">
        <f>SUMIFS(L$17:L$1006,I$17:I$1006,$B7)</f>
        <v>13274.139999999998</v>
      </c>
      <c r="M7" s="89">
        <v>15000</v>
      </c>
      <c r="N7" s="87">
        <f>SUMIFS(P$17:P$1006,M$17:M$1006,$B7)</f>
        <v>4010.38</v>
      </c>
      <c r="P7" s="105"/>
    </row>
    <row r="8" spans="1:34" ht="29" x14ac:dyDescent="0.35">
      <c r="A8" s="105" t="s">
        <v>1444</v>
      </c>
      <c r="B8" s="108">
        <v>21</v>
      </c>
      <c r="C8" s="108" t="s">
        <v>2861</v>
      </c>
      <c r="D8" s="87">
        <v>0</v>
      </c>
      <c r="E8" s="87">
        <v>0</v>
      </c>
      <c r="F8" s="87">
        <v>0</v>
      </c>
      <c r="G8" s="96"/>
      <c r="H8" s="96"/>
      <c r="I8" s="87">
        <v>0</v>
      </c>
      <c r="J8" s="87">
        <v>0</v>
      </c>
      <c r="K8" s="96"/>
      <c r="L8" s="96"/>
      <c r="M8" s="89">
        <v>8050</v>
      </c>
      <c r="N8" s="87">
        <f>SUMIFS(P$17:P$1006,M$17:M$1006,$B8)</f>
        <v>3450</v>
      </c>
      <c r="O8" s="96"/>
      <c r="P8" s="105"/>
      <c r="Q8" s="95"/>
      <c r="R8" s="96"/>
      <c r="S8" s="96"/>
      <c r="T8" s="96"/>
      <c r="U8" s="95"/>
      <c r="V8" s="96"/>
      <c r="W8" s="96"/>
      <c r="X8" s="96"/>
      <c r="Y8" s="95"/>
      <c r="Z8" s="96"/>
      <c r="AA8" s="96"/>
      <c r="AB8" s="96"/>
      <c r="AC8" s="95"/>
      <c r="AD8" s="96"/>
      <c r="AE8" s="96"/>
      <c r="AF8" s="96"/>
      <c r="AG8" s="96"/>
      <c r="AH8" s="96"/>
    </row>
    <row r="9" spans="1:34" ht="58" x14ac:dyDescent="0.35">
      <c r="A9" s="105" t="s">
        <v>1445</v>
      </c>
      <c r="B9" s="108">
        <v>22</v>
      </c>
      <c r="C9" s="108" t="s">
        <v>2861</v>
      </c>
      <c r="D9" s="87">
        <v>0</v>
      </c>
      <c r="E9" s="87">
        <v>0</v>
      </c>
      <c r="F9" s="87">
        <v>0</v>
      </c>
      <c r="G9" s="96"/>
      <c r="H9" s="96"/>
      <c r="I9" s="87">
        <v>0</v>
      </c>
      <c r="J9" s="87">
        <v>0</v>
      </c>
      <c r="K9" s="96"/>
      <c r="L9" s="96"/>
      <c r="M9" s="89">
        <v>10000</v>
      </c>
      <c r="N9" s="87">
        <f>SUMIFS(P$17:P$1006,M$17:M$1006,$B9)</f>
        <v>9422.76</v>
      </c>
      <c r="O9" s="96"/>
      <c r="P9" s="105"/>
      <c r="Q9" s="95"/>
      <c r="R9" s="96"/>
      <c r="S9" s="96"/>
      <c r="T9" s="96"/>
      <c r="U9" s="95"/>
      <c r="V9" s="96"/>
      <c r="W9" s="96"/>
      <c r="X9" s="96"/>
      <c r="Y9" s="95"/>
      <c r="Z9" s="96"/>
      <c r="AA9" s="96"/>
      <c r="AB9" s="96"/>
      <c r="AC9" s="95"/>
      <c r="AD9" s="96"/>
      <c r="AE9" s="96"/>
      <c r="AF9" s="96"/>
      <c r="AG9" s="96"/>
      <c r="AH9" s="96"/>
    </row>
    <row r="10" spans="1:34" ht="29" x14ac:dyDescent="0.35">
      <c r="A10" s="105" t="s">
        <v>1446</v>
      </c>
      <c r="B10" s="108">
        <v>23</v>
      </c>
      <c r="C10" s="108" t="s">
        <v>2861</v>
      </c>
      <c r="D10" s="87">
        <v>0</v>
      </c>
      <c r="E10" s="87">
        <v>0</v>
      </c>
      <c r="F10" s="87">
        <v>0</v>
      </c>
      <c r="G10" s="96"/>
      <c r="H10" s="96"/>
      <c r="I10" s="87">
        <v>0</v>
      </c>
      <c r="J10" s="87">
        <v>0</v>
      </c>
      <c r="K10" s="96"/>
      <c r="L10" s="96"/>
      <c r="M10" s="89">
        <v>10000</v>
      </c>
      <c r="N10" s="87">
        <f>SUMIFS(P$17:P$1006,M$17:M$1006,$B10)</f>
        <v>3014.14</v>
      </c>
      <c r="O10" s="96"/>
      <c r="P10" s="105"/>
      <c r="Q10" s="95"/>
      <c r="R10" s="96"/>
      <c r="S10" s="96"/>
      <c r="T10" s="96"/>
      <c r="U10" s="95"/>
      <c r="V10" s="96"/>
      <c r="W10" s="96"/>
      <c r="X10" s="96"/>
      <c r="Y10" s="95"/>
      <c r="Z10" s="96"/>
      <c r="AA10" s="96"/>
      <c r="AB10" s="96"/>
      <c r="AC10" s="95"/>
      <c r="AD10" s="96"/>
      <c r="AE10" s="96"/>
      <c r="AF10" s="96"/>
      <c r="AG10" s="96"/>
      <c r="AH10" s="96"/>
    </row>
    <row r="11" spans="1:34" x14ac:dyDescent="0.35">
      <c r="B11" s="92"/>
      <c r="D11" s="84"/>
      <c r="E11" s="87"/>
      <c r="F11" s="87"/>
      <c r="I11" s="89"/>
      <c r="J11" s="87"/>
    </row>
    <row r="12" spans="1:34" x14ac:dyDescent="0.35">
      <c r="E12" s="87"/>
      <c r="F12" s="87"/>
      <c r="I12" s="89"/>
      <c r="J12" s="87"/>
    </row>
    <row r="13" spans="1:34" x14ac:dyDescent="0.35">
      <c r="E13" s="87"/>
      <c r="F13" s="87"/>
      <c r="I13" s="89"/>
      <c r="J13" s="87"/>
    </row>
    <row r="14" spans="1:34" x14ac:dyDescent="0.35">
      <c r="E14" s="87"/>
      <c r="F14" s="87"/>
      <c r="I14" s="89"/>
      <c r="J14" s="87"/>
    </row>
    <row r="15" spans="1:34" x14ac:dyDescent="0.35">
      <c r="A15" s="84" t="s">
        <v>487</v>
      </c>
      <c r="G15" s="85"/>
      <c r="H15" s="87"/>
      <c r="K15" s="85"/>
      <c r="M15" s="94"/>
      <c r="N15" s="93"/>
      <c r="O15" s="85"/>
      <c r="Q15" s="94"/>
      <c r="R15" s="93"/>
      <c r="S15" s="85"/>
      <c r="U15" s="94"/>
      <c r="V15" s="93"/>
      <c r="W15" s="85"/>
      <c r="Y15" s="94"/>
      <c r="Z15" s="93"/>
      <c r="AA15" s="85"/>
      <c r="AC15" s="94"/>
      <c r="AD15" s="93"/>
      <c r="AE15" s="85"/>
    </row>
    <row r="16" spans="1:34" x14ac:dyDescent="0.35">
      <c r="E16" s="85" t="s">
        <v>484</v>
      </c>
      <c r="F16" s="93" t="s">
        <v>488</v>
      </c>
      <c r="G16" s="85" t="s">
        <v>489</v>
      </c>
      <c r="H16" s="87" t="s">
        <v>475</v>
      </c>
      <c r="I16" s="85" t="s">
        <v>484</v>
      </c>
      <c r="J16" s="93" t="s">
        <v>488</v>
      </c>
      <c r="K16" s="85" t="s">
        <v>489</v>
      </c>
      <c r="L16" s="87" t="s">
        <v>475</v>
      </c>
      <c r="M16" s="85" t="s">
        <v>484</v>
      </c>
      <c r="N16" s="93" t="s">
        <v>488</v>
      </c>
      <c r="O16" s="85" t="s">
        <v>489</v>
      </c>
      <c r="P16" s="87" t="s">
        <v>475</v>
      </c>
      <c r="Q16" s="94"/>
      <c r="R16" s="93"/>
      <c r="S16" s="85"/>
      <c r="U16" s="94"/>
      <c r="V16" s="93"/>
      <c r="W16" s="85"/>
      <c r="Y16" s="94"/>
      <c r="Z16" s="93"/>
      <c r="AA16" s="85"/>
      <c r="AC16" s="94"/>
      <c r="AD16" s="93"/>
      <c r="AE16" s="85"/>
    </row>
    <row r="17" spans="1:31" x14ac:dyDescent="0.35">
      <c r="A17" s="85"/>
      <c r="D17" s="85"/>
      <c r="E17" s="85">
        <v>10</v>
      </c>
      <c r="F17" s="93" t="s">
        <v>947</v>
      </c>
      <c r="G17" s="85" t="s">
        <v>1447</v>
      </c>
      <c r="H17" s="87">
        <v>13</v>
      </c>
      <c r="I17" s="94">
        <v>6</v>
      </c>
      <c r="J17" s="93">
        <v>45017</v>
      </c>
      <c r="K17" s="85" t="s">
        <v>1448</v>
      </c>
      <c r="L17" s="87">
        <v>100</v>
      </c>
      <c r="M17" s="85">
        <v>14</v>
      </c>
      <c r="N17" s="93">
        <v>45392</v>
      </c>
      <c r="O17" s="85" t="s">
        <v>2821</v>
      </c>
      <c r="P17" s="148">
        <v>492.5</v>
      </c>
      <c r="Q17" s="94"/>
      <c r="R17" s="93"/>
      <c r="S17" s="85"/>
      <c r="U17" s="94"/>
      <c r="V17" s="93"/>
      <c r="W17" s="85"/>
      <c r="Y17" s="94"/>
      <c r="Z17" s="93"/>
      <c r="AA17" s="85"/>
      <c r="AC17" s="94"/>
      <c r="AD17" s="93"/>
      <c r="AE17" s="85"/>
    </row>
    <row r="18" spans="1:31" ht="29" x14ac:dyDescent="0.35">
      <c r="E18" s="92">
        <v>16</v>
      </c>
      <c r="F18" s="93" t="s">
        <v>891</v>
      </c>
      <c r="G18" s="85" t="s">
        <v>1449</v>
      </c>
      <c r="H18" s="87">
        <f>1466.18-21.23</f>
        <v>1444.95</v>
      </c>
      <c r="I18" s="94">
        <v>6</v>
      </c>
      <c r="J18" s="93">
        <v>45017</v>
      </c>
      <c r="K18" s="85" t="s">
        <v>1450</v>
      </c>
      <c r="L18" s="87">
        <v>1300</v>
      </c>
      <c r="M18" s="94">
        <v>22</v>
      </c>
      <c r="N18" s="93">
        <v>45392</v>
      </c>
      <c r="O18" s="86" t="s">
        <v>2826</v>
      </c>
      <c r="P18" s="148">
        <v>45.01</v>
      </c>
      <c r="Q18" s="94"/>
      <c r="R18" s="93"/>
      <c r="S18" s="85"/>
      <c r="U18" s="94"/>
      <c r="V18" s="93"/>
      <c r="W18" s="85"/>
      <c r="Y18" s="94"/>
      <c r="Z18" s="93"/>
      <c r="AA18" s="85"/>
      <c r="AC18" s="94"/>
      <c r="AD18" s="93"/>
      <c r="AE18" s="85"/>
    </row>
    <row r="19" spans="1:31" x14ac:dyDescent="0.35">
      <c r="E19" s="92">
        <v>20</v>
      </c>
      <c r="F19" s="93" t="s">
        <v>1186</v>
      </c>
      <c r="G19" s="85" t="s">
        <v>1451</v>
      </c>
      <c r="H19" s="87">
        <f>43.78+724.55</f>
        <v>768.32999999999993</v>
      </c>
      <c r="I19" s="94">
        <v>20</v>
      </c>
      <c r="J19" s="93">
        <v>45017</v>
      </c>
      <c r="K19" s="85" t="s">
        <v>1452</v>
      </c>
      <c r="L19" s="87">
        <v>176.4</v>
      </c>
      <c r="M19" s="94">
        <v>14</v>
      </c>
      <c r="N19" s="93">
        <v>45394</v>
      </c>
      <c r="O19" s="87" t="s">
        <v>2830</v>
      </c>
      <c r="P19" s="148">
        <v>100</v>
      </c>
      <c r="Q19" s="94"/>
      <c r="R19" s="93"/>
      <c r="S19" s="85"/>
      <c r="U19" s="94"/>
      <c r="V19" s="93"/>
      <c r="W19" s="85"/>
      <c r="Y19" s="94"/>
      <c r="Z19" s="93"/>
      <c r="AA19" s="85"/>
      <c r="AC19" s="94"/>
      <c r="AD19" s="93"/>
      <c r="AE19" s="85"/>
    </row>
    <row r="20" spans="1:31" x14ac:dyDescent="0.35">
      <c r="E20" s="85">
        <v>8</v>
      </c>
      <c r="F20" s="93" t="s">
        <v>891</v>
      </c>
      <c r="G20" s="85" t="s">
        <v>1453</v>
      </c>
      <c r="H20" s="87">
        <f>9.27+5.86+3.5+43.99+10.1+8.99+43.99+12.87+43.99+36+14.7+43.99+32.88+72+43.99+37.98+8.4+30+43.99+6.25+0.95+12.63+43.99+43.99+16.6+6.5+4.15+7.8+43.99</f>
        <v>733.34</v>
      </c>
      <c r="I20" s="94">
        <v>12</v>
      </c>
      <c r="J20" s="93" t="s">
        <v>790</v>
      </c>
      <c r="K20" s="85" t="s">
        <v>1454</v>
      </c>
      <c r="L20" s="87">
        <v>15174.22</v>
      </c>
      <c r="M20" s="94">
        <v>14</v>
      </c>
      <c r="N20" s="93">
        <v>45397</v>
      </c>
      <c r="O20" s="87" t="s">
        <v>2835</v>
      </c>
      <c r="P20" s="148">
        <v>45.75</v>
      </c>
      <c r="Q20" s="94"/>
      <c r="R20" s="93"/>
      <c r="S20" s="85"/>
      <c r="U20" s="94"/>
      <c r="V20" s="93"/>
      <c r="W20" s="85"/>
      <c r="Y20" s="94"/>
      <c r="Z20" s="93"/>
      <c r="AA20" s="85"/>
      <c r="AC20" s="94"/>
      <c r="AD20" s="93"/>
      <c r="AE20" s="85"/>
    </row>
    <row r="21" spans="1:31" x14ac:dyDescent="0.35">
      <c r="E21" s="92">
        <v>19</v>
      </c>
      <c r="F21" s="93" t="s">
        <v>1186</v>
      </c>
      <c r="G21" s="85" t="s">
        <v>240</v>
      </c>
      <c r="H21" s="87">
        <f>400*9+106+21.23</f>
        <v>3727.23</v>
      </c>
      <c r="I21" s="94">
        <v>12</v>
      </c>
      <c r="J21" s="93" t="s">
        <v>790</v>
      </c>
      <c r="K21" s="85" t="s">
        <v>1455</v>
      </c>
      <c r="L21" s="87">
        <f>3357.4*4</f>
        <v>13429.6</v>
      </c>
      <c r="M21" s="85">
        <v>14</v>
      </c>
      <c r="N21" s="93">
        <v>45398</v>
      </c>
      <c r="O21" s="85" t="s">
        <v>2837</v>
      </c>
      <c r="P21" s="148">
        <v>1198.67</v>
      </c>
      <c r="Q21" s="94"/>
      <c r="R21" s="93"/>
      <c r="S21" s="85"/>
      <c r="U21" s="94"/>
      <c r="V21" s="93"/>
      <c r="W21" s="85"/>
      <c r="Y21" s="94"/>
      <c r="Z21" s="93"/>
      <c r="AA21" s="85"/>
      <c r="AC21" s="94"/>
      <c r="AD21" s="93"/>
      <c r="AE21" s="85"/>
    </row>
    <row r="22" spans="1:31" x14ac:dyDescent="0.35">
      <c r="E22" s="85">
        <v>7</v>
      </c>
      <c r="F22" s="93" t="s">
        <v>891</v>
      </c>
      <c r="G22" s="85" t="s">
        <v>229</v>
      </c>
      <c r="H22" s="87">
        <v>504.69</v>
      </c>
      <c r="I22" s="94">
        <v>12</v>
      </c>
      <c r="J22" s="93" t="s">
        <v>790</v>
      </c>
      <c r="K22" s="85" t="s">
        <v>1456</v>
      </c>
      <c r="L22" s="87">
        <v>30542</v>
      </c>
      <c r="M22" s="85">
        <v>22</v>
      </c>
      <c r="N22" s="93">
        <v>45393</v>
      </c>
      <c r="O22" s="85" t="s">
        <v>2839</v>
      </c>
      <c r="P22" s="148">
        <v>219.25</v>
      </c>
      <c r="Q22" s="94"/>
      <c r="R22" s="93"/>
      <c r="S22" s="85"/>
      <c r="U22" s="94"/>
      <c r="V22" s="93"/>
      <c r="W22" s="85"/>
      <c r="Y22" s="94"/>
      <c r="Z22" s="93"/>
      <c r="AA22" s="85"/>
      <c r="AC22" s="94"/>
      <c r="AD22" s="93"/>
      <c r="AE22" s="85"/>
    </row>
    <row r="23" spans="1:31" x14ac:dyDescent="0.35">
      <c r="E23" s="92">
        <v>17</v>
      </c>
      <c r="F23" s="93" t="s">
        <v>891</v>
      </c>
      <c r="G23" s="85" t="s">
        <v>1457</v>
      </c>
      <c r="H23" s="87">
        <v>9481</v>
      </c>
      <c r="I23" s="94">
        <v>17</v>
      </c>
      <c r="J23" s="93">
        <v>45017</v>
      </c>
      <c r="K23" s="85" t="s">
        <v>151</v>
      </c>
      <c r="L23" s="87">
        <v>9955.0499999999993</v>
      </c>
      <c r="M23" s="85"/>
      <c r="N23" s="93"/>
      <c r="O23" s="85"/>
      <c r="Q23" s="94"/>
      <c r="R23" s="93"/>
      <c r="S23" s="85"/>
      <c r="U23" s="94"/>
      <c r="V23" s="93"/>
      <c r="W23" s="85"/>
      <c r="Y23" s="94"/>
      <c r="Z23" s="93"/>
      <c r="AA23" s="85"/>
      <c r="AC23" s="94"/>
      <c r="AD23" s="93"/>
      <c r="AE23" s="85"/>
    </row>
    <row r="24" spans="1:31" x14ac:dyDescent="0.35">
      <c r="E24" s="92">
        <v>17</v>
      </c>
      <c r="F24" s="93">
        <v>44652</v>
      </c>
      <c r="G24" s="85" t="s">
        <v>1458</v>
      </c>
      <c r="H24" s="87">
        <v>285</v>
      </c>
      <c r="I24" s="94">
        <v>19</v>
      </c>
      <c r="J24" s="93">
        <v>45042</v>
      </c>
      <c r="K24" s="85" t="s">
        <v>1459</v>
      </c>
      <c r="L24" s="87">
        <v>421</v>
      </c>
      <c r="M24" s="85">
        <v>15</v>
      </c>
      <c r="N24" s="93">
        <v>45390</v>
      </c>
      <c r="O24" s="85" t="s">
        <v>2855</v>
      </c>
      <c r="P24" s="148">
        <f>3120-480</f>
        <v>2640</v>
      </c>
      <c r="Q24" s="94"/>
      <c r="R24" s="93"/>
      <c r="S24" s="85"/>
      <c r="U24" s="94"/>
      <c r="V24" s="93"/>
      <c r="W24" s="85"/>
      <c r="Y24" s="94"/>
      <c r="Z24" s="93"/>
      <c r="AA24" s="85"/>
      <c r="AC24" s="94"/>
      <c r="AD24" s="93"/>
      <c r="AE24" s="85"/>
    </row>
    <row r="25" spans="1:31" x14ac:dyDescent="0.35">
      <c r="E25" s="85">
        <v>10</v>
      </c>
      <c r="F25" s="93" t="s">
        <v>1186</v>
      </c>
      <c r="G25" s="85" t="s">
        <v>525</v>
      </c>
      <c r="H25" s="87">
        <f>132.48+61.4+158.97+337.25+433.33+13.58+21.66+10.81+9.99+69.72+54.64+19.17+67.06+103.4+11.9+48.69+439+74.99+26.65+20.83+40.87+11.24+113.66+42.63+12.16+14.99+186.86-18.33+24.99+113.97+164.55+44.76+5.42+3.66+42.77+6.65+14.1+132.28</f>
        <v>3072.75</v>
      </c>
      <c r="I25" s="94">
        <v>7</v>
      </c>
      <c r="J25" s="93">
        <v>45019</v>
      </c>
      <c r="K25" s="85" t="s">
        <v>1460</v>
      </c>
      <c r="L25" s="87">
        <v>6.66</v>
      </c>
      <c r="M25" s="85">
        <v>14</v>
      </c>
      <c r="N25" s="93">
        <v>45406</v>
      </c>
      <c r="O25" s="85" t="s">
        <v>2862</v>
      </c>
      <c r="P25" s="148">
        <v>623.78</v>
      </c>
      <c r="Q25" s="94"/>
      <c r="R25" s="93"/>
      <c r="S25" s="85"/>
      <c r="U25" s="94"/>
      <c r="V25" s="93"/>
      <c r="W25" s="85"/>
      <c r="Y25" s="94"/>
      <c r="Z25" s="93"/>
      <c r="AA25" s="85"/>
      <c r="AC25" s="94"/>
      <c r="AD25" s="93"/>
      <c r="AE25" s="85"/>
    </row>
    <row r="26" spans="1:31" x14ac:dyDescent="0.35">
      <c r="E26" s="85">
        <v>11</v>
      </c>
      <c r="F26" s="93">
        <v>44833</v>
      </c>
      <c r="G26" s="85" t="s">
        <v>1461</v>
      </c>
      <c r="H26" s="87">
        <v>3570.6</v>
      </c>
      <c r="I26" s="94">
        <v>20</v>
      </c>
      <c r="J26" s="93">
        <v>45034</v>
      </c>
      <c r="K26" s="85" t="s">
        <v>1462</v>
      </c>
      <c r="L26" s="87">
        <v>367.77</v>
      </c>
      <c r="M26" s="85">
        <v>23</v>
      </c>
      <c r="N26" s="93" t="s">
        <v>1878</v>
      </c>
      <c r="O26" s="85" t="s">
        <v>2868</v>
      </c>
      <c r="P26" s="148">
        <v>1380</v>
      </c>
      <c r="Q26" s="94"/>
      <c r="R26" s="93"/>
      <c r="S26" s="85"/>
      <c r="U26" s="94"/>
      <c r="V26" s="93"/>
      <c r="W26" s="85"/>
      <c r="Y26" s="94"/>
      <c r="Z26" s="93"/>
      <c r="AA26" s="85"/>
      <c r="AC26" s="94"/>
      <c r="AD26" s="93"/>
      <c r="AE26" s="85"/>
    </row>
    <row r="27" spans="1:31" x14ac:dyDescent="0.35">
      <c r="E27" s="85">
        <v>10</v>
      </c>
      <c r="F27" s="93">
        <v>44762</v>
      </c>
      <c r="G27" s="85" t="s">
        <v>1463</v>
      </c>
      <c r="H27" s="87">
        <f>95.82+13.57+438.73</f>
        <v>548.12</v>
      </c>
      <c r="I27" s="94">
        <v>8</v>
      </c>
      <c r="J27" s="93">
        <v>45040</v>
      </c>
      <c r="K27" s="85" t="s">
        <v>1449</v>
      </c>
      <c r="L27" s="87">
        <v>4.95</v>
      </c>
      <c r="M27" s="85">
        <v>14</v>
      </c>
      <c r="N27" s="93">
        <v>45429</v>
      </c>
      <c r="O27" s="85" t="s">
        <v>2898</v>
      </c>
      <c r="P27" s="148">
        <v>13.7</v>
      </c>
      <c r="Q27" s="94"/>
      <c r="R27" s="93"/>
      <c r="S27" s="85"/>
      <c r="U27" s="94"/>
      <c r="V27" s="93"/>
      <c r="W27" s="85"/>
      <c r="Y27" s="94"/>
      <c r="Z27" s="93"/>
      <c r="AA27" s="85"/>
      <c r="AC27" s="94"/>
      <c r="AD27" s="93"/>
      <c r="AE27" s="85"/>
    </row>
    <row r="28" spans="1:31" x14ac:dyDescent="0.35">
      <c r="E28" s="85">
        <v>10</v>
      </c>
      <c r="F28" s="93">
        <v>44817</v>
      </c>
      <c r="G28" s="85" t="s">
        <v>1464</v>
      </c>
      <c r="H28" s="87">
        <f>6.13+5.67</f>
        <v>11.8</v>
      </c>
      <c r="I28" s="94">
        <v>7</v>
      </c>
      <c r="J28" s="93">
        <v>45040</v>
      </c>
      <c r="K28" s="85" t="s">
        <v>1465</v>
      </c>
      <c r="L28" s="87">
        <v>13.32</v>
      </c>
      <c r="M28" s="85">
        <v>15</v>
      </c>
      <c r="N28" s="93">
        <v>45433</v>
      </c>
      <c r="O28" s="85" t="s">
        <v>2918</v>
      </c>
      <c r="P28" s="148">
        <v>156</v>
      </c>
      <c r="Q28" s="94"/>
      <c r="R28" s="93"/>
      <c r="S28" s="85"/>
      <c r="U28" s="94"/>
      <c r="V28" s="93"/>
      <c r="W28" s="85"/>
      <c r="Y28" s="94"/>
      <c r="Z28" s="93"/>
      <c r="AA28" s="85"/>
      <c r="AC28" s="94"/>
      <c r="AD28" s="93"/>
      <c r="AE28" s="85"/>
    </row>
    <row r="29" spans="1:31" x14ac:dyDescent="0.35">
      <c r="E29" s="85">
        <v>10</v>
      </c>
      <c r="F29" s="93">
        <v>44871</v>
      </c>
      <c r="G29" s="85" t="s">
        <v>1466</v>
      </c>
      <c r="H29" s="87">
        <v>14.99</v>
      </c>
      <c r="I29" s="94">
        <v>14</v>
      </c>
      <c r="J29" s="93">
        <v>45064</v>
      </c>
      <c r="K29" s="85" t="s">
        <v>1467</v>
      </c>
      <c r="L29" s="87">
        <v>45.46</v>
      </c>
      <c r="M29" s="85">
        <v>22</v>
      </c>
      <c r="N29" s="93">
        <v>45404</v>
      </c>
      <c r="O29" s="85" t="s">
        <v>2929</v>
      </c>
      <c r="P29" s="148">
        <v>16.66</v>
      </c>
      <c r="Q29" s="94"/>
      <c r="R29" s="93"/>
      <c r="S29" s="85"/>
      <c r="U29" s="94"/>
      <c r="V29" s="93"/>
      <c r="W29" s="85"/>
      <c r="Y29" s="94"/>
      <c r="Z29" s="93"/>
      <c r="AA29" s="85"/>
      <c r="AC29" s="94"/>
      <c r="AD29" s="93"/>
      <c r="AE29" s="85"/>
    </row>
    <row r="30" spans="1:31" x14ac:dyDescent="0.35">
      <c r="E30" s="85">
        <v>10</v>
      </c>
      <c r="F30" s="93">
        <v>44875</v>
      </c>
      <c r="G30" s="85" t="s">
        <v>1468</v>
      </c>
      <c r="H30" s="87">
        <v>12.87</v>
      </c>
      <c r="I30" s="94">
        <v>19</v>
      </c>
      <c r="J30" s="93">
        <v>45063</v>
      </c>
      <c r="K30" s="85" t="s">
        <v>1469</v>
      </c>
      <c r="L30" s="87">
        <v>420</v>
      </c>
      <c r="M30" s="85">
        <v>22</v>
      </c>
      <c r="N30" s="93">
        <v>45407</v>
      </c>
      <c r="O30" s="85" t="s">
        <v>2930</v>
      </c>
      <c r="P30" s="148">
        <v>49.14</v>
      </c>
      <c r="Q30" s="94"/>
      <c r="R30" s="93"/>
      <c r="S30" s="85"/>
      <c r="U30" s="94"/>
      <c r="V30" s="93"/>
      <c r="W30" s="85"/>
      <c r="Y30" s="94"/>
      <c r="Z30" s="93"/>
      <c r="AA30" s="85"/>
      <c r="AC30" s="94"/>
      <c r="AD30" s="93"/>
      <c r="AE30" s="85"/>
    </row>
    <row r="31" spans="1:31" x14ac:dyDescent="0.35">
      <c r="E31" s="85">
        <v>6</v>
      </c>
      <c r="F31" s="93" t="s">
        <v>790</v>
      </c>
      <c r="G31" s="85" t="s">
        <v>1470</v>
      </c>
      <c r="H31" s="87">
        <f>3231*4</f>
        <v>12924</v>
      </c>
      <c r="I31" s="94">
        <v>16</v>
      </c>
      <c r="J31" s="93">
        <v>45050</v>
      </c>
      <c r="K31" s="85" t="s">
        <v>1471</v>
      </c>
      <c r="L31" s="87">
        <f>231.08-96.68</f>
        <v>134.4</v>
      </c>
      <c r="M31" s="85">
        <v>22</v>
      </c>
      <c r="N31" s="93">
        <v>45408</v>
      </c>
      <c r="O31" s="85" t="s">
        <v>2931</v>
      </c>
      <c r="P31" s="148">
        <v>22.5</v>
      </c>
      <c r="Q31" s="94"/>
      <c r="R31" s="93"/>
      <c r="S31" s="85"/>
      <c r="U31" s="94"/>
      <c r="V31" s="93"/>
      <c r="W31" s="85"/>
      <c r="Y31" s="94"/>
      <c r="Z31" s="93"/>
      <c r="AA31" s="85"/>
      <c r="AC31" s="94"/>
      <c r="AD31" s="93"/>
      <c r="AE31" s="85"/>
    </row>
    <row r="32" spans="1:31" x14ac:dyDescent="0.35">
      <c r="E32" s="85">
        <v>12</v>
      </c>
      <c r="F32" s="93" t="s">
        <v>790</v>
      </c>
      <c r="G32" s="85" t="s">
        <v>1472</v>
      </c>
      <c r="H32" s="87">
        <f>3357.4*4</f>
        <v>13429.6</v>
      </c>
      <c r="I32" s="94">
        <v>14</v>
      </c>
      <c r="J32" s="93">
        <v>45046</v>
      </c>
      <c r="K32" s="85" t="s">
        <v>1473</v>
      </c>
      <c r="L32" s="87">
        <v>1031.17</v>
      </c>
      <c r="M32" s="85">
        <v>22</v>
      </c>
      <c r="N32" s="93">
        <v>45411</v>
      </c>
      <c r="O32" s="85" t="s">
        <v>2931</v>
      </c>
      <c r="P32" s="148">
        <v>20.37</v>
      </c>
      <c r="Q32" s="94"/>
      <c r="R32" s="93"/>
      <c r="S32" s="85"/>
      <c r="U32" s="94"/>
      <c r="V32" s="93"/>
      <c r="W32" s="85"/>
      <c r="Y32" s="94"/>
      <c r="Z32" s="93"/>
      <c r="AA32" s="85"/>
      <c r="AC32" s="94"/>
      <c r="AD32" s="93"/>
      <c r="AE32" s="85"/>
    </row>
    <row r="33" spans="5:31" x14ac:dyDescent="0.35">
      <c r="E33" s="85">
        <v>12</v>
      </c>
      <c r="F33" s="93" t="s">
        <v>790</v>
      </c>
      <c r="G33" s="85" t="s">
        <v>1454</v>
      </c>
      <c r="H33" s="87">
        <f>3675*4</f>
        <v>14700</v>
      </c>
      <c r="I33" s="94">
        <v>14</v>
      </c>
      <c r="J33" s="93">
        <v>45036</v>
      </c>
      <c r="K33" s="85" t="s">
        <v>1474</v>
      </c>
      <c r="L33" s="87">
        <v>33.33</v>
      </c>
      <c r="M33" s="85">
        <v>22</v>
      </c>
      <c r="N33" s="93">
        <v>45411</v>
      </c>
      <c r="O33" s="85" t="s">
        <v>2932</v>
      </c>
      <c r="P33" s="148">
        <v>337.5</v>
      </c>
      <c r="Q33" s="94"/>
      <c r="R33" s="93"/>
      <c r="S33" s="85"/>
      <c r="U33" s="94"/>
      <c r="V33" s="93"/>
      <c r="W33" s="85"/>
      <c r="Y33" s="94"/>
      <c r="Z33" s="93"/>
      <c r="AA33" s="85"/>
      <c r="AC33" s="94"/>
      <c r="AD33" s="93"/>
      <c r="AE33" s="85"/>
    </row>
    <row r="34" spans="5:31" x14ac:dyDescent="0.35">
      <c r="E34" s="85">
        <v>12</v>
      </c>
      <c r="F34" s="93" t="s">
        <v>790</v>
      </c>
      <c r="G34" s="85" t="s">
        <v>1475</v>
      </c>
      <c r="H34" s="87">
        <f>8312.25*2+7591.25*2</f>
        <v>31807</v>
      </c>
      <c r="I34" s="94">
        <v>14</v>
      </c>
      <c r="J34" s="93">
        <v>45021</v>
      </c>
      <c r="K34" s="85" t="s">
        <v>1476</v>
      </c>
      <c r="L34" s="87">
        <v>37.49</v>
      </c>
      <c r="M34" s="85">
        <v>22</v>
      </c>
      <c r="N34" s="93">
        <v>45440</v>
      </c>
      <c r="O34" s="85" t="s">
        <v>2932</v>
      </c>
      <c r="P34" s="148">
        <v>335</v>
      </c>
      <c r="Q34" s="94"/>
      <c r="R34" s="93"/>
      <c r="S34" s="85"/>
      <c r="U34" s="94"/>
      <c r="V34" s="93"/>
      <c r="W34" s="85"/>
      <c r="Y34" s="94"/>
      <c r="Z34" s="93"/>
      <c r="AA34" s="85"/>
      <c r="AC34" s="94"/>
      <c r="AD34" s="93"/>
      <c r="AE34" s="85"/>
    </row>
    <row r="35" spans="5:31" x14ac:dyDescent="0.35">
      <c r="E35" s="85">
        <v>5</v>
      </c>
      <c r="F35" s="93">
        <v>44797</v>
      </c>
      <c r="G35" s="85" t="s">
        <v>1477</v>
      </c>
      <c r="H35" s="87">
        <f>737+17</f>
        <v>754</v>
      </c>
      <c r="I35" s="94">
        <v>14</v>
      </c>
      <c r="J35" s="93">
        <v>45021</v>
      </c>
      <c r="K35" s="85" t="s">
        <v>1478</v>
      </c>
      <c r="L35" s="87">
        <v>29.66</v>
      </c>
      <c r="M35" s="85">
        <v>15</v>
      </c>
      <c r="N35" s="93">
        <v>45453</v>
      </c>
      <c r="O35" s="85" t="s">
        <v>2557</v>
      </c>
      <c r="P35" s="148">
        <v>146.47999999999999</v>
      </c>
      <c r="Q35" s="94"/>
      <c r="R35" s="93"/>
      <c r="S35" s="85"/>
      <c r="U35" s="94"/>
      <c r="V35" s="93"/>
      <c r="W35" s="85"/>
      <c r="Y35" s="94"/>
      <c r="Z35" s="93"/>
      <c r="AA35" s="85"/>
      <c r="AC35" s="94"/>
      <c r="AD35" s="93"/>
      <c r="AE35" s="85"/>
    </row>
    <row r="36" spans="5:31" x14ac:dyDescent="0.35">
      <c r="E36" s="85">
        <v>5</v>
      </c>
      <c r="F36" s="93">
        <v>44797</v>
      </c>
      <c r="G36" s="85" t="s">
        <v>1479</v>
      </c>
      <c r="H36" s="87">
        <f>2096.32+250</f>
        <v>2346.3200000000002</v>
      </c>
      <c r="I36" s="94">
        <v>14</v>
      </c>
      <c r="J36" s="93">
        <v>45021</v>
      </c>
      <c r="K36" s="85" t="s">
        <v>1476</v>
      </c>
      <c r="L36" s="87">
        <v>37.49</v>
      </c>
      <c r="M36" s="85">
        <v>15</v>
      </c>
      <c r="N36" s="93">
        <v>45455</v>
      </c>
      <c r="O36" s="85" t="s">
        <v>2957</v>
      </c>
      <c r="P36" s="148">
        <v>460.4</v>
      </c>
      <c r="Q36" s="94"/>
      <c r="R36" s="93"/>
      <c r="S36" s="85"/>
      <c r="U36" s="94"/>
      <c r="V36" s="93"/>
      <c r="W36" s="85"/>
      <c r="Y36" s="94"/>
      <c r="Z36" s="93"/>
      <c r="AA36" s="85"/>
      <c r="AC36" s="94"/>
      <c r="AD36" s="93"/>
      <c r="AE36" s="85"/>
    </row>
    <row r="37" spans="5:31" x14ac:dyDescent="0.35">
      <c r="E37" s="85">
        <v>6</v>
      </c>
      <c r="F37" s="93">
        <v>44652</v>
      </c>
      <c r="G37" s="85" t="s">
        <v>1450</v>
      </c>
      <c r="H37" s="87">
        <v>959</v>
      </c>
      <c r="I37" s="94">
        <v>14</v>
      </c>
      <c r="J37" s="93">
        <v>45028</v>
      </c>
      <c r="K37" s="85" t="s">
        <v>1480</v>
      </c>
      <c r="L37" s="87">
        <v>348.14</v>
      </c>
      <c r="M37" s="85">
        <v>22</v>
      </c>
      <c r="N37" s="93">
        <v>45442</v>
      </c>
      <c r="O37" s="85" t="s">
        <v>1683</v>
      </c>
      <c r="P37" s="148">
        <v>3038.59</v>
      </c>
      <c r="Q37" s="94"/>
      <c r="R37" s="93"/>
      <c r="S37" s="85"/>
      <c r="U37" s="94"/>
      <c r="V37" s="93"/>
      <c r="W37" s="85"/>
      <c r="Y37" s="94"/>
      <c r="Z37" s="93"/>
      <c r="AA37" s="85"/>
      <c r="AC37" s="94"/>
      <c r="AD37" s="93"/>
      <c r="AE37" s="85"/>
    </row>
    <row r="38" spans="5:31" x14ac:dyDescent="0.35">
      <c r="E38" s="85">
        <v>6</v>
      </c>
      <c r="F38" s="93">
        <v>44876</v>
      </c>
      <c r="G38" s="85" t="s">
        <v>1481</v>
      </c>
      <c r="H38" s="87">
        <f>-3231/6</f>
        <v>-538.5</v>
      </c>
      <c r="I38" s="94">
        <v>14</v>
      </c>
      <c r="J38" s="93">
        <v>45028</v>
      </c>
      <c r="K38" s="85" t="s">
        <v>1482</v>
      </c>
      <c r="L38" s="87">
        <v>24.99</v>
      </c>
      <c r="M38" s="85">
        <v>21</v>
      </c>
      <c r="N38" s="93">
        <v>45442</v>
      </c>
      <c r="O38" s="85" t="s">
        <v>2961</v>
      </c>
      <c r="P38" s="148">
        <v>1150</v>
      </c>
      <c r="Q38" s="94"/>
      <c r="R38" s="93"/>
      <c r="S38" s="85"/>
      <c r="U38" s="94"/>
      <c r="V38" s="93"/>
      <c r="W38" s="85"/>
      <c r="Y38" s="94"/>
      <c r="Z38" s="93"/>
      <c r="AA38" s="85"/>
      <c r="AC38" s="94"/>
      <c r="AD38" s="93"/>
      <c r="AE38" s="85"/>
    </row>
    <row r="39" spans="5:31" x14ac:dyDescent="0.35">
      <c r="E39" s="85">
        <v>12</v>
      </c>
      <c r="F39" s="93">
        <v>44876</v>
      </c>
      <c r="G39" s="85" t="s">
        <v>1483</v>
      </c>
      <c r="H39" s="87">
        <v>-2277.23</v>
      </c>
      <c r="I39" s="94">
        <v>14</v>
      </c>
      <c r="J39" s="93">
        <v>45033</v>
      </c>
      <c r="K39" s="85" t="s">
        <v>1484</v>
      </c>
      <c r="L39" s="87">
        <v>49.99</v>
      </c>
      <c r="M39" s="85">
        <v>15</v>
      </c>
      <c r="N39" s="93">
        <v>45448</v>
      </c>
      <c r="O39" s="85" t="s">
        <v>1606</v>
      </c>
      <c r="P39" s="148">
        <v>28.5</v>
      </c>
      <c r="Q39" s="94"/>
      <c r="R39" s="93"/>
      <c r="S39" s="85"/>
      <c r="U39" s="94"/>
      <c r="V39" s="93"/>
      <c r="W39" s="85"/>
      <c r="Y39" s="94"/>
      <c r="Z39" s="93"/>
      <c r="AA39" s="85"/>
      <c r="AC39" s="94"/>
      <c r="AD39" s="93"/>
      <c r="AE39" s="85"/>
    </row>
    <row r="40" spans="5:31" x14ac:dyDescent="0.35">
      <c r="E40" s="92">
        <v>19</v>
      </c>
      <c r="F40" s="93">
        <v>44882</v>
      </c>
      <c r="G40" s="85" t="s">
        <v>240</v>
      </c>
      <c r="H40" s="87">
        <v>400</v>
      </c>
      <c r="I40" s="94">
        <v>14</v>
      </c>
      <c r="J40" s="93">
        <v>45036</v>
      </c>
      <c r="K40" s="85" t="s">
        <v>1476</v>
      </c>
      <c r="L40" s="87">
        <v>43.7</v>
      </c>
      <c r="M40" s="85">
        <v>22</v>
      </c>
      <c r="N40" s="93">
        <v>45442</v>
      </c>
      <c r="O40" s="85" t="s">
        <v>1683</v>
      </c>
      <c r="P40" s="148">
        <v>3068.97</v>
      </c>
      <c r="Q40" s="94"/>
      <c r="R40" s="93"/>
      <c r="S40" s="85"/>
      <c r="U40" s="94"/>
      <c r="V40" s="93"/>
      <c r="W40" s="85"/>
      <c r="Y40" s="94"/>
      <c r="Z40" s="93"/>
      <c r="AA40" s="85"/>
      <c r="AC40" s="94"/>
      <c r="AD40" s="93"/>
      <c r="AE40" s="85"/>
    </row>
    <row r="41" spans="5:31" ht="43.5" x14ac:dyDescent="0.35">
      <c r="E41" s="85">
        <v>1</v>
      </c>
      <c r="F41" s="93" t="s">
        <v>1485</v>
      </c>
      <c r="G41" s="98" t="s">
        <v>235</v>
      </c>
      <c r="H41" s="87">
        <v>100000</v>
      </c>
      <c r="I41" s="94">
        <v>14</v>
      </c>
      <c r="J41" s="93">
        <v>45040</v>
      </c>
      <c r="K41" s="85" t="s">
        <v>1476</v>
      </c>
      <c r="L41" s="87">
        <v>64.959999999999994</v>
      </c>
      <c r="M41" s="85">
        <v>22</v>
      </c>
      <c r="N41" s="93">
        <v>45432</v>
      </c>
      <c r="O41" s="85" t="s">
        <v>2962</v>
      </c>
      <c r="P41" s="148">
        <v>1311.24</v>
      </c>
      <c r="Q41" s="94"/>
      <c r="R41" s="93"/>
      <c r="S41" s="85"/>
      <c r="U41" s="94"/>
      <c r="V41" s="93"/>
      <c r="W41" s="85"/>
      <c r="Y41" s="94"/>
      <c r="Z41" s="93"/>
      <c r="AA41" s="85"/>
      <c r="AC41" s="94"/>
      <c r="AD41" s="93"/>
      <c r="AE41" s="85"/>
    </row>
    <row r="42" spans="5:31" x14ac:dyDescent="0.35">
      <c r="E42" s="85">
        <v>1</v>
      </c>
      <c r="F42" s="93" t="s">
        <v>1485</v>
      </c>
      <c r="G42" s="85" t="s">
        <v>1486</v>
      </c>
      <c r="H42" s="87">
        <v>10000</v>
      </c>
      <c r="I42" s="94">
        <v>14</v>
      </c>
      <c r="J42" s="93">
        <v>45043</v>
      </c>
      <c r="K42" s="85" t="s">
        <v>1476</v>
      </c>
      <c r="L42" s="87">
        <v>263.91000000000003</v>
      </c>
      <c r="M42" s="85">
        <v>22</v>
      </c>
      <c r="N42" s="93">
        <v>45423</v>
      </c>
      <c r="O42" s="85" t="s">
        <v>2971</v>
      </c>
      <c r="P42" s="148">
        <v>594.05999999999995</v>
      </c>
      <c r="Q42" s="94"/>
      <c r="R42" s="93"/>
      <c r="S42" s="85"/>
      <c r="U42" s="94"/>
      <c r="V42" s="93"/>
      <c r="W42" s="85"/>
      <c r="Y42" s="94"/>
      <c r="Z42" s="93"/>
      <c r="AA42" s="85"/>
      <c r="AC42" s="94"/>
      <c r="AD42" s="93"/>
      <c r="AE42" s="85"/>
    </row>
    <row r="43" spans="5:31" x14ac:dyDescent="0.35">
      <c r="E43" s="92">
        <v>20</v>
      </c>
      <c r="F43" s="93">
        <v>44896</v>
      </c>
      <c r="G43" s="85" t="s">
        <v>1487</v>
      </c>
      <c r="H43" s="87">
        <v>5669.5</v>
      </c>
      <c r="I43" s="94">
        <v>3</v>
      </c>
      <c r="J43" s="93">
        <v>45058</v>
      </c>
      <c r="K43" s="85" t="s">
        <v>1488</v>
      </c>
      <c r="L43" s="87">
        <v>1416.8</v>
      </c>
      <c r="M43" s="85">
        <v>21</v>
      </c>
      <c r="N43" s="93">
        <v>45481</v>
      </c>
      <c r="O43" s="85" t="s">
        <v>3064</v>
      </c>
      <c r="P43" s="87">
        <v>1150</v>
      </c>
      <c r="Q43" s="94"/>
      <c r="R43" s="93"/>
      <c r="S43" s="85"/>
      <c r="U43" s="94"/>
      <c r="V43" s="93"/>
      <c r="W43" s="85"/>
      <c r="Y43" s="94"/>
      <c r="Z43" s="93"/>
      <c r="AA43" s="85"/>
      <c r="AC43" s="94"/>
      <c r="AD43" s="93"/>
      <c r="AE43" s="85"/>
    </row>
    <row r="44" spans="5:31" x14ac:dyDescent="0.35">
      <c r="E44" s="92">
        <v>19</v>
      </c>
      <c r="F44" s="93">
        <v>44896</v>
      </c>
      <c r="G44" s="85" t="s">
        <v>240</v>
      </c>
      <c r="H44" s="87">
        <v>400</v>
      </c>
      <c r="I44" s="94">
        <v>17</v>
      </c>
      <c r="J44" s="93">
        <v>45042</v>
      </c>
      <c r="K44" s="85" t="s">
        <v>1371</v>
      </c>
      <c r="L44" s="87">
        <v>350</v>
      </c>
      <c r="M44" s="85">
        <v>21</v>
      </c>
      <c r="N44" s="93">
        <v>45477</v>
      </c>
      <c r="O44" s="85" t="s">
        <v>3065</v>
      </c>
      <c r="P44" s="87">
        <v>1150</v>
      </c>
      <c r="Q44" s="94"/>
      <c r="R44" s="93"/>
      <c r="S44" s="85"/>
      <c r="U44" s="94"/>
      <c r="V44" s="93"/>
      <c r="W44" s="85"/>
      <c r="Y44" s="94"/>
      <c r="Z44" s="93"/>
      <c r="AA44" s="85"/>
      <c r="AC44" s="94"/>
      <c r="AD44" s="93"/>
      <c r="AE44" s="85"/>
    </row>
    <row r="45" spans="5:31" x14ac:dyDescent="0.35">
      <c r="E45" s="92">
        <v>1</v>
      </c>
      <c r="F45" s="97" t="s">
        <v>784</v>
      </c>
      <c r="G45" s="92" t="s">
        <v>1154</v>
      </c>
      <c r="H45" s="90">
        <v>-118000</v>
      </c>
      <c r="I45" s="94">
        <v>8</v>
      </c>
      <c r="J45" s="93">
        <v>45061</v>
      </c>
      <c r="K45" s="85" t="s">
        <v>1489</v>
      </c>
      <c r="L45" s="87">
        <v>14.23</v>
      </c>
      <c r="M45" s="85">
        <v>22</v>
      </c>
      <c r="N45" s="93">
        <v>45475</v>
      </c>
      <c r="O45" s="85" t="s">
        <v>3072</v>
      </c>
      <c r="P45" s="87">
        <v>25</v>
      </c>
      <c r="Q45" s="94"/>
      <c r="R45" s="93"/>
      <c r="S45" s="85"/>
      <c r="U45" s="94"/>
      <c r="V45" s="93"/>
      <c r="W45" s="85"/>
      <c r="Y45" s="94"/>
      <c r="Z45" s="93"/>
      <c r="AA45" s="85"/>
      <c r="AC45" s="94"/>
      <c r="AD45" s="93"/>
      <c r="AE45" s="85"/>
    </row>
    <row r="46" spans="5:31" x14ac:dyDescent="0.35">
      <c r="E46" s="92">
        <v>1</v>
      </c>
      <c r="F46" s="97" t="s">
        <v>699</v>
      </c>
      <c r="G46" s="92" t="s">
        <v>1490</v>
      </c>
      <c r="H46" s="90">
        <v>-32000</v>
      </c>
      <c r="I46" s="94">
        <v>16</v>
      </c>
      <c r="J46" s="93">
        <v>45061</v>
      </c>
      <c r="K46" s="85" t="s">
        <v>1489</v>
      </c>
      <c r="L46" s="87">
        <v>12</v>
      </c>
      <c r="M46" s="85">
        <v>15</v>
      </c>
      <c r="N46" s="93">
        <v>45488</v>
      </c>
      <c r="O46" s="85" t="s">
        <v>3143</v>
      </c>
      <c r="P46" s="87">
        <v>30</v>
      </c>
      <c r="Q46" s="94"/>
      <c r="R46" s="93"/>
      <c r="S46" s="85"/>
      <c r="U46" s="94"/>
      <c r="V46" s="93"/>
      <c r="W46" s="85"/>
      <c r="Y46" s="94"/>
      <c r="Z46" s="93"/>
      <c r="AA46" s="85"/>
      <c r="AC46" s="94"/>
      <c r="AD46" s="93"/>
      <c r="AE46" s="85"/>
    </row>
    <row r="47" spans="5:31" x14ac:dyDescent="0.35">
      <c r="E47" s="92">
        <v>1</v>
      </c>
      <c r="F47" s="97" t="s">
        <v>1199</v>
      </c>
      <c r="G47" s="92" t="s">
        <v>1491</v>
      </c>
      <c r="H47" s="90">
        <v>-10000</v>
      </c>
      <c r="I47" s="117">
        <v>7</v>
      </c>
      <c r="J47" s="93">
        <v>45061</v>
      </c>
      <c r="K47" s="85" t="s">
        <v>1465</v>
      </c>
      <c r="L47" s="87">
        <v>16.649999999999999</v>
      </c>
      <c r="M47" s="85">
        <v>22</v>
      </c>
      <c r="N47" s="93">
        <v>45491</v>
      </c>
      <c r="O47" s="85" t="s">
        <v>3147</v>
      </c>
      <c r="P47" s="87">
        <v>45.68</v>
      </c>
      <c r="Q47" s="94"/>
      <c r="R47" s="93"/>
      <c r="S47" s="85"/>
      <c r="U47" s="94"/>
      <c r="V47" s="93"/>
      <c r="W47" s="85"/>
      <c r="Y47" s="94"/>
      <c r="Z47" s="93"/>
      <c r="AA47" s="85"/>
      <c r="AC47" s="94"/>
      <c r="AD47" s="93"/>
      <c r="AE47" s="85"/>
    </row>
    <row r="48" spans="5:31" x14ac:dyDescent="0.35">
      <c r="E48" s="92">
        <v>1</v>
      </c>
      <c r="F48" s="97" t="s">
        <v>784</v>
      </c>
      <c r="G48" s="92" t="s">
        <v>1154</v>
      </c>
      <c r="H48" s="90">
        <v>-10000</v>
      </c>
      <c r="I48" s="117">
        <v>7</v>
      </c>
      <c r="J48" s="93">
        <v>45061</v>
      </c>
      <c r="K48" s="85" t="s">
        <v>1492</v>
      </c>
      <c r="L48" s="87">
        <v>11.66</v>
      </c>
      <c r="M48" s="85">
        <v>23</v>
      </c>
      <c r="N48" s="93">
        <v>45497</v>
      </c>
      <c r="O48" s="85" t="s">
        <v>3161</v>
      </c>
      <c r="P48" s="87">
        <v>562.79999999999995</v>
      </c>
      <c r="Q48" s="94"/>
      <c r="R48" s="93"/>
      <c r="S48" s="85"/>
      <c r="U48" s="94"/>
      <c r="V48" s="93"/>
      <c r="W48" s="85"/>
      <c r="Y48" s="94"/>
      <c r="Z48" s="93"/>
      <c r="AA48" s="85"/>
      <c r="AC48" s="94"/>
      <c r="AD48" s="93"/>
      <c r="AE48" s="85"/>
    </row>
    <row r="49" spans="5:31" x14ac:dyDescent="0.35">
      <c r="E49" s="85">
        <v>19</v>
      </c>
      <c r="F49" s="93">
        <v>44942</v>
      </c>
      <c r="G49" s="85" t="s">
        <v>240</v>
      </c>
      <c r="H49" s="87">
        <v>400</v>
      </c>
      <c r="I49" s="94">
        <v>19</v>
      </c>
      <c r="J49" s="93">
        <v>45069</v>
      </c>
      <c r="K49" s="85" t="s">
        <v>1493</v>
      </c>
      <c r="L49" s="87">
        <v>420</v>
      </c>
      <c r="M49" s="85">
        <v>22</v>
      </c>
      <c r="N49" s="93">
        <v>45499</v>
      </c>
      <c r="O49" s="85" t="s">
        <v>3167</v>
      </c>
      <c r="P49" s="87">
        <v>281.67</v>
      </c>
      <c r="Q49" s="94"/>
      <c r="R49" s="93"/>
      <c r="S49" s="85"/>
      <c r="U49" s="94"/>
      <c r="V49" s="93"/>
      <c r="W49" s="85"/>
      <c r="Y49" s="94"/>
      <c r="Z49" s="93"/>
      <c r="AA49" s="85"/>
      <c r="AC49" s="94"/>
      <c r="AD49" s="93"/>
      <c r="AE49" s="85"/>
    </row>
    <row r="50" spans="5:31" x14ac:dyDescent="0.35">
      <c r="E50" s="85">
        <v>19</v>
      </c>
      <c r="F50" s="93">
        <v>44949</v>
      </c>
      <c r="G50" s="85" t="s">
        <v>240</v>
      </c>
      <c r="H50" s="87">
        <v>400</v>
      </c>
      <c r="I50" s="94">
        <v>14</v>
      </c>
      <c r="J50" s="93">
        <v>45058</v>
      </c>
      <c r="K50" s="85" t="s">
        <v>1010</v>
      </c>
      <c r="L50" s="87">
        <v>440</v>
      </c>
      <c r="M50" s="85">
        <v>22</v>
      </c>
      <c r="N50" s="93">
        <v>45499</v>
      </c>
      <c r="O50" s="85" t="s">
        <v>3168</v>
      </c>
      <c r="P50" s="87">
        <v>12.12</v>
      </c>
      <c r="Q50" s="94"/>
      <c r="R50" s="93"/>
      <c r="S50" s="85"/>
      <c r="U50" s="94"/>
      <c r="V50" s="93"/>
      <c r="W50" s="85"/>
      <c r="Y50" s="94"/>
      <c r="Z50" s="93"/>
      <c r="AA50" s="85"/>
      <c r="AC50" s="94"/>
      <c r="AD50" s="93"/>
      <c r="AE50" s="85"/>
    </row>
    <row r="51" spans="5:31" x14ac:dyDescent="0.35">
      <c r="E51" s="85">
        <v>19</v>
      </c>
      <c r="F51" s="93">
        <v>44985</v>
      </c>
      <c r="G51" s="85" t="s">
        <v>240</v>
      </c>
      <c r="H51" s="87">
        <v>400</v>
      </c>
      <c r="I51" s="94">
        <v>3</v>
      </c>
      <c r="J51" s="93">
        <v>45069</v>
      </c>
      <c r="K51" s="85" t="s">
        <v>1494</v>
      </c>
      <c r="L51" s="87">
        <v>5540</v>
      </c>
      <c r="M51" s="85">
        <v>15</v>
      </c>
      <c r="N51" s="93">
        <v>45505</v>
      </c>
      <c r="O51" s="85" t="s">
        <v>3181</v>
      </c>
      <c r="P51" s="87">
        <v>549</v>
      </c>
      <c r="Q51" s="94"/>
      <c r="R51" s="93"/>
      <c r="S51" s="85"/>
      <c r="U51" s="94"/>
      <c r="V51" s="93"/>
      <c r="W51" s="85"/>
      <c r="Y51" s="94"/>
      <c r="Z51" s="93"/>
      <c r="AA51" s="85"/>
      <c r="AC51" s="94"/>
      <c r="AD51" s="93"/>
      <c r="AE51" s="85"/>
    </row>
    <row r="52" spans="5:31" x14ac:dyDescent="0.35">
      <c r="E52" s="85">
        <v>19</v>
      </c>
      <c r="F52" s="93">
        <v>45013</v>
      </c>
      <c r="G52" s="85" t="s">
        <v>240</v>
      </c>
      <c r="H52" s="87">
        <v>430</v>
      </c>
      <c r="I52" s="94">
        <v>14</v>
      </c>
      <c r="J52" s="93">
        <v>45068</v>
      </c>
      <c r="K52" s="85" t="s">
        <v>1495</v>
      </c>
      <c r="L52" s="87">
        <v>2105</v>
      </c>
      <c r="M52" s="85">
        <v>23</v>
      </c>
      <c r="N52" s="93">
        <v>45499</v>
      </c>
      <c r="O52" s="85" t="s">
        <v>3184</v>
      </c>
      <c r="P52" s="87">
        <v>1071.3399999999999</v>
      </c>
      <c r="Q52" s="94"/>
      <c r="R52" s="93"/>
      <c r="S52" s="85"/>
      <c r="U52" s="94"/>
      <c r="V52" s="93"/>
      <c r="W52" s="85"/>
      <c r="Y52" s="94"/>
      <c r="Z52" s="93"/>
      <c r="AA52" s="85"/>
      <c r="AC52" s="94"/>
      <c r="AD52" s="93"/>
      <c r="AE52" s="85"/>
    </row>
    <row r="53" spans="5:31" x14ac:dyDescent="0.35">
      <c r="E53" s="85">
        <v>19</v>
      </c>
      <c r="F53" s="93">
        <v>44767</v>
      </c>
      <c r="G53" s="85" t="s">
        <v>1496</v>
      </c>
      <c r="H53" s="87">
        <v>106</v>
      </c>
      <c r="I53" s="94">
        <v>20</v>
      </c>
      <c r="J53" s="93">
        <v>45064</v>
      </c>
      <c r="K53" s="85" t="s">
        <v>1497</v>
      </c>
      <c r="L53" s="87">
        <v>598.16999999999996</v>
      </c>
      <c r="M53" s="85"/>
      <c r="N53" s="93"/>
      <c r="O53" s="85"/>
      <c r="Q53" s="94"/>
      <c r="R53" s="93"/>
      <c r="S53" s="85"/>
      <c r="U53" s="94"/>
      <c r="V53" s="93"/>
      <c r="W53" s="85"/>
      <c r="Y53" s="94"/>
      <c r="Z53" s="93"/>
      <c r="AA53" s="85"/>
      <c r="AC53" s="94"/>
      <c r="AD53" s="93"/>
      <c r="AE53" s="85"/>
    </row>
    <row r="54" spans="5:31" x14ac:dyDescent="0.35">
      <c r="E54" s="85">
        <v>19</v>
      </c>
      <c r="F54" s="93">
        <v>44987</v>
      </c>
      <c r="G54" s="85" t="s">
        <v>240</v>
      </c>
      <c r="H54" s="87">
        <v>400</v>
      </c>
      <c r="I54" s="94">
        <v>14</v>
      </c>
      <c r="J54" s="93">
        <v>45068</v>
      </c>
      <c r="K54" s="85" t="s">
        <v>1498</v>
      </c>
      <c r="L54" s="87">
        <v>1996.5</v>
      </c>
      <c r="M54" s="85"/>
      <c r="N54" s="93"/>
      <c r="O54" s="85"/>
      <c r="Q54" s="94"/>
      <c r="R54" s="93"/>
      <c r="S54" s="85"/>
      <c r="U54" s="94"/>
      <c r="V54" s="93"/>
      <c r="W54" s="85"/>
      <c r="Y54" s="94"/>
      <c r="Z54" s="93"/>
      <c r="AA54" s="85"/>
      <c r="AC54" s="94"/>
      <c r="AD54" s="93"/>
      <c r="AE54" s="85"/>
    </row>
    <row r="55" spans="5:31" x14ac:dyDescent="0.35">
      <c r="E55" s="85">
        <v>20</v>
      </c>
      <c r="F55" s="93">
        <v>44799</v>
      </c>
      <c r="G55" s="85" t="s">
        <v>1499</v>
      </c>
      <c r="H55" s="87">
        <v>798</v>
      </c>
      <c r="I55" s="94">
        <v>14</v>
      </c>
      <c r="J55" s="93">
        <v>45019</v>
      </c>
      <c r="K55" s="85" t="s">
        <v>1500</v>
      </c>
      <c r="L55" s="87">
        <v>5900</v>
      </c>
      <c r="M55" s="85"/>
      <c r="N55" s="93"/>
      <c r="O55" s="85"/>
      <c r="Q55" s="94"/>
      <c r="R55" s="93"/>
      <c r="S55" s="85"/>
      <c r="U55" s="94"/>
      <c r="V55" s="93"/>
      <c r="W55" s="85"/>
      <c r="Y55" s="94"/>
      <c r="Z55" s="93"/>
      <c r="AA55" s="85"/>
      <c r="AC55" s="94"/>
      <c r="AD55" s="93"/>
      <c r="AE55" s="85"/>
    </row>
    <row r="56" spans="5:31" x14ac:dyDescent="0.35">
      <c r="E56" s="85">
        <v>20</v>
      </c>
      <c r="F56" s="93">
        <v>44946</v>
      </c>
      <c r="G56" s="85" t="s">
        <v>1501</v>
      </c>
      <c r="H56" s="87">
        <v>342.37</v>
      </c>
      <c r="I56" s="94">
        <v>14</v>
      </c>
      <c r="J56" s="93">
        <v>45071</v>
      </c>
      <c r="K56" s="85" t="s">
        <v>1502</v>
      </c>
      <c r="L56" s="87">
        <v>2759</v>
      </c>
      <c r="M56" s="85"/>
      <c r="N56" s="93"/>
      <c r="O56" s="85"/>
      <c r="Q56" s="94"/>
      <c r="R56" s="93"/>
      <c r="S56" s="85"/>
      <c r="U56" s="94"/>
      <c r="V56" s="93"/>
      <c r="W56" s="85"/>
      <c r="Y56" s="94"/>
      <c r="Z56" s="93"/>
      <c r="AA56" s="85"/>
      <c r="AC56" s="94"/>
      <c r="AD56" s="93"/>
      <c r="AE56" s="85"/>
    </row>
    <row r="57" spans="5:31" x14ac:dyDescent="0.35">
      <c r="E57" s="85">
        <v>20</v>
      </c>
      <c r="F57" s="93">
        <v>44971</v>
      </c>
      <c r="G57" s="85" t="s">
        <v>1448</v>
      </c>
      <c r="H57" s="87">
        <v>12.38</v>
      </c>
      <c r="I57" s="94">
        <v>9</v>
      </c>
      <c r="J57" s="93">
        <v>45026</v>
      </c>
      <c r="K57" s="85" t="s">
        <v>1503</v>
      </c>
      <c r="L57" s="87">
        <v>650</v>
      </c>
      <c r="M57" s="85"/>
      <c r="N57" s="93"/>
      <c r="O57" s="85"/>
      <c r="Q57" s="94"/>
      <c r="R57" s="93"/>
      <c r="S57" s="85"/>
      <c r="U57" s="94"/>
      <c r="V57" s="93"/>
      <c r="W57" s="85"/>
      <c r="Y57" s="94"/>
      <c r="Z57" s="93"/>
      <c r="AA57" s="85"/>
      <c r="AC57" s="94"/>
      <c r="AD57" s="93"/>
      <c r="AE57" s="85"/>
    </row>
    <row r="58" spans="5:31" x14ac:dyDescent="0.35">
      <c r="E58" s="85">
        <v>20</v>
      </c>
      <c r="F58" s="93">
        <v>44972</v>
      </c>
      <c r="G58" s="85" t="s">
        <v>1487</v>
      </c>
      <c r="H58" s="87">
        <v>2101.48</v>
      </c>
      <c r="I58" s="94">
        <v>9</v>
      </c>
      <c r="J58" s="93">
        <v>45056</v>
      </c>
      <c r="K58" s="85" t="s">
        <v>1504</v>
      </c>
      <c r="L58" s="87">
        <v>650</v>
      </c>
      <c r="M58" s="85"/>
      <c r="N58" s="93"/>
      <c r="O58" s="85"/>
      <c r="Q58" s="94"/>
      <c r="R58" s="93"/>
      <c r="S58" s="85"/>
      <c r="U58" s="94"/>
      <c r="V58" s="93"/>
      <c r="W58" s="85"/>
      <c r="Y58" s="94"/>
      <c r="Z58" s="93"/>
      <c r="AA58" s="85"/>
      <c r="AC58" s="94"/>
      <c r="AD58" s="93"/>
      <c r="AE58" s="85"/>
    </row>
    <row r="59" spans="5:31" x14ac:dyDescent="0.35">
      <c r="E59" s="85">
        <v>8</v>
      </c>
      <c r="F59" s="93">
        <v>44939</v>
      </c>
      <c r="G59" s="85" t="s">
        <v>1505</v>
      </c>
      <c r="H59" s="87">
        <v>1.1000000000000001</v>
      </c>
      <c r="I59" s="94">
        <v>9</v>
      </c>
      <c r="J59" s="93">
        <v>45087</v>
      </c>
      <c r="K59" s="85" t="s">
        <v>1506</v>
      </c>
      <c r="L59" s="87">
        <v>650</v>
      </c>
      <c r="M59" s="85"/>
      <c r="N59" s="93"/>
      <c r="O59" s="85"/>
      <c r="Q59" s="94"/>
      <c r="R59" s="93"/>
      <c r="S59" s="85"/>
      <c r="U59" s="94"/>
      <c r="V59" s="93"/>
      <c r="W59" s="85"/>
      <c r="Y59" s="94"/>
      <c r="Z59" s="93"/>
      <c r="AA59" s="85"/>
      <c r="AC59" s="94"/>
      <c r="AD59" s="93"/>
      <c r="AE59" s="85"/>
    </row>
    <row r="60" spans="5:31" x14ac:dyDescent="0.35">
      <c r="E60" s="85">
        <v>8</v>
      </c>
      <c r="F60" s="93">
        <v>44944</v>
      </c>
      <c r="G60" s="85" t="s">
        <v>1507</v>
      </c>
      <c r="H60" s="87">
        <v>17.420000000000002</v>
      </c>
      <c r="I60" s="94">
        <v>9</v>
      </c>
      <c r="J60" s="93">
        <v>45087</v>
      </c>
      <c r="K60" s="85" t="s">
        <v>1508</v>
      </c>
      <c r="L60" s="87">
        <v>650</v>
      </c>
      <c r="M60" s="85"/>
      <c r="N60" s="93"/>
      <c r="O60" s="85"/>
      <c r="Q60" s="94"/>
      <c r="R60" s="93"/>
      <c r="S60" s="85"/>
      <c r="U60" s="94"/>
      <c r="V60" s="93"/>
      <c r="W60" s="85"/>
      <c r="Y60" s="94"/>
      <c r="Z60" s="93"/>
      <c r="AA60" s="85"/>
      <c r="AC60" s="94"/>
      <c r="AD60" s="93"/>
      <c r="AE60" s="85"/>
    </row>
    <row r="61" spans="5:31" x14ac:dyDescent="0.35">
      <c r="E61" s="85">
        <v>16</v>
      </c>
      <c r="F61" s="93">
        <v>44950</v>
      </c>
      <c r="G61" s="85" t="s">
        <v>1509</v>
      </c>
      <c r="H61" s="87">
        <v>55.34</v>
      </c>
      <c r="I61" s="94">
        <v>7</v>
      </c>
      <c r="J61" s="93">
        <v>45072</v>
      </c>
      <c r="K61" s="85" t="s">
        <v>1510</v>
      </c>
      <c r="L61" s="87">
        <v>49.95</v>
      </c>
      <c r="M61" s="85"/>
      <c r="N61" s="93"/>
      <c r="O61" s="85"/>
      <c r="Q61" s="94"/>
      <c r="R61" s="93"/>
      <c r="S61" s="85"/>
      <c r="U61" s="94"/>
      <c r="V61" s="93"/>
      <c r="W61" s="85"/>
      <c r="Y61" s="94"/>
      <c r="Z61" s="93"/>
      <c r="AA61" s="85"/>
      <c r="AC61" s="94"/>
      <c r="AD61" s="93"/>
      <c r="AE61" s="85"/>
    </row>
    <row r="62" spans="5:31" x14ac:dyDescent="0.35">
      <c r="E62" s="85">
        <v>16</v>
      </c>
      <c r="F62" s="93">
        <v>44950</v>
      </c>
      <c r="G62" s="85" t="s">
        <v>1511</v>
      </c>
      <c r="H62" s="87">
        <v>9.4600000000000009</v>
      </c>
      <c r="I62" s="94">
        <v>7</v>
      </c>
      <c r="J62" s="93">
        <v>45072</v>
      </c>
      <c r="K62" s="85" t="s">
        <v>1492</v>
      </c>
      <c r="L62" s="87">
        <v>5.83</v>
      </c>
      <c r="M62" s="85"/>
      <c r="N62" s="93"/>
      <c r="O62" s="85"/>
      <c r="Q62" s="94"/>
      <c r="R62" s="93"/>
      <c r="S62" s="85"/>
      <c r="U62" s="94"/>
      <c r="V62" s="93"/>
      <c r="W62" s="85"/>
      <c r="Y62" s="94"/>
      <c r="Z62" s="93"/>
      <c r="AA62" s="85"/>
      <c r="AC62" s="94"/>
      <c r="AD62" s="93"/>
      <c r="AE62" s="85"/>
    </row>
    <row r="63" spans="5:31" x14ac:dyDescent="0.35">
      <c r="E63" s="85">
        <v>8</v>
      </c>
      <c r="F63" s="93">
        <v>44950</v>
      </c>
      <c r="G63" s="85" t="s">
        <v>1512</v>
      </c>
      <c r="H63" s="87">
        <v>43.99</v>
      </c>
      <c r="I63" s="94">
        <v>14</v>
      </c>
      <c r="J63" s="93">
        <v>45072</v>
      </c>
      <c r="K63" s="85" t="s">
        <v>1513</v>
      </c>
      <c r="L63" s="87">
        <v>122.95</v>
      </c>
      <c r="M63" s="85"/>
      <c r="N63" s="93"/>
      <c r="O63" s="85"/>
      <c r="Q63" s="94"/>
      <c r="R63" s="93"/>
      <c r="S63" s="85"/>
      <c r="U63" s="94"/>
      <c r="V63" s="93"/>
      <c r="W63" s="85"/>
      <c r="Y63" s="94"/>
      <c r="Z63" s="93"/>
      <c r="AA63" s="85"/>
      <c r="AC63" s="94"/>
      <c r="AD63" s="93"/>
      <c r="AE63" s="85"/>
    </row>
    <row r="64" spans="5:31" x14ac:dyDescent="0.35">
      <c r="E64" s="85">
        <v>16</v>
      </c>
      <c r="F64" s="93">
        <v>44952</v>
      </c>
      <c r="G64" s="85" t="s">
        <v>1514</v>
      </c>
      <c r="H64" s="87">
        <v>8.91</v>
      </c>
      <c r="I64" s="94">
        <v>8</v>
      </c>
      <c r="J64" s="93">
        <v>45072</v>
      </c>
      <c r="K64" s="85" t="s">
        <v>1515</v>
      </c>
      <c r="L64" s="87">
        <v>9.65</v>
      </c>
      <c r="M64" s="85"/>
      <c r="N64" s="93"/>
      <c r="O64" s="85"/>
      <c r="Q64" s="94"/>
      <c r="R64" s="93"/>
      <c r="S64" s="85"/>
      <c r="U64" s="94"/>
      <c r="V64" s="93"/>
      <c r="W64" s="85"/>
      <c r="Y64" s="94"/>
      <c r="Z64" s="93"/>
      <c r="AA64" s="85"/>
      <c r="AC64" s="94"/>
      <c r="AD64" s="93"/>
      <c r="AE64" s="85"/>
    </row>
    <row r="65" spans="5:31" x14ac:dyDescent="0.35">
      <c r="E65" s="85">
        <v>16</v>
      </c>
      <c r="F65" s="93">
        <v>44952</v>
      </c>
      <c r="G65" s="85" t="s">
        <v>1516</v>
      </c>
      <c r="H65" s="87">
        <v>25.95</v>
      </c>
      <c r="I65" s="94">
        <v>7</v>
      </c>
      <c r="J65" s="93">
        <v>45072</v>
      </c>
      <c r="K65" s="85" t="s">
        <v>1465</v>
      </c>
      <c r="L65" s="87">
        <v>13.32</v>
      </c>
      <c r="M65" s="85"/>
      <c r="N65" s="93"/>
      <c r="O65" s="85"/>
      <c r="Q65" s="94"/>
      <c r="R65" s="93"/>
      <c r="S65" s="85"/>
      <c r="U65" s="94"/>
      <c r="V65" s="93"/>
      <c r="W65" s="85"/>
      <c r="Y65" s="94"/>
      <c r="Z65" s="93"/>
      <c r="AA65" s="85"/>
      <c r="AC65" s="94"/>
      <c r="AD65" s="93"/>
      <c r="AE65" s="85"/>
    </row>
    <row r="66" spans="5:31" x14ac:dyDescent="0.35">
      <c r="E66" s="85">
        <v>16</v>
      </c>
      <c r="F66" s="93">
        <v>44952</v>
      </c>
      <c r="G66" s="85" t="s">
        <v>1517</v>
      </c>
      <c r="H66" s="87">
        <v>3.99</v>
      </c>
      <c r="I66" s="94">
        <v>16</v>
      </c>
      <c r="J66" s="93">
        <v>45072</v>
      </c>
      <c r="K66" s="85" t="s">
        <v>1449</v>
      </c>
      <c r="L66" s="87">
        <v>11.99</v>
      </c>
      <c r="M66" s="85"/>
      <c r="N66" s="93"/>
      <c r="O66" s="85"/>
      <c r="Q66" s="94"/>
      <c r="R66" s="93"/>
      <c r="S66" s="85"/>
      <c r="U66" s="94"/>
      <c r="V66" s="93"/>
      <c r="W66" s="85"/>
      <c r="Y66" s="94"/>
      <c r="Z66" s="93"/>
      <c r="AA66" s="85"/>
      <c r="AC66" s="94"/>
      <c r="AD66" s="93"/>
      <c r="AE66" s="85"/>
    </row>
    <row r="67" spans="5:31" x14ac:dyDescent="0.35">
      <c r="E67" s="85">
        <v>10</v>
      </c>
      <c r="F67" s="93">
        <v>44952</v>
      </c>
      <c r="G67" s="85" t="s">
        <v>1518</v>
      </c>
      <c r="H67" s="87">
        <v>39.97</v>
      </c>
      <c r="I67" s="94">
        <v>8</v>
      </c>
      <c r="J67" s="93">
        <v>45072</v>
      </c>
      <c r="K67" s="85" t="s">
        <v>1519</v>
      </c>
      <c r="L67" s="87">
        <v>5.15</v>
      </c>
      <c r="M67" s="85"/>
      <c r="N67" s="93"/>
      <c r="O67" s="85"/>
      <c r="Q67" s="94"/>
      <c r="R67" s="93"/>
      <c r="S67" s="85"/>
      <c r="U67" s="94"/>
      <c r="V67" s="93"/>
      <c r="W67" s="85"/>
      <c r="Y67" s="94"/>
      <c r="Z67" s="93"/>
      <c r="AA67" s="85"/>
      <c r="AC67" s="94"/>
      <c r="AD67" s="93"/>
      <c r="AE67" s="85"/>
    </row>
    <row r="68" spans="5:31" x14ac:dyDescent="0.35">
      <c r="E68" s="85">
        <v>10</v>
      </c>
      <c r="F68" s="93">
        <v>44952</v>
      </c>
      <c r="G68" s="85" t="s">
        <v>1520</v>
      </c>
      <c r="H68" s="87">
        <v>27.49</v>
      </c>
      <c r="I68" s="94">
        <v>15</v>
      </c>
      <c r="J68" s="93">
        <v>45121</v>
      </c>
      <c r="K68" s="85" t="s">
        <v>1521</v>
      </c>
      <c r="L68" s="87">
        <v>1630</v>
      </c>
      <c r="M68" s="85"/>
      <c r="N68" s="93"/>
      <c r="O68" s="85"/>
      <c r="Q68" s="94"/>
      <c r="R68" s="93"/>
      <c r="S68" s="85"/>
      <c r="U68" s="94"/>
      <c r="V68" s="93"/>
      <c r="W68" s="85"/>
      <c r="Y68" s="94"/>
      <c r="Z68" s="93"/>
      <c r="AA68" s="85"/>
      <c r="AC68" s="94"/>
      <c r="AD68" s="93"/>
      <c r="AE68" s="85"/>
    </row>
    <row r="69" spans="5:31" x14ac:dyDescent="0.35">
      <c r="E69" s="85">
        <v>10</v>
      </c>
      <c r="F69" s="93">
        <v>44952</v>
      </c>
      <c r="G69" s="85" t="s">
        <v>1522</v>
      </c>
      <c r="H69" s="87">
        <v>4.16</v>
      </c>
      <c r="I69" s="94">
        <v>14</v>
      </c>
      <c r="J69" s="93">
        <v>45093</v>
      </c>
      <c r="K69" s="85" t="s">
        <v>1523</v>
      </c>
      <c r="L69" s="87">
        <v>17596</v>
      </c>
      <c r="M69" s="85"/>
      <c r="N69" s="93"/>
      <c r="O69" s="85"/>
      <c r="Q69" s="94"/>
      <c r="R69" s="93"/>
      <c r="S69" s="85"/>
      <c r="U69" s="94"/>
      <c r="V69" s="93"/>
      <c r="W69" s="85"/>
      <c r="Y69" s="94"/>
      <c r="Z69" s="93"/>
      <c r="AA69" s="85"/>
      <c r="AC69" s="94"/>
      <c r="AD69" s="93"/>
      <c r="AE69" s="85"/>
    </row>
    <row r="70" spans="5:31" x14ac:dyDescent="0.35">
      <c r="G70" s="85"/>
      <c r="H70" s="87"/>
      <c r="K70" s="85"/>
      <c r="M70" s="85"/>
      <c r="N70" s="93"/>
      <c r="O70" s="85"/>
      <c r="Q70" s="94"/>
      <c r="R70" s="93"/>
      <c r="S70" s="85"/>
      <c r="U70" s="94"/>
      <c r="V70" s="93"/>
      <c r="W70" s="85"/>
      <c r="Y70" s="94"/>
      <c r="Z70" s="93"/>
      <c r="AA70" s="85"/>
      <c r="AC70" s="94"/>
      <c r="AD70" s="93"/>
      <c r="AE70" s="85"/>
    </row>
    <row r="71" spans="5:31" x14ac:dyDescent="0.35">
      <c r="E71" s="85">
        <v>7</v>
      </c>
      <c r="F71" s="93">
        <v>44959</v>
      </c>
      <c r="G71" s="85" t="s">
        <v>1527</v>
      </c>
      <c r="H71" s="87">
        <v>13.32</v>
      </c>
      <c r="I71" s="94">
        <v>14</v>
      </c>
      <c r="J71" s="93">
        <v>45047</v>
      </c>
      <c r="K71" s="85" t="s">
        <v>1528</v>
      </c>
      <c r="L71" s="87">
        <v>37885</v>
      </c>
      <c r="M71" s="85"/>
      <c r="N71" s="93"/>
      <c r="O71" s="85"/>
      <c r="Q71" s="94"/>
      <c r="R71" s="93"/>
      <c r="S71" s="85"/>
      <c r="U71" s="94"/>
      <c r="V71" s="93"/>
      <c r="W71" s="85"/>
      <c r="Y71" s="94"/>
      <c r="Z71" s="93"/>
      <c r="AA71" s="85"/>
      <c r="AC71" s="94"/>
      <c r="AD71" s="93"/>
      <c r="AE71" s="85"/>
    </row>
    <row r="72" spans="5:31" x14ac:dyDescent="0.35">
      <c r="G72" s="85"/>
      <c r="H72" s="87"/>
      <c r="I72" s="94">
        <v>14</v>
      </c>
      <c r="J72" s="93">
        <v>45086</v>
      </c>
      <c r="K72" s="85" t="s">
        <v>1529</v>
      </c>
      <c r="L72" s="87">
        <v>3225</v>
      </c>
      <c r="M72" s="85"/>
      <c r="N72" s="93"/>
      <c r="O72" s="85"/>
      <c r="Q72" s="94"/>
      <c r="R72" s="93"/>
      <c r="S72" s="85"/>
      <c r="U72" s="94"/>
      <c r="V72" s="93"/>
      <c r="W72" s="85"/>
      <c r="Y72" s="94"/>
      <c r="Z72" s="93"/>
      <c r="AA72" s="85"/>
      <c r="AC72" s="94"/>
      <c r="AD72" s="93"/>
      <c r="AE72" s="85"/>
    </row>
    <row r="73" spans="5:31" x14ac:dyDescent="0.35">
      <c r="E73" s="85">
        <v>8</v>
      </c>
      <c r="F73" s="93">
        <v>44974</v>
      </c>
      <c r="G73" s="85" t="s">
        <v>1530</v>
      </c>
      <c r="H73" s="87">
        <f>0.95+0.95+1.75+1.1+1.1</f>
        <v>5.85</v>
      </c>
      <c r="I73" s="94">
        <v>14</v>
      </c>
      <c r="J73" s="93" t="s">
        <v>1104</v>
      </c>
      <c r="K73" s="85" t="s">
        <v>1531</v>
      </c>
      <c r="L73" s="87">
        <f>46580-5000+1641+(11954+1027)*2/3</f>
        <v>51875</v>
      </c>
      <c r="M73" s="85"/>
      <c r="N73" s="93"/>
      <c r="O73" s="85"/>
      <c r="Q73" s="94"/>
      <c r="R73" s="93"/>
      <c r="S73" s="85"/>
      <c r="U73" s="94"/>
      <c r="V73" s="93"/>
      <c r="W73" s="85"/>
      <c r="Y73" s="94"/>
      <c r="Z73" s="93"/>
      <c r="AA73" s="85"/>
      <c r="AC73" s="94"/>
      <c r="AD73" s="93"/>
      <c r="AE73" s="85"/>
    </row>
    <row r="74" spans="5:31" x14ac:dyDescent="0.35">
      <c r="E74" s="85">
        <v>16</v>
      </c>
      <c r="F74" s="93">
        <v>44974</v>
      </c>
      <c r="G74" s="85" t="s">
        <v>1533</v>
      </c>
      <c r="H74" s="87">
        <v>10.42</v>
      </c>
      <c r="I74" s="94">
        <v>15</v>
      </c>
      <c r="J74" s="93" t="s">
        <v>1104</v>
      </c>
      <c r="K74" s="85" t="s">
        <v>1534</v>
      </c>
      <c r="L74" s="87">
        <v>5000</v>
      </c>
      <c r="M74" s="85"/>
      <c r="N74" s="93"/>
      <c r="O74" s="85"/>
      <c r="Q74" s="94"/>
      <c r="R74" s="93"/>
      <c r="S74" s="85"/>
      <c r="U74" s="94"/>
      <c r="V74" s="93"/>
      <c r="W74" s="85"/>
      <c r="Y74" s="94"/>
      <c r="Z74" s="93"/>
      <c r="AA74" s="85"/>
      <c r="AC74" s="94"/>
      <c r="AD74" s="93"/>
      <c r="AE74" s="85"/>
    </row>
    <row r="75" spans="5:31" x14ac:dyDescent="0.35">
      <c r="E75" s="85">
        <v>7</v>
      </c>
      <c r="F75" s="93">
        <v>44974</v>
      </c>
      <c r="G75" s="85" t="s">
        <v>1535</v>
      </c>
      <c r="H75" s="87">
        <f>13.32+3.33</f>
        <v>16.649999999999999</v>
      </c>
      <c r="I75" s="94">
        <v>14</v>
      </c>
      <c r="J75" s="93">
        <v>45096</v>
      </c>
      <c r="K75" s="85" t="s">
        <v>1536</v>
      </c>
      <c r="L75" s="87">
        <v>2250</v>
      </c>
      <c r="M75" s="85"/>
      <c r="N75" s="93"/>
      <c r="O75" s="85"/>
      <c r="Q75" s="94"/>
      <c r="R75" s="93"/>
      <c r="S75" s="85"/>
      <c r="U75" s="94"/>
      <c r="V75" s="93"/>
      <c r="W75" s="85"/>
      <c r="Y75" s="94"/>
      <c r="Z75" s="93"/>
      <c r="AA75" s="85"/>
      <c r="AC75" s="94"/>
      <c r="AD75" s="93"/>
      <c r="AE75" s="85"/>
    </row>
    <row r="76" spans="5:31" x14ac:dyDescent="0.35">
      <c r="E76" s="85">
        <v>20</v>
      </c>
      <c r="F76" s="93">
        <v>44975</v>
      </c>
      <c r="G76" s="85" t="s">
        <v>1537</v>
      </c>
      <c r="H76" s="87">
        <v>321.67</v>
      </c>
      <c r="I76" s="94">
        <v>14</v>
      </c>
      <c r="J76" s="93">
        <v>45096</v>
      </c>
      <c r="K76" s="85" t="s">
        <v>1538</v>
      </c>
      <c r="L76" s="87">
        <v>847</v>
      </c>
      <c r="M76" s="85"/>
      <c r="N76" s="93"/>
      <c r="O76" s="85"/>
      <c r="Q76" s="94"/>
      <c r="R76" s="93"/>
      <c r="S76" s="85"/>
      <c r="U76" s="94"/>
      <c r="V76" s="93"/>
      <c r="W76" s="85"/>
      <c r="Y76" s="94"/>
      <c r="Z76" s="93"/>
      <c r="AA76" s="85"/>
      <c r="AC76" s="94"/>
      <c r="AD76" s="93"/>
      <c r="AE76" s="85"/>
    </row>
    <row r="77" spans="5:31" x14ac:dyDescent="0.35">
      <c r="E77" s="85">
        <v>7</v>
      </c>
      <c r="F77" s="93">
        <v>44984</v>
      </c>
      <c r="G77" s="85" t="s">
        <v>1539</v>
      </c>
      <c r="H77" s="87">
        <v>15.82</v>
      </c>
      <c r="K77" s="85"/>
      <c r="M77" s="85"/>
      <c r="N77" s="93"/>
      <c r="O77" s="85"/>
      <c r="Q77" s="94"/>
      <c r="R77" s="93"/>
      <c r="S77" s="85"/>
      <c r="U77" s="94"/>
      <c r="V77" s="93"/>
      <c r="W77" s="85"/>
      <c r="Y77" s="94"/>
      <c r="Z77" s="93"/>
      <c r="AA77" s="85"/>
      <c r="AC77" s="94"/>
      <c r="AD77" s="93"/>
      <c r="AE77" s="85"/>
    </row>
    <row r="78" spans="5:31" x14ac:dyDescent="0.35">
      <c r="E78" s="85">
        <v>11</v>
      </c>
      <c r="F78" s="93">
        <v>44988</v>
      </c>
      <c r="G78" s="85" t="s">
        <v>1543</v>
      </c>
      <c r="H78" s="87">
        <v>415</v>
      </c>
      <c r="I78" s="94">
        <v>14</v>
      </c>
      <c r="J78" s="93">
        <v>45048</v>
      </c>
      <c r="K78" s="85" t="s">
        <v>1544</v>
      </c>
      <c r="L78" s="87">
        <v>124.13</v>
      </c>
      <c r="M78" s="85"/>
      <c r="N78" s="93"/>
      <c r="O78" s="85"/>
      <c r="Q78" s="94"/>
      <c r="R78" s="93"/>
      <c r="S78" s="85"/>
      <c r="U78" s="94"/>
      <c r="V78" s="93"/>
      <c r="W78" s="85"/>
      <c r="Y78" s="94"/>
      <c r="Z78" s="93"/>
      <c r="AA78" s="85"/>
      <c r="AC78" s="94"/>
      <c r="AD78" s="93"/>
      <c r="AE78" s="85"/>
    </row>
    <row r="79" spans="5:31" x14ac:dyDescent="0.35">
      <c r="E79" s="85">
        <v>16</v>
      </c>
      <c r="F79" s="93">
        <v>44993</v>
      </c>
      <c r="G79" s="85" t="s">
        <v>1545</v>
      </c>
      <c r="H79" s="87">
        <v>4.99</v>
      </c>
      <c r="I79" s="94">
        <v>14</v>
      </c>
      <c r="J79" s="93">
        <v>45062</v>
      </c>
      <c r="K79" s="85" t="s">
        <v>1546</v>
      </c>
      <c r="L79" s="87">
        <v>18.149999999999999</v>
      </c>
      <c r="M79" s="85"/>
      <c r="N79" s="93"/>
      <c r="O79" s="85"/>
      <c r="Q79" s="94"/>
      <c r="R79" s="93"/>
      <c r="S79" s="85"/>
      <c r="U79" s="94"/>
      <c r="V79" s="93"/>
      <c r="W79" s="85"/>
      <c r="Y79" s="94"/>
      <c r="Z79" s="93"/>
      <c r="AA79" s="85"/>
      <c r="AC79" s="94"/>
      <c r="AD79" s="93"/>
      <c r="AE79" s="85"/>
    </row>
    <row r="80" spans="5:31" x14ac:dyDescent="0.35">
      <c r="E80" s="85">
        <v>7</v>
      </c>
      <c r="F80" s="93">
        <v>44993</v>
      </c>
      <c r="G80" s="85" t="s">
        <v>1547</v>
      </c>
      <c r="H80" s="87">
        <v>43.29</v>
      </c>
      <c r="I80" s="94">
        <v>14</v>
      </c>
      <c r="J80" s="93">
        <v>45064</v>
      </c>
      <c r="K80" s="85" t="s">
        <v>1548</v>
      </c>
      <c r="L80" s="87">
        <v>58.3</v>
      </c>
      <c r="M80" s="85"/>
      <c r="N80" s="93"/>
      <c r="O80" s="85"/>
      <c r="Q80" s="94"/>
      <c r="R80" s="93"/>
      <c r="S80" s="85"/>
      <c r="U80" s="94"/>
      <c r="V80" s="93"/>
      <c r="W80" s="85"/>
      <c r="Y80" s="94"/>
      <c r="Z80" s="93"/>
      <c r="AA80" s="85"/>
      <c r="AC80" s="94"/>
      <c r="AD80" s="93"/>
      <c r="AE80" s="85"/>
    </row>
    <row r="81" spans="5:31" x14ac:dyDescent="0.35">
      <c r="E81" s="85">
        <v>11</v>
      </c>
      <c r="F81" s="93">
        <v>44998</v>
      </c>
      <c r="G81" s="85" t="s">
        <v>1549</v>
      </c>
      <c r="H81" s="87">
        <v>387.4</v>
      </c>
      <c r="I81" s="94">
        <v>14</v>
      </c>
      <c r="J81" s="93">
        <v>45068</v>
      </c>
      <c r="K81" s="85" t="s">
        <v>1550</v>
      </c>
      <c r="L81" s="87">
        <v>49.99</v>
      </c>
      <c r="M81" s="85"/>
      <c r="N81" s="93"/>
      <c r="O81" s="85"/>
      <c r="Q81" s="94"/>
      <c r="R81" s="93"/>
      <c r="S81" s="85"/>
      <c r="U81" s="94"/>
      <c r="V81" s="93"/>
      <c r="W81" s="85"/>
      <c r="Y81" s="94"/>
      <c r="Z81" s="93"/>
      <c r="AA81" s="85"/>
      <c r="AC81" s="94"/>
      <c r="AD81" s="93"/>
      <c r="AE81" s="85"/>
    </row>
    <row r="82" spans="5:31" x14ac:dyDescent="0.35">
      <c r="E82" s="85">
        <v>7</v>
      </c>
      <c r="F82" s="93">
        <v>45002</v>
      </c>
      <c r="G82" s="85" t="s">
        <v>1535</v>
      </c>
      <c r="H82" s="87">
        <v>6.66</v>
      </c>
      <c r="I82" s="94">
        <v>14</v>
      </c>
      <c r="J82" s="93">
        <v>45070</v>
      </c>
      <c r="K82" s="85" t="s">
        <v>1551</v>
      </c>
      <c r="L82" s="87">
        <v>74.400000000000006</v>
      </c>
      <c r="M82" s="85"/>
      <c r="N82" s="93"/>
      <c r="O82" s="85"/>
      <c r="Q82" s="94"/>
      <c r="R82" s="93"/>
      <c r="S82" s="85"/>
      <c r="U82" s="94"/>
      <c r="V82" s="93"/>
      <c r="W82" s="85"/>
      <c r="Y82" s="94"/>
      <c r="Z82" s="93"/>
      <c r="AA82" s="85"/>
      <c r="AC82" s="94"/>
      <c r="AD82" s="93"/>
      <c r="AE82" s="85"/>
    </row>
    <row r="83" spans="5:31" x14ac:dyDescent="0.35">
      <c r="E83" s="85">
        <v>8</v>
      </c>
      <c r="F83" s="93">
        <v>45002</v>
      </c>
      <c r="G83" s="85" t="s">
        <v>1552</v>
      </c>
      <c r="H83" s="87">
        <v>17.84</v>
      </c>
      <c r="I83" s="94">
        <v>16</v>
      </c>
      <c r="J83" s="93">
        <v>45127</v>
      </c>
      <c r="K83" s="85" t="s">
        <v>1553</v>
      </c>
      <c r="L83" s="87">
        <v>2.25</v>
      </c>
      <c r="M83" s="85"/>
      <c r="N83" s="93"/>
      <c r="O83" s="85"/>
      <c r="Q83" s="94"/>
      <c r="R83" s="93"/>
      <c r="S83" s="85"/>
      <c r="U83" s="94"/>
      <c r="V83" s="93"/>
      <c r="W83" s="85"/>
      <c r="Y83" s="94"/>
      <c r="Z83" s="93"/>
      <c r="AA83" s="85"/>
      <c r="AC83" s="94"/>
      <c r="AD83" s="93"/>
      <c r="AE83" s="85"/>
    </row>
    <row r="84" spans="5:31" x14ac:dyDescent="0.35">
      <c r="E84" s="85">
        <v>10</v>
      </c>
      <c r="F84" s="93">
        <v>45002</v>
      </c>
      <c r="G84" s="85" t="s">
        <v>1554</v>
      </c>
      <c r="H84" s="87">
        <v>12</v>
      </c>
      <c r="I84" s="94">
        <v>6</v>
      </c>
      <c r="J84" s="93">
        <v>45085</v>
      </c>
      <c r="K84" s="85" t="s">
        <v>1555</v>
      </c>
      <c r="L84" s="87">
        <v>55</v>
      </c>
      <c r="M84" s="85"/>
      <c r="N84" s="93"/>
      <c r="O84" s="85"/>
      <c r="Q84" s="94"/>
      <c r="R84" s="93"/>
      <c r="S84" s="85"/>
      <c r="U84" s="94"/>
      <c r="V84" s="93"/>
      <c r="W84" s="85"/>
      <c r="Y84" s="94"/>
      <c r="Z84" s="93"/>
      <c r="AA84" s="85"/>
      <c r="AC84" s="94"/>
      <c r="AD84" s="93"/>
      <c r="AE84" s="85"/>
    </row>
    <row r="85" spans="5:31" x14ac:dyDescent="0.35">
      <c r="E85" s="85">
        <v>7</v>
      </c>
      <c r="F85" s="93">
        <v>45002</v>
      </c>
      <c r="G85" s="85" t="s">
        <v>1556</v>
      </c>
      <c r="H85" s="87">
        <v>2.08</v>
      </c>
      <c r="I85" s="94">
        <v>6</v>
      </c>
      <c r="J85" s="93">
        <v>45085</v>
      </c>
      <c r="K85" s="85" t="s">
        <v>1557</v>
      </c>
      <c r="L85" s="87">
        <v>91.2</v>
      </c>
      <c r="M85" s="85"/>
      <c r="N85" s="93"/>
      <c r="O85" s="85"/>
      <c r="Q85" s="94"/>
      <c r="R85" s="93"/>
      <c r="S85" s="85"/>
      <c r="U85" s="94"/>
      <c r="V85" s="93"/>
      <c r="W85" s="85"/>
      <c r="Y85" s="94"/>
      <c r="Z85" s="93"/>
      <c r="AA85" s="85"/>
      <c r="AC85" s="94"/>
      <c r="AD85" s="93"/>
      <c r="AE85" s="85"/>
    </row>
    <row r="86" spans="5:31" x14ac:dyDescent="0.35">
      <c r="E86" s="85">
        <v>8</v>
      </c>
      <c r="F86" s="93">
        <v>45002</v>
      </c>
      <c r="G86" s="85" t="s">
        <v>1558</v>
      </c>
      <c r="H86" s="87">
        <v>6</v>
      </c>
      <c r="I86" s="94">
        <v>6</v>
      </c>
      <c r="J86" s="93">
        <v>45085</v>
      </c>
      <c r="K86" s="85" t="s">
        <v>1559</v>
      </c>
      <c r="L86" s="87">
        <v>812.39</v>
      </c>
      <c r="M86" s="85"/>
      <c r="N86" s="93"/>
      <c r="O86" s="85"/>
      <c r="Q86" s="94"/>
      <c r="R86" s="93"/>
      <c r="S86" s="85"/>
      <c r="U86" s="94"/>
      <c r="V86" s="93"/>
      <c r="W86" s="85"/>
      <c r="Y86" s="94"/>
      <c r="Z86" s="93"/>
      <c r="AA86" s="85"/>
      <c r="AC86" s="94"/>
      <c r="AD86" s="93"/>
      <c r="AE86" s="85"/>
    </row>
    <row r="87" spans="5:31" x14ac:dyDescent="0.35">
      <c r="E87" s="85">
        <v>7</v>
      </c>
      <c r="F87" s="93">
        <v>45002</v>
      </c>
      <c r="G87" s="85" t="s">
        <v>1560</v>
      </c>
      <c r="H87" s="87">
        <v>16.649999999999999</v>
      </c>
      <c r="I87" s="94">
        <v>6</v>
      </c>
      <c r="J87" s="93">
        <v>45085</v>
      </c>
      <c r="K87" s="85" t="s">
        <v>1561</v>
      </c>
      <c r="L87" s="87">
        <v>930.39</v>
      </c>
      <c r="M87" s="85"/>
      <c r="N87" s="93"/>
      <c r="O87" s="85"/>
      <c r="Q87" s="94"/>
      <c r="R87" s="93"/>
      <c r="S87" s="85"/>
      <c r="U87" s="94"/>
      <c r="V87" s="93"/>
      <c r="W87" s="85"/>
      <c r="Y87" s="94"/>
      <c r="Z87" s="93"/>
      <c r="AA87" s="85"/>
      <c r="AC87" s="94"/>
      <c r="AD87" s="93"/>
      <c r="AE87" s="85"/>
    </row>
    <row r="88" spans="5:31" x14ac:dyDescent="0.35">
      <c r="E88" s="85">
        <v>7</v>
      </c>
      <c r="F88" s="93">
        <v>45002</v>
      </c>
      <c r="G88" s="85" t="s">
        <v>1562</v>
      </c>
      <c r="H88" s="87">
        <v>38.299999999999997</v>
      </c>
      <c r="I88" s="94">
        <v>20</v>
      </c>
      <c r="J88" s="93">
        <v>45090</v>
      </c>
      <c r="K88" s="85" t="s">
        <v>1563</v>
      </c>
      <c r="L88" s="87">
        <v>528</v>
      </c>
      <c r="M88" s="85"/>
      <c r="N88" s="93"/>
      <c r="O88" s="85"/>
      <c r="Q88" s="94"/>
      <c r="R88" s="93"/>
      <c r="S88" s="85"/>
      <c r="U88" s="94"/>
      <c r="V88" s="93"/>
      <c r="W88" s="85"/>
      <c r="Y88" s="94"/>
      <c r="Z88" s="93"/>
      <c r="AA88" s="85"/>
      <c r="AC88" s="94"/>
      <c r="AD88" s="93"/>
      <c r="AE88" s="85"/>
    </row>
    <row r="89" spans="5:31" x14ac:dyDescent="0.35">
      <c r="E89" s="85">
        <v>6</v>
      </c>
      <c r="F89" s="93">
        <v>44989</v>
      </c>
      <c r="G89" s="85" t="s">
        <v>1450</v>
      </c>
      <c r="H89" s="87">
        <v>94.5</v>
      </c>
      <c r="I89" s="94">
        <v>6</v>
      </c>
      <c r="J89" s="93">
        <v>45092</v>
      </c>
      <c r="K89" s="85" t="s">
        <v>1564</v>
      </c>
      <c r="L89" s="87">
        <v>1077</v>
      </c>
      <c r="M89" s="85"/>
      <c r="N89" s="93"/>
      <c r="O89" s="85"/>
      <c r="Q89" s="94"/>
      <c r="R89" s="93"/>
      <c r="S89" s="85"/>
      <c r="U89" s="94"/>
      <c r="V89" s="93"/>
      <c r="W89" s="85"/>
      <c r="Y89" s="94"/>
      <c r="Z89" s="93"/>
      <c r="AA89" s="85"/>
      <c r="AC89" s="94"/>
      <c r="AD89" s="93"/>
      <c r="AE89" s="85"/>
    </row>
    <row r="90" spans="5:31" x14ac:dyDescent="0.35">
      <c r="E90" s="85">
        <v>10</v>
      </c>
      <c r="F90" s="93">
        <v>44980</v>
      </c>
      <c r="G90" s="85" t="s">
        <v>1565</v>
      </c>
      <c r="H90" s="87">
        <v>23.28</v>
      </c>
      <c r="I90" s="94">
        <v>7</v>
      </c>
      <c r="J90" s="93">
        <v>45086</v>
      </c>
      <c r="K90" s="85" t="s">
        <v>1465</v>
      </c>
      <c r="L90" s="87">
        <v>13.32</v>
      </c>
      <c r="M90" s="85"/>
      <c r="N90" s="93"/>
      <c r="O90" s="85"/>
      <c r="Q90" s="94"/>
      <c r="R90" s="93"/>
      <c r="S90" s="85"/>
      <c r="U90" s="94"/>
      <c r="V90" s="93"/>
      <c r="W90" s="85"/>
      <c r="Y90" s="94"/>
      <c r="Z90" s="93"/>
      <c r="AA90" s="85"/>
      <c r="AC90" s="94"/>
      <c r="AD90" s="93"/>
      <c r="AE90" s="85"/>
    </row>
    <row r="91" spans="5:31" x14ac:dyDescent="0.35">
      <c r="E91" s="85">
        <v>7</v>
      </c>
      <c r="F91" s="93">
        <v>45016</v>
      </c>
      <c r="G91" s="85" t="s">
        <v>1566</v>
      </c>
      <c r="H91" s="87">
        <v>19.98</v>
      </c>
      <c r="I91" s="94">
        <v>8</v>
      </c>
      <c r="J91" s="93">
        <v>45096</v>
      </c>
      <c r="K91" s="85" t="s">
        <v>1567</v>
      </c>
      <c r="L91" s="87">
        <v>7.6</v>
      </c>
      <c r="M91" s="85"/>
      <c r="N91" s="93"/>
      <c r="O91" s="85"/>
      <c r="Q91" s="94"/>
      <c r="R91" s="93"/>
      <c r="S91" s="85"/>
      <c r="U91" s="94"/>
      <c r="V91" s="93"/>
      <c r="W91" s="85"/>
      <c r="Y91" s="94"/>
      <c r="Z91" s="93"/>
      <c r="AA91" s="85"/>
      <c r="AC91" s="94"/>
      <c r="AD91" s="93"/>
      <c r="AE91" s="85"/>
    </row>
    <row r="92" spans="5:31" x14ac:dyDescent="0.35">
      <c r="E92" s="85">
        <v>7</v>
      </c>
      <c r="F92" s="93">
        <v>45016</v>
      </c>
      <c r="G92" s="85" t="s">
        <v>1568</v>
      </c>
      <c r="H92" s="87">
        <v>33.299999999999997</v>
      </c>
      <c r="I92" s="94">
        <v>16</v>
      </c>
      <c r="J92" s="93">
        <v>45096</v>
      </c>
      <c r="K92" s="85" t="s">
        <v>1569</v>
      </c>
      <c r="L92" s="87">
        <v>3.3</v>
      </c>
      <c r="M92" s="85"/>
      <c r="N92" s="93"/>
      <c r="O92" s="85"/>
      <c r="Q92" s="94"/>
      <c r="R92" s="93"/>
      <c r="S92" s="85"/>
      <c r="U92" s="94"/>
      <c r="V92" s="93"/>
      <c r="W92" s="85"/>
      <c r="Y92" s="94"/>
      <c r="Z92" s="93"/>
      <c r="AA92" s="85"/>
      <c r="AC92" s="94"/>
      <c r="AD92" s="93"/>
      <c r="AE92" s="85"/>
    </row>
    <row r="93" spans="5:31" x14ac:dyDescent="0.35">
      <c r="E93" s="85">
        <v>8</v>
      </c>
      <c r="F93" s="93">
        <v>45016</v>
      </c>
      <c r="G93" s="85" t="s">
        <v>1570</v>
      </c>
      <c r="H93" s="87">
        <v>5.05</v>
      </c>
      <c r="I93" s="94">
        <v>14</v>
      </c>
      <c r="J93" s="93">
        <v>45096</v>
      </c>
      <c r="K93" s="85" t="s">
        <v>1571</v>
      </c>
      <c r="L93" s="87">
        <v>14</v>
      </c>
      <c r="M93" s="85"/>
      <c r="N93" s="93"/>
      <c r="O93" s="85"/>
      <c r="Q93" s="94"/>
      <c r="R93" s="93"/>
      <c r="S93" s="85"/>
      <c r="U93" s="94"/>
      <c r="V93" s="93"/>
      <c r="W93" s="85"/>
      <c r="Y93" s="94"/>
      <c r="Z93" s="93"/>
      <c r="AA93" s="85"/>
      <c r="AC93" s="94"/>
      <c r="AD93" s="93"/>
      <c r="AE93" s="85"/>
    </row>
    <row r="94" spans="5:31" x14ac:dyDescent="0.35">
      <c r="E94" s="85">
        <v>7</v>
      </c>
      <c r="F94" s="93">
        <v>45016</v>
      </c>
      <c r="G94" s="85" t="s">
        <v>1560</v>
      </c>
      <c r="H94" s="87">
        <v>9.99</v>
      </c>
      <c r="I94" s="94">
        <v>14</v>
      </c>
      <c r="J94" s="93">
        <v>45096</v>
      </c>
      <c r="K94" s="85" t="s">
        <v>1572</v>
      </c>
      <c r="L94" s="87">
        <v>55.37</v>
      </c>
      <c r="M94" s="85"/>
      <c r="N94" s="93"/>
      <c r="O94" s="85"/>
      <c r="Q94" s="94"/>
      <c r="R94" s="93"/>
      <c r="S94" s="85"/>
      <c r="U94" s="94"/>
      <c r="V94" s="93"/>
      <c r="W94" s="85"/>
      <c r="Y94" s="94"/>
      <c r="Z94" s="93"/>
      <c r="AA94" s="85"/>
      <c r="AC94" s="94"/>
      <c r="AD94" s="93"/>
      <c r="AE94" s="85"/>
    </row>
    <row r="95" spans="5:31" x14ac:dyDescent="0.35">
      <c r="E95" s="85">
        <v>7</v>
      </c>
      <c r="F95" s="93">
        <v>45016</v>
      </c>
      <c r="G95" s="85" t="s">
        <v>1573</v>
      </c>
      <c r="H95" s="87">
        <v>14.57</v>
      </c>
      <c r="I95" s="94">
        <v>7</v>
      </c>
      <c r="J95" s="93">
        <v>45096</v>
      </c>
      <c r="K95" s="85" t="s">
        <v>1492</v>
      </c>
      <c r="L95" s="87">
        <v>6.66</v>
      </c>
      <c r="M95" s="85"/>
      <c r="N95" s="93"/>
      <c r="O95" s="85"/>
      <c r="Q95" s="94"/>
      <c r="R95" s="93"/>
      <c r="S95" s="85"/>
      <c r="U95" s="94"/>
      <c r="V95" s="93"/>
      <c r="W95" s="85"/>
      <c r="Y95" s="94"/>
      <c r="Z95" s="93"/>
      <c r="AA95" s="85"/>
      <c r="AC95" s="94"/>
      <c r="AD95" s="93"/>
      <c r="AE95" s="85"/>
    </row>
    <row r="96" spans="5:31" x14ac:dyDescent="0.35">
      <c r="E96" s="85">
        <v>7</v>
      </c>
      <c r="F96" s="93">
        <v>45016</v>
      </c>
      <c r="G96" s="85" t="s">
        <v>1574</v>
      </c>
      <c r="H96" s="87">
        <v>3.33</v>
      </c>
      <c r="I96" s="94">
        <v>7</v>
      </c>
      <c r="J96" s="93">
        <v>45096</v>
      </c>
      <c r="K96" s="85" t="s">
        <v>1465</v>
      </c>
      <c r="L96" s="87">
        <v>9.16</v>
      </c>
      <c r="M96" s="85"/>
      <c r="N96" s="93"/>
      <c r="O96" s="85"/>
      <c r="Q96" s="94"/>
      <c r="R96" s="93"/>
      <c r="S96" s="85"/>
      <c r="U96" s="94"/>
      <c r="V96" s="93"/>
      <c r="W96" s="85"/>
      <c r="Y96" s="94"/>
      <c r="Z96" s="93"/>
      <c r="AA96" s="85"/>
      <c r="AC96" s="94"/>
      <c r="AD96" s="93"/>
      <c r="AE96" s="85"/>
    </row>
    <row r="97" spans="5:31" x14ac:dyDescent="0.35">
      <c r="E97" s="85">
        <v>16</v>
      </c>
      <c r="F97" s="93">
        <v>44971</v>
      </c>
      <c r="G97" s="85" t="s">
        <v>1541</v>
      </c>
      <c r="H97" s="87">
        <v>5.62</v>
      </c>
      <c r="I97" s="94">
        <v>15</v>
      </c>
      <c r="J97" s="93">
        <v>45215</v>
      </c>
      <c r="K97" s="85" t="s">
        <v>1575</v>
      </c>
      <c r="L97" s="87">
        <f>7*80*1.5</f>
        <v>840</v>
      </c>
      <c r="M97" s="85"/>
      <c r="N97" s="93"/>
      <c r="O97" s="85"/>
      <c r="Q97" s="94"/>
      <c r="R97" s="93"/>
      <c r="S97" s="85"/>
      <c r="U97" s="94"/>
      <c r="V97" s="93"/>
      <c r="W97" s="85"/>
      <c r="Y97" s="94"/>
      <c r="Z97" s="93"/>
      <c r="AA97" s="85"/>
      <c r="AC97" s="94"/>
      <c r="AD97" s="93"/>
      <c r="AE97" s="85"/>
    </row>
    <row r="98" spans="5:31" x14ac:dyDescent="0.35">
      <c r="E98" s="85">
        <v>8</v>
      </c>
      <c r="F98" s="93">
        <v>44974</v>
      </c>
      <c r="G98" s="85" t="s">
        <v>1576</v>
      </c>
      <c r="H98" s="87">
        <v>2.8</v>
      </c>
      <c r="I98" s="94">
        <v>14</v>
      </c>
      <c r="J98" s="93">
        <v>45137</v>
      </c>
      <c r="K98" s="85" t="s">
        <v>2382</v>
      </c>
      <c r="L98" s="87">
        <v>1160.1199999999999</v>
      </c>
      <c r="M98" s="85"/>
      <c r="N98" s="93"/>
      <c r="O98" s="85"/>
      <c r="Q98" s="94"/>
      <c r="R98" s="93"/>
      <c r="S98" s="85"/>
      <c r="U98" s="94"/>
      <c r="V98" s="93"/>
      <c r="W98" s="85"/>
      <c r="Y98" s="94"/>
      <c r="Z98" s="93"/>
      <c r="AA98" s="85"/>
      <c r="AC98" s="94"/>
      <c r="AD98" s="93"/>
      <c r="AE98" s="85"/>
    </row>
    <row r="99" spans="5:31" x14ac:dyDescent="0.35">
      <c r="E99" s="85">
        <v>8</v>
      </c>
      <c r="F99" s="93">
        <v>44974</v>
      </c>
      <c r="G99" s="85" t="s">
        <v>1578</v>
      </c>
      <c r="H99" s="87">
        <v>5.0199999999999996</v>
      </c>
      <c r="I99" s="94">
        <v>8</v>
      </c>
      <c r="J99" s="93">
        <v>45029</v>
      </c>
      <c r="K99" s="85" t="s">
        <v>1579</v>
      </c>
      <c r="L99" s="87">
        <f>1.35+6.68</f>
        <v>8.0299999999999994</v>
      </c>
      <c r="M99" s="85"/>
      <c r="N99" s="93"/>
      <c r="O99" s="85"/>
      <c r="Q99" s="94"/>
      <c r="R99" s="93"/>
      <c r="S99" s="85"/>
      <c r="U99" s="94"/>
      <c r="V99" s="93"/>
      <c r="W99" s="85"/>
      <c r="Y99" s="94"/>
      <c r="Z99" s="93"/>
      <c r="AA99" s="85"/>
      <c r="AC99" s="94"/>
      <c r="AD99" s="93"/>
      <c r="AE99" s="85"/>
    </row>
    <row r="100" spans="5:31" x14ac:dyDescent="0.35">
      <c r="E100" s="85">
        <v>16</v>
      </c>
      <c r="F100" s="93">
        <v>44974</v>
      </c>
      <c r="G100" s="85" t="s">
        <v>1580</v>
      </c>
      <c r="H100" s="87">
        <v>2.65</v>
      </c>
      <c r="I100" s="94">
        <v>14</v>
      </c>
      <c r="J100" s="93">
        <v>45029</v>
      </c>
      <c r="K100" s="85" t="s">
        <v>1581</v>
      </c>
      <c r="L100" s="87">
        <v>17.5</v>
      </c>
      <c r="M100" s="85"/>
      <c r="N100" s="93"/>
      <c r="O100" s="85"/>
      <c r="Q100" s="94"/>
      <c r="R100" s="93"/>
      <c r="S100" s="85"/>
      <c r="U100" s="94"/>
      <c r="V100" s="93"/>
      <c r="W100" s="85"/>
      <c r="Y100" s="94"/>
      <c r="Z100" s="93"/>
      <c r="AA100" s="85"/>
      <c r="AC100" s="94"/>
      <c r="AD100" s="93"/>
      <c r="AE100" s="85"/>
    </row>
    <row r="101" spans="5:31" x14ac:dyDescent="0.35">
      <c r="E101" s="85">
        <v>8</v>
      </c>
      <c r="F101" s="93">
        <v>44980</v>
      </c>
      <c r="G101" s="85" t="s">
        <v>1512</v>
      </c>
      <c r="H101" s="87">
        <v>43.99</v>
      </c>
      <c r="I101" s="94">
        <v>14</v>
      </c>
      <c r="J101" s="93">
        <v>45030</v>
      </c>
      <c r="K101" s="85" t="s">
        <v>1582</v>
      </c>
      <c r="L101" s="87">
        <v>5.57</v>
      </c>
      <c r="M101" s="85"/>
      <c r="N101" s="93"/>
      <c r="O101" s="85"/>
      <c r="Q101" s="94"/>
      <c r="R101" s="93"/>
      <c r="S101" s="85"/>
      <c r="U101" s="94"/>
      <c r="V101" s="93"/>
      <c r="W101" s="85"/>
      <c r="Y101" s="94"/>
      <c r="Z101" s="93"/>
      <c r="AA101" s="85"/>
      <c r="AC101" s="94"/>
      <c r="AD101" s="93"/>
      <c r="AE101" s="85"/>
    </row>
    <row r="102" spans="5:31" x14ac:dyDescent="0.35">
      <c r="E102" s="85">
        <v>1</v>
      </c>
      <c r="F102" s="93">
        <v>44966</v>
      </c>
      <c r="G102" s="85" t="s">
        <v>1583</v>
      </c>
      <c r="H102" s="87">
        <v>-20</v>
      </c>
      <c r="I102" s="94">
        <v>8</v>
      </c>
      <c r="J102" s="93">
        <v>45042</v>
      </c>
      <c r="K102" s="85" t="s">
        <v>1579</v>
      </c>
      <c r="L102" s="87">
        <v>6</v>
      </c>
      <c r="M102" s="85"/>
      <c r="N102" s="93"/>
      <c r="O102" s="85"/>
      <c r="Q102" s="94"/>
      <c r="R102" s="93"/>
      <c r="S102" s="85"/>
      <c r="U102" s="94"/>
      <c r="V102" s="93"/>
      <c r="W102" s="85"/>
      <c r="Y102" s="94"/>
      <c r="Z102" s="93"/>
      <c r="AA102" s="85"/>
      <c r="AC102" s="94"/>
      <c r="AD102" s="93"/>
      <c r="AE102" s="85"/>
    </row>
    <row r="103" spans="5:31" x14ac:dyDescent="0.35">
      <c r="E103" s="85">
        <v>20</v>
      </c>
      <c r="F103" s="93">
        <v>45004</v>
      </c>
      <c r="G103" s="85" t="s">
        <v>1584</v>
      </c>
      <c r="H103" s="87">
        <v>145.27000000000001</v>
      </c>
      <c r="I103" s="94">
        <v>20</v>
      </c>
      <c r="J103" s="93">
        <v>45043</v>
      </c>
      <c r="K103" s="85" t="s">
        <v>1585</v>
      </c>
      <c r="L103" s="87">
        <v>56.2</v>
      </c>
      <c r="M103" s="85"/>
      <c r="N103" s="93"/>
      <c r="O103" s="85"/>
      <c r="Q103" s="94"/>
      <c r="R103" s="93"/>
      <c r="S103" s="85"/>
      <c r="U103" s="94"/>
      <c r="V103" s="93"/>
      <c r="W103" s="85"/>
      <c r="Y103" s="94"/>
      <c r="Z103" s="93"/>
      <c r="AA103" s="85"/>
      <c r="AC103" s="94"/>
      <c r="AD103" s="93"/>
      <c r="AE103" s="85"/>
    </row>
    <row r="104" spans="5:31" x14ac:dyDescent="0.35">
      <c r="E104" s="85">
        <v>16</v>
      </c>
      <c r="F104" s="93" t="s">
        <v>775</v>
      </c>
      <c r="G104" s="85" t="s">
        <v>1586</v>
      </c>
      <c r="H104" s="87">
        <v>96.68</v>
      </c>
      <c r="I104" s="94">
        <v>16</v>
      </c>
      <c r="J104" s="93">
        <v>45043</v>
      </c>
      <c r="K104" s="85" t="s">
        <v>1587</v>
      </c>
      <c r="L104" s="87">
        <v>8.4600000000000009</v>
      </c>
      <c r="M104" s="85"/>
      <c r="N104" s="93"/>
      <c r="O104" s="85"/>
      <c r="Q104" s="94"/>
      <c r="R104" s="93"/>
      <c r="S104" s="85"/>
      <c r="U104" s="94"/>
      <c r="V104" s="93"/>
      <c r="W104" s="85"/>
      <c r="Y104" s="94"/>
      <c r="Z104" s="93"/>
      <c r="AA104" s="85"/>
      <c r="AC104" s="94"/>
      <c r="AD104" s="93"/>
      <c r="AE104" s="85"/>
    </row>
    <row r="105" spans="5:31" x14ac:dyDescent="0.35">
      <c r="E105" s="85">
        <v>8</v>
      </c>
      <c r="F105" s="93">
        <v>45000</v>
      </c>
      <c r="G105" s="85" t="s">
        <v>1588</v>
      </c>
      <c r="H105" s="87">
        <v>11.4</v>
      </c>
      <c r="I105" s="94">
        <v>16</v>
      </c>
      <c r="J105" s="93">
        <v>45043</v>
      </c>
      <c r="K105" s="85" t="s">
        <v>1589</v>
      </c>
      <c r="L105" s="87">
        <v>16.57</v>
      </c>
      <c r="M105" s="85"/>
      <c r="N105" s="93"/>
      <c r="O105" s="85"/>
      <c r="Q105" s="94"/>
      <c r="R105" s="93"/>
      <c r="S105" s="85"/>
      <c r="U105" s="94"/>
      <c r="V105" s="93"/>
      <c r="W105" s="85"/>
      <c r="Y105" s="94"/>
      <c r="Z105" s="93"/>
      <c r="AA105" s="85"/>
      <c r="AC105" s="94"/>
      <c r="AD105" s="93"/>
      <c r="AE105" s="85"/>
    </row>
    <row r="106" spans="5:31" x14ac:dyDescent="0.35">
      <c r="E106" s="85">
        <v>16</v>
      </c>
      <c r="F106" s="93">
        <v>45001</v>
      </c>
      <c r="G106" s="85" t="s">
        <v>1553</v>
      </c>
      <c r="H106" s="87">
        <v>1.9</v>
      </c>
      <c r="I106" s="94">
        <v>16</v>
      </c>
      <c r="J106" s="93">
        <v>45043</v>
      </c>
      <c r="K106" s="85" t="s">
        <v>1590</v>
      </c>
      <c r="L106" s="87">
        <v>12.3</v>
      </c>
      <c r="M106" s="85"/>
      <c r="N106" s="93"/>
      <c r="O106" s="85"/>
      <c r="Q106" s="94"/>
      <c r="R106" s="93"/>
      <c r="S106" s="85"/>
      <c r="U106" s="94"/>
      <c r="V106" s="93"/>
      <c r="W106" s="85"/>
      <c r="Y106" s="94"/>
      <c r="Z106" s="93"/>
      <c r="AA106" s="85"/>
      <c r="AC106" s="94"/>
      <c r="AD106" s="93"/>
      <c r="AE106" s="85"/>
    </row>
    <row r="107" spans="5:31" x14ac:dyDescent="0.35">
      <c r="E107" s="85">
        <v>16</v>
      </c>
      <c r="F107" s="93">
        <v>45001</v>
      </c>
      <c r="G107" s="85" t="s">
        <v>715</v>
      </c>
      <c r="H107" s="87">
        <v>8.33</v>
      </c>
      <c r="I107" s="94">
        <v>16</v>
      </c>
      <c r="J107" s="93">
        <v>45043</v>
      </c>
      <c r="K107" s="85" t="s">
        <v>1516</v>
      </c>
      <c r="L107" s="87">
        <v>27.92</v>
      </c>
      <c r="M107" s="85"/>
      <c r="N107" s="93"/>
      <c r="O107" s="85"/>
      <c r="Q107" s="94"/>
      <c r="R107" s="93"/>
      <c r="S107" s="85"/>
      <c r="U107" s="94"/>
      <c r="V107" s="93"/>
      <c r="W107" s="85"/>
      <c r="Y107" s="94"/>
      <c r="Z107" s="93"/>
      <c r="AA107" s="85"/>
      <c r="AC107" s="94"/>
      <c r="AD107" s="93"/>
      <c r="AE107" s="85"/>
    </row>
    <row r="108" spans="5:31" x14ac:dyDescent="0.35">
      <c r="E108" s="85">
        <v>8</v>
      </c>
      <c r="F108" s="93">
        <v>45002</v>
      </c>
      <c r="G108" s="85" t="s">
        <v>1579</v>
      </c>
      <c r="H108" s="87">
        <v>3.9</v>
      </c>
      <c r="I108" s="94">
        <v>14</v>
      </c>
      <c r="J108" s="93">
        <v>45043</v>
      </c>
      <c r="K108" s="85" t="s">
        <v>1591</v>
      </c>
      <c r="L108" s="87">
        <v>33.840000000000003</v>
      </c>
      <c r="M108" s="85"/>
      <c r="N108" s="93"/>
      <c r="O108" s="85"/>
      <c r="Q108" s="94"/>
      <c r="R108" s="93"/>
      <c r="S108" s="85"/>
      <c r="U108" s="94"/>
      <c r="V108" s="93"/>
      <c r="W108" s="85"/>
      <c r="Y108" s="94"/>
      <c r="Z108" s="93"/>
      <c r="AA108" s="85"/>
      <c r="AC108" s="94"/>
      <c r="AD108" s="93"/>
      <c r="AE108" s="85"/>
    </row>
    <row r="109" spans="5:31" x14ac:dyDescent="0.35">
      <c r="E109" s="85">
        <v>8</v>
      </c>
      <c r="F109" s="93">
        <v>45002</v>
      </c>
      <c r="G109" s="85" t="s">
        <v>1592</v>
      </c>
      <c r="H109" s="87">
        <v>58.24</v>
      </c>
      <c r="I109" s="94">
        <v>16</v>
      </c>
      <c r="J109" s="93">
        <v>45047</v>
      </c>
      <c r="K109" s="85" t="s">
        <v>1593</v>
      </c>
      <c r="L109" s="87">
        <v>9.1199999999999992</v>
      </c>
      <c r="M109" s="85"/>
      <c r="N109" s="93"/>
      <c r="O109" s="85"/>
      <c r="Q109" s="94"/>
      <c r="R109" s="93"/>
      <c r="S109" s="85"/>
      <c r="U109" s="94"/>
      <c r="V109" s="93"/>
      <c r="W109" s="85"/>
      <c r="Y109" s="94"/>
      <c r="Z109" s="93"/>
      <c r="AA109" s="85"/>
      <c r="AC109" s="94"/>
      <c r="AD109" s="93"/>
      <c r="AE109" s="85"/>
    </row>
    <row r="110" spans="5:31" x14ac:dyDescent="0.35">
      <c r="E110" s="85">
        <v>16</v>
      </c>
      <c r="F110" s="93">
        <v>45011</v>
      </c>
      <c r="G110" s="85" t="s">
        <v>1516</v>
      </c>
      <c r="H110" s="87">
        <v>24.46</v>
      </c>
      <c r="I110" s="94">
        <v>8</v>
      </c>
      <c r="J110" s="93">
        <v>45039</v>
      </c>
      <c r="K110" s="85" t="s">
        <v>1512</v>
      </c>
      <c r="L110" s="87">
        <v>44.99</v>
      </c>
      <c r="M110" s="85"/>
      <c r="N110" s="93"/>
      <c r="O110" s="85"/>
      <c r="Q110" s="94"/>
      <c r="R110" s="93"/>
      <c r="S110" s="85"/>
      <c r="U110" s="94"/>
      <c r="V110" s="93"/>
      <c r="W110" s="85"/>
      <c r="Y110" s="94"/>
      <c r="Z110" s="93"/>
      <c r="AA110" s="85"/>
      <c r="AC110" s="94"/>
      <c r="AD110" s="93"/>
      <c r="AE110" s="85"/>
    </row>
    <row r="111" spans="5:31" x14ac:dyDescent="0.35">
      <c r="E111" s="85">
        <v>16</v>
      </c>
      <c r="F111" s="93">
        <v>45011</v>
      </c>
      <c r="G111" s="85" t="s">
        <v>1594</v>
      </c>
      <c r="H111" s="87">
        <v>5.82</v>
      </c>
      <c r="I111" s="94">
        <v>16</v>
      </c>
      <c r="J111" s="93">
        <v>45058</v>
      </c>
      <c r="K111" s="85" t="s">
        <v>1595</v>
      </c>
      <c r="L111" s="87">
        <v>8.32</v>
      </c>
      <c r="M111" s="85"/>
      <c r="N111" s="93"/>
      <c r="O111" s="85"/>
      <c r="Q111" s="94"/>
      <c r="R111" s="93"/>
      <c r="S111" s="85"/>
      <c r="U111" s="94"/>
      <c r="V111" s="93"/>
      <c r="W111" s="85"/>
      <c r="Y111" s="94"/>
      <c r="Z111" s="93"/>
      <c r="AA111" s="85"/>
      <c r="AC111" s="94"/>
      <c r="AD111" s="93"/>
      <c r="AE111" s="85"/>
    </row>
    <row r="112" spans="5:31" x14ac:dyDescent="0.35">
      <c r="E112" s="85">
        <v>8</v>
      </c>
      <c r="F112" s="93">
        <v>45008</v>
      </c>
      <c r="G112" s="85" t="s">
        <v>1512</v>
      </c>
      <c r="H112" s="87">
        <v>43.99</v>
      </c>
      <c r="I112" s="94">
        <v>20</v>
      </c>
      <c r="J112" s="93">
        <v>45059</v>
      </c>
      <c r="K112" s="85" t="s">
        <v>1596</v>
      </c>
      <c r="L112" s="87">
        <v>23.71</v>
      </c>
      <c r="M112" s="85"/>
      <c r="N112" s="93"/>
      <c r="O112" s="85"/>
      <c r="Q112" s="94"/>
      <c r="R112" s="93"/>
      <c r="S112" s="85"/>
      <c r="U112" s="94"/>
      <c r="V112" s="93"/>
      <c r="W112" s="85"/>
      <c r="Y112" s="94"/>
      <c r="Z112" s="93"/>
      <c r="AA112" s="85"/>
      <c r="AC112" s="94"/>
      <c r="AD112" s="93"/>
      <c r="AE112" s="85"/>
    </row>
    <row r="113" spans="5:31" x14ac:dyDescent="0.35">
      <c r="E113" s="85">
        <v>16</v>
      </c>
      <c r="F113" s="93">
        <v>45012</v>
      </c>
      <c r="G113" s="85" t="s">
        <v>1580</v>
      </c>
      <c r="H113" s="87">
        <v>1.5</v>
      </c>
      <c r="I113" s="94">
        <v>8</v>
      </c>
      <c r="J113" s="93">
        <v>45071</v>
      </c>
      <c r="K113" s="85" t="s">
        <v>1579</v>
      </c>
      <c r="L113" s="87">
        <v>29.59</v>
      </c>
      <c r="M113" s="85"/>
      <c r="N113" s="93"/>
      <c r="O113" s="85"/>
      <c r="Q113" s="94"/>
      <c r="R113" s="93"/>
      <c r="S113" s="85"/>
      <c r="U113" s="94"/>
      <c r="V113" s="93"/>
      <c r="W113" s="85"/>
      <c r="Y113" s="94"/>
      <c r="Z113" s="93"/>
      <c r="AA113" s="85"/>
      <c r="AC113" s="94"/>
      <c r="AD113" s="93"/>
      <c r="AE113" s="85"/>
    </row>
    <row r="114" spans="5:31" x14ac:dyDescent="0.35">
      <c r="E114" s="85" t="s">
        <v>1597</v>
      </c>
      <c r="G114" s="85" t="s">
        <v>1598</v>
      </c>
      <c r="H114" s="87">
        <v>1.77</v>
      </c>
      <c r="I114" s="94">
        <v>16</v>
      </c>
      <c r="J114" s="93">
        <v>45072</v>
      </c>
      <c r="K114" s="87" t="s">
        <v>1553</v>
      </c>
      <c r="L114" s="87">
        <v>1.1000000000000001</v>
      </c>
      <c r="M114" s="85"/>
      <c r="N114" s="93"/>
      <c r="O114" s="85"/>
      <c r="Q114" s="94"/>
      <c r="R114" s="93"/>
      <c r="S114" s="85"/>
      <c r="U114" s="94"/>
      <c r="V114" s="93"/>
      <c r="W114" s="85"/>
      <c r="Y114" s="94"/>
      <c r="Z114" s="93"/>
      <c r="AA114" s="85"/>
      <c r="AC114" s="94"/>
      <c r="AD114" s="93"/>
      <c r="AE114" s="85"/>
    </row>
    <row r="115" spans="5:31" x14ac:dyDescent="0.35">
      <c r="E115" s="85" t="s">
        <v>1597</v>
      </c>
      <c r="G115" s="85" t="s">
        <v>1599</v>
      </c>
      <c r="H115" s="87">
        <f>30.81+48.15</f>
        <v>78.959999999999994</v>
      </c>
      <c r="I115" s="94">
        <v>8</v>
      </c>
      <c r="J115" s="93">
        <v>45069</v>
      </c>
      <c r="K115" s="85" t="s">
        <v>1512</v>
      </c>
      <c r="L115" s="87">
        <v>44.99</v>
      </c>
      <c r="M115" s="85"/>
      <c r="N115" s="93"/>
      <c r="O115" s="85"/>
      <c r="Q115" s="94"/>
      <c r="R115" s="93"/>
      <c r="S115" s="85"/>
      <c r="U115" s="94"/>
      <c r="V115" s="93"/>
      <c r="W115" s="85"/>
      <c r="Y115" s="94"/>
      <c r="Z115" s="93"/>
      <c r="AA115" s="85"/>
      <c r="AC115" s="94"/>
      <c r="AD115" s="93"/>
      <c r="AE115" s="85"/>
    </row>
    <row r="116" spans="5:31" x14ac:dyDescent="0.35">
      <c r="G116" s="85"/>
      <c r="H116" s="87"/>
      <c r="I116" s="94">
        <v>20</v>
      </c>
      <c r="J116" s="93">
        <v>45095</v>
      </c>
      <c r="K116" s="87" t="s">
        <v>1600</v>
      </c>
      <c r="L116" s="87">
        <v>495.77</v>
      </c>
      <c r="M116" s="85"/>
      <c r="N116" s="93"/>
      <c r="O116" s="85"/>
      <c r="Q116" s="94"/>
      <c r="R116" s="93"/>
      <c r="S116" s="85"/>
      <c r="U116" s="94"/>
      <c r="V116" s="93"/>
      <c r="W116" s="85"/>
      <c r="Y116" s="94"/>
      <c r="Z116" s="93"/>
      <c r="AA116" s="85"/>
      <c r="AC116" s="94"/>
      <c r="AD116" s="93"/>
      <c r="AE116" s="85"/>
    </row>
    <row r="117" spans="5:31" x14ac:dyDescent="0.35">
      <c r="G117" s="85"/>
      <c r="H117" s="87"/>
      <c r="I117" s="94">
        <v>14</v>
      </c>
      <c r="J117" s="93">
        <v>45106</v>
      </c>
      <c r="K117" s="87" t="s">
        <v>1601</v>
      </c>
      <c r="L117" s="87">
        <v>729.77</v>
      </c>
      <c r="M117" s="85"/>
      <c r="N117" s="93"/>
      <c r="O117" s="85"/>
      <c r="Q117" s="94"/>
      <c r="R117" s="93"/>
      <c r="S117" s="85"/>
      <c r="U117" s="94"/>
      <c r="V117" s="93"/>
      <c r="W117" s="85"/>
      <c r="Y117" s="94"/>
      <c r="Z117" s="93"/>
      <c r="AA117" s="85"/>
      <c r="AC117" s="94"/>
      <c r="AD117" s="93"/>
      <c r="AE117" s="85"/>
    </row>
    <row r="118" spans="5:31" x14ac:dyDescent="0.35">
      <c r="G118" s="85"/>
      <c r="H118" s="87"/>
      <c r="I118" s="94">
        <v>14</v>
      </c>
      <c r="J118" s="93">
        <v>45104</v>
      </c>
      <c r="K118" s="87" t="s">
        <v>1602</v>
      </c>
      <c r="L118" s="87">
        <v>529.65</v>
      </c>
      <c r="M118" s="85"/>
      <c r="N118" s="93"/>
      <c r="O118" s="85"/>
      <c r="Q118" s="94"/>
      <c r="R118" s="93"/>
      <c r="S118" s="85"/>
      <c r="U118" s="94"/>
      <c r="V118" s="93"/>
      <c r="W118" s="85"/>
      <c r="Y118" s="94"/>
      <c r="Z118" s="93"/>
      <c r="AA118" s="85"/>
      <c r="AC118" s="94"/>
      <c r="AD118" s="93"/>
      <c r="AE118" s="85"/>
    </row>
    <row r="119" spans="5:31" x14ac:dyDescent="0.35">
      <c r="G119" s="85"/>
      <c r="H119" s="87"/>
      <c r="I119" s="94">
        <v>16</v>
      </c>
      <c r="J119" s="93">
        <v>45099</v>
      </c>
      <c r="K119" s="87" t="s">
        <v>1603</v>
      </c>
      <c r="L119" s="87">
        <v>90.7</v>
      </c>
      <c r="M119" s="85"/>
      <c r="N119" s="93"/>
      <c r="O119" s="85"/>
      <c r="Q119" s="94"/>
      <c r="R119" s="93"/>
      <c r="S119" s="85"/>
      <c r="U119" s="94"/>
      <c r="V119" s="93"/>
      <c r="W119" s="85"/>
      <c r="Y119" s="94"/>
      <c r="Z119" s="93"/>
      <c r="AA119" s="85"/>
      <c r="AC119" s="94"/>
      <c r="AD119" s="93"/>
      <c r="AE119" s="85"/>
    </row>
    <row r="120" spans="5:31" x14ac:dyDescent="0.35">
      <c r="G120" s="85"/>
      <c r="H120" s="87"/>
      <c r="I120" s="94">
        <v>8</v>
      </c>
      <c r="J120" s="93">
        <v>45106</v>
      </c>
      <c r="K120" s="87" t="s">
        <v>1579</v>
      </c>
      <c r="L120" s="87">
        <v>16.05</v>
      </c>
      <c r="M120" s="85"/>
      <c r="N120" s="93"/>
      <c r="O120" s="85"/>
      <c r="Q120" s="94"/>
      <c r="R120" s="93"/>
      <c r="S120" s="85"/>
      <c r="U120" s="94"/>
      <c r="V120" s="93"/>
      <c r="W120" s="85"/>
      <c r="Y120" s="94"/>
      <c r="Z120" s="93"/>
      <c r="AA120" s="85"/>
      <c r="AC120" s="94"/>
      <c r="AD120" s="93"/>
      <c r="AE120" s="85"/>
    </row>
    <row r="121" spans="5:31" x14ac:dyDescent="0.35">
      <c r="G121" s="85"/>
      <c r="H121" s="87"/>
      <c r="I121" s="94">
        <v>7</v>
      </c>
      <c r="J121" s="93">
        <v>45112</v>
      </c>
      <c r="K121" s="87" t="s">
        <v>1510</v>
      </c>
      <c r="L121" s="87">
        <v>56.61</v>
      </c>
      <c r="M121" s="85"/>
      <c r="N121" s="93"/>
      <c r="O121" s="85"/>
      <c r="Q121" s="94"/>
      <c r="R121" s="93"/>
      <c r="S121" s="85"/>
      <c r="U121" s="94"/>
      <c r="V121" s="93"/>
      <c r="W121" s="85"/>
      <c r="Y121" s="94"/>
      <c r="Z121" s="93"/>
      <c r="AA121" s="85"/>
      <c r="AC121" s="94"/>
      <c r="AD121" s="93"/>
      <c r="AE121" s="85"/>
    </row>
    <row r="122" spans="5:31" x14ac:dyDescent="0.35">
      <c r="G122" s="85"/>
      <c r="H122" s="87"/>
      <c r="I122" s="94">
        <v>7</v>
      </c>
      <c r="J122" s="93">
        <v>45112</v>
      </c>
      <c r="K122" s="87" t="s">
        <v>1604</v>
      </c>
      <c r="L122" s="87">
        <v>6.66</v>
      </c>
      <c r="M122" s="85"/>
      <c r="N122" s="93"/>
      <c r="O122" s="85"/>
      <c r="Q122" s="94"/>
      <c r="R122" s="93"/>
      <c r="S122" s="85"/>
      <c r="U122" s="94"/>
      <c r="V122" s="93"/>
      <c r="W122" s="85"/>
      <c r="Y122" s="94"/>
      <c r="Z122" s="93"/>
      <c r="AA122" s="85"/>
      <c r="AC122" s="94"/>
      <c r="AD122" s="93"/>
      <c r="AE122" s="85"/>
    </row>
    <row r="123" spans="5:31" x14ac:dyDescent="0.35">
      <c r="G123" s="85"/>
      <c r="H123" s="87"/>
      <c r="I123" s="94">
        <v>14</v>
      </c>
      <c r="J123" s="93">
        <v>45112</v>
      </c>
      <c r="K123" s="87" t="s">
        <v>1605</v>
      </c>
      <c r="L123" s="87">
        <v>10.75</v>
      </c>
      <c r="M123" s="85"/>
      <c r="N123" s="93"/>
      <c r="O123" s="85"/>
      <c r="Q123" s="94"/>
      <c r="R123" s="93"/>
      <c r="S123" s="85"/>
      <c r="U123" s="94"/>
      <c r="V123" s="93"/>
      <c r="W123" s="85"/>
      <c r="Y123" s="94"/>
      <c r="Z123" s="93"/>
      <c r="AA123" s="85"/>
      <c r="AC123" s="94"/>
      <c r="AD123" s="93"/>
      <c r="AE123" s="85"/>
    </row>
    <row r="124" spans="5:31" x14ac:dyDescent="0.35">
      <c r="G124" s="85"/>
      <c r="H124" s="87"/>
      <c r="I124" s="94">
        <v>15</v>
      </c>
      <c r="J124" s="93">
        <v>45107</v>
      </c>
      <c r="K124" s="87" t="s">
        <v>1606</v>
      </c>
      <c r="L124" s="87">
        <f>19+4</f>
        <v>23</v>
      </c>
      <c r="M124" s="85"/>
      <c r="N124" s="93"/>
      <c r="O124" s="85"/>
      <c r="Q124" s="94"/>
      <c r="R124" s="93"/>
      <c r="S124" s="85"/>
      <c r="U124" s="94"/>
      <c r="V124" s="93"/>
      <c r="W124" s="85"/>
      <c r="Y124" s="94"/>
      <c r="Z124" s="93"/>
      <c r="AA124" s="85"/>
      <c r="AC124" s="94"/>
      <c r="AD124" s="93"/>
      <c r="AE124" s="85"/>
    </row>
    <row r="125" spans="5:31" x14ac:dyDescent="0.35">
      <c r="G125" s="85"/>
      <c r="H125" s="87"/>
      <c r="I125" s="94">
        <v>14</v>
      </c>
      <c r="J125" s="93">
        <v>45107</v>
      </c>
      <c r="K125" s="87" t="s">
        <v>1607</v>
      </c>
      <c r="L125" s="87">
        <v>24</v>
      </c>
      <c r="M125" s="85"/>
      <c r="N125" s="93"/>
      <c r="O125" s="85"/>
      <c r="Q125" s="94"/>
      <c r="R125" s="93"/>
      <c r="S125" s="85"/>
      <c r="U125" s="94"/>
      <c r="V125" s="93"/>
      <c r="W125" s="85"/>
      <c r="Y125" s="94"/>
      <c r="Z125" s="93"/>
      <c r="AA125" s="85"/>
      <c r="AC125" s="94"/>
      <c r="AD125" s="93"/>
      <c r="AE125" s="85"/>
    </row>
    <row r="126" spans="5:31" x14ac:dyDescent="0.35">
      <c r="G126" s="85"/>
      <c r="H126" s="87"/>
      <c r="I126" s="94">
        <v>15</v>
      </c>
      <c r="J126" s="93">
        <v>45125</v>
      </c>
      <c r="K126" s="87" t="s">
        <v>1606</v>
      </c>
      <c r="L126" s="87">
        <v>57</v>
      </c>
      <c r="M126" s="85"/>
      <c r="N126" s="93"/>
      <c r="O126" s="85"/>
      <c r="Q126" s="94"/>
      <c r="R126" s="93"/>
      <c r="S126" s="85"/>
      <c r="U126" s="94"/>
      <c r="V126" s="93"/>
      <c r="W126" s="85"/>
      <c r="Y126" s="94"/>
      <c r="Z126" s="93"/>
      <c r="AA126" s="85"/>
      <c r="AC126" s="94"/>
      <c r="AD126" s="93"/>
      <c r="AE126" s="85"/>
    </row>
    <row r="127" spans="5:31" x14ac:dyDescent="0.35">
      <c r="G127" s="85"/>
      <c r="H127" s="87"/>
      <c r="I127" s="94">
        <v>14</v>
      </c>
      <c r="J127" s="93">
        <v>45118</v>
      </c>
      <c r="K127" s="87" t="s">
        <v>1607</v>
      </c>
      <c r="L127" s="87">
        <v>193</v>
      </c>
      <c r="M127" s="85"/>
      <c r="N127" s="93"/>
      <c r="O127" s="85"/>
      <c r="Q127" s="94"/>
      <c r="R127" s="93"/>
      <c r="S127" s="85"/>
      <c r="U127" s="94"/>
      <c r="V127" s="93"/>
      <c r="W127" s="85"/>
      <c r="Y127" s="94"/>
      <c r="Z127" s="93"/>
      <c r="AA127" s="85"/>
      <c r="AC127" s="94"/>
      <c r="AD127" s="93"/>
      <c r="AE127" s="85"/>
    </row>
    <row r="128" spans="5:31" x14ac:dyDescent="0.35">
      <c r="G128" s="85"/>
      <c r="H128" s="87"/>
      <c r="I128" s="94">
        <v>15</v>
      </c>
      <c r="J128" s="93">
        <v>45118</v>
      </c>
      <c r="K128" s="87" t="s">
        <v>1606</v>
      </c>
      <c r="L128" s="87">
        <v>28.5</v>
      </c>
      <c r="M128" s="85"/>
      <c r="N128" s="93"/>
      <c r="O128" s="85"/>
      <c r="Q128" s="94"/>
      <c r="R128" s="93"/>
      <c r="S128" s="85"/>
      <c r="U128" s="94"/>
      <c r="V128" s="93"/>
      <c r="W128" s="85"/>
      <c r="Y128" s="94"/>
      <c r="Z128" s="93"/>
      <c r="AA128" s="85"/>
      <c r="AC128" s="94"/>
      <c r="AD128" s="93"/>
      <c r="AE128" s="85"/>
    </row>
    <row r="129" spans="7:31" x14ac:dyDescent="0.35">
      <c r="G129" s="85"/>
      <c r="H129" s="87"/>
      <c r="I129" s="94">
        <v>14</v>
      </c>
      <c r="J129" s="93">
        <v>45127</v>
      </c>
      <c r="K129" s="87" t="s">
        <v>1608</v>
      </c>
      <c r="L129" s="87">
        <v>610</v>
      </c>
      <c r="M129" s="85"/>
      <c r="N129" s="93"/>
      <c r="O129" s="85"/>
      <c r="Q129" s="94"/>
      <c r="R129" s="93"/>
      <c r="S129" s="85"/>
      <c r="U129" s="94"/>
      <c r="V129" s="93"/>
      <c r="W129" s="85"/>
      <c r="Y129" s="94"/>
      <c r="Z129" s="93"/>
      <c r="AA129" s="85"/>
      <c r="AC129" s="94"/>
      <c r="AD129" s="93"/>
      <c r="AE129" s="85"/>
    </row>
    <row r="130" spans="7:31" x14ac:dyDescent="0.35">
      <c r="G130" s="85"/>
      <c r="H130" s="87"/>
      <c r="I130" s="94">
        <v>14</v>
      </c>
      <c r="J130" s="93">
        <v>45120</v>
      </c>
      <c r="K130" s="87" t="s">
        <v>1607</v>
      </c>
      <c r="L130" s="87">
        <v>199.47</v>
      </c>
      <c r="M130" s="85"/>
      <c r="N130" s="93"/>
      <c r="O130" s="85"/>
      <c r="Q130" s="94"/>
      <c r="R130" s="93"/>
      <c r="S130" s="85"/>
      <c r="U130" s="94"/>
      <c r="V130" s="93"/>
      <c r="W130" s="85"/>
      <c r="Y130" s="94"/>
      <c r="Z130" s="93"/>
      <c r="AA130" s="85"/>
      <c r="AC130" s="94"/>
      <c r="AD130" s="93"/>
      <c r="AE130" s="85"/>
    </row>
    <row r="131" spans="7:31" x14ac:dyDescent="0.35">
      <c r="G131" s="85"/>
      <c r="H131" s="87"/>
      <c r="I131" s="94">
        <v>14</v>
      </c>
      <c r="J131" s="93">
        <v>45079</v>
      </c>
      <c r="K131" s="87" t="s">
        <v>1609</v>
      </c>
      <c r="L131" s="87">
        <f>179.95+29.13+29.16+124.92+154.3+16.66</f>
        <v>534.12</v>
      </c>
      <c r="M131" s="85"/>
      <c r="N131" s="93"/>
      <c r="O131" s="85"/>
      <c r="Q131" s="94"/>
      <c r="R131" s="93"/>
      <c r="S131" s="85"/>
      <c r="U131" s="94"/>
      <c r="V131" s="93"/>
      <c r="W131" s="85"/>
      <c r="Y131" s="94"/>
      <c r="Z131" s="93"/>
      <c r="AA131" s="85"/>
      <c r="AC131" s="94"/>
      <c r="AD131" s="93"/>
      <c r="AE131" s="85"/>
    </row>
    <row r="132" spans="7:31" x14ac:dyDescent="0.35">
      <c r="G132" s="85"/>
      <c r="H132" s="87"/>
      <c r="I132" s="94">
        <v>19</v>
      </c>
      <c r="J132" s="93">
        <v>45110</v>
      </c>
      <c r="K132" s="87" t="s">
        <v>1610</v>
      </c>
      <c r="L132" s="87">
        <v>445</v>
      </c>
      <c r="M132" s="85"/>
      <c r="N132" s="93"/>
      <c r="O132" s="85"/>
      <c r="Q132" s="94"/>
      <c r="R132" s="93"/>
      <c r="S132" s="85"/>
      <c r="U132" s="94"/>
      <c r="V132" s="93"/>
      <c r="W132" s="85"/>
      <c r="Y132" s="94"/>
      <c r="Z132" s="93"/>
      <c r="AA132" s="85"/>
      <c r="AC132" s="94"/>
      <c r="AD132" s="93"/>
      <c r="AE132" s="85"/>
    </row>
    <row r="133" spans="7:31" x14ac:dyDescent="0.35">
      <c r="G133" s="85"/>
      <c r="H133" s="87"/>
      <c r="I133" s="94">
        <v>14</v>
      </c>
      <c r="J133" s="93">
        <v>45148</v>
      </c>
      <c r="K133" s="87" t="s">
        <v>1611</v>
      </c>
      <c r="L133" s="87">
        <v>537.57000000000005</v>
      </c>
      <c r="M133" s="85"/>
      <c r="N133" s="93"/>
      <c r="O133" s="85"/>
      <c r="Q133" s="94"/>
      <c r="R133" s="93"/>
      <c r="S133" s="85"/>
      <c r="U133" s="94"/>
      <c r="V133" s="93"/>
      <c r="W133" s="85"/>
      <c r="Y133" s="94"/>
      <c r="Z133" s="93"/>
      <c r="AA133" s="85"/>
      <c r="AC133" s="94"/>
      <c r="AD133" s="93"/>
      <c r="AE133" s="85"/>
    </row>
    <row r="134" spans="7:31" ht="58" x14ac:dyDescent="0.35">
      <c r="G134" s="85"/>
      <c r="H134" s="87"/>
      <c r="I134" s="94" t="s">
        <v>23</v>
      </c>
      <c r="J134" s="93" t="s">
        <v>719</v>
      </c>
      <c r="K134" s="86" t="s">
        <v>1612</v>
      </c>
      <c r="L134" s="87">
        <v>17000</v>
      </c>
      <c r="M134" s="119" t="s">
        <v>1613</v>
      </c>
      <c r="N134" s="93"/>
      <c r="O134" s="85"/>
      <c r="Q134" s="94"/>
      <c r="R134" s="93"/>
      <c r="S134" s="85"/>
      <c r="U134" s="94"/>
      <c r="V134" s="93"/>
      <c r="W134" s="85"/>
      <c r="Y134" s="94"/>
      <c r="Z134" s="93"/>
      <c r="AA134" s="85"/>
      <c r="AC134" s="94"/>
      <c r="AD134" s="93"/>
      <c r="AE134" s="85"/>
    </row>
    <row r="135" spans="7:31" x14ac:dyDescent="0.35">
      <c r="G135" s="85"/>
      <c r="H135" s="87"/>
      <c r="I135" s="94">
        <v>14</v>
      </c>
      <c r="J135" s="93">
        <v>45118</v>
      </c>
      <c r="K135" s="87" t="s">
        <v>1614</v>
      </c>
      <c r="L135" s="87">
        <v>4950</v>
      </c>
      <c r="M135" s="87"/>
      <c r="N135" s="93"/>
      <c r="O135" s="85"/>
      <c r="Q135" s="94"/>
      <c r="R135" s="93"/>
      <c r="S135" s="85"/>
      <c r="U135" s="94"/>
      <c r="V135" s="93"/>
      <c r="W135" s="85"/>
      <c r="Y135" s="94"/>
      <c r="Z135" s="93"/>
      <c r="AA135" s="85"/>
      <c r="AC135" s="94"/>
      <c r="AD135" s="93"/>
      <c r="AE135" s="85"/>
    </row>
    <row r="136" spans="7:31" x14ac:dyDescent="0.35">
      <c r="G136" s="85"/>
      <c r="H136" s="87"/>
      <c r="I136" s="94">
        <v>14</v>
      </c>
      <c r="J136" s="93">
        <v>45152</v>
      </c>
      <c r="K136" s="87" t="s">
        <v>1615</v>
      </c>
      <c r="L136" s="87">
        <v>5950</v>
      </c>
      <c r="M136" s="87"/>
      <c r="N136" s="93"/>
      <c r="O136" s="85"/>
      <c r="Q136" s="94"/>
      <c r="R136" s="93"/>
      <c r="S136" s="85"/>
      <c r="U136" s="94"/>
      <c r="V136" s="93"/>
      <c r="W136" s="85"/>
      <c r="Y136" s="94"/>
      <c r="Z136" s="93"/>
      <c r="AA136" s="85"/>
      <c r="AC136" s="94"/>
      <c r="AD136" s="93"/>
      <c r="AE136" s="85"/>
    </row>
    <row r="137" spans="7:31" x14ac:dyDescent="0.35">
      <c r="G137" s="85"/>
      <c r="H137" s="87"/>
      <c r="I137" s="94">
        <v>19</v>
      </c>
      <c r="J137" s="93">
        <v>45133</v>
      </c>
      <c r="K137" s="87" t="s">
        <v>1616</v>
      </c>
      <c r="L137" s="87">
        <v>445</v>
      </c>
      <c r="M137" s="87"/>
      <c r="N137" s="93"/>
      <c r="O137" s="85"/>
      <c r="Q137" s="94"/>
      <c r="R137" s="93"/>
      <c r="S137" s="85"/>
      <c r="U137" s="94"/>
      <c r="V137" s="93"/>
      <c r="W137" s="85"/>
      <c r="Y137" s="94"/>
      <c r="Z137" s="93"/>
      <c r="AA137" s="85"/>
      <c r="AC137" s="94"/>
      <c r="AD137" s="93"/>
      <c r="AE137" s="85"/>
    </row>
    <row r="138" spans="7:31" x14ac:dyDescent="0.35">
      <c r="G138" s="85"/>
      <c r="H138" s="87"/>
      <c r="I138" s="94">
        <v>15</v>
      </c>
      <c r="J138" s="93">
        <v>45132</v>
      </c>
      <c r="K138" s="87" t="s">
        <v>1606</v>
      </c>
      <c r="L138" s="87">
        <v>57</v>
      </c>
      <c r="M138" s="87"/>
      <c r="N138" s="93"/>
      <c r="O138" s="85"/>
      <c r="Q138" s="94"/>
      <c r="R138" s="93"/>
      <c r="S138" s="85"/>
      <c r="U138" s="94"/>
      <c r="V138" s="93"/>
      <c r="W138" s="85"/>
      <c r="Y138" s="94"/>
      <c r="Z138" s="93"/>
      <c r="AA138" s="85"/>
      <c r="AC138" s="94"/>
      <c r="AD138" s="93"/>
      <c r="AE138" s="85"/>
    </row>
    <row r="139" spans="7:31" x14ac:dyDescent="0.35">
      <c r="G139" s="85"/>
      <c r="H139" s="87"/>
      <c r="I139" s="94">
        <v>20</v>
      </c>
      <c r="J139" s="93">
        <v>45125</v>
      </c>
      <c r="K139" s="87" t="s">
        <v>1617</v>
      </c>
      <c r="L139" s="87">
        <v>495.77</v>
      </c>
      <c r="M139" s="87"/>
      <c r="N139" s="93"/>
      <c r="O139" s="85"/>
      <c r="Q139" s="94"/>
      <c r="R139" s="93"/>
      <c r="S139" s="85"/>
      <c r="U139" s="94"/>
      <c r="V139" s="93"/>
      <c r="W139" s="85"/>
      <c r="Y139" s="94"/>
      <c r="Z139" s="93"/>
      <c r="AA139" s="85"/>
      <c r="AC139" s="94"/>
      <c r="AD139" s="93"/>
      <c r="AE139" s="85"/>
    </row>
    <row r="140" spans="7:31" x14ac:dyDescent="0.35">
      <c r="G140" s="85"/>
      <c r="H140" s="87"/>
      <c r="I140" s="94">
        <v>14</v>
      </c>
      <c r="J140" s="93">
        <v>45133</v>
      </c>
      <c r="K140" s="87" t="s">
        <v>1618</v>
      </c>
      <c r="L140" s="87">
        <v>10.58</v>
      </c>
      <c r="M140" s="87"/>
      <c r="N140" s="93"/>
      <c r="O140" s="85"/>
      <c r="Q140" s="94"/>
      <c r="R140" s="93"/>
      <c r="S140" s="85"/>
      <c r="U140" s="94"/>
      <c r="V140" s="93"/>
      <c r="W140" s="85"/>
      <c r="Y140" s="94"/>
      <c r="Z140" s="93"/>
      <c r="AA140" s="85"/>
      <c r="AC140" s="94"/>
      <c r="AD140" s="93"/>
      <c r="AE140" s="85"/>
    </row>
    <row r="141" spans="7:31" x14ac:dyDescent="0.35">
      <c r="G141" s="85"/>
      <c r="H141" s="87"/>
      <c r="I141" s="94">
        <v>15</v>
      </c>
      <c r="J141" s="93">
        <v>45133</v>
      </c>
      <c r="K141" s="87" t="s">
        <v>1619</v>
      </c>
      <c r="L141" s="87">
        <v>44.28</v>
      </c>
      <c r="M141" s="87"/>
      <c r="N141" s="93"/>
      <c r="O141" s="85"/>
      <c r="Q141" s="94"/>
      <c r="R141" s="93"/>
      <c r="S141" s="85"/>
      <c r="U141" s="94"/>
      <c r="V141" s="93"/>
      <c r="W141" s="85"/>
      <c r="Y141" s="94"/>
      <c r="Z141" s="93"/>
      <c r="AA141" s="85"/>
      <c r="AC141" s="94"/>
      <c r="AD141" s="93"/>
      <c r="AE141" s="85"/>
    </row>
    <row r="142" spans="7:31" x14ac:dyDescent="0.35">
      <c r="G142" s="85"/>
      <c r="H142" s="87"/>
      <c r="I142" s="94">
        <v>16</v>
      </c>
      <c r="J142" s="93">
        <v>45083</v>
      </c>
      <c r="K142" s="87" t="s">
        <v>1620</v>
      </c>
      <c r="L142" s="87">
        <v>0.83</v>
      </c>
      <c r="M142" s="87"/>
      <c r="N142" s="93"/>
      <c r="O142" s="85"/>
      <c r="Q142" s="94"/>
      <c r="R142" s="93"/>
      <c r="S142" s="85"/>
      <c r="U142" s="94"/>
      <c r="V142" s="93"/>
      <c r="W142" s="85"/>
      <c r="Y142" s="94"/>
      <c r="Z142" s="93"/>
      <c r="AA142" s="85"/>
      <c r="AC142" s="94"/>
      <c r="AD142" s="93"/>
      <c r="AE142" s="85"/>
    </row>
    <row r="143" spans="7:31" x14ac:dyDescent="0.35">
      <c r="G143" s="85"/>
      <c r="H143" s="87"/>
      <c r="I143" s="94">
        <v>16</v>
      </c>
      <c r="J143" s="93">
        <v>45083</v>
      </c>
      <c r="K143" s="87" t="s">
        <v>1516</v>
      </c>
      <c r="L143" s="87">
        <v>24.46</v>
      </c>
      <c r="M143" s="87"/>
      <c r="N143" s="93"/>
      <c r="O143" s="85"/>
      <c r="Q143" s="94"/>
      <c r="R143" s="93"/>
      <c r="S143" s="85"/>
      <c r="U143" s="94"/>
      <c r="V143" s="93"/>
      <c r="W143" s="85"/>
      <c r="Y143" s="94"/>
      <c r="Z143" s="93"/>
      <c r="AA143" s="85"/>
      <c r="AC143" s="94"/>
      <c r="AD143" s="93"/>
      <c r="AE143" s="85"/>
    </row>
    <row r="144" spans="7:31" x14ac:dyDescent="0.35">
      <c r="G144" s="85"/>
      <c r="H144" s="87"/>
      <c r="I144" s="94">
        <v>15</v>
      </c>
      <c r="J144" s="93">
        <v>45083</v>
      </c>
      <c r="K144" s="87" t="s">
        <v>1447</v>
      </c>
      <c r="L144" s="87">
        <v>12.52</v>
      </c>
      <c r="M144" s="87"/>
      <c r="N144" s="93"/>
      <c r="O144" s="85"/>
      <c r="Q144" s="94"/>
      <c r="R144" s="93"/>
      <c r="S144" s="85"/>
      <c r="U144" s="94"/>
      <c r="V144" s="93"/>
      <c r="W144" s="85"/>
      <c r="Y144" s="94"/>
      <c r="Z144" s="93"/>
      <c r="AA144" s="85"/>
      <c r="AC144" s="94"/>
      <c r="AD144" s="93"/>
      <c r="AE144" s="85"/>
    </row>
    <row r="145" spans="7:31" x14ac:dyDescent="0.35">
      <c r="G145" s="85"/>
      <c r="H145" s="87"/>
      <c r="I145" s="94">
        <v>16</v>
      </c>
      <c r="J145" s="93">
        <v>45086</v>
      </c>
      <c r="K145" s="87" t="s">
        <v>1595</v>
      </c>
      <c r="L145" s="87">
        <v>28.32</v>
      </c>
      <c r="M145" s="87"/>
      <c r="N145" s="93"/>
      <c r="O145" s="85"/>
      <c r="Q145" s="94"/>
      <c r="R145" s="93"/>
      <c r="S145" s="85"/>
      <c r="U145" s="94"/>
      <c r="V145" s="93"/>
      <c r="W145" s="85"/>
      <c r="Y145" s="94"/>
      <c r="Z145" s="93"/>
      <c r="AA145" s="85"/>
      <c r="AC145" s="94"/>
      <c r="AD145" s="93"/>
      <c r="AE145" s="85"/>
    </row>
    <row r="146" spans="7:31" x14ac:dyDescent="0.35">
      <c r="G146" s="85"/>
      <c r="H146" s="87"/>
      <c r="I146" s="94">
        <v>16</v>
      </c>
      <c r="J146" s="93">
        <v>45085</v>
      </c>
      <c r="K146" s="87" t="s">
        <v>1620</v>
      </c>
      <c r="L146" s="87">
        <v>5.81</v>
      </c>
      <c r="M146" s="87"/>
      <c r="N146" s="93"/>
      <c r="O146" s="85"/>
      <c r="Q146" s="94"/>
      <c r="R146" s="93"/>
      <c r="S146" s="85"/>
      <c r="U146" s="94"/>
      <c r="V146" s="93"/>
      <c r="W146" s="85"/>
      <c r="Y146" s="94"/>
      <c r="Z146" s="93"/>
      <c r="AA146" s="85"/>
      <c r="AC146" s="94"/>
      <c r="AD146" s="93"/>
      <c r="AE146" s="85"/>
    </row>
    <row r="147" spans="7:31" x14ac:dyDescent="0.35">
      <c r="G147" s="85"/>
      <c r="H147" s="87"/>
      <c r="I147" s="94">
        <v>14</v>
      </c>
      <c r="J147" s="93">
        <v>45090</v>
      </c>
      <c r="K147" s="87" t="s">
        <v>1621</v>
      </c>
      <c r="L147" s="87">
        <v>24.16</v>
      </c>
      <c r="M147" s="87"/>
      <c r="N147" s="93"/>
      <c r="O147" s="85"/>
      <c r="Q147" s="94"/>
      <c r="R147" s="93"/>
      <c r="S147" s="85"/>
      <c r="U147" s="94"/>
      <c r="V147" s="93"/>
      <c r="W147" s="85"/>
      <c r="Y147" s="94"/>
      <c r="Z147" s="93"/>
      <c r="AA147" s="85"/>
      <c r="AC147" s="94"/>
      <c r="AD147" s="93"/>
      <c r="AE147" s="85"/>
    </row>
    <row r="148" spans="7:31" x14ac:dyDescent="0.35">
      <c r="G148" s="85"/>
      <c r="H148" s="87"/>
      <c r="I148" s="94">
        <v>16</v>
      </c>
      <c r="J148" s="93">
        <v>45097</v>
      </c>
      <c r="K148" s="87" t="s">
        <v>1587</v>
      </c>
      <c r="L148" s="87">
        <v>18.16</v>
      </c>
      <c r="M148" s="87"/>
      <c r="N148" s="93"/>
      <c r="O148" s="85"/>
      <c r="Q148" s="94"/>
      <c r="R148" s="93"/>
      <c r="S148" s="85"/>
      <c r="U148" s="94"/>
      <c r="V148" s="93"/>
      <c r="W148" s="85"/>
      <c r="Y148" s="94"/>
      <c r="Z148" s="93"/>
      <c r="AA148" s="85"/>
      <c r="AC148" s="94"/>
      <c r="AD148" s="93"/>
      <c r="AE148" s="85"/>
    </row>
    <row r="149" spans="7:31" x14ac:dyDescent="0.35">
      <c r="G149" s="85"/>
      <c r="H149" s="87"/>
      <c r="I149" s="94">
        <v>20</v>
      </c>
      <c r="J149" s="93">
        <v>45097</v>
      </c>
      <c r="K149" s="87" t="s">
        <v>1622</v>
      </c>
      <c r="L149" s="87">
        <v>7.07</v>
      </c>
      <c r="M149" s="87"/>
      <c r="N149" s="93"/>
      <c r="O149" s="85"/>
      <c r="Q149" s="94"/>
      <c r="R149" s="93"/>
      <c r="S149" s="85"/>
      <c r="U149" s="94"/>
      <c r="V149" s="93"/>
      <c r="W149" s="85"/>
      <c r="Y149" s="94"/>
      <c r="Z149" s="93"/>
      <c r="AA149" s="85"/>
      <c r="AC149" s="94"/>
      <c r="AD149" s="93"/>
      <c r="AE149" s="85"/>
    </row>
    <row r="150" spans="7:31" x14ac:dyDescent="0.35">
      <c r="G150" s="85"/>
      <c r="H150" s="87"/>
      <c r="I150" s="94">
        <v>14</v>
      </c>
      <c r="J150" s="93">
        <v>45103</v>
      </c>
      <c r="K150" s="87" t="s">
        <v>1623</v>
      </c>
      <c r="L150" s="87">
        <v>131.85</v>
      </c>
      <c r="M150" s="87"/>
      <c r="N150" s="93"/>
      <c r="O150" s="85"/>
      <c r="Q150" s="94"/>
      <c r="R150" s="93"/>
      <c r="S150" s="85"/>
      <c r="U150" s="94"/>
      <c r="V150" s="93"/>
      <c r="W150" s="85"/>
      <c r="Y150" s="94"/>
      <c r="Z150" s="93"/>
      <c r="AA150" s="85"/>
      <c r="AC150" s="94"/>
      <c r="AD150" s="93"/>
      <c r="AE150" s="85"/>
    </row>
    <row r="151" spans="7:31" x14ac:dyDescent="0.35">
      <c r="G151" s="85"/>
      <c r="H151" s="87"/>
      <c r="I151" s="94">
        <v>15</v>
      </c>
      <c r="J151" s="93">
        <v>45103</v>
      </c>
      <c r="K151" s="87" t="s">
        <v>1624</v>
      </c>
      <c r="L151" s="87">
        <v>375.2</v>
      </c>
      <c r="M151" s="87"/>
      <c r="N151" s="93"/>
      <c r="O151" s="85"/>
      <c r="Q151" s="94"/>
      <c r="R151" s="93"/>
      <c r="S151" s="85"/>
      <c r="U151" s="94"/>
      <c r="V151" s="93"/>
      <c r="W151" s="85"/>
      <c r="Y151" s="94"/>
      <c r="Z151" s="93"/>
      <c r="AA151" s="85"/>
      <c r="AC151" s="94"/>
      <c r="AD151" s="93"/>
      <c r="AE151" s="85"/>
    </row>
    <row r="152" spans="7:31" x14ac:dyDescent="0.35">
      <c r="G152" s="85"/>
      <c r="H152" s="87"/>
      <c r="I152" s="94">
        <v>8</v>
      </c>
      <c r="J152" s="93">
        <v>45100</v>
      </c>
      <c r="K152" s="87" t="s">
        <v>1512</v>
      </c>
      <c r="L152" s="87">
        <v>44.99</v>
      </c>
      <c r="M152" s="87"/>
      <c r="N152" s="93"/>
      <c r="O152" s="85"/>
      <c r="Q152" s="94"/>
      <c r="R152" s="93"/>
      <c r="S152" s="85"/>
      <c r="U152" s="94"/>
      <c r="V152" s="93"/>
      <c r="W152" s="85"/>
      <c r="Y152" s="94"/>
      <c r="Z152" s="93"/>
      <c r="AA152" s="85"/>
      <c r="AC152" s="94"/>
      <c r="AD152" s="93"/>
      <c r="AE152" s="85"/>
    </row>
    <row r="153" spans="7:31" x14ac:dyDescent="0.35">
      <c r="G153" s="85"/>
      <c r="H153" s="87"/>
      <c r="I153" s="94">
        <v>7</v>
      </c>
      <c r="J153" s="93">
        <v>45142</v>
      </c>
      <c r="K153" s="87" t="s">
        <v>1465</v>
      </c>
      <c r="L153" s="87">
        <v>19.98</v>
      </c>
      <c r="M153" s="87"/>
      <c r="N153" s="93"/>
      <c r="O153" s="85"/>
      <c r="Q153" s="94"/>
      <c r="R153" s="93"/>
      <c r="S153" s="85"/>
      <c r="U153" s="94"/>
      <c r="V153" s="93"/>
      <c r="W153" s="85"/>
      <c r="Y153" s="94"/>
      <c r="Z153" s="93"/>
      <c r="AA153" s="85"/>
      <c r="AC153" s="94"/>
      <c r="AD153" s="93"/>
      <c r="AE153" s="85"/>
    </row>
    <row r="154" spans="7:31" x14ac:dyDescent="0.35">
      <c r="G154" s="85"/>
      <c r="H154" s="87"/>
      <c r="I154" s="94">
        <v>14</v>
      </c>
      <c r="J154" s="93">
        <v>45142</v>
      </c>
      <c r="K154" s="87" t="s">
        <v>1626</v>
      </c>
      <c r="L154" s="87">
        <v>84.97</v>
      </c>
      <c r="M154" s="87"/>
      <c r="N154" s="93"/>
      <c r="O154" s="85"/>
      <c r="Q154" s="94"/>
      <c r="R154" s="93"/>
      <c r="S154" s="85"/>
      <c r="U154" s="94"/>
      <c r="V154" s="93"/>
      <c r="W154" s="85"/>
      <c r="Y154" s="94"/>
      <c r="Z154" s="93"/>
      <c r="AA154" s="85"/>
      <c r="AC154" s="94"/>
      <c r="AD154" s="93"/>
      <c r="AE154" s="85"/>
    </row>
    <row r="155" spans="7:31" x14ac:dyDescent="0.35">
      <c r="G155" s="85"/>
      <c r="H155" s="87"/>
      <c r="I155" s="94">
        <v>8</v>
      </c>
      <c r="J155" s="93">
        <v>45142</v>
      </c>
      <c r="K155" s="87" t="s">
        <v>1558</v>
      </c>
      <c r="L155" s="87">
        <v>16.48</v>
      </c>
      <c r="M155" s="87"/>
      <c r="N155" s="93"/>
      <c r="O155" s="85"/>
      <c r="Q155" s="94"/>
      <c r="R155" s="93"/>
      <c r="S155" s="85"/>
      <c r="U155" s="94"/>
      <c r="V155" s="93"/>
      <c r="W155" s="85"/>
      <c r="Y155" s="94"/>
      <c r="Z155" s="93"/>
      <c r="AA155" s="85"/>
      <c r="AC155" s="94"/>
      <c r="AD155" s="93"/>
      <c r="AE155" s="85"/>
    </row>
    <row r="156" spans="7:31" x14ac:dyDescent="0.35">
      <c r="G156" s="85"/>
      <c r="H156" s="87"/>
      <c r="I156" s="94">
        <v>16</v>
      </c>
      <c r="J156" s="93">
        <v>45142</v>
      </c>
      <c r="K156" s="87" t="s">
        <v>1627</v>
      </c>
      <c r="L156" s="87">
        <v>4.4000000000000004</v>
      </c>
      <c r="M156" s="87"/>
      <c r="N156" s="93"/>
      <c r="O156" s="85"/>
      <c r="Q156" s="94"/>
      <c r="R156" s="93"/>
      <c r="S156" s="85"/>
      <c r="U156" s="94"/>
      <c r="V156" s="93"/>
      <c r="W156" s="85"/>
      <c r="Y156" s="94"/>
      <c r="Z156" s="93"/>
      <c r="AA156" s="85"/>
      <c r="AC156" s="94"/>
      <c r="AD156" s="93"/>
      <c r="AE156" s="85"/>
    </row>
    <row r="157" spans="7:31" x14ac:dyDescent="0.35">
      <c r="G157" s="85"/>
      <c r="H157" s="87"/>
      <c r="I157" s="94">
        <v>16</v>
      </c>
      <c r="J157" s="93">
        <v>45142</v>
      </c>
      <c r="K157" s="87" t="s">
        <v>1628</v>
      </c>
      <c r="L157" s="87">
        <v>44.97</v>
      </c>
      <c r="M157" s="87"/>
      <c r="N157" s="93"/>
      <c r="O157" s="85"/>
      <c r="Q157" s="94"/>
      <c r="R157" s="93"/>
      <c r="S157" s="85"/>
      <c r="U157" s="94"/>
      <c r="V157" s="93"/>
      <c r="W157" s="85"/>
      <c r="Y157" s="94"/>
      <c r="Z157" s="93"/>
      <c r="AA157" s="85"/>
      <c r="AC157" s="94"/>
      <c r="AD157" s="93"/>
      <c r="AE157" s="85"/>
    </row>
    <row r="158" spans="7:31" x14ac:dyDescent="0.35">
      <c r="G158" s="85"/>
      <c r="H158" s="87"/>
      <c r="I158" s="94">
        <v>7</v>
      </c>
      <c r="J158" s="93">
        <v>45145</v>
      </c>
      <c r="K158" s="87" t="s">
        <v>1515</v>
      </c>
      <c r="L158" s="87">
        <v>6.66</v>
      </c>
      <c r="M158" s="87"/>
      <c r="N158" s="93"/>
      <c r="O158" s="85"/>
      <c r="Q158" s="94"/>
      <c r="R158" s="93"/>
      <c r="S158" s="85"/>
      <c r="U158" s="94"/>
      <c r="V158" s="93"/>
      <c r="W158" s="85"/>
      <c r="Y158" s="94"/>
      <c r="Z158" s="93"/>
      <c r="AA158" s="85"/>
      <c r="AC158" s="94"/>
      <c r="AD158" s="93"/>
      <c r="AE158" s="85"/>
    </row>
    <row r="159" spans="7:31" x14ac:dyDescent="0.35">
      <c r="G159" s="85"/>
      <c r="H159" s="87"/>
      <c r="I159" s="94">
        <v>7</v>
      </c>
      <c r="J159" s="93">
        <v>45145</v>
      </c>
      <c r="K159" s="87" t="s">
        <v>1510</v>
      </c>
      <c r="L159" s="87">
        <f>3.33*15</f>
        <v>49.95</v>
      </c>
      <c r="M159" s="87"/>
      <c r="N159" s="93"/>
      <c r="O159" s="85"/>
      <c r="Q159" s="94"/>
      <c r="R159" s="93"/>
      <c r="S159" s="85"/>
      <c r="U159" s="94"/>
      <c r="V159" s="93"/>
      <c r="W159" s="85"/>
      <c r="Y159" s="94"/>
      <c r="Z159" s="93"/>
      <c r="AA159" s="85"/>
      <c r="AC159" s="94"/>
      <c r="AD159" s="93"/>
      <c r="AE159" s="85"/>
    </row>
    <row r="160" spans="7:31" x14ac:dyDescent="0.35">
      <c r="G160" s="85"/>
      <c r="H160" s="87"/>
      <c r="I160" s="94">
        <v>14</v>
      </c>
      <c r="J160" s="93">
        <v>45139</v>
      </c>
      <c r="K160" s="87" t="s">
        <v>1607</v>
      </c>
      <c r="L160" s="87">
        <v>30</v>
      </c>
      <c r="M160" s="87"/>
      <c r="N160" s="93"/>
      <c r="O160" s="85"/>
      <c r="Q160" s="94"/>
      <c r="R160" s="93"/>
      <c r="S160" s="85"/>
      <c r="U160" s="94"/>
      <c r="V160" s="93"/>
      <c r="W160" s="85"/>
      <c r="Y160" s="94"/>
      <c r="Z160" s="93"/>
      <c r="AA160" s="85"/>
      <c r="AC160" s="94"/>
      <c r="AD160" s="93"/>
      <c r="AE160" s="85"/>
    </row>
    <row r="161" spans="7:31" x14ac:dyDescent="0.35">
      <c r="G161" s="85"/>
      <c r="H161" s="87"/>
      <c r="I161" s="94">
        <v>14</v>
      </c>
      <c r="J161" s="93">
        <v>45111</v>
      </c>
      <c r="K161" s="87" t="s">
        <v>1629</v>
      </c>
      <c r="L161" s="87">
        <v>1490</v>
      </c>
      <c r="M161" s="87"/>
      <c r="N161" s="93"/>
      <c r="O161" s="85"/>
      <c r="Q161" s="94"/>
      <c r="R161" s="93"/>
      <c r="S161" s="85"/>
      <c r="U161" s="94"/>
      <c r="V161" s="93"/>
      <c r="W161" s="85"/>
      <c r="Y161" s="94"/>
      <c r="Z161" s="93"/>
      <c r="AA161" s="85"/>
      <c r="AC161" s="94"/>
      <c r="AD161" s="93"/>
      <c r="AE161" s="85"/>
    </row>
    <row r="162" spans="7:31" x14ac:dyDescent="0.35">
      <c r="G162" s="85"/>
      <c r="H162" s="87"/>
      <c r="I162" s="94">
        <v>14</v>
      </c>
      <c r="J162" s="93">
        <v>45152</v>
      </c>
      <c r="K162" s="87" t="s">
        <v>1630</v>
      </c>
      <c r="L162" s="87">
        <v>112</v>
      </c>
      <c r="M162" s="87"/>
      <c r="N162" s="93"/>
      <c r="O162" s="85"/>
      <c r="Q162" s="94"/>
      <c r="R162" s="93"/>
      <c r="S162" s="85"/>
      <c r="U162" s="94"/>
      <c r="V162" s="93"/>
      <c r="W162" s="85"/>
      <c r="Y162" s="94"/>
      <c r="Z162" s="93"/>
      <c r="AA162" s="85"/>
      <c r="AC162" s="94"/>
      <c r="AD162" s="93"/>
      <c r="AE162" s="85"/>
    </row>
    <row r="163" spans="7:31" x14ac:dyDescent="0.35">
      <c r="G163" s="85"/>
      <c r="H163" s="87"/>
      <c r="I163" s="94">
        <v>6</v>
      </c>
      <c r="J163" s="93">
        <v>45139</v>
      </c>
      <c r="K163" s="85" t="s">
        <v>1631</v>
      </c>
      <c r="L163" s="87">
        <v>930.39</v>
      </c>
      <c r="M163" s="87"/>
      <c r="N163" s="93"/>
      <c r="O163" s="85"/>
      <c r="Q163" s="94"/>
      <c r="R163" s="93"/>
      <c r="S163" s="85"/>
      <c r="U163" s="94"/>
      <c r="V163" s="93"/>
      <c r="W163" s="85"/>
      <c r="Y163" s="94"/>
      <c r="Z163" s="93"/>
      <c r="AA163" s="85"/>
      <c r="AC163" s="94"/>
      <c r="AD163" s="93"/>
      <c r="AE163" s="85"/>
    </row>
    <row r="164" spans="7:31" x14ac:dyDescent="0.35">
      <c r="G164" s="85"/>
      <c r="H164" s="87"/>
      <c r="I164" s="94">
        <v>6</v>
      </c>
      <c r="J164" s="93">
        <v>45108</v>
      </c>
      <c r="K164" s="85" t="s">
        <v>1632</v>
      </c>
      <c r="L164" s="87">
        <v>930.39</v>
      </c>
      <c r="M164" s="87"/>
      <c r="N164" s="93"/>
      <c r="O164" s="85"/>
      <c r="Q164" s="94"/>
      <c r="R164" s="93"/>
      <c r="S164" s="85"/>
      <c r="U164" s="94"/>
      <c r="V164" s="93"/>
      <c r="W164" s="85"/>
      <c r="Y164" s="94"/>
      <c r="Z164" s="93"/>
      <c r="AA164" s="85"/>
      <c r="AC164" s="94"/>
      <c r="AD164" s="93"/>
      <c r="AE164" s="85"/>
    </row>
    <row r="165" spans="7:31" x14ac:dyDescent="0.35">
      <c r="G165" s="85"/>
      <c r="H165" s="87"/>
      <c r="I165" s="94">
        <v>9</v>
      </c>
      <c r="J165" s="93">
        <v>45147</v>
      </c>
      <c r="K165" s="87" t="s">
        <v>1633</v>
      </c>
      <c r="L165" s="87">
        <v>700</v>
      </c>
      <c r="M165" s="87"/>
      <c r="N165" s="93"/>
      <c r="O165" s="85"/>
      <c r="Q165" s="94"/>
      <c r="R165" s="93"/>
      <c r="S165" s="85"/>
      <c r="U165" s="94"/>
      <c r="V165" s="93"/>
      <c r="W165" s="85"/>
      <c r="Y165" s="94"/>
      <c r="Z165" s="93"/>
      <c r="AA165" s="85"/>
      <c r="AC165" s="94"/>
      <c r="AD165" s="93"/>
      <c r="AE165" s="85"/>
    </row>
    <row r="166" spans="7:31" x14ac:dyDescent="0.35">
      <c r="G166" s="85"/>
      <c r="H166" s="87"/>
      <c r="I166" s="94">
        <v>7</v>
      </c>
      <c r="J166" s="93">
        <v>45117</v>
      </c>
      <c r="K166" s="87" t="s">
        <v>1634</v>
      </c>
      <c r="L166" s="87">
        <v>13.32</v>
      </c>
      <c r="M166" s="87"/>
      <c r="N166" s="93"/>
      <c r="O166" s="85"/>
      <c r="Q166" s="94"/>
      <c r="R166" s="93"/>
      <c r="S166" s="85"/>
      <c r="U166" s="94"/>
      <c r="V166" s="93"/>
      <c r="W166" s="85"/>
      <c r="Y166" s="94"/>
      <c r="Z166" s="93"/>
      <c r="AA166" s="85"/>
      <c r="AC166" s="94"/>
      <c r="AD166" s="93"/>
      <c r="AE166" s="85"/>
    </row>
    <row r="167" spans="7:31" x14ac:dyDescent="0.35">
      <c r="G167" s="85"/>
      <c r="H167" s="87"/>
      <c r="I167" s="94">
        <v>7</v>
      </c>
      <c r="J167" s="93">
        <v>45127</v>
      </c>
      <c r="K167" s="87" t="s">
        <v>1634</v>
      </c>
      <c r="L167" s="87">
        <v>9.99</v>
      </c>
      <c r="M167" s="87"/>
      <c r="N167" s="93"/>
      <c r="O167" s="85"/>
      <c r="Q167" s="94"/>
      <c r="R167" s="93"/>
      <c r="S167" s="85"/>
      <c r="U167" s="94"/>
      <c r="V167" s="93"/>
      <c r="W167" s="85"/>
      <c r="Y167" s="94"/>
      <c r="Z167" s="93"/>
      <c r="AA167" s="85"/>
      <c r="AC167" s="94"/>
      <c r="AD167" s="93"/>
      <c r="AE167" s="85"/>
    </row>
    <row r="168" spans="7:31" x14ac:dyDescent="0.35">
      <c r="G168" s="85"/>
      <c r="H168" s="87"/>
      <c r="I168" s="94">
        <v>7</v>
      </c>
      <c r="J168" s="93">
        <v>45127</v>
      </c>
      <c r="K168" s="87" t="s">
        <v>1634</v>
      </c>
      <c r="L168" s="87">
        <v>46.66</v>
      </c>
      <c r="M168" s="87"/>
      <c r="N168" s="93"/>
      <c r="O168" s="85"/>
      <c r="Q168" s="94"/>
      <c r="R168" s="93"/>
      <c r="S168" s="85"/>
      <c r="U168" s="94"/>
      <c r="V168" s="93"/>
      <c r="W168" s="85"/>
      <c r="Y168" s="94"/>
      <c r="Z168" s="93"/>
      <c r="AA168" s="85"/>
      <c r="AC168" s="94"/>
      <c r="AD168" s="93"/>
      <c r="AE168" s="85"/>
    </row>
    <row r="169" spans="7:31" x14ac:dyDescent="0.35">
      <c r="G169" s="85"/>
      <c r="H169" s="87"/>
      <c r="I169" s="94">
        <v>14</v>
      </c>
      <c r="J169" s="93">
        <v>45117</v>
      </c>
      <c r="K169" s="87" t="s">
        <v>1635</v>
      </c>
      <c r="L169" s="87">
        <v>101.57</v>
      </c>
      <c r="M169" s="87"/>
      <c r="N169" s="93"/>
      <c r="O169" s="85"/>
      <c r="Q169" s="94"/>
      <c r="R169" s="93"/>
      <c r="S169" s="85"/>
      <c r="U169" s="94"/>
      <c r="V169" s="93"/>
      <c r="W169" s="85"/>
      <c r="Y169" s="94"/>
      <c r="Z169" s="93"/>
      <c r="AA169" s="85"/>
      <c r="AC169" s="94"/>
      <c r="AD169" s="93"/>
      <c r="AE169" s="85"/>
    </row>
    <row r="170" spans="7:31" x14ac:dyDescent="0.35">
      <c r="G170" s="85"/>
      <c r="H170" s="87"/>
      <c r="I170" s="94">
        <v>15</v>
      </c>
      <c r="J170" s="93">
        <v>45117</v>
      </c>
      <c r="K170" s="87" t="s">
        <v>1636</v>
      </c>
      <c r="L170" s="87">
        <v>48.71</v>
      </c>
      <c r="M170" s="87"/>
      <c r="N170" s="93"/>
      <c r="O170" s="85"/>
      <c r="Q170" s="94"/>
      <c r="R170" s="93"/>
      <c r="S170" s="85"/>
      <c r="U170" s="94"/>
      <c r="V170" s="93"/>
      <c r="W170" s="85"/>
      <c r="Y170" s="94"/>
      <c r="Z170" s="93"/>
      <c r="AA170" s="85"/>
      <c r="AC170" s="94"/>
      <c r="AD170" s="93"/>
      <c r="AE170" s="85"/>
    </row>
    <row r="171" spans="7:31" x14ac:dyDescent="0.35">
      <c r="G171" s="85"/>
      <c r="H171" s="87"/>
      <c r="I171" s="94">
        <v>14</v>
      </c>
      <c r="J171" s="93">
        <v>45118</v>
      </c>
      <c r="K171" s="87" t="s">
        <v>1637</v>
      </c>
      <c r="L171" s="87">
        <v>37.78</v>
      </c>
      <c r="M171" s="87"/>
      <c r="N171" s="93"/>
      <c r="O171" s="85"/>
      <c r="Q171" s="94"/>
      <c r="R171" s="93"/>
      <c r="S171" s="85"/>
      <c r="U171" s="94"/>
      <c r="V171" s="93"/>
      <c r="W171" s="85"/>
      <c r="Y171" s="94"/>
      <c r="Z171" s="93"/>
      <c r="AA171" s="85"/>
      <c r="AC171" s="94"/>
      <c r="AD171" s="93"/>
      <c r="AE171" s="85"/>
    </row>
    <row r="172" spans="7:31" x14ac:dyDescent="0.35">
      <c r="G172" s="85"/>
      <c r="H172" s="87"/>
      <c r="I172" s="94">
        <v>14</v>
      </c>
      <c r="J172" s="93">
        <v>45124</v>
      </c>
      <c r="K172" s="87" t="s">
        <v>1638</v>
      </c>
      <c r="L172" s="87">
        <v>14.16</v>
      </c>
      <c r="M172" s="87"/>
      <c r="N172" s="93"/>
      <c r="O172" s="85"/>
      <c r="Q172" s="94"/>
      <c r="R172" s="93"/>
      <c r="S172" s="85"/>
      <c r="U172" s="94"/>
      <c r="V172" s="93"/>
      <c r="W172" s="85"/>
      <c r="Y172" s="94"/>
      <c r="Z172" s="93"/>
      <c r="AA172" s="85"/>
      <c r="AC172" s="94"/>
      <c r="AD172" s="93"/>
      <c r="AE172" s="85"/>
    </row>
    <row r="173" spans="7:31" x14ac:dyDescent="0.35">
      <c r="G173" s="85"/>
      <c r="H173" s="87"/>
      <c r="I173" s="94">
        <v>14</v>
      </c>
      <c r="J173" s="93">
        <v>45124</v>
      </c>
      <c r="K173" s="87" t="s">
        <v>1639</v>
      </c>
      <c r="L173" s="87">
        <v>111.24</v>
      </c>
      <c r="M173" s="87"/>
      <c r="N173" s="93"/>
      <c r="O173" s="85"/>
      <c r="Q173" s="94"/>
      <c r="R173" s="93"/>
      <c r="S173" s="85"/>
      <c r="U173" s="94"/>
      <c r="V173" s="93"/>
      <c r="W173" s="85"/>
      <c r="Y173" s="94"/>
      <c r="Z173" s="93"/>
      <c r="AA173" s="85"/>
      <c r="AC173" s="94"/>
      <c r="AD173" s="93"/>
      <c r="AE173" s="85"/>
    </row>
    <row r="174" spans="7:31" x14ac:dyDescent="0.35">
      <c r="G174" s="85"/>
      <c r="H174" s="87"/>
      <c r="I174" s="94">
        <v>14</v>
      </c>
      <c r="J174" s="93">
        <v>45138</v>
      </c>
      <c r="K174" s="87" t="s">
        <v>1640</v>
      </c>
      <c r="L174" s="87">
        <v>23.12</v>
      </c>
      <c r="M174" s="87"/>
      <c r="N174" s="93"/>
      <c r="O174" s="85"/>
      <c r="Q174" s="94"/>
      <c r="R174" s="93"/>
      <c r="S174" s="85"/>
      <c r="U174" s="94"/>
      <c r="V174" s="93"/>
      <c r="W174" s="85"/>
      <c r="Y174" s="94"/>
      <c r="Z174" s="93"/>
      <c r="AA174" s="85"/>
      <c r="AC174" s="94"/>
      <c r="AD174" s="93"/>
      <c r="AE174" s="85"/>
    </row>
    <row r="175" spans="7:31" x14ac:dyDescent="0.35">
      <c r="G175" s="85"/>
      <c r="H175" s="87"/>
      <c r="I175" s="94">
        <v>15</v>
      </c>
      <c r="J175" s="93">
        <v>45138</v>
      </c>
      <c r="K175" s="87" t="s">
        <v>1636</v>
      </c>
      <c r="L175" s="87">
        <v>49.98</v>
      </c>
      <c r="M175" s="87"/>
      <c r="N175" s="93"/>
      <c r="O175" s="85"/>
      <c r="Q175" s="94"/>
      <c r="R175" s="93"/>
      <c r="S175" s="85"/>
      <c r="U175" s="94"/>
      <c r="V175" s="93"/>
      <c r="W175" s="85"/>
      <c r="Y175" s="94"/>
      <c r="Z175" s="93"/>
      <c r="AA175" s="85"/>
      <c r="AC175" s="94"/>
      <c r="AD175" s="93"/>
      <c r="AE175" s="85"/>
    </row>
    <row r="176" spans="7:31" x14ac:dyDescent="0.35">
      <c r="G176" s="85"/>
      <c r="H176" s="87"/>
      <c r="I176" s="94">
        <v>15</v>
      </c>
      <c r="J176" s="93">
        <v>45155</v>
      </c>
      <c r="K176" s="87" t="s">
        <v>1641</v>
      </c>
      <c r="L176" s="87">
        <v>607.28</v>
      </c>
      <c r="M176" s="87"/>
      <c r="N176" s="93"/>
      <c r="O176" s="85"/>
      <c r="Q176" s="94"/>
      <c r="R176" s="93"/>
      <c r="S176" s="85"/>
      <c r="U176" s="94"/>
      <c r="V176" s="93"/>
      <c r="W176" s="85"/>
      <c r="Y176" s="94"/>
      <c r="Z176" s="93"/>
      <c r="AA176" s="85"/>
      <c r="AC176" s="94"/>
      <c r="AD176" s="93"/>
      <c r="AE176" s="85"/>
    </row>
    <row r="177" spans="7:31" x14ac:dyDescent="0.35">
      <c r="G177" s="85"/>
      <c r="H177" s="87"/>
      <c r="I177" s="94">
        <v>19</v>
      </c>
      <c r="J177" s="93">
        <v>45161</v>
      </c>
      <c r="K177" s="87" t="s">
        <v>1642</v>
      </c>
      <c r="L177" s="87">
        <v>420</v>
      </c>
      <c r="M177" s="87"/>
      <c r="N177" s="93"/>
      <c r="O177" s="85"/>
      <c r="Q177" s="94"/>
      <c r="R177" s="93"/>
      <c r="S177" s="85"/>
      <c r="U177" s="94"/>
      <c r="V177" s="93"/>
      <c r="W177" s="85"/>
      <c r="Y177" s="94"/>
      <c r="Z177" s="93"/>
      <c r="AA177" s="85"/>
      <c r="AC177" s="94"/>
      <c r="AD177" s="93"/>
      <c r="AE177" s="85"/>
    </row>
    <row r="178" spans="7:31" x14ac:dyDescent="0.35">
      <c r="G178" s="85"/>
      <c r="H178" s="87"/>
      <c r="I178" s="94">
        <v>14</v>
      </c>
      <c r="J178" s="93">
        <v>45155</v>
      </c>
      <c r="K178" s="87" t="s">
        <v>1607</v>
      </c>
      <c r="L178" s="87">
        <v>374.31</v>
      </c>
      <c r="M178" s="87"/>
      <c r="N178" s="93"/>
      <c r="O178" s="85"/>
      <c r="Q178" s="94"/>
      <c r="R178" s="93"/>
      <c r="S178" s="85"/>
      <c r="U178" s="94"/>
      <c r="V178" s="93"/>
      <c r="W178" s="85"/>
      <c r="Y178" s="94"/>
      <c r="Z178" s="93"/>
      <c r="AA178" s="85"/>
      <c r="AC178" s="94"/>
      <c r="AD178" s="93"/>
      <c r="AE178" s="85"/>
    </row>
    <row r="179" spans="7:31" x14ac:dyDescent="0.35">
      <c r="G179" s="85"/>
      <c r="H179" s="87"/>
      <c r="I179" s="94">
        <v>14</v>
      </c>
      <c r="J179" s="93">
        <v>45162</v>
      </c>
      <c r="K179" s="87" t="s">
        <v>1643</v>
      </c>
      <c r="L179" s="87">
        <v>80</v>
      </c>
      <c r="M179" s="87"/>
      <c r="N179" s="93"/>
      <c r="O179" s="85"/>
      <c r="Q179" s="94"/>
      <c r="R179" s="93"/>
      <c r="S179" s="85"/>
      <c r="U179" s="94"/>
      <c r="V179" s="93"/>
      <c r="W179" s="85"/>
      <c r="Y179" s="94"/>
      <c r="Z179" s="93"/>
      <c r="AA179" s="85"/>
      <c r="AC179" s="94"/>
      <c r="AD179" s="93"/>
      <c r="AE179" s="85"/>
    </row>
    <row r="180" spans="7:31" x14ac:dyDescent="0.35">
      <c r="G180" s="85"/>
      <c r="H180" s="87"/>
      <c r="I180" s="94">
        <v>16</v>
      </c>
      <c r="J180" s="93">
        <v>45118</v>
      </c>
      <c r="K180" s="87" t="s">
        <v>1644</v>
      </c>
      <c r="L180" s="87">
        <v>10</v>
      </c>
      <c r="M180" s="87"/>
      <c r="N180" s="93"/>
      <c r="O180" s="85"/>
      <c r="Q180" s="94"/>
      <c r="R180" s="93"/>
      <c r="S180" s="85"/>
      <c r="U180" s="94"/>
      <c r="V180" s="93"/>
      <c r="W180" s="85"/>
      <c r="Y180" s="94"/>
      <c r="Z180" s="93"/>
      <c r="AA180" s="85"/>
      <c r="AC180" s="94"/>
      <c r="AD180" s="93"/>
      <c r="AE180" s="85"/>
    </row>
    <row r="181" spans="7:31" x14ac:dyDescent="0.35">
      <c r="G181" s="85"/>
      <c r="H181" s="87"/>
      <c r="I181" s="94">
        <v>16</v>
      </c>
      <c r="J181" s="93">
        <v>45120</v>
      </c>
      <c r="K181" s="87" t="s">
        <v>1645</v>
      </c>
      <c r="L181" s="87">
        <v>22.36</v>
      </c>
      <c r="M181" s="87"/>
      <c r="N181" s="93"/>
      <c r="O181" s="85"/>
      <c r="Q181" s="94"/>
      <c r="R181" s="93"/>
      <c r="S181" s="85"/>
      <c r="U181" s="94"/>
      <c r="V181" s="93"/>
      <c r="W181" s="85"/>
      <c r="Y181" s="94"/>
      <c r="Z181" s="93"/>
      <c r="AA181" s="85"/>
      <c r="AC181" s="94"/>
      <c r="AD181" s="93"/>
      <c r="AE181" s="85"/>
    </row>
    <row r="182" spans="7:31" x14ac:dyDescent="0.35">
      <c r="G182" s="85"/>
      <c r="H182" s="87"/>
      <c r="I182" s="94">
        <v>14</v>
      </c>
      <c r="J182" s="93">
        <v>45126</v>
      </c>
      <c r="K182" s="87" t="s">
        <v>1646</v>
      </c>
      <c r="L182" s="87">
        <v>58.5</v>
      </c>
      <c r="M182" s="87"/>
      <c r="N182" s="93"/>
      <c r="O182" s="85"/>
      <c r="Q182" s="94"/>
      <c r="R182" s="93"/>
      <c r="S182" s="85"/>
      <c r="U182" s="94"/>
      <c r="V182" s="93"/>
      <c r="W182" s="85"/>
      <c r="Y182" s="94"/>
      <c r="Z182" s="93"/>
      <c r="AA182" s="85"/>
      <c r="AC182" s="94"/>
      <c r="AD182" s="93"/>
      <c r="AE182" s="85"/>
    </row>
    <row r="183" spans="7:31" x14ac:dyDescent="0.35">
      <c r="G183" s="85"/>
      <c r="H183" s="87"/>
      <c r="I183" s="94">
        <v>14</v>
      </c>
      <c r="J183" s="93">
        <v>45120</v>
      </c>
      <c r="K183" s="87" t="s">
        <v>1647</v>
      </c>
      <c r="L183" s="87">
        <v>5.83</v>
      </c>
      <c r="M183" s="87"/>
      <c r="N183" s="93"/>
      <c r="O183" s="85"/>
      <c r="Q183" s="94"/>
      <c r="R183" s="93"/>
      <c r="S183" s="85"/>
      <c r="U183" s="94"/>
      <c r="V183" s="93"/>
      <c r="W183" s="85"/>
      <c r="Y183" s="94"/>
      <c r="Z183" s="93"/>
      <c r="AA183" s="85"/>
      <c r="AC183" s="94"/>
      <c r="AD183" s="93"/>
      <c r="AE183" s="85"/>
    </row>
    <row r="184" spans="7:31" x14ac:dyDescent="0.35">
      <c r="G184" s="85"/>
      <c r="H184" s="87"/>
      <c r="I184" s="94">
        <v>14</v>
      </c>
      <c r="J184" s="93">
        <v>45126</v>
      </c>
      <c r="K184" s="87" t="s">
        <v>1648</v>
      </c>
      <c r="L184" s="87">
        <v>27</v>
      </c>
      <c r="M184" s="87"/>
      <c r="N184" s="93"/>
      <c r="O184" s="85"/>
      <c r="Q184" s="94"/>
      <c r="R184" s="93"/>
      <c r="S184" s="85"/>
      <c r="U184" s="94"/>
      <c r="V184" s="93"/>
      <c r="W184" s="85"/>
      <c r="Y184" s="94"/>
      <c r="Z184" s="93"/>
      <c r="AA184" s="85"/>
      <c r="AC184" s="94"/>
      <c r="AD184" s="93"/>
      <c r="AE184" s="85"/>
    </row>
    <row r="185" spans="7:31" x14ac:dyDescent="0.35">
      <c r="G185" s="85"/>
      <c r="H185" s="87"/>
      <c r="I185" s="94">
        <v>8</v>
      </c>
      <c r="J185" s="93">
        <v>45130</v>
      </c>
      <c r="K185" s="85" t="s">
        <v>1512</v>
      </c>
      <c r="L185" s="87">
        <v>44.99</v>
      </c>
      <c r="M185" s="87"/>
      <c r="N185" s="93"/>
      <c r="O185" s="85"/>
      <c r="Q185" s="94"/>
      <c r="R185" s="93"/>
      <c r="S185" s="85"/>
      <c r="U185" s="94"/>
      <c r="V185" s="93"/>
      <c r="W185" s="85"/>
      <c r="Y185" s="94"/>
      <c r="Z185" s="93"/>
      <c r="AA185" s="85"/>
      <c r="AC185" s="94"/>
      <c r="AD185" s="93"/>
      <c r="AE185" s="85"/>
    </row>
    <row r="186" spans="7:31" x14ac:dyDescent="0.35">
      <c r="G186" s="85"/>
      <c r="H186" s="87"/>
      <c r="I186" s="94">
        <v>16</v>
      </c>
      <c r="J186" s="93">
        <v>45139</v>
      </c>
      <c r="K186" s="87" t="s">
        <v>1516</v>
      </c>
      <c r="L186" s="87">
        <v>24.99</v>
      </c>
      <c r="M186" s="87"/>
      <c r="N186" s="93"/>
      <c r="O186" s="85"/>
      <c r="Q186" s="94"/>
      <c r="R186" s="93"/>
      <c r="S186" s="85"/>
      <c r="U186" s="94"/>
      <c r="V186" s="93"/>
      <c r="W186" s="85"/>
      <c r="Y186" s="94"/>
      <c r="Z186" s="93"/>
      <c r="AA186" s="85"/>
      <c r="AC186" s="94"/>
      <c r="AD186" s="93"/>
      <c r="AE186" s="85"/>
    </row>
    <row r="187" spans="7:31" x14ac:dyDescent="0.35">
      <c r="G187" s="85"/>
      <c r="H187" s="87"/>
      <c r="I187" s="94">
        <v>16</v>
      </c>
      <c r="J187" s="93">
        <v>45139</v>
      </c>
      <c r="K187" s="87" t="s">
        <v>1649</v>
      </c>
      <c r="L187" s="87">
        <v>8.32</v>
      </c>
      <c r="M187" s="87"/>
      <c r="N187" s="93"/>
      <c r="O187" s="85"/>
      <c r="Q187" s="94"/>
      <c r="R187" s="93"/>
      <c r="S187" s="85"/>
      <c r="U187" s="94"/>
      <c r="V187" s="93"/>
      <c r="W187" s="85"/>
      <c r="Y187" s="94"/>
      <c r="Z187" s="93"/>
      <c r="AA187" s="85"/>
      <c r="AC187" s="94"/>
      <c r="AD187" s="93"/>
      <c r="AE187" s="85"/>
    </row>
    <row r="188" spans="7:31" x14ac:dyDescent="0.35">
      <c r="G188" s="85"/>
      <c r="H188" s="87"/>
      <c r="I188" s="94">
        <v>14</v>
      </c>
      <c r="J188" s="93">
        <v>45162</v>
      </c>
      <c r="K188" s="87" t="s">
        <v>1650</v>
      </c>
      <c r="L188" s="87">
        <v>42.77</v>
      </c>
      <c r="M188" s="87"/>
      <c r="N188" s="93"/>
      <c r="O188" s="85"/>
      <c r="Q188" s="94"/>
      <c r="R188" s="93"/>
      <c r="S188" s="85"/>
      <c r="U188" s="94"/>
      <c r="V188" s="93"/>
      <c r="W188" s="85"/>
      <c r="Y188" s="94"/>
      <c r="Z188" s="93"/>
      <c r="AA188" s="85"/>
      <c r="AC188" s="94"/>
      <c r="AD188" s="93"/>
      <c r="AE188" s="85"/>
    </row>
    <row r="189" spans="7:31" x14ac:dyDescent="0.35">
      <c r="G189" s="85"/>
      <c r="H189" s="87"/>
      <c r="I189" s="94">
        <v>14</v>
      </c>
      <c r="J189" s="93">
        <v>45170</v>
      </c>
      <c r="K189" s="87" t="s">
        <v>1651</v>
      </c>
      <c r="L189" s="90">
        <v>726</v>
      </c>
      <c r="M189" s="87"/>
      <c r="N189" s="93"/>
      <c r="O189" s="85"/>
      <c r="Q189" s="94"/>
      <c r="R189" s="93"/>
      <c r="S189" s="85"/>
      <c r="U189" s="94"/>
      <c r="V189" s="93"/>
      <c r="W189" s="85"/>
      <c r="Y189" s="94"/>
      <c r="Z189" s="93"/>
      <c r="AA189" s="85"/>
      <c r="AC189" s="94"/>
      <c r="AD189" s="93"/>
      <c r="AE189" s="85"/>
    </row>
    <row r="190" spans="7:31" x14ac:dyDescent="0.35">
      <c r="G190" s="85"/>
      <c r="H190" s="87"/>
      <c r="I190" s="94">
        <v>13</v>
      </c>
      <c r="J190" s="93">
        <v>45184</v>
      </c>
      <c r="K190" s="87" t="s">
        <v>1652</v>
      </c>
      <c r="L190" s="87">
        <v>898.63</v>
      </c>
      <c r="M190" s="86"/>
      <c r="N190" s="93"/>
      <c r="O190" s="85"/>
      <c r="Q190" s="94"/>
      <c r="R190" s="93"/>
      <c r="S190" s="85"/>
      <c r="U190" s="94"/>
      <c r="V190" s="93"/>
      <c r="W190" s="85"/>
      <c r="Y190" s="94"/>
      <c r="Z190" s="93"/>
      <c r="AA190" s="85"/>
      <c r="AC190" s="94"/>
      <c r="AD190" s="93"/>
      <c r="AE190" s="85"/>
    </row>
    <row r="191" spans="7:31" x14ac:dyDescent="0.35">
      <c r="G191" s="85"/>
      <c r="H191" s="87"/>
      <c r="I191" s="94">
        <v>14</v>
      </c>
      <c r="J191" s="93">
        <v>45181</v>
      </c>
      <c r="K191" s="87" t="s">
        <v>1653</v>
      </c>
      <c r="L191" s="90">
        <v>77.13</v>
      </c>
      <c r="M191" s="87"/>
      <c r="N191" s="93"/>
      <c r="O191" s="85"/>
      <c r="Q191" s="94"/>
      <c r="R191" s="93"/>
      <c r="S191" s="85"/>
      <c r="U191" s="94"/>
      <c r="V191" s="93"/>
      <c r="W191" s="85"/>
      <c r="Y191" s="94"/>
      <c r="Z191" s="93"/>
      <c r="AA191" s="85"/>
      <c r="AC191" s="94"/>
      <c r="AD191" s="93"/>
      <c r="AE191" s="85"/>
    </row>
    <row r="192" spans="7:31" x14ac:dyDescent="0.35">
      <c r="G192" s="85"/>
      <c r="H192" s="87"/>
      <c r="I192" s="94">
        <v>14</v>
      </c>
      <c r="J192" s="93">
        <v>45140</v>
      </c>
      <c r="K192" s="87" t="s">
        <v>1607</v>
      </c>
      <c r="L192" s="87">
        <f>79.15+219.9</f>
        <v>299.05</v>
      </c>
      <c r="M192" s="87"/>
      <c r="N192" s="93"/>
      <c r="O192" s="85"/>
      <c r="Q192" s="94"/>
      <c r="R192" s="93"/>
      <c r="S192" s="85"/>
      <c r="U192" s="94"/>
      <c r="V192" s="93"/>
      <c r="W192" s="85"/>
      <c r="Y192" s="94"/>
      <c r="Z192" s="93"/>
      <c r="AA192" s="85"/>
      <c r="AC192" s="94"/>
      <c r="AD192" s="93"/>
      <c r="AE192" s="85"/>
    </row>
    <row r="193" spans="7:31" x14ac:dyDescent="0.35">
      <c r="G193" s="85"/>
      <c r="H193" s="87"/>
      <c r="I193" s="94">
        <v>14</v>
      </c>
      <c r="J193" s="93">
        <v>45141</v>
      </c>
      <c r="K193" s="87" t="s">
        <v>1324</v>
      </c>
      <c r="L193" s="87">
        <v>14.58</v>
      </c>
      <c r="M193" s="87"/>
      <c r="N193" s="93"/>
      <c r="O193" s="85"/>
      <c r="Q193" s="94"/>
      <c r="R193" s="93"/>
      <c r="S193" s="85"/>
      <c r="U193" s="94"/>
      <c r="V193" s="93"/>
      <c r="W193" s="85"/>
      <c r="Y193" s="94"/>
      <c r="Z193" s="93"/>
      <c r="AA193" s="85"/>
      <c r="AC193" s="94"/>
      <c r="AD193" s="93"/>
      <c r="AE193" s="85"/>
    </row>
    <row r="194" spans="7:31" x14ac:dyDescent="0.35">
      <c r="G194" s="85"/>
      <c r="H194" s="87"/>
      <c r="I194" s="94">
        <v>14</v>
      </c>
      <c r="J194" s="93">
        <v>45141</v>
      </c>
      <c r="K194" s="87" t="s">
        <v>1607</v>
      </c>
      <c r="L194" s="87">
        <v>29.16</v>
      </c>
      <c r="M194" s="87"/>
      <c r="N194" s="93"/>
      <c r="O194" s="85"/>
      <c r="Q194" s="94"/>
      <c r="R194" s="93"/>
      <c r="S194" s="85"/>
      <c r="U194" s="94"/>
      <c r="V194" s="93"/>
      <c r="W194" s="85"/>
      <c r="Y194" s="94"/>
      <c r="Z194" s="93"/>
      <c r="AA194" s="85"/>
      <c r="AC194" s="94"/>
      <c r="AD194" s="93"/>
      <c r="AE194" s="85"/>
    </row>
    <row r="195" spans="7:31" x14ac:dyDescent="0.35">
      <c r="G195" s="85"/>
      <c r="H195" s="87"/>
      <c r="I195" s="94">
        <v>14</v>
      </c>
      <c r="J195" s="93">
        <v>45183</v>
      </c>
      <c r="K195" s="87" t="s">
        <v>1643</v>
      </c>
      <c r="L195" s="87">
        <v>160</v>
      </c>
      <c r="M195" s="87"/>
      <c r="N195" s="93"/>
      <c r="O195" s="85"/>
      <c r="Q195" s="94"/>
      <c r="R195" s="93"/>
      <c r="S195" s="85"/>
      <c r="U195" s="94"/>
      <c r="V195" s="93"/>
      <c r="W195" s="85"/>
      <c r="Y195" s="94"/>
      <c r="Z195" s="93"/>
      <c r="AA195" s="85"/>
      <c r="AC195" s="94"/>
      <c r="AD195" s="93"/>
      <c r="AE195" s="85"/>
    </row>
    <row r="196" spans="7:31" x14ac:dyDescent="0.35">
      <c r="G196" s="85"/>
      <c r="H196" s="87"/>
      <c r="I196" s="94">
        <v>9</v>
      </c>
      <c r="J196" s="93">
        <v>45178</v>
      </c>
      <c r="K196" s="87" t="s">
        <v>1654</v>
      </c>
      <c r="L196" s="87">
        <v>900</v>
      </c>
      <c r="M196" s="87"/>
      <c r="N196" s="93"/>
      <c r="O196" s="85"/>
      <c r="Q196" s="94"/>
      <c r="R196" s="93"/>
      <c r="S196" s="85"/>
      <c r="U196" s="94"/>
      <c r="V196" s="93"/>
      <c r="W196" s="85"/>
      <c r="Y196" s="94"/>
      <c r="Z196" s="93"/>
      <c r="AA196" s="85"/>
      <c r="AC196" s="94"/>
      <c r="AD196" s="93"/>
      <c r="AE196" s="85"/>
    </row>
    <row r="197" spans="7:31" x14ac:dyDescent="0.35">
      <c r="G197" s="85"/>
      <c r="H197" s="87"/>
      <c r="I197" s="94">
        <v>14</v>
      </c>
      <c r="J197" s="93">
        <v>45175</v>
      </c>
      <c r="K197" s="87" t="s">
        <v>1655</v>
      </c>
      <c r="L197" s="87">
        <v>240.62</v>
      </c>
      <c r="M197" s="87"/>
      <c r="N197" s="93"/>
      <c r="O197" s="85"/>
      <c r="Q197" s="94"/>
      <c r="R197" s="93"/>
      <c r="S197" s="85"/>
      <c r="U197" s="94"/>
      <c r="V197" s="93"/>
      <c r="W197" s="85"/>
      <c r="Y197" s="94"/>
      <c r="Z197" s="93"/>
      <c r="AA197" s="85"/>
      <c r="AC197" s="94"/>
      <c r="AD197" s="93"/>
      <c r="AE197" s="85"/>
    </row>
    <row r="198" spans="7:31" x14ac:dyDescent="0.35">
      <c r="G198" s="85"/>
      <c r="H198" s="87"/>
      <c r="I198" s="94">
        <v>14</v>
      </c>
      <c r="J198" s="93">
        <v>45176</v>
      </c>
      <c r="K198" s="87" t="s">
        <v>1643</v>
      </c>
      <c r="L198" s="87">
        <v>80</v>
      </c>
      <c r="M198" s="87"/>
      <c r="N198" s="93"/>
      <c r="O198" s="85"/>
      <c r="Q198" s="94"/>
      <c r="R198" s="93"/>
      <c r="S198" s="85"/>
      <c r="U198" s="94"/>
      <c r="V198" s="93"/>
      <c r="W198" s="85"/>
      <c r="Y198" s="94"/>
      <c r="Z198" s="93"/>
      <c r="AA198" s="85"/>
      <c r="AC198" s="94"/>
      <c r="AD198" s="93"/>
      <c r="AE198" s="85"/>
    </row>
    <row r="199" spans="7:31" x14ac:dyDescent="0.35">
      <c r="G199" s="85"/>
      <c r="H199" s="87"/>
      <c r="I199" s="94">
        <v>18</v>
      </c>
      <c r="J199" s="93">
        <v>45187</v>
      </c>
      <c r="K199" s="87" t="s">
        <v>1656</v>
      </c>
      <c r="L199" s="87">
        <v>380</v>
      </c>
      <c r="M199" s="87"/>
      <c r="N199" s="93"/>
      <c r="O199" s="85"/>
      <c r="Q199" s="94"/>
      <c r="R199" s="93"/>
      <c r="S199" s="85"/>
      <c r="U199" s="94"/>
      <c r="V199" s="93"/>
      <c r="W199" s="85"/>
      <c r="Y199" s="94"/>
      <c r="Z199" s="93"/>
      <c r="AA199" s="85"/>
      <c r="AC199" s="94"/>
      <c r="AD199" s="93"/>
      <c r="AE199" s="85"/>
    </row>
    <row r="200" spans="7:31" x14ac:dyDescent="0.35">
      <c r="G200" s="85"/>
      <c r="H200" s="87"/>
      <c r="I200" s="94">
        <v>14</v>
      </c>
      <c r="J200" s="93">
        <v>45189</v>
      </c>
      <c r="K200" s="87" t="s">
        <v>1657</v>
      </c>
      <c r="L200" s="87">
        <v>330.34</v>
      </c>
      <c r="M200" s="87"/>
      <c r="N200" s="93"/>
      <c r="O200" s="85"/>
      <c r="Q200" s="94"/>
      <c r="R200" s="93"/>
      <c r="S200" s="85"/>
      <c r="U200" s="94"/>
      <c r="V200" s="93"/>
      <c r="W200" s="85"/>
      <c r="Y200" s="94"/>
      <c r="Z200" s="93"/>
      <c r="AA200" s="85"/>
      <c r="AC200" s="94"/>
      <c r="AD200" s="93"/>
      <c r="AE200" s="85"/>
    </row>
    <row r="201" spans="7:31" x14ac:dyDescent="0.35">
      <c r="G201" s="85"/>
      <c r="H201" s="87"/>
      <c r="I201" s="94">
        <v>14</v>
      </c>
      <c r="J201" s="93">
        <v>45190</v>
      </c>
      <c r="K201" s="87" t="s">
        <v>1658</v>
      </c>
      <c r="L201" s="87">
        <v>51.28</v>
      </c>
      <c r="M201" s="87"/>
      <c r="N201" s="93"/>
      <c r="O201" s="85"/>
      <c r="Q201" s="94"/>
      <c r="R201" s="93"/>
      <c r="S201" s="85"/>
      <c r="U201" s="94"/>
      <c r="V201" s="93"/>
      <c r="W201" s="85"/>
      <c r="Y201" s="94"/>
      <c r="Z201" s="93"/>
      <c r="AA201" s="85"/>
      <c r="AC201" s="94"/>
      <c r="AD201" s="93"/>
      <c r="AE201" s="85"/>
    </row>
    <row r="202" spans="7:31" x14ac:dyDescent="0.35">
      <c r="G202" s="85"/>
      <c r="H202" s="87"/>
      <c r="I202" s="94">
        <v>19</v>
      </c>
      <c r="J202" s="93">
        <v>45063</v>
      </c>
      <c r="K202" s="85" t="s">
        <v>1659</v>
      </c>
      <c r="L202" s="87">
        <v>445</v>
      </c>
      <c r="M202" s="87"/>
      <c r="N202" s="93"/>
      <c r="O202" s="85"/>
      <c r="Q202" s="94"/>
      <c r="R202" s="93"/>
      <c r="S202" s="85"/>
      <c r="U202" s="94"/>
      <c r="V202" s="93"/>
      <c r="W202" s="85"/>
      <c r="Y202" s="94"/>
      <c r="Z202" s="93"/>
      <c r="AA202" s="85"/>
      <c r="AC202" s="94"/>
      <c r="AD202" s="93"/>
      <c r="AE202" s="85"/>
    </row>
    <row r="203" spans="7:31" x14ac:dyDescent="0.35">
      <c r="G203" s="85"/>
      <c r="H203" s="87"/>
      <c r="I203" s="94">
        <v>7</v>
      </c>
      <c r="J203" s="93">
        <v>45173</v>
      </c>
      <c r="K203" s="85" t="s">
        <v>1465</v>
      </c>
      <c r="L203" s="87">
        <v>22.48</v>
      </c>
      <c r="M203" s="87"/>
      <c r="N203" s="93"/>
      <c r="O203" s="85"/>
      <c r="Q203" s="94"/>
      <c r="R203" s="93"/>
      <c r="S203" s="85"/>
      <c r="U203" s="94"/>
      <c r="V203" s="93"/>
      <c r="W203" s="85"/>
      <c r="Y203" s="94"/>
      <c r="Z203" s="93"/>
      <c r="AA203" s="85"/>
      <c r="AC203" s="94"/>
      <c r="AD203" s="93"/>
      <c r="AE203" s="85"/>
    </row>
    <row r="204" spans="7:31" x14ac:dyDescent="0.35">
      <c r="G204" s="85"/>
      <c r="H204" s="87"/>
      <c r="I204" s="94">
        <v>7</v>
      </c>
      <c r="J204" s="93">
        <v>45173</v>
      </c>
      <c r="K204" s="87" t="s">
        <v>1510</v>
      </c>
      <c r="L204" s="87">
        <f>3.33*15</f>
        <v>49.95</v>
      </c>
      <c r="M204" s="87"/>
      <c r="N204" s="93"/>
      <c r="O204" s="85"/>
      <c r="Q204" s="94"/>
      <c r="R204" s="93"/>
      <c r="S204" s="85"/>
      <c r="U204" s="94"/>
      <c r="V204" s="93"/>
      <c r="W204" s="85"/>
      <c r="Y204" s="94"/>
      <c r="Z204" s="93"/>
      <c r="AA204" s="85"/>
      <c r="AC204" s="94"/>
      <c r="AD204" s="93"/>
      <c r="AE204" s="85"/>
    </row>
    <row r="205" spans="7:31" x14ac:dyDescent="0.35">
      <c r="G205" s="85"/>
      <c r="H205" s="87"/>
      <c r="I205" s="94">
        <v>8</v>
      </c>
      <c r="J205" s="93">
        <v>45173</v>
      </c>
      <c r="K205" s="87" t="s">
        <v>1489</v>
      </c>
      <c r="L205" s="87">
        <v>19.899999999999999</v>
      </c>
      <c r="M205" s="87"/>
      <c r="N205" s="93"/>
      <c r="O205" s="85"/>
      <c r="Q205" s="94"/>
      <c r="R205" s="93"/>
      <c r="S205" s="85"/>
      <c r="U205" s="94"/>
      <c r="V205" s="93"/>
      <c r="W205" s="85"/>
      <c r="Y205" s="94"/>
      <c r="Z205" s="93"/>
      <c r="AA205" s="85"/>
      <c r="AC205" s="94"/>
      <c r="AD205" s="93"/>
      <c r="AE205" s="85"/>
    </row>
    <row r="206" spans="7:31" x14ac:dyDescent="0.35">
      <c r="G206" s="85"/>
      <c r="H206" s="87"/>
      <c r="I206" s="94">
        <v>7</v>
      </c>
      <c r="J206" s="93">
        <v>45187</v>
      </c>
      <c r="K206" s="87" t="s">
        <v>1660</v>
      </c>
      <c r="L206" s="87">
        <v>36.22</v>
      </c>
      <c r="M206" s="87"/>
      <c r="N206" s="93"/>
      <c r="O206" s="85"/>
      <c r="Q206" s="94"/>
      <c r="R206" s="93"/>
      <c r="S206" s="85"/>
      <c r="U206" s="94"/>
      <c r="V206" s="93"/>
      <c r="W206" s="85"/>
      <c r="Y206" s="94"/>
      <c r="Z206" s="93"/>
      <c r="AA206" s="85"/>
      <c r="AC206" s="94"/>
      <c r="AD206" s="93"/>
      <c r="AE206" s="85"/>
    </row>
    <row r="207" spans="7:31" x14ac:dyDescent="0.35">
      <c r="G207" s="85"/>
      <c r="H207" s="87"/>
      <c r="I207" s="94">
        <v>8</v>
      </c>
      <c r="J207" s="93">
        <v>45187</v>
      </c>
      <c r="K207" s="87" t="s">
        <v>1661</v>
      </c>
      <c r="L207" s="87">
        <v>3.8</v>
      </c>
      <c r="M207" s="87"/>
      <c r="N207" s="93"/>
      <c r="O207" s="85"/>
      <c r="Q207" s="94"/>
      <c r="R207" s="93"/>
      <c r="S207" s="85"/>
      <c r="U207" s="94"/>
      <c r="V207" s="93"/>
      <c r="W207" s="85"/>
      <c r="Y207" s="94"/>
      <c r="Z207" s="93"/>
      <c r="AA207" s="85"/>
      <c r="AC207" s="94"/>
      <c r="AD207" s="93"/>
      <c r="AE207" s="85"/>
    </row>
    <row r="208" spans="7:31" x14ac:dyDescent="0.35">
      <c r="G208" s="85"/>
      <c r="H208" s="87"/>
      <c r="I208" s="94">
        <v>16</v>
      </c>
      <c r="J208" s="93">
        <v>45187</v>
      </c>
      <c r="K208" s="87" t="s">
        <v>1662</v>
      </c>
      <c r="L208" s="87">
        <v>72.23</v>
      </c>
      <c r="M208" s="87"/>
      <c r="N208" s="93"/>
      <c r="O208" s="85"/>
      <c r="Q208" s="94"/>
      <c r="R208" s="93"/>
      <c r="S208" s="85"/>
      <c r="U208" s="94"/>
      <c r="V208" s="93"/>
      <c r="W208" s="85"/>
      <c r="Y208" s="94"/>
      <c r="Z208" s="93"/>
      <c r="AA208" s="85"/>
      <c r="AC208" s="94"/>
      <c r="AD208" s="93"/>
      <c r="AE208" s="85"/>
    </row>
    <row r="209" spans="7:31" x14ac:dyDescent="0.35">
      <c r="G209" s="85"/>
      <c r="H209" s="87"/>
      <c r="I209" s="94">
        <v>18</v>
      </c>
      <c r="J209" s="93">
        <v>45195</v>
      </c>
      <c r="K209" s="87" t="s">
        <v>1663</v>
      </c>
      <c r="L209" s="87">
        <v>1951</v>
      </c>
      <c r="M209" s="87"/>
      <c r="N209" s="93"/>
      <c r="O209" s="85"/>
      <c r="Q209" s="94"/>
      <c r="R209" s="93"/>
      <c r="S209" s="85"/>
      <c r="U209" s="94"/>
      <c r="V209" s="93"/>
      <c r="W209" s="85"/>
      <c r="Y209" s="94"/>
      <c r="Z209" s="93"/>
      <c r="AA209" s="85"/>
      <c r="AC209" s="94"/>
      <c r="AD209" s="93"/>
      <c r="AE209" s="85"/>
    </row>
    <row r="210" spans="7:31" x14ac:dyDescent="0.35">
      <c r="G210" s="85"/>
      <c r="H210" s="87"/>
      <c r="I210" s="94">
        <v>18</v>
      </c>
      <c r="J210" s="93">
        <v>45195</v>
      </c>
      <c r="K210" s="87" t="s">
        <v>1664</v>
      </c>
      <c r="L210" s="87">
        <v>3149</v>
      </c>
      <c r="M210" s="87"/>
      <c r="N210" s="93"/>
      <c r="O210" s="85"/>
      <c r="Q210" s="94"/>
      <c r="R210" s="93"/>
      <c r="S210" s="85"/>
      <c r="U210" s="94"/>
      <c r="V210" s="93"/>
      <c r="W210" s="85"/>
      <c r="Y210" s="94"/>
      <c r="Z210" s="93"/>
      <c r="AA210" s="85"/>
      <c r="AC210" s="94"/>
      <c r="AD210" s="93"/>
      <c r="AE210" s="85"/>
    </row>
    <row r="211" spans="7:31" x14ac:dyDescent="0.35">
      <c r="G211" s="85"/>
      <c r="H211" s="87"/>
      <c r="I211" s="94">
        <v>8</v>
      </c>
      <c r="J211" s="93">
        <v>45149</v>
      </c>
      <c r="K211" s="87" t="s">
        <v>1665</v>
      </c>
      <c r="L211" s="87">
        <v>200</v>
      </c>
      <c r="M211" s="87"/>
      <c r="N211" s="93"/>
      <c r="O211" s="85"/>
      <c r="Q211" s="94"/>
      <c r="R211" s="93"/>
      <c r="S211" s="85"/>
      <c r="U211" s="94"/>
      <c r="V211" s="93"/>
      <c r="W211" s="85"/>
      <c r="Y211" s="94"/>
      <c r="Z211" s="93"/>
      <c r="AA211" s="85"/>
      <c r="AC211" s="94"/>
      <c r="AD211" s="93"/>
      <c r="AE211" s="85"/>
    </row>
    <row r="212" spans="7:31" x14ac:dyDescent="0.35">
      <c r="G212" s="85"/>
      <c r="H212" s="87"/>
      <c r="I212" s="94">
        <v>14</v>
      </c>
      <c r="J212" s="93">
        <v>45140</v>
      </c>
      <c r="K212" s="87" t="s">
        <v>1607</v>
      </c>
      <c r="L212" s="87">
        <v>19.95</v>
      </c>
      <c r="M212" s="87"/>
      <c r="N212" s="93"/>
      <c r="O212" s="85"/>
      <c r="Q212" s="94"/>
      <c r="R212" s="93"/>
      <c r="S212" s="85"/>
      <c r="U212" s="94"/>
      <c r="V212" s="93"/>
      <c r="W212" s="85"/>
      <c r="Y212" s="94"/>
      <c r="Z212" s="93"/>
      <c r="AA212" s="85"/>
      <c r="AC212" s="94"/>
      <c r="AD212" s="93"/>
      <c r="AE212" s="85"/>
    </row>
    <row r="213" spans="7:31" x14ac:dyDescent="0.35">
      <c r="G213" s="85"/>
      <c r="H213" s="87"/>
      <c r="I213" s="94">
        <v>8</v>
      </c>
      <c r="J213" s="93">
        <v>45148</v>
      </c>
      <c r="K213" s="87" t="s">
        <v>1578</v>
      </c>
      <c r="L213" s="87">
        <v>9.89</v>
      </c>
      <c r="M213" s="87"/>
      <c r="N213" s="93"/>
      <c r="O213" s="85"/>
      <c r="Q213" s="94"/>
      <c r="R213" s="93"/>
      <c r="S213" s="85"/>
      <c r="U213" s="94"/>
      <c r="V213" s="93"/>
      <c r="W213" s="85"/>
      <c r="Y213" s="94"/>
      <c r="Z213" s="93"/>
      <c r="AA213" s="85"/>
      <c r="AC213" s="94"/>
      <c r="AD213" s="93"/>
      <c r="AE213" s="85"/>
    </row>
    <row r="214" spans="7:31" x14ac:dyDescent="0.35">
      <c r="G214" s="85"/>
      <c r="H214" s="87"/>
      <c r="I214" s="94">
        <v>14</v>
      </c>
      <c r="J214" s="93">
        <v>45169</v>
      </c>
      <c r="K214" s="87" t="s">
        <v>1666</v>
      </c>
      <c r="L214" s="87">
        <v>24.58</v>
      </c>
      <c r="M214" s="87"/>
      <c r="N214" s="93"/>
      <c r="O214" s="85"/>
      <c r="Q214" s="94"/>
      <c r="R214" s="93"/>
      <c r="S214" s="85"/>
      <c r="U214" s="94"/>
      <c r="V214" s="93"/>
      <c r="W214" s="85"/>
      <c r="Y214" s="94"/>
      <c r="Z214" s="93"/>
      <c r="AA214" s="85"/>
      <c r="AC214" s="94"/>
      <c r="AD214" s="93"/>
      <c r="AE214" s="85"/>
    </row>
    <row r="215" spans="7:31" x14ac:dyDescent="0.35">
      <c r="G215" s="85"/>
      <c r="H215" s="87"/>
      <c r="I215" s="94">
        <v>8</v>
      </c>
      <c r="J215" s="93">
        <v>45167</v>
      </c>
      <c r="K215" s="85" t="s">
        <v>1512</v>
      </c>
      <c r="L215" s="87">
        <v>44.99</v>
      </c>
      <c r="M215" s="87"/>
      <c r="N215" s="93"/>
      <c r="O215" s="85"/>
      <c r="Q215" s="94"/>
      <c r="R215" s="93"/>
      <c r="S215" s="85"/>
      <c r="U215" s="94"/>
      <c r="V215" s="93"/>
      <c r="W215" s="85"/>
      <c r="Y215" s="94"/>
      <c r="Z215" s="93"/>
      <c r="AA215" s="85"/>
      <c r="AC215" s="94"/>
      <c r="AD215" s="93"/>
      <c r="AE215" s="85"/>
    </row>
    <row r="216" spans="7:31" x14ac:dyDescent="0.35">
      <c r="G216" s="85"/>
      <c r="H216" s="87"/>
      <c r="I216" s="94">
        <v>16</v>
      </c>
      <c r="J216" s="93">
        <v>45174</v>
      </c>
      <c r="K216" s="87" t="s">
        <v>1553</v>
      </c>
      <c r="L216" s="87">
        <v>2.6</v>
      </c>
      <c r="M216" s="87"/>
      <c r="N216" s="93"/>
      <c r="O216" s="85"/>
      <c r="Q216" s="94"/>
      <c r="R216" s="93"/>
      <c r="S216" s="85"/>
      <c r="U216" s="94"/>
      <c r="V216" s="93"/>
      <c r="W216" s="85"/>
      <c r="Y216" s="94"/>
      <c r="Z216" s="93"/>
      <c r="AA216" s="85"/>
      <c r="AC216" s="94"/>
      <c r="AD216" s="93"/>
      <c r="AE216" s="85"/>
    </row>
    <row r="217" spans="7:31" x14ac:dyDescent="0.35">
      <c r="G217" s="85"/>
      <c r="H217" s="87"/>
      <c r="I217" s="94">
        <v>14</v>
      </c>
      <c r="J217" s="93">
        <v>45181</v>
      </c>
      <c r="K217" s="87" t="s">
        <v>1667</v>
      </c>
      <c r="L217" s="87">
        <v>51.62</v>
      </c>
      <c r="M217" s="87"/>
      <c r="N217" s="93"/>
      <c r="O217" s="85"/>
      <c r="Q217" s="94"/>
      <c r="R217" s="93"/>
      <c r="S217" s="85"/>
      <c r="U217" s="94"/>
      <c r="V217" s="93"/>
      <c r="W217" s="85"/>
      <c r="Y217" s="94"/>
      <c r="Z217" s="93"/>
      <c r="AA217" s="85"/>
      <c r="AC217" s="94"/>
      <c r="AD217" s="93"/>
      <c r="AE217" s="85"/>
    </row>
    <row r="218" spans="7:31" x14ac:dyDescent="0.35">
      <c r="G218" s="85"/>
      <c r="H218" s="87"/>
      <c r="I218" s="94">
        <v>14</v>
      </c>
      <c r="J218" s="93">
        <v>45181</v>
      </c>
      <c r="K218" s="87" t="s">
        <v>1668</v>
      </c>
      <c r="L218" s="87">
        <v>54.15</v>
      </c>
      <c r="M218" s="87"/>
      <c r="N218" s="93"/>
      <c r="O218" s="85"/>
      <c r="Q218" s="94"/>
      <c r="R218" s="93"/>
      <c r="S218" s="85"/>
      <c r="U218" s="94"/>
      <c r="V218" s="93"/>
      <c r="W218" s="85"/>
      <c r="Y218" s="94"/>
      <c r="Z218" s="93"/>
      <c r="AA218" s="85"/>
      <c r="AC218" s="94"/>
      <c r="AD218" s="93"/>
      <c r="AE218" s="85"/>
    </row>
    <row r="219" spans="7:31" x14ac:dyDescent="0.35">
      <c r="G219" s="85"/>
      <c r="H219" s="87"/>
      <c r="I219" s="94">
        <v>16</v>
      </c>
      <c r="J219" s="93">
        <v>45181</v>
      </c>
      <c r="K219" s="87" t="s">
        <v>1669</v>
      </c>
      <c r="L219" s="87">
        <v>12.96</v>
      </c>
      <c r="M219" s="87"/>
      <c r="N219" s="93"/>
      <c r="O219" s="85"/>
      <c r="Q219" s="94"/>
      <c r="R219" s="93"/>
      <c r="S219" s="85"/>
      <c r="U219" s="94"/>
      <c r="V219" s="93"/>
      <c r="W219" s="85"/>
      <c r="Y219" s="94"/>
      <c r="Z219" s="93"/>
      <c r="AA219" s="85"/>
      <c r="AC219" s="94"/>
      <c r="AD219" s="93"/>
      <c r="AE219" s="85"/>
    </row>
    <row r="220" spans="7:31" x14ac:dyDescent="0.35">
      <c r="G220" s="85"/>
      <c r="H220" s="87"/>
      <c r="I220" s="94">
        <v>16</v>
      </c>
      <c r="J220" s="93">
        <v>45181</v>
      </c>
      <c r="K220" s="87" t="s">
        <v>1669</v>
      </c>
      <c r="L220" s="87">
        <v>12.49</v>
      </c>
      <c r="M220" s="87"/>
      <c r="N220" s="93"/>
      <c r="O220" s="85"/>
      <c r="Q220" s="94"/>
      <c r="R220" s="93"/>
      <c r="S220" s="85"/>
      <c r="U220" s="94"/>
      <c r="V220" s="93"/>
      <c r="W220" s="85"/>
      <c r="Y220" s="94"/>
      <c r="Z220" s="93"/>
      <c r="AA220" s="85"/>
      <c r="AC220" s="94"/>
      <c r="AD220" s="93"/>
      <c r="AE220" s="85"/>
    </row>
    <row r="221" spans="7:31" x14ac:dyDescent="0.35">
      <c r="G221" s="85"/>
      <c r="H221" s="87"/>
      <c r="I221" s="94">
        <v>18</v>
      </c>
      <c r="J221" s="93">
        <v>45182</v>
      </c>
      <c r="K221" s="87" t="s">
        <v>1670</v>
      </c>
      <c r="L221" s="87">
        <v>87.48</v>
      </c>
      <c r="M221" s="87"/>
      <c r="N221" s="93"/>
      <c r="O221" s="85"/>
      <c r="Q221" s="94"/>
      <c r="R221" s="93"/>
      <c r="S221" s="85"/>
      <c r="U221" s="94"/>
      <c r="V221" s="93"/>
      <c r="W221" s="85"/>
      <c r="Y221" s="94"/>
      <c r="Z221" s="93"/>
      <c r="AA221" s="85"/>
      <c r="AC221" s="94"/>
      <c r="AD221" s="93"/>
      <c r="AE221" s="85"/>
    </row>
    <row r="222" spans="7:31" x14ac:dyDescent="0.35">
      <c r="G222" s="85"/>
      <c r="H222" s="87"/>
      <c r="I222" s="94">
        <v>18</v>
      </c>
      <c r="J222" s="93">
        <v>45182</v>
      </c>
      <c r="K222" s="87" t="s">
        <v>1671</v>
      </c>
      <c r="L222" s="87">
        <v>5.17</v>
      </c>
      <c r="M222" s="87"/>
      <c r="N222" s="93"/>
      <c r="O222" s="85"/>
      <c r="Q222" s="94"/>
      <c r="R222" s="93"/>
      <c r="S222" s="85"/>
      <c r="U222" s="94"/>
      <c r="V222" s="93"/>
      <c r="W222" s="85"/>
      <c r="Y222" s="94"/>
      <c r="Z222" s="93"/>
      <c r="AA222" s="85"/>
      <c r="AC222" s="94"/>
      <c r="AD222" s="93"/>
      <c r="AE222" s="85"/>
    </row>
    <row r="223" spans="7:31" x14ac:dyDescent="0.35">
      <c r="G223" s="85"/>
      <c r="H223" s="87"/>
      <c r="I223" s="94">
        <v>8</v>
      </c>
      <c r="J223" s="93">
        <v>45191</v>
      </c>
      <c r="K223" s="87" t="s">
        <v>1579</v>
      </c>
      <c r="L223" s="87">
        <v>7.5</v>
      </c>
      <c r="M223" s="87"/>
      <c r="N223" s="93"/>
      <c r="O223" s="85"/>
      <c r="Q223" s="94"/>
      <c r="R223" s="93"/>
      <c r="S223" s="85"/>
      <c r="U223" s="94"/>
      <c r="V223" s="93"/>
      <c r="W223" s="85"/>
      <c r="Y223" s="94"/>
      <c r="Z223" s="93"/>
      <c r="AA223" s="85"/>
      <c r="AC223" s="94"/>
      <c r="AD223" s="93"/>
      <c r="AE223" s="85"/>
    </row>
    <row r="224" spans="7:31" x14ac:dyDescent="0.35">
      <c r="G224" s="85"/>
      <c r="H224" s="87"/>
      <c r="I224" s="94">
        <v>18</v>
      </c>
      <c r="J224" s="93">
        <v>45192</v>
      </c>
      <c r="K224" s="87" t="s">
        <v>1672</v>
      </c>
      <c r="L224" s="87">
        <v>16.66</v>
      </c>
      <c r="M224" s="87"/>
      <c r="N224" s="93"/>
      <c r="O224" s="85"/>
      <c r="Q224" s="94"/>
      <c r="R224" s="93"/>
      <c r="S224" s="85"/>
      <c r="U224" s="94"/>
      <c r="V224" s="93"/>
      <c r="W224" s="85"/>
      <c r="Y224" s="94"/>
      <c r="Z224" s="93"/>
      <c r="AA224" s="85"/>
      <c r="AC224" s="94"/>
      <c r="AD224" s="93"/>
      <c r="AE224" s="85"/>
    </row>
    <row r="225" spans="7:31" x14ac:dyDescent="0.35">
      <c r="G225" s="85"/>
      <c r="H225" s="87"/>
      <c r="I225" s="94">
        <v>16</v>
      </c>
      <c r="J225" s="93">
        <v>45194</v>
      </c>
      <c r="K225" s="87" t="s">
        <v>1516</v>
      </c>
      <c r="L225" s="87">
        <v>17.329999999999998</v>
      </c>
      <c r="M225" s="87"/>
      <c r="N225" s="93"/>
      <c r="O225" s="85"/>
      <c r="Q225" s="94"/>
      <c r="R225" s="93"/>
      <c r="S225" s="85"/>
      <c r="U225" s="94"/>
      <c r="V225" s="93"/>
      <c r="W225" s="85"/>
      <c r="Y225" s="94"/>
      <c r="Z225" s="93"/>
      <c r="AA225" s="85"/>
      <c r="AC225" s="94"/>
      <c r="AD225" s="93"/>
      <c r="AE225" s="85"/>
    </row>
    <row r="226" spans="7:31" x14ac:dyDescent="0.35">
      <c r="G226" s="85"/>
      <c r="H226" s="87"/>
      <c r="I226" s="94">
        <v>14</v>
      </c>
      <c r="J226" s="93">
        <v>45194</v>
      </c>
      <c r="K226" s="87" t="s">
        <v>1673</v>
      </c>
      <c r="L226" s="87">
        <v>34.49</v>
      </c>
      <c r="M226" s="87"/>
      <c r="N226" s="93"/>
      <c r="O226" s="85"/>
      <c r="Q226" s="94"/>
      <c r="R226" s="93"/>
      <c r="S226" s="85"/>
      <c r="U226" s="94"/>
      <c r="V226" s="93"/>
      <c r="W226" s="85"/>
      <c r="Y226" s="94"/>
      <c r="Z226" s="93"/>
      <c r="AA226" s="85"/>
      <c r="AC226" s="94"/>
      <c r="AD226" s="93"/>
      <c r="AE226" s="85"/>
    </row>
    <row r="227" spans="7:31" x14ac:dyDescent="0.35">
      <c r="G227" s="85"/>
      <c r="H227" s="87"/>
      <c r="I227" s="94">
        <v>16</v>
      </c>
      <c r="J227" s="93">
        <v>45196</v>
      </c>
      <c r="K227" s="87" t="s">
        <v>1674</v>
      </c>
      <c r="L227" s="87">
        <v>9.74</v>
      </c>
      <c r="M227" s="87"/>
      <c r="N227" s="93"/>
      <c r="O227" s="85"/>
      <c r="Q227" s="94"/>
      <c r="R227" s="93"/>
      <c r="S227" s="85"/>
      <c r="U227" s="94"/>
      <c r="V227" s="93"/>
      <c r="W227" s="85"/>
      <c r="Y227" s="94"/>
      <c r="Z227" s="93"/>
      <c r="AA227" s="85"/>
      <c r="AC227" s="94"/>
      <c r="AD227" s="93"/>
      <c r="AE227" s="85"/>
    </row>
    <row r="228" spans="7:31" x14ac:dyDescent="0.35">
      <c r="G228" s="85"/>
      <c r="H228" s="87"/>
      <c r="I228" s="94">
        <v>18</v>
      </c>
      <c r="J228" s="93">
        <v>45190</v>
      </c>
      <c r="K228" s="87" t="s">
        <v>1675</v>
      </c>
      <c r="L228" s="87">
        <v>17.739999999999998</v>
      </c>
      <c r="M228" s="87"/>
      <c r="N228" s="93"/>
      <c r="O228" s="85"/>
      <c r="Q228" s="94"/>
      <c r="R228" s="93"/>
      <c r="S228" s="85"/>
      <c r="U228" s="94"/>
      <c r="V228" s="93"/>
      <c r="W228" s="85"/>
      <c r="Y228" s="94"/>
      <c r="Z228" s="93"/>
      <c r="AA228" s="85"/>
      <c r="AC228" s="94"/>
      <c r="AD228" s="93"/>
      <c r="AE228" s="85"/>
    </row>
    <row r="229" spans="7:31" x14ac:dyDescent="0.35">
      <c r="G229" s="85"/>
      <c r="H229" s="87"/>
      <c r="I229" s="94">
        <v>8</v>
      </c>
      <c r="J229" s="93">
        <v>45193</v>
      </c>
      <c r="K229" s="85" t="s">
        <v>1512</v>
      </c>
      <c r="L229" s="87">
        <v>44.99</v>
      </c>
      <c r="M229" s="87"/>
      <c r="N229" s="93"/>
      <c r="O229" s="85"/>
      <c r="Q229" s="94"/>
      <c r="R229" s="93"/>
      <c r="S229" s="85"/>
      <c r="U229" s="94"/>
      <c r="V229" s="93"/>
      <c r="W229" s="85"/>
      <c r="Y229" s="94"/>
      <c r="Z229" s="93"/>
      <c r="AA229" s="85"/>
      <c r="AC229" s="94"/>
      <c r="AD229" s="93"/>
      <c r="AE229" s="85"/>
    </row>
    <row r="230" spans="7:31" x14ac:dyDescent="0.35">
      <c r="G230" s="85"/>
      <c r="H230" s="87"/>
      <c r="I230" s="94">
        <v>18</v>
      </c>
      <c r="J230" s="93">
        <v>45195</v>
      </c>
      <c r="K230" s="87" t="s">
        <v>1676</v>
      </c>
      <c r="L230" s="87">
        <v>2806.31</v>
      </c>
      <c r="M230" s="87"/>
      <c r="N230" s="93"/>
      <c r="O230" s="85"/>
      <c r="Q230" s="94"/>
      <c r="R230" s="93"/>
      <c r="S230" s="85"/>
      <c r="U230" s="94"/>
      <c r="V230" s="93"/>
      <c r="W230" s="85"/>
      <c r="Y230" s="94"/>
      <c r="Z230" s="93"/>
      <c r="AA230" s="85"/>
      <c r="AC230" s="94"/>
      <c r="AD230" s="93"/>
      <c r="AE230" s="85"/>
    </row>
    <row r="231" spans="7:31" x14ac:dyDescent="0.35">
      <c r="G231" s="85"/>
      <c r="H231" s="87"/>
      <c r="I231" s="94">
        <v>6</v>
      </c>
      <c r="J231" s="93">
        <v>45170</v>
      </c>
      <c r="K231" s="87" t="s">
        <v>1677</v>
      </c>
      <c r="L231" s="87">
        <v>733.39</v>
      </c>
      <c r="M231" s="87"/>
      <c r="N231" s="93"/>
      <c r="O231" s="85"/>
      <c r="Q231" s="94"/>
      <c r="R231" s="93"/>
      <c r="S231" s="85"/>
      <c r="U231" s="94"/>
      <c r="V231" s="93"/>
      <c r="W231" s="85"/>
      <c r="Y231" s="94"/>
      <c r="Z231" s="93"/>
      <c r="AA231" s="85"/>
      <c r="AC231" s="94"/>
      <c r="AD231" s="93"/>
      <c r="AE231" s="85"/>
    </row>
    <row r="232" spans="7:31" x14ac:dyDescent="0.35">
      <c r="G232" s="85"/>
      <c r="H232" s="87"/>
      <c r="I232" s="94" t="s">
        <v>2162</v>
      </c>
      <c r="J232" s="93" t="s">
        <v>491</v>
      </c>
      <c r="K232" s="87" t="s">
        <v>793</v>
      </c>
      <c r="L232" s="87">
        <v>10000</v>
      </c>
      <c r="M232" s="87"/>
      <c r="N232" s="93"/>
      <c r="O232" s="85"/>
      <c r="Q232" s="94"/>
      <c r="R232" s="93"/>
      <c r="S232" s="85"/>
      <c r="U232" s="94"/>
      <c r="V232" s="93"/>
      <c r="W232" s="85"/>
      <c r="Y232" s="94"/>
      <c r="Z232" s="93"/>
      <c r="AA232" s="85"/>
      <c r="AC232" s="94"/>
      <c r="AD232" s="93"/>
      <c r="AE232" s="85"/>
    </row>
    <row r="233" spans="7:31" x14ac:dyDescent="0.35">
      <c r="G233" s="85"/>
      <c r="H233" s="87"/>
      <c r="I233" s="94">
        <v>20</v>
      </c>
      <c r="J233" s="93">
        <v>45156</v>
      </c>
      <c r="K233" s="87" t="s">
        <v>1678</v>
      </c>
      <c r="L233" s="87">
        <v>495.77</v>
      </c>
      <c r="M233" s="87"/>
      <c r="N233" s="93"/>
      <c r="O233" s="85"/>
      <c r="Q233" s="94"/>
      <c r="R233" s="93"/>
      <c r="S233" s="85"/>
      <c r="U233" s="94"/>
      <c r="V233" s="93"/>
      <c r="W233" s="85"/>
      <c r="Y233" s="94"/>
      <c r="Z233" s="93"/>
      <c r="AA233" s="85"/>
      <c r="AC233" s="94"/>
      <c r="AD233" s="93"/>
      <c r="AE233" s="85"/>
    </row>
    <row r="234" spans="7:31" x14ac:dyDescent="0.35">
      <c r="G234" s="85"/>
      <c r="H234" s="87"/>
      <c r="I234" s="94">
        <v>16</v>
      </c>
      <c r="J234" s="93">
        <v>45114</v>
      </c>
      <c r="K234" s="87" t="s">
        <v>1471</v>
      </c>
      <c r="L234" s="87">
        <v>230.15</v>
      </c>
      <c r="M234" s="94"/>
      <c r="N234" s="93"/>
      <c r="O234" s="85"/>
      <c r="Q234" s="94"/>
      <c r="R234" s="93"/>
      <c r="S234" s="85"/>
      <c r="U234" s="94"/>
      <c r="V234" s="93"/>
      <c r="W234" s="85"/>
      <c r="Y234" s="94"/>
      <c r="Z234" s="93"/>
      <c r="AA234" s="85"/>
      <c r="AC234" s="94"/>
      <c r="AD234" s="93"/>
      <c r="AE234" s="85"/>
    </row>
    <row r="235" spans="7:31" x14ac:dyDescent="0.35">
      <c r="G235" s="85"/>
      <c r="H235" s="87"/>
      <c r="I235" s="94">
        <v>14</v>
      </c>
      <c r="J235" s="93">
        <v>45180</v>
      </c>
      <c r="K235" s="87" t="s">
        <v>1630</v>
      </c>
      <c r="L235" s="87">
        <v>56.65</v>
      </c>
      <c r="M235" s="94"/>
      <c r="N235" s="93"/>
      <c r="O235" s="85"/>
      <c r="Q235" s="94"/>
      <c r="R235" s="93"/>
      <c r="S235" s="85"/>
      <c r="U235" s="94"/>
      <c r="V235" s="93"/>
      <c r="W235" s="85"/>
      <c r="Y235" s="94"/>
      <c r="Z235" s="93"/>
      <c r="AA235" s="85"/>
      <c r="AC235" s="94"/>
      <c r="AD235" s="93"/>
      <c r="AE235" s="85"/>
    </row>
    <row r="236" spans="7:31" x14ac:dyDescent="0.35">
      <c r="G236" s="85"/>
      <c r="H236" s="87"/>
      <c r="I236" s="94">
        <v>14</v>
      </c>
      <c r="J236" s="93">
        <v>45181</v>
      </c>
      <c r="K236" s="87" t="s">
        <v>1630</v>
      </c>
      <c r="L236" s="87">
        <v>49.98</v>
      </c>
      <c r="M236" s="94"/>
      <c r="N236" s="93"/>
      <c r="O236" s="85"/>
      <c r="Q236" s="94"/>
      <c r="R236" s="93"/>
      <c r="S236" s="85"/>
      <c r="U236" s="94"/>
      <c r="V236" s="93"/>
      <c r="W236" s="85"/>
      <c r="Y236" s="94"/>
      <c r="Z236" s="93"/>
      <c r="AA236" s="85"/>
      <c r="AC236" s="94"/>
      <c r="AD236" s="93"/>
      <c r="AE236" s="85"/>
    </row>
    <row r="237" spans="7:31" x14ac:dyDescent="0.35">
      <c r="G237" s="85"/>
      <c r="H237" s="87"/>
      <c r="I237" s="94">
        <v>14</v>
      </c>
      <c r="J237" s="93">
        <v>45181</v>
      </c>
      <c r="K237" s="87" t="s">
        <v>2307</v>
      </c>
      <c r="L237" s="87">
        <v>69.900000000000006</v>
      </c>
      <c r="M237" s="94"/>
      <c r="N237" s="93"/>
      <c r="O237" s="85"/>
      <c r="Q237" s="94"/>
      <c r="R237" s="93"/>
      <c r="S237" s="85"/>
      <c r="U237" s="94"/>
      <c r="V237" s="93"/>
      <c r="W237" s="85"/>
      <c r="Y237" s="94"/>
      <c r="Z237" s="93"/>
      <c r="AA237" s="85"/>
      <c r="AC237" s="94"/>
      <c r="AD237" s="93"/>
      <c r="AE237" s="85"/>
    </row>
    <row r="238" spans="7:31" x14ac:dyDescent="0.35">
      <c r="G238" s="85"/>
      <c r="H238" s="87"/>
      <c r="I238" s="94">
        <v>14</v>
      </c>
      <c r="J238" s="93">
        <v>45187</v>
      </c>
      <c r="K238" s="87" t="s">
        <v>2308</v>
      </c>
      <c r="L238" s="87">
        <v>28.33</v>
      </c>
      <c r="M238" s="94"/>
      <c r="N238" s="93"/>
      <c r="O238" s="85"/>
      <c r="Q238" s="94"/>
      <c r="R238" s="93"/>
      <c r="S238" s="85"/>
      <c r="U238" s="94"/>
      <c r="V238" s="93"/>
      <c r="W238" s="85"/>
      <c r="Y238" s="94"/>
      <c r="Z238" s="93"/>
      <c r="AA238" s="85"/>
      <c r="AC238" s="94"/>
      <c r="AD238" s="93"/>
      <c r="AE238" s="85"/>
    </row>
    <row r="239" spans="7:31" x14ac:dyDescent="0.35">
      <c r="G239" s="85"/>
      <c r="H239" s="87"/>
      <c r="I239" s="94">
        <v>14</v>
      </c>
      <c r="J239" s="93">
        <v>45187</v>
      </c>
      <c r="K239" s="87" t="s">
        <v>2309</v>
      </c>
      <c r="L239" s="87">
        <v>16.649999999999999</v>
      </c>
      <c r="M239" s="94"/>
      <c r="N239" s="93"/>
      <c r="O239" s="85"/>
      <c r="Q239" s="94"/>
      <c r="R239" s="93"/>
      <c r="S239" s="85"/>
      <c r="U239" s="94"/>
      <c r="V239" s="93"/>
      <c r="W239" s="85"/>
      <c r="Y239" s="94"/>
      <c r="Z239" s="93"/>
      <c r="AA239" s="85"/>
      <c r="AC239" s="94"/>
      <c r="AD239" s="93"/>
      <c r="AE239" s="85"/>
    </row>
    <row r="240" spans="7:31" x14ac:dyDescent="0.35">
      <c r="G240" s="85"/>
      <c r="H240" s="87"/>
      <c r="I240" s="94">
        <v>14</v>
      </c>
      <c r="J240" s="93">
        <v>45188</v>
      </c>
      <c r="K240" s="87" t="s">
        <v>2310</v>
      </c>
      <c r="L240" s="87">
        <v>94.98</v>
      </c>
      <c r="M240" s="94"/>
      <c r="N240" s="93"/>
      <c r="O240" s="85"/>
      <c r="Q240" s="94"/>
      <c r="R240" s="93"/>
      <c r="S240" s="85"/>
      <c r="U240" s="94"/>
      <c r="V240" s="93"/>
      <c r="W240" s="85"/>
      <c r="Y240" s="94"/>
      <c r="Z240" s="93"/>
      <c r="AA240" s="85"/>
      <c r="AC240" s="94"/>
      <c r="AD240" s="93"/>
      <c r="AE240" s="85"/>
    </row>
    <row r="241" spans="7:31" x14ac:dyDescent="0.35">
      <c r="G241" s="85"/>
      <c r="H241" s="87"/>
      <c r="I241" s="94">
        <v>18</v>
      </c>
      <c r="J241" s="93">
        <v>45188</v>
      </c>
      <c r="K241" s="87" t="s">
        <v>2208</v>
      </c>
      <c r="L241" s="87">
        <v>46.39</v>
      </c>
      <c r="M241" s="94"/>
      <c r="N241" s="93"/>
      <c r="O241" s="85"/>
      <c r="Q241" s="94"/>
      <c r="R241" s="93"/>
      <c r="S241" s="85"/>
      <c r="U241" s="94"/>
      <c r="V241" s="93"/>
      <c r="W241" s="85"/>
      <c r="Y241" s="94"/>
      <c r="Z241" s="93"/>
      <c r="AA241" s="85"/>
      <c r="AC241" s="94"/>
      <c r="AD241" s="93"/>
      <c r="AE241" s="85"/>
    </row>
    <row r="242" spans="7:31" x14ac:dyDescent="0.35">
      <c r="G242" s="85"/>
      <c r="H242" s="87"/>
      <c r="I242" s="94">
        <v>18</v>
      </c>
      <c r="J242" s="93">
        <v>45188</v>
      </c>
      <c r="K242" s="87" t="s">
        <v>2208</v>
      </c>
      <c r="L242" s="87">
        <v>44.15</v>
      </c>
      <c r="M242" s="94"/>
      <c r="N242" s="93"/>
      <c r="O242" s="85"/>
      <c r="Q242" s="94"/>
      <c r="R242" s="93"/>
      <c r="S242" s="85"/>
      <c r="U242" s="94"/>
      <c r="V242" s="93"/>
      <c r="W242" s="85"/>
      <c r="Y242" s="94"/>
      <c r="Z242" s="93"/>
      <c r="AA242" s="85"/>
      <c r="AC242" s="94"/>
      <c r="AD242" s="93"/>
      <c r="AE242" s="85"/>
    </row>
    <row r="243" spans="7:31" x14ac:dyDescent="0.35">
      <c r="G243" s="85"/>
      <c r="H243" s="87"/>
      <c r="I243" s="94">
        <v>14</v>
      </c>
      <c r="J243" s="93">
        <v>45125</v>
      </c>
      <c r="K243" s="87" t="s">
        <v>1630</v>
      </c>
      <c r="L243" s="87">
        <v>18</v>
      </c>
      <c r="M243" s="94"/>
      <c r="N243" s="93"/>
      <c r="O243" s="85"/>
      <c r="Q243" s="94"/>
      <c r="R243" s="93"/>
      <c r="S243" s="85"/>
      <c r="U243" s="94"/>
      <c r="V243" s="93"/>
      <c r="W243" s="85"/>
      <c r="Y243" s="94"/>
      <c r="Z243" s="93"/>
      <c r="AA243" s="85"/>
      <c r="AC243" s="94"/>
      <c r="AD243" s="93"/>
      <c r="AE243" s="85"/>
    </row>
    <row r="244" spans="7:31" x14ac:dyDescent="0.35">
      <c r="G244" s="85"/>
      <c r="H244" s="87"/>
      <c r="I244" s="94">
        <v>15</v>
      </c>
      <c r="J244" s="93">
        <v>45125</v>
      </c>
      <c r="K244" s="87" t="s">
        <v>1624</v>
      </c>
      <c r="L244" s="87">
        <v>169.88</v>
      </c>
      <c r="M244" s="94"/>
      <c r="N244" s="93"/>
      <c r="O244" s="85"/>
      <c r="Q244" s="94"/>
      <c r="R244" s="93"/>
      <c r="S244" s="85"/>
      <c r="U244" s="94"/>
      <c r="V244" s="93"/>
      <c r="W244" s="85"/>
      <c r="Y244" s="94"/>
      <c r="Z244" s="93"/>
      <c r="AA244" s="85"/>
      <c r="AC244" s="94"/>
      <c r="AD244" s="93"/>
      <c r="AE244" s="85"/>
    </row>
    <row r="245" spans="7:31" x14ac:dyDescent="0.35">
      <c r="G245" s="85"/>
      <c r="H245" s="87"/>
      <c r="I245" s="94">
        <v>14</v>
      </c>
      <c r="J245" s="93">
        <v>45140</v>
      </c>
      <c r="K245" s="87" t="s">
        <v>2311</v>
      </c>
      <c r="L245" s="87">
        <v>179.8</v>
      </c>
      <c r="M245" s="94"/>
      <c r="N245" s="93"/>
      <c r="O245" s="85"/>
      <c r="Q245" s="94"/>
      <c r="R245" s="93"/>
      <c r="S245" s="85"/>
      <c r="U245" s="94"/>
      <c r="V245" s="93"/>
      <c r="W245" s="85"/>
      <c r="Y245" s="94"/>
      <c r="Z245" s="93"/>
      <c r="AA245" s="85"/>
      <c r="AC245" s="94"/>
      <c r="AD245" s="93"/>
      <c r="AE245" s="85"/>
    </row>
    <row r="246" spans="7:31" x14ac:dyDescent="0.35">
      <c r="G246" s="85"/>
      <c r="H246" s="87"/>
      <c r="I246" s="94">
        <v>20</v>
      </c>
      <c r="J246" s="93">
        <v>45187</v>
      </c>
      <c r="K246" s="87" t="s">
        <v>2312</v>
      </c>
      <c r="L246" s="87">
        <v>495.77</v>
      </c>
      <c r="M246" s="94"/>
      <c r="N246" s="93"/>
      <c r="O246" s="85"/>
      <c r="Q246" s="94"/>
      <c r="R246" s="93"/>
      <c r="S246" s="85"/>
      <c r="U246" s="94"/>
      <c r="V246" s="93"/>
      <c r="W246" s="85"/>
      <c r="Y246" s="94"/>
      <c r="Z246" s="93"/>
      <c r="AA246" s="85"/>
      <c r="AC246" s="94"/>
      <c r="AD246" s="93"/>
      <c r="AE246" s="85"/>
    </row>
    <row r="247" spans="7:31" x14ac:dyDescent="0.35">
      <c r="G247" s="85"/>
      <c r="H247" s="87"/>
      <c r="I247" s="94">
        <v>14</v>
      </c>
      <c r="J247" s="93">
        <v>45202</v>
      </c>
      <c r="K247" s="87" t="s">
        <v>1679</v>
      </c>
      <c r="L247" s="87">
        <v>204.25</v>
      </c>
      <c r="M247" s="94"/>
      <c r="N247" s="93"/>
      <c r="O247" s="85"/>
      <c r="Q247" s="94"/>
      <c r="R247" s="93"/>
      <c r="S247" s="85"/>
      <c r="U247" s="94"/>
      <c r="V247" s="93"/>
      <c r="W247" s="85"/>
      <c r="Y247" s="94"/>
      <c r="Z247" s="93"/>
      <c r="AA247" s="85"/>
      <c r="AC247" s="94"/>
      <c r="AD247" s="93"/>
      <c r="AE247" s="85"/>
    </row>
    <row r="248" spans="7:31" x14ac:dyDescent="0.35">
      <c r="G248" s="85"/>
      <c r="H248" s="87"/>
      <c r="I248" s="94">
        <v>9</v>
      </c>
      <c r="J248" s="93">
        <v>45208</v>
      </c>
      <c r="K248" s="87" t="s">
        <v>1680</v>
      </c>
      <c r="L248" s="87">
        <v>900</v>
      </c>
      <c r="M248" s="94"/>
      <c r="N248" s="93"/>
      <c r="O248" s="85"/>
      <c r="Q248" s="94"/>
      <c r="R248" s="93"/>
      <c r="S248" s="85"/>
      <c r="U248" s="94"/>
      <c r="V248" s="93"/>
      <c r="W248" s="85"/>
      <c r="Y248" s="94"/>
      <c r="Z248" s="93"/>
      <c r="AA248" s="85"/>
      <c r="AC248" s="94"/>
      <c r="AD248" s="93"/>
      <c r="AE248" s="85"/>
    </row>
    <row r="249" spans="7:31" x14ac:dyDescent="0.35">
      <c r="G249" s="85"/>
      <c r="H249" s="87"/>
      <c r="I249" s="94">
        <v>6</v>
      </c>
      <c r="J249" s="93">
        <v>45200</v>
      </c>
      <c r="K249" s="85" t="s">
        <v>1681</v>
      </c>
      <c r="L249" s="87">
        <v>733.39</v>
      </c>
      <c r="M249" s="94"/>
      <c r="N249" s="93"/>
      <c r="O249" s="85"/>
      <c r="Q249" s="94"/>
      <c r="R249" s="93"/>
      <c r="S249" s="85"/>
      <c r="U249" s="94"/>
      <c r="V249" s="93"/>
      <c r="W249" s="85"/>
      <c r="Y249" s="94"/>
      <c r="Z249" s="93"/>
      <c r="AA249" s="85"/>
      <c r="AC249" s="94"/>
      <c r="AD249" s="93"/>
      <c r="AE249" s="85"/>
    </row>
    <row r="250" spans="7:31" x14ac:dyDescent="0.35">
      <c r="G250" s="85"/>
      <c r="H250" s="87"/>
      <c r="I250" s="94">
        <v>19</v>
      </c>
      <c r="J250" s="93">
        <v>45203</v>
      </c>
      <c r="K250" s="87" t="s">
        <v>1682</v>
      </c>
      <c r="L250" s="87">
        <v>2584</v>
      </c>
      <c r="M250" s="94"/>
      <c r="N250" s="93"/>
      <c r="O250" s="85"/>
      <c r="Q250" s="94"/>
      <c r="R250" s="93"/>
      <c r="S250" s="85"/>
      <c r="U250" s="94"/>
      <c r="V250" s="93"/>
      <c r="W250" s="85"/>
      <c r="Y250" s="94"/>
      <c r="Z250" s="93"/>
      <c r="AA250" s="85"/>
      <c r="AC250" s="94"/>
      <c r="AD250" s="93"/>
      <c r="AE250" s="85"/>
    </row>
    <row r="251" spans="7:31" x14ac:dyDescent="0.35">
      <c r="G251" s="85"/>
      <c r="H251" s="87"/>
      <c r="I251" s="94">
        <v>2</v>
      </c>
      <c r="J251" s="93">
        <v>45203</v>
      </c>
      <c r="K251" s="87" t="s">
        <v>1682</v>
      </c>
      <c r="L251" s="87">
        <v>1476.5</v>
      </c>
      <c r="M251" s="94"/>
      <c r="N251" s="93"/>
      <c r="O251" s="85"/>
      <c r="Q251" s="94"/>
      <c r="R251" s="93"/>
      <c r="S251" s="85"/>
      <c r="U251" s="94"/>
      <c r="V251" s="93"/>
      <c r="W251" s="85"/>
      <c r="Y251" s="94"/>
      <c r="Z251" s="93"/>
      <c r="AA251" s="85"/>
      <c r="AC251" s="94"/>
      <c r="AD251" s="93"/>
      <c r="AE251" s="85"/>
    </row>
    <row r="252" spans="7:31" x14ac:dyDescent="0.35">
      <c r="G252" s="85"/>
      <c r="H252" s="87"/>
      <c r="I252" s="94">
        <v>14</v>
      </c>
      <c r="J252" s="93">
        <v>45209</v>
      </c>
      <c r="K252" s="87" t="s">
        <v>1683</v>
      </c>
      <c r="L252" s="87">
        <v>430.55</v>
      </c>
      <c r="M252" s="95"/>
      <c r="N252" s="93"/>
      <c r="O252" s="85"/>
      <c r="Q252" s="94"/>
      <c r="R252" s="93"/>
      <c r="S252" s="85"/>
      <c r="U252" s="94"/>
      <c r="V252" s="93"/>
      <c r="W252" s="85"/>
      <c r="Y252" s="94"/>
      <c r="Z252" s="93"/>
      <c r="AA252" s="85"/>
      <c r="AC252" s="94"/>
      <c r="AD252" s="93"/>
      <c r="AE252" s="85"/>
    </row>
    <row r="253" spans="7:31" x14ac:dyDescent="0.35">
      <c r="G253" s="85"/>
      <c r="H253" s="87"/>
      <c r="I253" s="94">
        <v>15</v>
      </c>
      <c r="J253" s="93">
        <v>45202</v>
      </c>
      <c r="K253" s="87" t="s">
        <v>1624</v>
      </c>
      <c r="L253" s="87">
        <v>134.91</v>
      </c>
      <c r="M253" s="94"/>
      <c r="N253" s="93"/>
      <c r="O253" s="85"/>
      <c r="Q253" s="94"/>
      <c r="R253" s="93"/>
      <c r="S253" s="85"/>
      <c r="U253" s="94"/>
      <c r="V253" s="93"/>
      <c r="W253" s="85"/>
      <c r="Y253" s="94"/>
      <c r="Z253" s="93"/>
      <c r="AA253" s="85"/>
      <c r="AC253" s="94"/>
      <c r="AD253" s="93"/>
      <c r="AE253" s="85"/>
    </row>
    <row r="254" spans="7:31" x14ac:dyDescent="0.35">
      <c r="G254" s="85"/>
      <c r="H254" s="87"/>
      <c r="I254" s="94">
        <v>14</v>
      </c>
      <c r="J254" s="93">
        <v>45205</v>
      </c>
      <c r="K254" s="87" t="s">
        <v>1684</v>
      </c>
      <c r="L254" s="87">
        <v>612</v>
      </c>
      <c r="M254" s="95"/>
      <c r="N254" s="93"/>
      <c r="O254" s="85"/>
      <c r="Q254" s="94"/>
      <c r="R254" s="93"/>
      <c r="S254" s="85"/>
      <c r="U254" s="94"/>
      <c r="V254" s="93"/>
      <c r="W254" s="85"/>
      <c r="Y254" s="94"/>
      <c r="Z254" s="93"/>
      <c r="AA254" s="85"/>
      <c r="AC254" s="94"/>
      <c r="AD254" s="93"/>
      <c r="AE254" s="85"/>
    </row>
    <row r="255" spans="7:31" x14ac:dyDescent="0.35">
      <c r="G255" s="85"/>
      <c r="H255" s="87"/>
      <c r="I255" s="94">
        <v>14</v>
      </c>
      <c r="J255" s="93">
        <v>45202</v>
      </c>
      <c r="K255" s="87" t="s">
        <v>1685</v>
      </c>
      <c r="L255" s="87">
        <v>208.99</v>
      </c>
      <c r="M255" s="95"/>
      <c r="N255" s="95"/>
      <c r="O255" s="93"/>
      <c r="P255" s="85"/>
      <c r="Q255" s="94"/>
      <c r="R255" s="93"/>
      <c r="S255" s="85"/>
      <c r="U255" s="94"/>
      <c r="V255" s="93"/>
      <c r="W255" s="85"/>
      <c r="Y255" s="94"/>
      <c r="Z255" s="93"/>
      <c r="AA255" s="85"/>
      <c r="AC255" s="94"/>
      <c r="AD255" s="93"/>
      <c r="AE255" s="85"/>
    </row>
    <row r="256" spans="7:31" x14ac:dyDescent="0.35">
      <c r="G256" s="85"/>
      <c r="H256" s="87"/>
      <c r="I256" s="94">
        <v>7</v>
      </c>
      <c r="J256" s="93">
        <v>45201</v>
      </c>
      <c r="K256" s="87" t="s">
        <v>1510</v>
      </c>
      <c r="L256" s="87">
        <f>16*3.33</f>
        <v>53.28</v>
      </c>
      <c r="N256" s="95"/>
      <c r="O256" s="93"/>
      <c r="P256" s="85"/>
      <c r="Q256" s="87"/>
      <c r="R256" s="93"/>
      <c r="S256" s="85"/>
      <c r="U256" s="94"/>
      <c r="V256" s="93"/>
      <c r="W256" s="85"/>
      <c r="Y256" s="94"/>
      <c r="Z256" s="93"/>
      <c r="AA256" s="85"/>
      <c r="AC256" s="94"/>
      <c r="AD256" s="93"/>
      <c r="AE256" s="85"/>
    </row>
    <row r="257" spans="7:31" x14ac:dyDescent="0.35">
      <c r="G257" s="85"/>
      <c r="H257" s="87"/>
      <c r="I257" s="94">
        <v>7</v>
      </c>
      <c r="J257" s="93">
        <v>45201</v>
      </c>
      <c r="K257" s="87" t="s">
        <v>1492</v>
      </c>
      <c r="L257" s="87">
        <v>3.33</v>
      </c>
      <c r="N257" s="93"/>
      <c r="O257" s="85"/>
      <c r="Q257" s="87"/>
      <c r="R257" s="93"/>
      <c r="S257" s="85"/>
      <c r="U257" s="94"/>
      <c r="V257" s="93"/>
      <c r="W257" s="85"/>
      <c r="Y257" s="94"/>
      <c r="Z257" s="93"/>
      <c r="AA257" s="85"/>
      <c r="AC257" s="94"/>
      <c r="AD257" s="93"/>
      <c r="AE257" s="85"/>
    </row>
    <row r="258" spans="7:31" x14ac:dyDescent="0.35">
      <c r="G258" s="85"/>
      <c r="H258" s="87"/>
      <c r="I258" s="94">
        <v>16</v>
      </c>
      <c r="J258" s="93">
        <v>45201</v>
      </c>
      <c r="K258" s="87" t="s">
        <v>1686</v>
      </c>
      <c r="L258" s="87">
        <v>28.04</v>
      </c>
      <c r="M258" s="95"/>
      <c r="N258" s="93"/>
      <c r="O258" s="85"/>
      <c r="Q258" s="94"/>
      <c r="R258" s="93"/>
      <c r="S258" s="85"/>
      <c r="U258" s="94"/>
      <c r="V258" s="93"/>
      <c r="W258" s="85"/>
      <c r="Y258" s="94"/>
      <c r="Z258" s="93"/>
      <c r="AA258" s="85"/>
      <c r="AC258" s="94"/>
      <c r="AD258" s="93"/>
      <c r="AE258" s="85"/>
    </row>
    <row r="259" spans="7:31" x14ac:dyDescent="0.35">
      <c r="G259" s="85"/>
      <c r="H259" s="87"/>
      <c r="I259" s="94">
        <v>18</v>
      </c>
      <c r="J259" s="93">
        <v>45201</v>
      </c>
      <c r="K259" s="87" t="s">
        <v>715</v>
      </c>
      <c r="L259" s="87">
        <v>20</v>
      </c>
      <c r="M259" s="95"/>
      <c r="N259" s="93"/>
      <c r="O259" s="85"/>
      <c r="Q259" s="94"/>
      <c r="R259" s="93"/>
      <c r="S259" s="85"/>
      <c r="U259" s="94"/>
      <c r="V259" s="93"/>
      <c r="W259" s="85"/>
      <c r="Y259" s="94"/>
      <c r="Z259" s="93"/>
      <c r="AA259" s="85"/>
      <c r="AC259" s="94"/>
      <c r="AD259" s="93"/>
      <c r="AE259" s="85"/>
    </row>
    <row r="260" spans="7:31" x14ac:dyDescent="0.35">
      <c r="G260" s="85"/>
      <c r="H260" s="87"/>
      <c r="I260" s="94">
        <v>8</v>
      </c>
      <c r="J260" s="93">
        <v>45201</v>
      </c>
      <c r="K260" s="87" t="s">
        <v>1558</v>
      </c>
      <c r="L260" s="87">
        <v>9.69</v>
      </c>
      <c r="M260" s="94"/>
      <c r="N260" s="93"/>
      <c r="O260" s="85"/>
      <c r="Q260" s="94"/>
      <c r="R260" s="93"/>
      <c r="S260" s="85"/>
      <c r="U260" s="94"/>
      <c r="V260" s="93"/>
      <c r="W260" s="85"/>
      <c r="Y260" s="94"/>
      <c r="Z260" s="93"/>
      <c r="AA260" s="85"/>
      <c r="AC260" s="94"/>
      <c r="AD260" s="93"/>
      <c r="AE260" s="85"/>
    </row>
    <row r="261" spans="7:31" x14ac:dyDescent="0.35">
      <c r="G261" s="85"/>
      <c r="H261" s="87"/>
      <c r="I261" s="94">
        <v>14</v>
      </c>
      <c r="J261" s="93">
        <v>45208</v>
      </c>
      <c r="K261" s="87" t="s">
        <v>1687</v>
      </c>
      <c r="L261" s="87">
        <v>15</v>
      </c>
      <c r="M261" s="94"/>
      <c r="N261" s="93"/>
      <c r="O261" s="85"/>
      <c r="Q261" s="94"/>
      <c r="R261" s="93"/>
      <c r="S261" s="85"/>
      <c r="U261" s="94"/>
      <c r="V261" s="93"/>
      <c r="W261" s="85"/>
      <c r="Y261" s="94"/>
      <c r="Z261" s="93"/>
      <c r="AA261" s="85"/>
      <c r="AC261" s="94"/>
      <c r="AD261" s="93"/>
      <c r="AE261" s="85"/>
    </row>
    <row r="262" spans="7:31" x14ac:dyDescent="0.35">
      <c r="G262" s="85"/>
      <c r="H262" s="87"/>
      <c r="I262" s="94">
        <v>14</v>
      </c>
      <c r="J262" s="93">
        <v>45225</v>
      </c>
      <c r="K262" s="87" t="s">
        <v>2184</v>
      </c>
      <c r="L262" s="87">
        <v>442.81</v>
      </c>
      <c r="M262" s="94"/>
      <c r="N262" s="93"/>
      <c r="O262" s="85"/>
      <c r="Q262" s="94"/>
      <c r="R262" s="93"/>
      <c r="S262" s="85"/>
      <c r="U262" s="94"/>
      <c r="V262" s="93"/>
      <c r="W262" s="85"/>
      <c r="Y262" s="94"/>
      <c r="Z262" s="93"/>
      <c r="AA262" s="85"/>
      <c r="AC262" s="94"/>
      <c r="AD262" s="93"/>
      <c r="AE262" s="85"/>
    </row>
    <row r="263" spans="7:31" x14ac:dyDescent="0.35">
      <c r="G263" s="85"/>
      <c r="H263" s="87"/>
      <c r="I263" s="94">
        <v>18</v>
      </c>
      <c r="J263" s="93" t="s">
        <v>2363</v>
      </c>
      <c r="K263" s="87" t="s">
        <v>2185</v>
      </c>
      <c r="L263" s="87">
        <f>192.95+82.5+9.36+10.82+20.82+65.83+9.63</f>
        <v>391.90999999999997</v>
      </c>
      <c r="M263" s="94"/>
      <c r="N263" s="93"/>
      <c r="O263" s="85"/>
      <c r="Q263" s="94"/>
      <c r="R263" s="93"/>
      <c r="S263" s="85"/>
      <c r="U263" s="94"/>
      <c r="V263" s="93"/>
      <c r="W263" s="85"/>
      <c r="Y263" s="94"/>
      <c r="Z263" s="93"/>
      <c r="AA263" s="85"/>
      <c r="AC263" s="94"/>
      <c r="AD263" s="93"/>
      <c r="AE263" s="85"/>
    </row>
    <row r="264" spans="7:31" x14ac:dyDescent="0.35">
      <c r="G264" s="85"/>
      <c r="H264" s="87"/>
      <c r="I264" s="94">
        <v>18</v>
      </c>
      <c r="J264" s="93" t="s">
        <v>2363</v>
      </c>
      <c r="K264" s="87" t="s">
        <v>2186</v>
      </c>
      <c r="L264" s="87">
        <f>4.74+262.01</f>
        <v>266.75</v>
      </c>
      <c r="M264" s="94"/>
      <c r="N264" s="93"/>
      <c r="O264" s="85"/>
      <c r="Q264" s="94"/>
      <c r="R264" s="93"/>
      <c r="S264" s="85"/>
      <c r="U264" s="94"/>
      <c r="V264" s="93"/>
      <c r="W264" s="85"/>
      <c r="Y264" s="94"/>
      <c r="Z264" s="93"/>
      <c r="AA264" s="85"/>
      <c r="AC264" s="94"/>
      <c r="AD264" s="93"/>
      <c r="AE264" s="85"/>
    </row>
    <row r="265" spans="7:31" x14ac:dyDescent="0.35">
      <c r="G265" s="85"/>
      <c r="H265" s="87"/>
      <c r="I265" s="94">
        <v>18</v>
      </c>
      <c r="J265" s="93" t="s">
        <v>2363</v>
      </c>
      <c r="K265" s="87" t="s">
        <v>2187</v>
      </c>
      <c r="L265" s="87">
        <v>8.32</v>
      </c>
      <c r="M265" s="94"/>
      <c r="N265" s="93"/>
      <c r="O265" s="85"/>
      <c r="Q265" s="94"/>
      <c r="R265" s="93"/>
      <c r="S265" s="85"/>
      <c r="U265" s="94"/>
      <c r="V265" s="93"/>
      <c r="W265" s="85"/>
      <c r="Y265" s="94"/>
      <c r="Z265" s="93"/>
      <c r="AA265" s="85"/>
      <c r="AC265" s="94"/>
      <c r="AD265" s="93"/>
      <c r="AE265" s="85"/>
    </row>
    <row r="266" spans="7:31" x14ac:dyDescent="0.35">
      <c r="G266" s="85"/>
      <c r="H266" s="87"/>
      <c r="I266" s="94">
        <v>8</v>
      </c>
      <c r="J266" s="93">
        <v>45222</v>
      </c>
      <c r="K266" s="87" t="s">
        <v>1512</v>
      </c>
      <c r="L266" s="87">
        <v>44.99</v>
      </c>
      <c r="M266" s="94"/>
      <c r="N266" s="93"/>
      <c r="O266" s="85"/>
      <c r="Q266" s="94"/>
      <c r="R266" s="93"/>
      <c r="S266" s="85"/>
      <c r="U266" s="94"/>
      <c r="V266" s="93"/>
      <c r="W266" s="85"/>
      <c r="Y266" s="94"/>
      <c r="Z266" s="93"/>
      <c r="AA266" s="85"/>
      <c r="AC266" s="94"/>
      <c r="AD266" s="93"/>
      <c r="AE266" s="85"/>
    </row>
    <row r="267" spans="7:31" x14ac:dyDescent="0.35">
      <c r="G267" s="85"/>
      <c r="H267" s="87"/>
      <c r="I267" s="94">
        <v>18</v>
      </c>
      <c r="J267" s="93">
        <v>45215</v>
      </c>
      <c r="K267" s="87" t="s">
        <v>2188</v>
      </c>
      <c r="L267" s="87">
        <v>630</v>
      </c>
      <c r="M267" s="94"/>
      <c r="N267" s="93"/>
      <c r="O267" s="85"/>
      <c r="Q267" s="94"/>
      <c r="R267" s="93"/>
      <c r="S267" s="85"/>
      <c r="U267" s="94"/>
      <c r="V267" s="93"/>
      <c r="W267" s="85"/>
      <c r="Y267" s="94"/>
      <c r="Z267" s="93"/>
      <c r="AA267" s="85"/>
      <c r="AC267" s="94"/>
      <c r="AD267" s="93"/>
      <c r="AE267" s="85"/>
    </row>
    <row r="268" spans="7:31" x14ac:dyDescent="0.35">
      <c r="G268" s="85"/>
      <c r="H268" s="87"/>
      <c r="I268" s="94">
        <v>16</v>
      </c>
      <c r="J268" s="93">
        <v>45203</v>
      </c>
      <c r="K268" s="87" t="s">
        <v>1471</v>
      </c>
      <c r="L268" s="87">
        <v>224.77</v>
      </c>
      <c r="M268" s="94"/>
      <c r="N268" s="93"/>
      <c r="O268" s="85"/>
      <c r="Q268" s="94"/>
      <c r="R268" s="93"/>
      <c r="S268" s="85"/>
      <c r="U268" s="94"/>
      <c r="V268" s="93"/>
      <c r="W268" s="85"/>
      <c r="Y268" s="94"/>
      <c r="Z268" s="93"/>
      <c r="AA268" s="85"/>
      <c r="AC268" s="94"/>
      <c r="AD268" s="93"/>
      <c r="AE268" s="85"/>
    </row>
    <row r="269" spans="7:31" x14ac:dyDescent="0.35">
      <c r="G269" s="85"/>
      <c r="H269" s="87"/>
      <c r="I269" s="94">
        <v>10</v>
      </c>
      <c r="J269" s="93">
        <v>45210</v>
      </c>
      <c r="K269" s="87" t="s">
        <v>2189</v>
      </c>
      <c r="L269" s="87">
        <v>41</v>
      </c>
      <c r="M269" s="94"/>
      <c r="N269" s="93"/>
      <c r="O269" s="85"/>
      <c r="Q269" s="94"/>
      <c r="R269" s="93"/>
      <c r="S269" s="85"/>
      <c r="U269" s="94"/>
      <c r="V269" s="93"/>
      <c r="W269" s="85"/>
      <c r="Y269" s="94"/>
      <c r="Z269" s="93"/>
      <c r="AA269" s="85"/>
      <c r="AC269" s="94"/>
      <c r="AD269" s="93"/>
      <c r="AE269" s="85"/>
    </row>
    <row r="270" spans="7:31" x14ac:dyDescent="0.35">
      <c r="G270" s="85"/>
      <c r="H270" s="87"/>
      <c r="I270" s="94">
        <v>20</v>
      </c>
      <c r="J270" s="93">
        <v>45217</v>
      </c>
      <c r="K270" s="87" t="s">
        <v>2190</v>
      </c>
      <c r="L270" s="87">
        <v>495.77</v>
      </c>
      <c r="M270" s="94"/>
      <c r="N270" s="93"/>
      <c r="O270" s="85"/>
      <c r="Q270" s="94"/>
      <c r="R270" s="93"/>
      <c r="S270" s="85"/>
      <c r="U270" s="94"/>
      <c r="V270" s="93"/>
      <c r="W270" s="85"/>
      <c r="Y270" s="94"/>
      <c r="Z270" s="93"/>
      <c r="AA270" s="85"/>
      <c r="AC270" s="94"/>
      <c r="AD270" s="93"/>
      <c r="AE270" s="85"/>
    </row>
    <row r="271" spans="7:31" x14ac:dyDescent="0.35">
      <c r="G271" s="85"/>
      <c r="H271" s="87"/>
      <c r="I271" s="94">
        <v>18</v>
      </c>
      <c r="J271" s="93">
        <v>45225</v>
      </c>
      <c r="K271" s="87" t="s">
        <v>2191</v>
      </c>
      <c r="L271" s="87">
        <v>34.07</v>
      </c>
      <c r="M271" s="94"/>
      <c r="N271" s="93"/>
      <c r="O271" s="85"/>
      <c r="Q271" s="94"/>
      <c r="R271" s="93"/>
      <c r="S271" s="85"/>
      <c r="U271" s="94"/>
      <c r="V271" s="93"/>
      <c r="W271" s="85"/>
      <c r="Y271" s="94"/>
      <c r="Z271" s="93"/>
      <c r="AA271" s="85"/>
      <c r="AC271" s="94"/>
      <c r="AD271" s="93"/>
      <c r="AE271" s="85"/>
    </row>
    <row r="272" spans="7:31" x14ac:dyDescent="0.35">
      <c r="G272" s="85"/>
      <c r="H272" s="87"/>
      <c r="I272" s="94">
        <v>18</v>
      </c>
      <c r="J272" s="93">
        <v>45238</v>
      </c>
      <c r="K272" s="87" t="s">
        <v>2192</v>
      </c>
      <c r="L272" s="87">
        <v>18495</v>
      </c>
      <c r="M272" s="94"/>
      <c r="N272" s="93"/>
      <c r="O272" s="85"/>
      <c r="Q272" s="94"/>
      <c r="R272" s="93"/>
      <c r="S272" s="85"/>
      <c r="U272" s="94"/>
      <c r="V272" s="93"/>
      <c r="W272" s="85"/>
      <c r="Y272" s="94"/>
      <c r="Z272" s="93"/>
      <c r="AA272" s="85"/>
      <c r="AC272" s="94"/>
      <c r="AD272" s="93"/>
      <c r="AE272" s="85"/>
    </row>
    <row r="273" spans="7:31" x14ac:dyDescent="0.35">
      <c r="G273" s="85"/>
      <c r="H273" s="87"/>
      <c r="I273" s="94" t="s">
        <v>23</v>
      </c>
      <c r="J273" s="93" t="s">
        <v>676</v>
      </c>
      <c r="K273" s="87" t="s">
        <v>2193</v>
      </c>
      <c r="L273" s="87">
        <v>500</v>
      </c>
      <c r="M273" s="94"/>
      <c r="N273" s="93"/>
      <c r="O273" s="85"/>
      <c r="Q273" s="94"/>
      <c r="R273" s="93"/>
      <c r="S273" s="85"/>
      <c r="U273" s="94"/>
      <c r="V273" s="93"/>
      <c r="W273" s="85"/>
      <c r="Y273" s="94"/>
      <c r="Z273" s="93"/>
      <c r="AA273" s="85"/>
      <c r="AC273" s="94"/>
      <c r="AD273" s="93"/>
      <c r="AE273" s="85"/>
    </row>
    <row r="274" spans="7:31" x14ac:dyDescent="0.35">
      <c r="G274" s="85"/>
      <c r="H274" s="87"/>
      <c r="I274" s="94">
        <v>13</v>
      </c>
      <c r="J274" s="93">
        <v>45200</v>
      </c>
      <c r="K274" s="87" t="s">
        <v>2194</v>
      </c>
      <c r="L274" s="87">
        <v>1708.33</v>
      </c>
      <c r="M274" s="94"/>
      <c r="N274" s="93"/>
      <c r="O274" s="85"/>
      <c r="Q274" s="94"/>
      <c r="R274" s="93"/>
      <c r="S274" s="85"/>
      <c r="U274" s="94"/>
      <c r="V274" s="93"/>
      <c r="W274" s="85"/>
      <c r="Y274" s="94"/>
      <c r="Z274" s="93"/>
      <c r="AA274" s="85"/>
      <c r="AC274" s="94"/>
      <c r="AD274" s="93"/>
      <c r="AE274" s="85"/>
    </row>
    <row r="275" spans="7:31" x14ac:dyDescent="0.35">
      <c r="G275" s="85"/>
      <c r="H275" s="87"/>
      <c r="I275" s="94">
        <v>13</v>
      </c>
      <c r="J275" s="93">
        <v>45231</v>
      </c>
      <c r="K275" s="87" t="s">
        <v>2195</v>
      </c>
      <c r="L275" s="87">
        <v>1708.33</v>
      </c>
      <c r="M275" s="94"/>
      <c r="N275" s="93"/>
      <c r="O275" s="85"/>
      <c r="Q275" s="94"/>
      <c r="R275" s="93"/>
      <c r="S275" s="85"/>
      <c r="U275" s="94"/>
      <c r="V275" s="93"/>
      <c r="W275" s="85"/>
      <c r="Y275" s="94"/>
      <c r="Z275" s="93"/>
      <c r="AA275" s="85"/>
      <c r="AC275" s="94"/>
      <c r="AD275" s="93"/>
      <c r="AE275" s="85"/>
    </row>
    <row r="276" spans="7:31" x14ac:dyDescent="0.35">
      <c r="G276" s="85"/>
      <c r="H276" s="87"/>
      <c r="I276" s="94">
        <v>14</v>
      </c>
      <c r="J276" s="93">
        <v>45230</v>
      </c>
      <c r="K276" s="87" t="s">
        <v>2196</v>
      </c>
      <c r="L276" s="87">
        <v>1168.74</v>
      </c>
      <c r="M276" s="94"/>
      <c r="N276" s="93"/>
      <c r="O276" s="85"/>
      <c r="Q276" s="94"/>
      <c r="R276" s="93"/>
      <c r="S276" s="85"/>
      <c r="U276" s="94"/>
      <c r="V276" s="93"/>
      <c r="W276" s="85"/>
      <c r="Y276" s="94"/>
      <c r="Z276" s="93"/>
      <c r="AA276" s="85"/>
      <c r="AC276" s="94"/>
      <c r="AD276" s="93"/>
      <c r="AE276" s="85"/>
    </row>
    <row r="277" spans="7:31" x14ac:dyDescent="0.35">
      <c r="G277" s="85"/>
      <c r="H277" s="87"/>
      <c r="I277" s="94">
        <v>14</v>
      </c>
      <c r="J277" s="93">
        <v>45230</v>
      </c>
      <c r="K277" s="87" t="s">
        <v>2197</v>
      </c>
      <c r="L277" s="87">
        <v>110.78</v>
      </c>
      <c r="M277" s="94"/>
      <c r="N277" s="93"/>
      <c r="O277" s="85"/>
      <c r="Q277" s="94"/>
      <c r="R277" s="93"/>
      <c r="S277" s="85"/>
      <c r="U277" s="94"/>
      <c r="V277" s="93"/>
      <c r="W277" s="85"/>
      <c r="Y277" s="94"/>
      <c r="Z277" s="93"/>
      <c r="AA277" s="85"/>
      <c r="AC277" s="94"/>
      <c r="AD277" s="93"/>
      <c r="AE277" s="85"/>
    </row>
    <row r="278" spans="7:31" x14ac:dyDescent="0.35">
      <c r="G278" s="85"/>
      <c r="H278" s="87"/>
      <c r="I278" s="94">
        <v>14</v>
      </c>
      <c r="J278" s="93">
        <v>45226</v>
      </c>
      <c r="K278" s="87" t="s">
        <v>2198</v>
      </c>
      <c r="L278" s="87">
        <v>103.68</v>
      </c>
      <c r="M278" s="94"/>
      <c r="N278" s="93"/>
      <c r="O278" s="85"/>
      <c r="Q278" s="94"/>
      <c r="R278" s="93"/>
      <c r="S278" s="85"/>
      <c r="U278" s="94"/>
      <c r="V278" s="93"/>
      <c r="W278" s="85"/>
      <c r="Y278" s="94"/>
      <c r="Z278" s="93"/>
      <c r="AA278" s="85"/>
      <c r="AC278" s="94"/>
      <c r="AD278" s="93"/>
      <c r="AE278" s="85"/>
    </row>
    <row r="279" spans="7:31" x14ac:dyDescent="0.35">
      <c r="G279" s="85"/>
      <c r="H279" s="87"/>
      <c r="I279" s="94">
        <v>7</v>
      </c>
      <c r="J279" s="93">
        <v>45236</v>
      </c>
      <c r="K279" s="87" t="s">
        <v>1492</v>
      </c>
      <c r="L279" s="87">
        <v>7.91</v>
      </c>
      <c r="M279" s="94"/>
      <c r="N279" s="93"/>
      <c r="O279" s="85"/>
      <c r="Q279" s="94"/>
      <c r="R279" s="93"/>
      <c r="S279" s="85"/>
      <c r="U279" s="94"/>
      <c r="V279" s="93"/>
      <c r="W279" s="85"/>
      <c r="Y279" s="94"/>
      <c r="Z279" s="93"/>
      <c r="AA279" s="85"/>
      <c r="AC279" s="94"/>
      <c r="AD279" s="93"/>
      <c r="AE279" s="85"/>
    </row>
    <row r="280" spans="7:31" x14ac:dyDescent="0.35">
      <c r="G280" s="85"/>
      <c r="H280" s="87"/>
      <c r="I280" s="94">
        <v>7</v>
      </c>
      <c r="J280" s="93">
        <v>45236</v>
      </c>
      <c r="K280" s="87" t="s">
        <v>1510</v>
      </c>
      <c r="L280" s="87">
        <v>33.299999999999997</v>
      </c>
      <c r="M280" s="94"/>
      <c r="N280" s="93"/>
      <c r="O280" s="85"/>
      <c r="Q280" s="94"/>
      <c r="R280" s="93"/>
      <c r="S280" s="85"/>
      <c r="U280" s="94"/>
      <c r="V280" s="93"/>
      <c r="W280" s="85"/>
      <c r="Y280" s="94"/>
      <c r="Z280" s="93"/>
      <c r="AA280" s="85"/>
      <c r="AC280" s="94"/>
      <c r="AD280" s="93"/>
      <c r="AE280" s="85"/>
    </row>
    <row r="281" spans="7:31" x14ac:dyDescent="0.35">
      <c r="G281" s="85"/>
      <c r="H281" s="87"/>
      <c r="I281" s="94">
        <v>7</v>
      </c>
      <c r="J281" s="93">
        <v>45236</v>
      </c>
      <c r="K281" s="87" t="s">
        <v>1465</v>
      </c>
      <c r="L281" s="87">
        <v>13.32</v>
      </c>
      <c r="M281" s="94"/>
      <c r="N281" s="93"/>
      <c r="O281" s="85"/>
      <c r="Q281" s="94"/>
      <c r="R281" s="93"/>
      <c r="S281" s="85"/>
      <c r="U281" s="94"/>
      <c r="V281" s="93"/>
      <c r="W281" s="85"/>
      <c r="Y281" s="94"/>
      <c r="Z281" s="93"/>
      <c r="AA281" s="85"/>
      <c r="AC281" s="94"/>
      <c r="AD281" s="93"/>
      <c r="AE281" s="85"/>
    </row>
    <row r="282" spans="7:31" x14ac:dyDescent="0.35">
      <c r="G282" s="85"/>
      <c r="H282" s="87"/>
      <c r="I282" s="94">
        <v>9</v>
      </c>
      <c r="J282" s="93">
        <v>45239</v>
      </c>
      <c r="K282" s="87" t="s">
        <v>2199</v>
      </c>
      <c r="L282" s="87">
        <v>900</v>
      </c>
      <c r="M282" s="94"/>
      <c r="N282" s="93"/>
      <c r="O282" s="85"/>
      <c r="Q282" s="94"/>
      <c r="R282" s="93"/>
      <c r="S282" s="85"/>
      <c r="U282" s="94"/>
      <c r="V282" s="93"/>
      <c r="W282" s="85"/>
      <c r="Y282" s="94"/>
      <c r="Z282" s="93"/>
      <c r="AA282" s="85"/>
      <c r="AC282" s="94"/>
      <c r="AD282" s="93"/>
      <c r="AE282" s="85"/>
    </row>
    <row r="283" spans="7:31" x14ac:dyDescent="0.35">
      <c r="G283" s="85"/>
      <c r="H283" s="87"/>
      <c r="I283" s="94">
        <v>14</v>
      </c>
      <c r="J283" s="93">
        <v>45230</v>
      </c>
      <c r="K283" s="87" t="s">
        <v>589</v>
      </c>
      <c r="L283" s="87">
        <v>33.799999999999997</v>
      </c>
      <c r="M283" s="94"/>
      <c r="N283" s="93"/>
      <c r="O283" s="85"/>
      <c r="Q283" s="94"/>
      <c r="R283" s="93"/>
      <c r="S283" s="85"/>
      <c r="U283" s="94"/>
      <c r="V283" s="93"/>
      <c r="W283" s="85"/>
      <c r="Y283" s="94"/>
      <c r="Z283" s="93"/>
      <c r="AA283" s="85"/>
      <c r="AC283" s="94"/>
      <c r="AD283" s="93"/>
      <c r="AE283" s="85"/>
    </row>
    <row r="284" spans="7:31" x14ac:dyDescent="0.35">
      <c r="G284" s="85"/>
      <c r="H284" s="87"/>
      <c r="I284" s="94">
        <v>6</v>
      </c>
      <c r="J284" s="93">
        <v>45231</v>
      </c>
      <c r="K284" s="85" t="s">
        <v>2200</v>
      </c>
      <c r="L284" s="87">
        <v>733.39</v>
      </c>
      <c r="M284" s="94"/>
      <c r="N284" s="93"/>
      <c r="O284" s="85"/>
      <c r="Q284" s="94"/>
      <c r="R284" s="93"/>
      <c r="S284" s="85"/>
      <c r="U284" s="94"/>
      <c r="V284" s="93"/>
      <c r="W284" s="85"/>
      <c r="Y284" s="94"/>
      <c r="Z284" s="93"/>
      <c r="AA284" s="85"/>
      <c r="AC284" s="94"/>
      <c r="AD284" s="93"/>
      <c r="AE284" s="85"/>
    </row>
    <row r="285" spans="7:31" x14ac:dyDescent="0.35">
      <c r="G285" s="85"/>
      <c r="H285" s="87"/>
      <c r="I285" s="94">
        <v>14</v>
      </c>
      <c r="J285" s="93">
        <v>45245</v>
      </c>
      <c r="K285" s="87" t="s">
        <v>589</v>
      </c>
      <c r="L285" s="87">
        <v>40</v>
      </c>
      <c r="M285" s="94"/>
      <c r="N285" s="93"/>
      <c r="O285" s="85"/>
      <c r="Q285" s="94"/>
      <c r="R285" s="93"/>
      <c r="S285" s="85"/>
      <c r="U285" s="94"/>
      <c r="V285" s="93"/>
      <c r="W285" s="85"/>
      <c r="Y285" s="94"/>
      <c r="Z285" s="93"/>
      <c r="AA285" s="85"/>
      <c r="AC285" s="94"/>
      <c r="AD285" s="93"/>
      <c r="AE285" s="85"/>
    </row>
    <row r="286" spans="7:31" x14ac:dyDescent="0.35">
      <c r="G286" s="85"/>
      <c r="H286" s="87"/>
      <c r="I286" s="94">
        <v>14</v>
      </c>
      <c r="J286" s="93">
        <v>45246</v>
      </c>
      <c r="K286" s="87" t="s">
        <v>2184</v>
      </c>
      <c r="L286" s="87">
        <v>271.82</v>
      </c>
      <c r="M286" s="94"/>
      <c r="N286" s="93"/>
      <c r="O286" s="85"/>
      <c r="Q286" s="94"/>
      <c r="R286" s="93"/>
      <c r="S286" s="85"/>
      <c r="U286" s="94"/>
      <c r="V286" s="93"/>
      <c r="W286" s="85"/>
      <c r="Y286" s="94"/>
      <c r="Z286" s="93"/>
      <c r="AA286" s="85"/>
      <c r="AC286" s="94"/>
      <c r="AD286" s="93"/>
      <c r="AE286" s="85"/>
    </row>
    <row r="287" spans="7:31" x14ac:dyDescent="0.35">
      <c r="G287" s="85"/>
      <c r="H287" s="87"/>
      <c r="I287" s="94">
        <v>14</v>
      </c>
      <c r="J287" s="93">
        <v>45239</v>
      </c>
      <c r="K287" s="87" t="s">
        <v>2201</v>
      </c>
      <c r="L287" s="87">
        <v>116.55</v>
      </c>
      <c r="M287" s="94"/>
      <c r="N287" s="93"/>
      <c r="O287" s="85"/>
      <c r="Q287" s="94"/>
      <c r="R287" s="93"/>
      <c r="S287" s="85"/>
      <c r="U287" s="94"/>
      <c r="V287" s="93"/>
      <c r="W287" s="85"/>
      <c r="Y287" s="94"/>
      <c r="Z287" s="93"/>
      <c r="AA287" s="85"/>
      <c r="AC287" s="94"/>
      <c r="AD287" s="93"/>
      <c r="AE287" s="85"/>
    </row>
    <row r="288" spans="7:31" x14ac:dyDescent="0.35">
      <c r="G288" s="85"/>
      <c r="H288" s="87"/>
      <c r="I288" s="94">
        <v>14</v>
      </c>
      <c r="J288" s="93">
        <v>45152</v>
      </c>
      <c r="K288" s="87" t="s">
        <v>2202</v>
      </c>
      <c r="L288" s="87">
        <v>35.39</v>
      </c>
      <c r="M288" s="94"/>
      <c r="N288" s="93"/>
      <c r="O288" s="85"/>
      <c r="Q288" s="94"/>
      <c r="R288" s="93"/>
      <c r="S288" s="85"/>
      <c r="U288" s="94"/>
      <c r="V288" s="93"/>
      <c r="W288" s="85"/>
      <c r="Y288" s="94"/>
      <c r="Z288" s="93"/>
      <c r="AA288" s="85"/>
      <c r="AC288" s="94"/>
      <c r="AD288" s="93"/>
      <c r="AE288" s="85"/>
    </row>
    <row r="289" spans="7:31" x14ac:dyDescent="0.35">
      <c r="G289" s="85"/>
      <c r="H289" s="87"/>
      <c r="I289" s="94">
        <v>14</v>
      </c>
      <c r="J289" s="93">
        <v>45160</v>
      </c>
      <c r="K289" s="87" t="s">
        <v>1525</v>
      </c>
      <c r="L289" s="87">
        <v>900</v>
      </c>
      <c r="M289" s="94"/>
      <c r="N289" s="93"/>
      <c r="O289" s="85"/>
      <c r="Q289" s="94"/>
      <c r="R289" s="93"/>
      <c r="S289" s="85"/>
      <c r="U289" s="94"/>
      <c r="V289" s="93"/>
      <c r="W289" s="85"/>
      <c r="Y289" s="94"/>
      <c r="Z289" s="93"/>
      <c r="AA289" s="85"/>
      <c r="AC289" s="94"/>
      <c r="AD289" s="93"/>
      <c r="AE289" s="85"/>
    </row>
    <row r="290" spans="7:31" x14ac:dyDescent="0.35">
      <c r="G290" s="85"/>
      <c r="H290" s="87"/>
      <c r="I290" s="94">
        <v>14</v>
      </c>
      <c r="J290" s="93">
        <v>45146</v>
      </c>
      <c r="K290" s="87" t="s">
        <v>2203</v>
      </c>
      <c r="L290" s="87">
        <v>273</v>
      </c>
      <c r="M290" s="94"/>
      <c r="N290" s="93"/>
      <c r="O290" s="85"/>
      <c r="Q290" s="94"/>
      <c r="R290" s="93"/>
      <c r="S290" s="85"/>
      <c r="U290" s="94"/>
      <c r="V290" s="93"/>
      <c r="W290" s="85"/>
      <c r="Y290" s="94"/>
      <c r="Z290" s="93"/>
      <c r="AA290" s="85"/>
      <c r="AC290" s="94"/>
      <c r="AD290" s="93"/>
      <c r="AE290" s="85"/>
    </row>
    <row r="291" spans="7:31" x14ac:dyDescent="0.35">
      <c r="G291" s="85"/>
      <c r="H291" s="87"/>
      <c r="I291" s="94">
        <v>14</v>
      </c>
      <c r="J291" s="93">
        <v>45230</v>
      </c>
      <c r="K291" s="87" t="s">
        <v>2204</v>
      </c>
      <c r="L291" s="87">
        <v>428.75</v>
      </c>
      <c r="M291" s="94"/>
      <c r="N291" s="93"/>
      <c r="O291" s="85"/>
      <c r="Q291" s="94"/>
      <c r="R291" s="93"/>
      <c r="S291" s="85"/>
      <c r="U291" s="94"/>
      <c r="V291" s="93"/>
      <c r="W291" s="85"/>
      <c r="Y291" s="94"/>
      <c r="Z291" s="93"/>
      <c r="AA291" s="85"/>
      <c r="AC291" s="94"/>
      <c r="AD291" s="93"/>
      <c r="AE291" s="85"/>
    </row>
    <row r="292" spans="7:31" x14ac:dyDescent="0.35">
      <c r="G292" s="85"/>
      <c r="H292" s="87"/>
      <c r="I292" s="94">
        <v>14</v>
      </c>
      <c r="J292" s="93">
        <v>45229</v>
      </c>
      <c r="K292" s="87" t="s">
        <v>2205</v>
      </c>
      <c r="L292" s="87">
        <v>619</v>
      </c>
      <c r="M292" s="94"/>
      <c r="N292" s="93"/>
      <c r="O292" s="85"/>
      <c r="Q292" s="94"/>
      <c r="R292" s="93"/>
      <c r="S292" s="85"/>
      <c r="U292" s="94"/>
      <c r="V292" s="93"/>
      <c r="W292" s="85"/>
      <c r="Y292" s="94"/>
      <c r="Z292" s="93"/>
      <c r="AA292" s="85"/>
      <c r="AC292" s="94"/>
      <c r="AD292" s="93"/>
      <c r="AE292" s="85"/>
    </row>
    <row r="293" spans="7:31" x14ac:dyDescent="0.35">
      <c r="G293" s="85"/>
      <c r="H293" s="87"/>
      <c r="I293" s="94">
        <v>7</v>
      </c>
      <c r="J293" s="93">
        <v>45250</v>
      </c>
      <c r="K293" s="87" t="s">
        <v>1492</v>
      </c>
      <c r="L293" s="87">
        <v>3.33</v>
      </c>
      <c r="M293" s="94"/>
      <c r="N293" s="93"/>
      <c r="O293" s="85"/>
      <c r="Q293" s="94"/>
      <c r="R293" s="93"/>
      <c r="S293" s="85"/>
      <c r="U293" s="94"/>
      <c r="V293" s="93"/>
      <c r="W293" s="85"/>
      <c r="Y293" s="94"/>
      <c r="Z293" s="93"/>
      <c r="AA293" s="85"/>
      <c r="AC293" s="94"/>
      <c r="AD293" s="93"/>
      <c r="AE293" s="85"/>
    </row>
    <row r="294" spans="7:31" x14ac:dyDescent="0.35">
      <c r="G294" s="85"/>
      <c r="H294" s="87"/>
      <c r="I294" s="94">
        <v>16</v>
      </c>
      <c r="J294" s="93">
        <v>45250</v>
      </c>
      <c r="K294" s="87" t="s">
        <v>1449</v>
      </c>
      <c r="L294" s="87">
        <v>12.03</v>
      </c>
      <c r="M294" s="94"/>
      <c r="N294" s="93"/>
      <c r="O294" s="85"/>
      <c r="Q294" s="94"/>
      <c r="R294" s="93"/>
      <c r="S294" s="85"/>
      <c r="U294" s="94"/>
      <c r="V294" s="93"/>
      <c r="W294" s="85"/>
      <c r="Y294" s="94"/>
      <c r="Z294" s="93"/>
      <c r="AA294" s="85"/>
      <c r="AC294" s="94"/>
      <c r="AD294" s="93"/>
      <c r="AE294" s="85"/>
    </row>
    <row r="295" spans="7:31" x14ac:dyDescent="0.35">
      <c r="G295" s="85"/>
      <c r="H295" s="87"/>
      <c r="I295" s="94">
        <v>18</v>
      </c>
      <c r="J295" s="93">
        <v>45250</v>
      </c>
      <c r="K295" s="87" t="s">
        <v>2206</v>
      </c>
      <c r="L295" s="87">
        <v>2941.3</v>
      </c>
      <c r="M295" s="94"/>
      <c r="N295" s="93"/>
      <c r="O295" s="85"/>
      <c r="Q295" s="94"/>
      <c r="R295" s="93"/>
      <c r="S295" s="85"/>
      <c r="U295" s="94"/>
      <c r="V295" s="93"/>
      <c r="W295" s="85"/>
      <c r="Y295" s="94"/>
      <c r="Z295" s="93"/>
      <c r="AA295" s="85"/>
      <c r="AC295" s="94"/>
      <c r="AD295" s="93"/>
      <c r="AE295" s="85"/>
    </row>
    <row r="296" spans="7:31" x14ac:dyDescent="0.35">
      <c r="G296" s="85"/>
      <c r="H296" s="87"/>
      <c r="I296" s="94">
        <v>16</v>
      </c>
      <c r="J296" s="93">
        <v>45250</v>
      </c>
      <c r="K296" s="87" t="s">
        <v>1449</v>
      </c>
      <c r="L296" s="87">
        <v>24.5</v>
      </c>
      <c r="M296" s="94"/>
      <c r="N296" s="93"/>
      <c r="O296" s="85"/>
      <c r="Q296" s="94"/>
      <c r="R296" s="93"/>
      <c r="S296" s="85"/>
      <c r="U296" s="94"/>
      <c r="V296" s="93"/>
      <c r="W296" s="85"/>
      <c r="Y296" s="94"/>
      <c r="Z296" s="93"/>
      <c r="AA296" s="85"/>
      <c r="AC296" s="94"/>
      <c r="AD296" s="93"/>
      <c r="AE296" s="85"/>
    </row>
    <row r="297" spans="7:31" x14ac:dyDescent="0.35">
      <c r="G297" s="85"/>
      <c r="H297" s="87"/>
      <c r="I297" s="94">
        <v>18</v>
      </c>
      <c r="J297" s="93">
        <v>45210</v>
      </c>
      <c r="K297" s="87" t="s">
        <v>2207</v>
      </c>
      <c r="L297" s="87">
        <v>74.989999999999995</v>
      </c>
      <c r="M297" s="94"/>
      <c r="N297" s="93"/>
      <c r="O297" s="85"/>
      <c r="Q297" s="94"/>
      <c r="R297" s="93"/>
      <c r="S297" s="85"/>
      <c r="U297" s="94"/>
      <c r="V297" s="93"/>
      <c r="W297" s="85"/>
      <c r="Y297" s="94"/>
      <c r="Z297" s="93"/>
      <c r="AA297" s="85"/>
      <c r="AC297" s="94"/>
      <c r="AD297" s="93"/>
      <c r="AE297" s="85"/>
    </row>
    <row r="298" spans="7:31" x14ac:dyDescent="0.35">
      <c r="G298" s="85"/>
      <c r="H298" s="87"/>
      <c r="I298" s="94">
        <v>18</v>
      </c>
      <c r="J298" s="93">
        <v>45211</v>
      </c>
      <c r="K298" s="87" t="s">
        <v>2208</v>
      </c>
      <c r="L298" s="87">
        <v>30.13</v>
      </c>
      <c r="M298" s="94"/>
      <c r="N298" s="93"/>
      <c r="O298" s="85"/>
      <c r="Q298" s="94"/>
      <c r="R298" s="93"/>
      <c r="S298" s="85"/>
      <c r="U298" s="94"/>
      <c r="V298" s="93"/>
      <c r="W298" s="85"/>
      <c r="Y298" s="94"/>
      <c r="Z298" s="93"/>
      <c r="AA298" s="85"/>
      <c r="AC298" s="94"/>
      <c r="AD298" s="93"/>
      <c r="AE298" s="85"/>
    </row>
    <row r="299" spans="7:31" x14ac:dyDescent="0.35">
      <c r="G299" s="85"/>
      <c r="H299" s="87"/>
      <c r="I299" s="94">
        <v>18</v>
      </c>
      <c r="J299" s="93">
        <v>45216</v>
      </c>
      <c r="K299" s="87" t="s">
        <v>2209</v>
      </c>
      <c r="L299" s="87">
        <v>36.659999999999997</v>
      </c>
      <c r="M299" s="94"/>
      <c r="N299" s="93"/>
      <c r="O299" s="85"/>
      <c r="Q299" s="94"/>
      <c r="R299" s="93"/>
      <c r="S299" s="85"/>
      <c r="U299" s="94"/>
      <c r="V299" s="93"/>
      <c r="W299" s="85"/>
      <c r="Y299" s="94"/>
      <c r="Z299" s="93"/>
      <c r="AA299" s="85"/>
      <c r="AC299" s="94"/>
      <c r="AD299" s="93"/>
      <c r="AE299" s="85"/>
    </row>
    <row r="300" spans="7:31" x14ac:dyDescent="0.35">
      <c r="G300" s="85"/>
      <c r="H300" s="87"/>
      <c r="I300" s="94">
        <v>10</v>
      </c>
      <c r="J300" s="93">
        <v>45229</v>
      </c>
      <c r="K300" s="87" t="s">
        <v>1607</v>
      </c>
      <c r="L300" s="87">
        <v>118.96</v>
      </c>
      <c r="M300" s="94"/>
      <c r="N300" s="93"/>
      <c r="O300" s="85"/>
      <c r="Q300" s="94"/>
      <c r="R300" s="93"/>
      <c r="S300" s="85"/>
      <c r="U300" s="94"/>
      <c r="V300" s="93"/>
      <c r="W300" s="85"/>
      <c r="Y300" s="94"/>
      <c r="Z300" s="93"/>
      <c r="AA300" s="85"/>
      <c r="AC300" s="94"/>
      <c r="AD300" s="93"/>
      <c r="AE300" s="85"/>
    </row>
    <row r="301" spans="7:31" x14ac:dyDescent="0.35">
      <c r="G301" s="85"/>
      <c r="H301" s="87"/>
      <c r="I301" s="94">
        <v>20</v>
      </c>
      <c r="J301" s="93">
        <v>45248</v>
      </c>
      <c r="K301" s="87" t="s">
        <v>2210</v>
      </c>
      <c r="L301" s="87">
        <v>596.92999999999995</v>
      </c>
      <c r="M301" s="94"/>
      <c r="N301" s="93"/>
      <c r="O301" s="85"/>
      <c r="Q301" s="94"/>
      <c r="R301" s="93"/>
      <c r="S301" s="85"/>
      <c r="U301" s="94"/>
      <c r="V301" s="93"/>
      <c r="W301" s="85"/>
      <c r="Y301" s="94"/>
      <c r="Z301" s="93"/>
      <c r="AA301" s="85"/>
      <c r="AC301" s="94"/>
      <c r="AD301" s="93"/>
      <c r="AE301" s="85"/>
    </row>
    <row r="302" spans="7:31" x14ac:dyDescent="0.35">
      <c r="G302" s="85"/>
      <c r="H302" s="87"/>
      <c r="I302" s="94">
        <v>10</v>
      </c>
      <c r="J302" s="93">
        <v>45260</v>
      </c>
      <c r="K302" s="87" t="s">
        <v>2184</v>
      </c>
      <c r="L302" s="87">
        <v>105.31</v>
      </c>
      <c r="M302" s="94"/>
      <c r="N302" s="93"/>
      <c r="O302" s="85"/>
      <c r="Q302" s="94"/>
      <c r="R302" s="93"/>
      <c r="S302" s="85"/>
      <c r="U302" s="94"/>
      <c r="V302" s="93"/>
      <c r="W302" s="85"/>
      <c r="Y302" s="94"/>
      <c r="Z302" s="93"/>
      <c r="AA302" s="85"/>
      <c r="AC302" s="94"/>
      <c r="AD302" s="93"/>
      <c r="AE302" s="85"/>
    </row>
    <row r="303" spans="7:31" x14ac:dyDescent="0.35">
      <c r="G303" s="85"/>
      <c r="H303" s="87"/>
      <c r="I303" s="94">
        <v>18</v>
      </c>
      <c r="J303" s="93">
        <v>45254</v>
      </c>
      <c r="K303" s="87" t="s">
        <v>2211</v>
      </c>
      <c r="L303" s="87">
        <v>355.5</v>
      </c>
      <c r="M303" s="94"/>
      <c r="N303" s="93"/>
      <c r="O303" s="85"/>
      <c r="Q303" s="94"/>
      <c r="R303" s="93"/>
      <c r="S303" s="85"/>
      <c r="U303" s="94"/>
      <c r="V303" s="93"/>
      <c r="W303" s="85"/>
      <c r="Y303" s="94"/>
      <c r="Z303" s="93"/>
      <c r="AA303" s="85"/>
      <c r="AC303" s="94"/>
      <c r="AD303" s="93"/>
      <c r="AE303" s="85"/>
    </row>
    <row r="304" spans="7:31" x14ac:dyDescent="0.35">
      <c r="G304" s="85"/>
      <c r="H304" s="87"/>
      <c r="I304" s="94">
        <v>7</v>
      </c>
      <c r="J304" s="93">
        <v>45261</v>
      </c>
      <c r="K304" s="87" t="s">
        <v>1510</v>
      </c>
      <c r="L304" s="87">
        <v>29.97</v>
      </c>
      <c r="M304" s="94"/>
      <c r="N304" s="93"/>
      <c r="O304" s="85"/>
      <c r="Q304" s="94"/>
      <c r="R304" s="93"/>
      <c r="S304" s="85"/>
      <c r="U304" s="94"/>
      <c r="V304" s="93"/>
      <c r="W304" s="85"/>
      <c r="Y304" s="94"/>
      <c r="Z304" s="93"/>
      <c r="AA304" s="85"/>
      <c r="AC304" s="94"/>
      <c r="AD304" s="93"/>
      <c r="AE304" s="85"/>
    </row>
    <row r="305" spans="7:31" x14ac:dyDescent="0.35">
      <c r="G305" s="85"/>
      <c r="H305" s="87"/>
      <c r="I305" s="94">
        <v>8</v>
      </c>
      <c r="J305" s="93">
        <v>45261</v>
      </c>
      <c r="K305" s="87" t="s">
        <v>2242</v>
      </c>
      <c r="L305" s="87">
        <f>84+51.97</f>
        <v>135.97</v>
      </c>
      <c r="M305" s="94"/>
      <c r="N305" s="93"/>
      <c r="O305" s="85"/>
      <c r="Q305" s="94"/>
      <c r="R305" s="93"/>
      <c r="S305" s="85"/>
      <c r="U305" s="94"/>
      <c r="V305" s="93"/>
      <c r="W305" s="85"/>
      <c r="Y305" s="94"/>
      <c r="Z305" s="93"/>
      <c r="AA305" s="85"/>
      <c r="AC305" s="94"/>
      <c r="AD305" s="93"/>
      <c r="AE305" s="85"/>
    </row>
    <row r="306" spans="7:31" x14ac:dyDescent="0.35">
      <c r="G306" s="85"/>
      <c r="H306" s="87"/>
      <c r="I306" s="94">
        <v>16</v>
      </c>
      <c r="J306" s="93">
        <v>45261</v>
      </c>
      <c r="K306" s="87" t="s">
        <v>1569</v>
      </c>
      <c r="L306" s="87">
        <v>1.95</v>
      </c>
      <c r="M306" s="94"/>
      <c r="N306" s="93"/>
      <c r="O306" s="85"/>
      <c r="Q306" s="94"/>
      <c r="R306" s="93"/>
      <c r="S306" s="85"/>
      <c r="U306" s="94"/>
      <c r="V306" s="93"/>
      <c r="W306" s="85"/>
      <c r="Y306" s="94"/>
      <c r="Z306" s="93"/>
      <c r="AA306" s="85"/>
      <c r="AC306" s="94"/>
      <c r="AD306" s="93"/>
      <c r="AE306" s="85"/>
    </row>
    <row r="307" spans="7:31" x14ac:dyDescent="0.35">
      <c r="G307" s="85"/>
      <c r="H307" s="87"/>
      <c r="I307" s="94">
        <v>18</v>
      </c>
      <c r="J307" s="93">
        <v>45264</v>
      </c>
      <c r="K307" s="87" t="s">
        <v>2243</v>
      </c>
      <c r="L307" s="87">
        <v>358.33</v>
      </c>
      <c r="M307" s="94"/>
      <c r="N307" s="93"/>
      <c r="O307" s="85"/>
      <c r="Q307" s="94"/>
      <c r="R307" s="93"/>
      <c r="S307" s="85"/>
      <c r="U307" s="94"/>
      <c r="V307" s="93"/>
      <c r="W307" s="85"/>
      <c r="Y307" s="94"/>
      <c r="Z307" s="93"/>
      <c r="AA307" s="85"/>
      <c r="AC307" s="94"/>
      <c r="AD307" s="93"/>
      <c r="AE307" s="85"/>
    </row>
    <row r="308" spans="7:31" x14ac:dyDescent="0.35">
      <c r="G308" s="85"/>
      <c r="H308" s="87"/>
      <c r="I308" s="94">
        <v>6</v>
      </c>
      <c r="J308" s="93">
        <v>45261</v>
      </c>
      <c r="K308" s="87" t="s">
        <v>2244</v>
      </c>
      <c r="L308" s="87">
        <v>733.39</v>
      </c>
      <c r="M308" s="94"/>
      <c r="N308" s="93"/>
      <c r="O308" s="85"/>
      <c r="Q308" s="94"/>
      <c r="R308" s="93"/>
      <c r="S308" s="85"/>
      <c r="U308" s="94"/>
      <c r="V308" s="93"/>
      <c r="W308" s="85"/>
      <c r="Y308" s="94"/>
      <c r="Z308" s="93"/>
      <c r="AA308" s="85"/>
      <c r="AC308" s="94"/>
      <c r="AD308" s="93"/>
      <c r="AE308" s="85"/>
    </row>
    <row r="309" spans="7:31" x14ac:dyDescent="0.35">
      <c r="G309" s="85"/>
      <c r="H309" s="87"/>
      <c r="I309" s="94">
        <v>8</v>
      </c>
      <c r="J309" s="93">
        <v>45264</v>
      </c>
      <c r="K309" s="87" t="s">
        <v>2250</v>
      </c>
      <c r="L309" s="87">
        <v>332.5</v>
      </c>
      <c r="M309" s="94"/>
      <c r="N309" s="93"/>
      <c r="O309" s="85"/>
      <c r="Q309" s="94"/>
      <c r="R309" s="93"/>
      <c r="S309" s="85"/>
      <c r="U309" s="94"/>
      <c r="V309" s="93"/>
      <c r="W309" s="85"/>
      <c r="Y309" s="94"/>
      <c r="Z309" s="93"/>
      <c r="AA309" s="85"/>
      <c r="AC309" s="94"/>
      <c r="AD309" s="93"/>
      <c r="AE309" s="85"/>
    </row>
    <row r="310" spans="7:31" x14ac:dyDescent="0.35">
      <c r="G310" s="85"/>
      <c r="H310" s="87"/>
      <c r="I310" s="94">
        <v>14</v>
      </c>
      <c r="J310" s="93">
        <v>45267</v>
      </c>
      <c r="K310" s="87" t="s">
        <v>1607</v>
      </c>
      <c r="L310" s="87">
        <v>10</v>
      </c>
      <c r="M310" s="94"/>
      <c r="N310" s="93"/>
      <c r="O310" s="85"/>
      <c r="Q310" s="94"/>
      <c r="R310" s="93"/>
      <c r="S310" s="85"/>
      <c r="U310" s="94"/>
      <c r="V310" s="93"/>
      <c r="W310" s="85"/>
      <c r="Y310" s="94"/>
      <c r="Z310" s="93"/>
      <c r="AA310" s="85"/>
      <c r="AC310" s="94"/>
      <c r="AD310" s="93"/>
      <c r="AE310" s="85"/>
    </row>
    <row r="311" spans="7:31" x14ac:dyDescent="0.35">
      <c r="G311" s="85"/>
      <c r="H311" s="87"/>
      <c r="I311" s="94">
        <v>12</v>
      </c>
      <c r="J311" s="93">
        <v>45258</v>
      </c>
      <c r="K311" s="87" t="s">
        <v>2252</v>
      </c>
      <c r="L311" s="87">
        <v>864</v>
      </c>
      <c r="M311" s="94"/>
      <c r="N311" s="93"/>
      <c r="O311" s="85"/>
      <c r="Q311" s="94"/>
      <c r="R311" s="93"/>
      <c r="S311" s="85"/>
      <c r="U311" s="94"/>
      <c r="V311" s="93"/>
      <c r="W311" s="85"/>
      <c r="Y311" s="94"/>
      <c r="Z311" s="93"/>
      <c r="AA311" s="85"/>
      <c r="AC311" s="94"/>
      <c r="AD311" s="93"/>
      <c r="AE311" s="85"/>
    </row>
    <row r="312" spans="7:31" x14ac:dyDescent="0.35">
      <c r="G312" s="85"/>
      <c r="H312" s="87"/>
      <c r="I312" s="94">
        <v>14</v>
      </c>
      <c r="J312" s="93">
        <v>45266</v>
      </c>
      <c r="K312" s="87" t="s">
        <v>2254</v>
      </c>
      <c r="L312" s="87">
        <v>538.6</v>
      </c>
      <c r="M312" s="94"/>
      <c r="N312" s="93"/>
      <c r="O312" s="85"/>
      <c r="Q312" s="94"/>
      <c r="R312" s="93"/>
      <c r="S312" s="85"/>
      <c r="U312" s="94"/>
      <c r="V312" s="93"/>
      <c r="W312" s="85"/>
      <c r="Y312" s="94"/>
      <c r="Z312" s="93"/>
      <c r="AA312" s="85"/>
      <c r="AC312" s="94"/>
      <c r="AD312" s="93"/>
      <c r="AE312" s="85"/>
    </row>
    <row r="313" spans="7:31" x14ac:dyDescent="0.35">
      <c r="G313" s="85"/>
      <c r="H313" s="87"/>
      <c r="I313" s="94">
        <v>7</v>
      </c>
      <c r="J313" s="93">
        <v>45272</v>
      </c>
      <c r="K313" s="87" t="s">
        <v>2256</v>
      </c>
      <c r="L313" s="87">
        <v>32.47</v>
      </c>
      <c r="M313" s="94"/>
      <c r="N313" s="93"/>
      <c r="O313" s="85"/>
      <c r="Q313" s="94"/>
      <c r="R313" s="93"/>
      <c r="S313" s="85"/>
      <c r="U313" s="94"/>
      <c r="V313" s="93"/>
      <c r="W313" s="85"/>
      <c r="Y313" s="94"/>
      <c r="Z313" s="93"/>
      <c r="AA313" s="85"/>
      <c r="AC313" s="94"/>
      <c r="AD313" s="93"/>
      <c r="AE313" s="85"/>
    </row>
    <row r="314" spans="7:31" x14ac:dyDescent="0.35">
      <c r="G314" s="85"/>
      <c r="H314" s="87"/>
      <c r="I314" s="94">
        <v>8</v>
      </c>
      <c r="J314" s="93">
        <v>45272</v>
      </c>
      <c r="K314" s="87" t="s">
        <v>2257</v>
      </c>
      <c r="L314" s="87">
        <v>9.35</v>
      </c>
      <c r="M314" s="94"/>
      <c r="N314" s="93"/>
      <c r="O314" s="85"/>
      <c r="Q314" s="94"/>
      <c r="R314" s="93"/>
      <c r="S314" s="85"/>
      <c r="U314" s="94"/>
      <c r="V314" s="93"/>
      <c r="W314" s="85"/>
      <c r="Y314" s="94"/>
      <c r="Z314" s="93"/>
      <c r="AA314" s="85"/>
      <c r="AC314" s="94"/>
      <c r="AD314" s="93"/>
      <c r="AE314" s="85"/>
    </row>
    <row r="315" spans="7:31" x14ac:dyDescent="0.35">
      <c r="G315" s="85"/>
      <c r="H315" s="87"/>
      <c r="I315" s="94">
        <v>14</v>
      </c>
      <c r="J315" s="93">
        <v>45232</v>
      </c>
      <c r="K315" s="87" t="s">
        <v>1607</v>
      </c>
      <c r="L315" s="87">
        <v>64.95</v>
      </c>
      <c r="M315" s="94"/>
      <c r="N315" s="93"/>
      <c r="O315" s="85"/>
      <c r="Q315" s="94"/>
      <c r="R315" s="93"/>
      <c r="S315" s="85"/>
      <c r="U315" s="94"/>
      <c r="V315" s="93"/>
      <c r="W315" s="85"/>
      <c r="Y315" s="94"/>
      <c r="Z315" s="93"/>
      <c r="AA315" s="85"/>
      <c r="AC315" s="94"/>
      <c r="AD315" s="93"/>
      <c r="AE315" s="85"/>
    </row>
    <row r="316" spans="7:31" x14ac:dyDescent="0.35">
      <c r="G316" s="85"/>
      <c r="H316" s="87"/>
      <c r="I316" s="94">
        <v>18</v>
      </c>
      <c r="J316" s="93">
        <v>45238</v>
      </c>
      <c r="K316" s="87" t="s">
        <v>2269</v>
      </c>
      <c r="L316" s="87">
        <v>3.99</v>
      </c>
      <c r="M316" s="94"/>
      <c r="N316" s="93"/>
      <c r="O316" s="85"/>
      <c r="Q316" s="94"/>
      <c r="R316" s="93"/>
      <c r="S316" s="85"/>
      <c r="U316" s="94"/>
      <c r="V316" s="93"/>
      <c r="W316" s="85"/>
      <c r="Y316" s="94"/>
      <c r="Z316" s="93"/>
      <c r="AA316" s="85"/>
      <c r="AC316" s="94"/>
      <c r="AD316" s="93"/>
      <c r="AE316" s="85"/>
    </row>
    <row r="317" spans="7:31" x14ac:dyDescent="0.35">
      <c r="G317" s="85"/>
      <c r="H317" s="87"/>
      <c r="I317" s="94">
        <v>18</v>
      </c>
      <c r="J317" s="93">
        <v>45251</v>
      </c>
      <c r="K317" s="87" t="s">
        <v>2270</v>
      </c>
      <c r="L317" s="87">
        <v>50.08</v>
      </c>
      <c r="M317" s="94"/>
      <c r="N317" s="93"/>
      <c r="O317" s="85"/>
      <c r="Q317" s="94"/>
      <c r="R317" s="93"/>
      <c r="S317" s="85"/>
      <c r="U317" s="94"/>
      <c r="V317" s="93"/>
      <c r="W317" s="85"/>
      <c r="Y317" s="94"/>
      <c r="Z317" s="93"/>
      <c r="AA317" s="85"/>
      <c r="AC317" s="94"/>
      <c r="AD317" s="93"/>
      <c r="AE317" s="85"/>
    </row>
    <row r="318" spans="7:31" x14ac:dyDescent="0.35">
      <c r="G318" s="85"/>
      <c r="H318" s="87"/>
      <c r="I318" s="94">
        <v>14</v>
      </c>
      <c r="J318" s="93">
        <v>45281</v>
      </c>
      <c r="K318" s="87" t="s">
        <v>1607</v>
      </c>
      <c r="L318" s="87">
        <v>51.81</v>
      </c>
      <c r="M318" s="94"/>
      <c r="N318" s="93"/>
      <c r="O318" s="85"/>
      <c r="Q318" s="94"/>
      <c r="R318" s="93"/>
      <c r="S318" s="85"/>
      <c r="U318" s="94"/>
      <c r="V318" s="93"/>
      <c r="W318" s="85"/>
      <c r="Y318" s="94"/>
      <c r="Z318" s="93"/>
      <c r="AA318" s="85"/>
      <c r="AC318" s="94"/>
      <c r="AD318" s="93"/>
      <c r="AE318" s="85"/>
    </row>
    <row r="319" spans="7:31" x14ac:dyDescent="0.35">
      <c r="G319" s="85"/>
      <c r="H319" s="87"/>
      <c r="I319" s="94">
        <v>9</v>
      </c>
      <c r="J319" s="93">
        <v>45267</v>
      </c>
      <c r="K319" s="87" t="s">
        <v>2271</v>
      </c>
      <c r="L319" s="87">
        <v>900</v>
      </c>
      <c r="M319" s="94"/>
      <c r="N319" s="93"/>
      <c r="O319" s="85"/>
      <c r="Q319" s="94"/>
      <c r="R319" s="93"/>
      <c r="S319" s="85"/>
      <c r="U319" s="94"/>
      <c r="V319" s="93"/>
      <c r="W319" s="85"/>
      <c r="Y319" s="94"/>
      <c r="Z319" s="93"/>
      <c r="AA319" s="85"/>
      <c r="AC319" s="94"/>
      <c r="AD319" s="93"/>
      <c r="AE319" s="85"/>
    </row>
    <row r="320" spans="7:31" x14ac:dyDescent="0.35">
      <c r="G320" s="85"/>
      <c r="H320" s="87"/>
      <c r="I320" s="94">
        <v>6</v>
      </c>
      <c r="J320" s="93">
        <v>45640</v>
      </c>
      <c r="K320" s="87" t="s">
        <v>2275</v>
      </c>
      <c r="L320" s="87">
        <v>801.15</v>
      </c>
      <c r="M320" s="94"/>
      <c r="N320" s="93"/>
      <c r="O320" s="85"/>
      <c r="Q320" s="94"/>
      <c r="R320" s="93"/>
      <c r="S320" s="85"/>
      <c r="U320" s="94"/>
      <c r="V320" s="93"/>
      <c r="W320" s="85"/>
      <c r="Y320" s="94"/>
      <c r="Z320" s="93"/>
      <c r="AA320" s="85"/>
      <c r="AC320" s="94"/>
      <c r="AD320" s="93"/>
      <c r="AE320" s="85"/>
    </row>
    <row r="321" spans="7:31" x14ac:dyDescent="0.35">
      <c r="G321" s="85"/>
      <c r="H321" s="87"/>
      <c r="I321" s="94">
        <v>18</v>
      </c>
      <c r="J321" s="93">
        <v>45275</v>
      </c>
      <c r="K321" s="87" t="s">
        <v>2286</v>
      </c>
      <c r="L321" s="87">
        <v>10</v>
      </c>
      <c r="M321" s="94"/>
      <c r="N321" s="93"/>
      <c r="O321" s="85"/>
      <c r="Q321" s="94"/>
      <c r="R321" s="93"/>
      <c r="S321" s="85"/>
      <c r="U321" s="94"/>
      <c r="V321" s="93"/>
      <c r="W321" s="85"/>
      <c r="Y321" s="94"/>
      <c r="Z321" s="93"/>
      <c r="AA321" s="85"/>
      <c r="AC321" s="94"/>
      <c r="AD321" s="93"/>
      <c r="AE321" s="85"/>
    </row>
    <row r="322" spans="7:31" x14ac:dyDescent="0.35">
      <c r="G322" s="85"/>
      <c r="H322" s="87"/>
      <c r="I322" s="94">
        <v>7</v>
      </c>
      <c r="J322" s="93">
        <v>45275</v>
      </c>
      <c r="K322" s="87" t="s">
        <v>1604</v>
      </c>
      <c r="L322" s="87">
        <f>3.33*9</f>
        <v>29.97</v>
      </c>
      <c r="M322" s="94"/>
      <c r="N322" s="93"/>
      <c r="O322" s="85"/>
      <c r="Q322" s="94"/>
      <c r="R322" s="93"/>
      <c r="S322" s="85"/>
      <c r="U322" s="94"/>
      <c r="V322" s="93"/>
      <c r="W322" s="85"/>
      <c r="Y322" s="94"/>
      <c r="Z322" s="93"/>
      <c r="AA322" s="85"/>
      <c r="AC322" s="94"/>
      <c r="AD322" s="93"/>
      <c r="AE322" s="85"/>
    </row>
    <row r="323" spans="7:31" x14ac:dyDescent="0.35">
      <c r="G323" s="85"/>
      <c r="H323" s="87"/>
      <c r="I323" s="94">
        <v>7</v>
      </c>
      <c r="J323" s="93">
        <v>45275</v>
      </c>
      <c r="K323" s="87" t="s">
        <v>2287</v>
      </c>
      <c r="L323" s="87">
        <v>3.33</v>
      </c>
      <c r="M323" s="94"/>
      <c r="N323" s="93"/>
      <c r="O323" s="85"/>
      <c r="Q323" s="94"/>
      <c r="R323" s="93"/>
      <c r="S323" s="85"/>
      <c r="U323" s="94"/>
      <c r="V323" s="93"/>
      <c r="W323" s="85"/>
      <c r="Y323" s="94"/>
      <c r="Z323" s="93"/>
      <c r="AA323" s="85"/>
      <c r="AC323" s="94"/>
      <c r="AD323" s="93"/>
      <c r="AE323" s="85"/>
    </row>
    <row r="324" spans="7:31" x14ac:dyDescent="0.35">
      <c r="G324" s="85"/>
      <c r="H324" s="87"/>
      <c r="I324" s="94">
        <v>14</v>
      </c>
      <c r="J324" s="93">
        <v>45275</v>
      </c>
      <c r="K324" s="87" t="s">
        <v>2289</v>
      </c>
      <c r="L324" s="87">
        <v>2140.12</v>
      </c>
      <c r="M324" s="94"/>
      <c r="N324" s="93"/>
      <c r="O324" s="85"/>
      <c r="Q324" s="94"/>
      <c r="R324" s="93"/>
      <c r="S324" s="85"/>
      <c r="U324" s="94"/>
      <c r="V324" s="93"/>
      <c r="W324" s="85"/>
      <c r="Y324" s="94"/>
      <c r="Z324" s="93"/>
      <c r="AA324" s="85"/>
      <c r="AC324" s="94"/>
      <c r="AD324" s="93"/>
      <c r="AE324" s="85"/>
    </row>
    <row r="325" spans="7:31" x14ac:dyDescent="0.35">
      <c r="G325" s="85"/>
      <c r="H325" s="87"/>
      <c r="I325" s="94">
        <v>7</v>
      </c>
      <c r="J325" s="93">
        <v>45278</v>
      </c>
      <c r="K325" s="87" t="s">
        <v>1465</v>
      </c>
      <c r="L325" s="87">
        <v>16.649999999999999</v>
      </c>
      <c r="M325" s="94"/>
      <c r="N325" s="93"/>
      <c r="O325" s="85"/>
      <c r="Q325" s="94"/>
      <c r="R325" s="93"/>
      <c r="S325" s="85"/>
      <c r="U325" s="94"/>
      <c r="V325" s="93"/>
      <c r="W325" s="85"/>
      <c r="Y325" s="94"/>
      <c r="Z325" s="93"/>
      <c r="AA325" s="85"/>
      <c r="AC325" s="94"/>
      <c r="AD325" s="93"/>
      <c r="AE325" s="85"/>
    </row>
    <row r="326" spans="7:31" x14ac:dyDescent="0.35">
      <c r="G326" s="85"/>
      <c r="H326" s="87"/>
      <c r="I326" s="94">
        <v>8</v>
      </c>
      <c r="J326" s="93">
        <v>45280</v>
      </c>
      <c r="K326" s="87" t="s">
        <v>1558</v>
      </c>
      <c r="L326" s="87">
        <v>26.78</v>
      </c>
      <c r="M326" s="94"/>
      <c r="N326" s="93"/>
      <c r="O326" s="85"/>
      <c r="Q326" s="94"/>
      <c r="R326" s="93"/>
      <c r="S326" s="85"/>
      <c r="U326" s="94"/>
      <c r="V326" s="93"/>
      <c r="W326" s="85"/>
      <c r="Y326" s="94"/>
      <c r="Z326" s="93"/>
      <c r="AA326" s="85"/>
      <c r="AC326" s="94"/>
      <c r="AD326" s="93"/>
      <c r="AE326" s="85"/>
    </row>
    <row r="327" spans="7:31" x14ac:dyDescent="0.35">
      <c r="G327" s="85"/>
      <c r="H327" s="87"/>
      <c r="I327" s="94">
        <v>14</v>
      </c>
      <c r="J327" s="93">
        <v>45280</v>
      </c>
      <c r="K327" s="87" t="s">
        <v>2292</v>
      </c>
      <c r="L327" s="87">
        <v>482.5</v>
      </c>
      <c r="M327" s="94"/>
      <c r="N327" s="93"/>
      <c r="O327" s="85"/>
      <c r="Q327" s="94"/>
      <c r="R327" s="93"/>
      <c r="S327" s="85"/>
      <c r="U327" s="94"/>
      <c r="V327" s="93"/>
      <c r="W327" s="85"/>
      <c r="Y327" s="94"/>
      <c r="Z327" s="93"/>
      <c r="AA327" s="85"/>
      <c r="AC327" s="94"/>
      <c r="AD327" s="93"/>
      <c r="AE327" s="85"/>
    </row>
    <row r="328" spans="7:31" x14ac:dyDescent="0.35">
      <c r="G328" s="85"/>
      <c r="H328" s="87"/>
      <c r="I328" s="94">
        <v>16</v>
      </c>
      <c r="J328" s="93">
        <v>45280</v>
      </c>
      <c r="K328" s="87" t="s">
        <v>1553</v>
      </c>
      <c r="L328" s="87">
        <v>1.95</v>
      </c>
      <c r="M328" s="94"/>
      <c r="N328" s="93"/>
      <c r="O328" s="85"/>
      <c r="Q328" s="94"/>
      <c r="R328" s="93"/>
      <c r="S328" s="85"/>
      <c r="U328" s="94"/>
      <c r="V328" s="93"/>
      <c r="W328" s="85"/>
      <c r="Y328" s="94"/>
      <c r="Z328" s="93"/>
      <c r="AA328" s="85"/>
      <c r="AC328" s="94"/>
      <c r="AD328" s="93"/>
      <c r="AE328" s="85"/>
    </row>
    <row r="329" spans="7:31" x14ac:dyDescent="0.35">
      <c r="G329" s="85"/>
      <c r="H329" s="87"/>
      <c r="I329" s="94">
        <v>7</v>
      </c>
      <c r="J329" s="93">
        <v>45281</v>
      </c>
      <c r="K329" s="87" t="s">
        <v>1510</v>
      </c>
      <c r="L329" s="87">
        <v>6.66</v>
      </c>
      <c r="M329" s="94"/>
      <c r="N329" s="93"/>
      <c r="O329" s="85"/>
      <c r="Q329" s="94"/>
      <c r="R329" s="93"/>
      <c r="S329" s="85"/>
      <c r="U329" s="94"/>
      <c r="V329" s="93"/>
      <c r="W329" s="85"/>
      <c r="Y329" s="94"/>
      <c r="Z329" s="93"/>
      <c r="AA329" s="85"/>
      <c r="AC329" s="94"/>
      <c r="AD329" s="93"/>
      <c r="AE329" s="85"/>
    </row>
    <row r="330" spans="7:31" x14ac:dyDescent="0.35">
      <c r="G330" s="85"/>
      <c r="H330" s="87"/>
      <c r="I330" s="94">
        <v>7</v>
      </c>
      <c r="J330" s="93">
        <v>45281</v>
      </c>
      <c r="K330" s="87" t="s">
        <v>1465</v>
      </c>
      <c r="L330" s="87">
        <v>5.83</v>
      </c>
      <c r="M330" s="94"/>
      <c r="N330" s="93"/>
      <c r="O330" s="85"/>
      <c r="Q330" s="94"/>
      <c r="R330" s="93"/>
      <c r="S330" s="85"/>
      <c r="U330" s="94"/>
      <c r="V330" s="93"/>
      <c r="W330" s="85"/>
      <c r="Y330" s="94"/>
      <c r="Z330" s="93"/>
      <c r="AA330" s="85"/>
      <c r="AC330" s="94"/>
      <c r="AD330" s="93"/>
      <c r="AE330" s="85"/>
    </row>
    <row r="331" spans="7:31" x14ac:dyDescent="0.35">
      <c r="G331" s="85"/>
      <c r="H331" s="87"/>
      <c r="I331" s="94">
        <v>20</v>
      </c>
      <c r="J331" s="93">
        <v>45278</v>
      </c>
      <c r="K331" s="87" t="s">
        <v>2293</v>
      </c>
      <c r="L331" s="87">
        <v>559.77</v>
      </c>
      <c r="M331" s="94"/>
      <c r="N331" s="93"/>
      <c r="O331" s="85"/>
      <c r="Q331" s="94"/>
      <c r="R331" s="93"/>
      <c r="S331" s="85"/>
      <c r="U331" s="94"/>
      <c r="V331" s="93"/>
      <c r="W331" s="85"/>
      <c r="Y331" s="94"/>
      <c r="Z331" s="93"/>
      <c r="AA331" s="85"/>
      <c r="AC331" s="94"/>
      <c r="AD331" s="93"/>
      <c r="AE331" s="85"/>
    </row>
    <row r="332" spans="7:31" x14ac:dyDescent="0.35">
      <c r="G332" s="85"/>
      <c r="H332" s="87"/>
      <c r="I332" s="94">
        <v>14</v>
      </c>
      <c r="J332" s="93">
        <v>45233</v>
      </c>
      <c r="K332" s="87" t="s">
        <v>2317</v>
      </c>
      <c r="L332" s="87">
        <v>232.5</v>
      </c>
      <c r="M332" s="94"/>
      <c r="N332" s="93"/>
      <c r="O332" s="85"/>
      <c r="Q332" s="94"/>
      <c r="R332" s="93"/>
      <c r="S332" s="85"/>
      <c r="U332" s="94"/>
      <c r="V332" s="93"/>
      <c r="W332" s="85"/>
      <c r="Y332" s="94"/>
      <c r="Z332" s="93"/>
      <c r="AA332" s="85"/>
      <c r="AC332" s="94"/>
      <c r="AD332" s="93"/>
      <c r="AE332" s="85"/>
    </row>
    <row r="333" spans="7:31" x14ac:dyDescent="0.35">
      <c r="G333" s="85"/>
      <c r="H333" s="87"/>
      <c r="I333" s="94">
        <v>14</v>
      </c>
      <c r="J333" s="93">
        <v>45233</v>
      </c>
      <c r="K333" s="87" t="s">
        <v>2319</v>
      </c>
      <c r="L333" s="87">
        <v>76.400000000000006</v>
      </c>
      <c r="M333" s="94"/>
      <c r="N333" s="93"/>
      <c r="O333" s="85"/>
      <c r="Q333" s="94"/>
      <c r="R333" s="93"/>
      <c r="S333" s="85"/>
      <c r="U333" s="94"/>
      <c r="V333" s="93"/>
      <c r="W333" s="85"/>
      <c r="Y333" s="94"/>
      <c r="Z333" s="93"/>
      <c r="AA333" s="85"/>
      <c r="AC333" s="94"/>
      <c r="AD333" s="93"/>
      <c r="AE333" s="85"/>
    </row>
    <row r="334" spans="7:31" x14ac:dyDescent="0.35">
      <c r="G334" s="85"/>
      <c r="H334" s="87"/>
      <c r="I334" s="94">
        <v>14</v>
      </c>
      <c r="J334" s="93">
        <v>45237</v>
      </c>
      <c r="K334" s="87" t="s">
        <v>1607</v>
      </c>
      <c r="L334" s="87">
        <v>54.9</v>
      </c>
      <c r="M334" s="94"/>
      <c r="N334" s="93"/>
      <c r="O334" s="85"/>
      <c r="Q334" s="94"/>
      <c r="R334" s="93"/>
      <c r="S334" s="85"/>
      <c r="U334" s="94"/>
      <c r="V334" s="93"/>
      <c r="W334" s="85"/>
      <c r="Y334" s="94"/>
      <c r="Z334" s="93"/>
      <c r="AA334" s="85"/>
      <c r="AC334" s="94"/>
      <c r="AD334" s="93"/>
      <c r="AE334" s="85"/>
    </row>
    <row r="335" spans="7:31" x14ac:dyDescent="0.35">
      <c r="G335" s="85"/>
      <c r="H335" s="87"/>
      <c r="I335" s="94">
        <v>18</v>
      </c>
      <c r="J335" s="93">
        <v>45237</v>
      </c>
      <c r="K335" s="87" t="s">
        <v>2321</v>
      </c>
      <c r="L335" s="87">
        <v>91.66</v>
      </c>
      <c r="M335" s="94"/>
      <c r="N335" s="93"/>
      <c r="O335" s="85"/>
      <c r="Q335" s="94"/>
      <c r="R335" s="93"/>
      <c r="S335" s="85"/>
      <c r="U335" s="94"/>
      <c r="V335" s="93"/>
      <c r="W335" s="85"/>
      <c r="Y335" s="94"/>
      <c r="Z335" s="93"/>
      <c r="AA335" s="85"/>
      <c r="AC335" s="94"/>
      <c r="AD335" s="93"/>
      <c r="AE335" s="85"/>
    </row>
    <row r="336" spans="7:31" x14ac:dyDescent="0.35">
      <c r="G336" s="85"/>
      <c r="H336" s="87"/>
      <c r="I336" s="94">
        <v>18</v>
      </c>
      <c r="J336" s="93">
        <v>45237</v>
      </c>
      <c r="K336" s="87" t="s">
        <v>2322</v>
      </c>
      <c r="L336" s="87">
        <v>10.49</v>
      </c>
      <c r="M336" s="94"/>
      <c r="N336" s="93"/>
      <c r="O336" s="85"/>
      <c r="Q336" s="94"/>
      <c r="R336" s="93"/>
      <c r="S336" s="85"/>
      <c r="U336" s="94"/>
      <c r="V336" s="93"/>
      <c r="W336" s="85"/>
      <c r="Y336" s="94"/>
      <c r="Z336" s="93"/>
      <c r="AA336" s="85"/>
      <c r="AC336" s="94"/>
      <c r="AD336" s="93"/>
      <c r="AE336" s="85"/>
    </row>
    <row r="337" spans="7:31" x14ac:dyDescent="0.35">
      <c r="G337" s="85"/>
      <c r="H337" s="87"/>
      <c r="I337" s="94">
        <v>18</v>
      </c>
      <c r="J337" s="93">
        <v>45237</v>
      </c>
      <c r="K337" s="87" t="s">
        <v>2323</v>
      </c>
      <c r="L337" s="87">
        <v>23.32</v>
      </c>
      <c r="M337" s="94"/>
      <c r="N337" s="93"/>
      <c r="O337" s="85"/>
      <c r="Q337" s="94"/>
      <c r="R337" s="93"/>
      <c r="S337" s="85"/>
      <c r="U337" s="94"/>
      <c r="V337" s="93"/>
      <c r="W337" s="85"/>
      <c r="Y337" s="94"/>
      <c r="Z337" s="93"/>
      <c r="AA337" s="85"/>
      <c r="AC337" s="94"/>
      <c r="AD337" s="93"/>
      <c r="AE337" s="85"/>
    </row>
    <row r="338" spans="7:31" x14ac:dyDescent="0.35">
      <c r="G338" s="85"/>
      <c r="H338" s="87"/>
      <c r="I338" s="94">
        <v>18</v>
      </c>
      <c r="J338" s="93">
        <v>45238</v>
      </c>
      <c r="K338" s="87" t="s">
        <v>2324</v>
      </c>
      <c r="L338" s="87">
        <v>97.75</v>
      </c>
      <c r="M338" s="94"/>
      <c r="N338" s="93"/>
      <c r="O338" s="85"/>
      <c r="Q338" s="94"/>
      <c r="R338" s="93"/>
      <c r="S338" s="85"/>
      <c r="U338" s="94"/>
      <c r="V338" s="93"/>
      <c r="W338" s="85"/>
      <c r="Y338" s="94"/>
      <c r="Z338" s="93"/>
      <c r="AA338" s="85"/>
      <c r="AC338" s="94"/>
      <c r="AD338" s="93"/>
      <c r="AE338" s="85"/>
    </row>
    <row r="339" spans="7:31" x14ac:dyDescent="0.35">
      <c r="G339" s="85"/>
      <c r="H339" s="87"/>
      <c r="I339" s="94">
        <v>16</v>
      </c>
      <c r="J339" s="93">
        <v>45258</v>
      </c>
      <c r="K339" s="87" t="s">
        <v>1553</v>
      </c>
      <c r="L339" s="87">
        <v>1.25</v>
      </c>
      <c r="M339" s="94"/>
      <c r="N339" s="93"/>
      <c r="O339" s="85"/>
      <c r="Q339" s="94"/>
      <c r="R339" s="93"/>
      <c r="S339" s="85"/>
      <c r="U339" s="94"/>
      <c r="V339" s="93"/>
      <c r="W339" s="85"/>
      <c r="Y339" s="94"/>
      <c r="Z339" s="93"/>
      <c r="AA339" s="85"/>
      <c r="AC339" s="94"/>
      <c r="AD339" s="93"/>
      <c r="AE339" s="85"/>
    </row>
    <row r="340" spans="7:31" x14ac:dyDescent="0.35">
      <c r="G340" s="85"/>
      <c r="H340" s="87"/>
      <c r="I340" s="94">
        <v>16</v>
      </c>
      <c r="J340" s="93">
        <v>45234</v>
      </c>
      <c r="K340" s="87" t="s">
        <v>1516</v>
      </c>
      <c r="L340" s="87">
        <v>21.07</v>
      </c>
      <c r="M340" s="94"/>
      <c r="N340" s="93"/>
      <c r="O340" s="85"/>
      <c r="Q340" s="94"/>
      <c r="R340" s="93"/>
      <c r="S340" s="85"/>
      <c r="U340" s="94"/>
      <c r="V340" s="93"/>
      <c r="W340" s="85"/>
      <c r="Y340" s="94"/>
      <c r="Z340" s="93"/>
      <c r="AA340" s="85"/>
      <c r="AC340" s="94"/>
      <c r="AD340" s="93"/>
      <c r="AE340" s="85"/>
    </row>
    <row r="341" spans="7:31" x14ac:dyDescent="0.35">
      <c r="G341" s="85"/>
      <c r="H341" s="87"/>
      <c r="I341" s="94">
        <v>16</v>
      </c>
      <c r="J341" s="93">
        <v>45236</v>
      </c>
      <c r="K341" s="87" t="s">
        <v>1587</v>
      </c>
      <c r="L341" s="87">
        <v>10.17</v>
      </c>
      <c r="M341" s="94"/>
      <c r="N341" s="93"/>
      <c r="O341" s="85"/>
      <c r="Q341" s="94"/>
      <c r="R341" s="93"/>
      <c r="S341" s="85"/>
      <c r="U341" s="94"/>
      <c r="V341" s="93"/>
      <c r="W341" s="85"/>
      <c r="Y341" s="94"/>
      <c r="Z341" s="93"/>
      <c r="AA341" s="85"/>
      <c r="AC341" s="94"/>
      <c r="AD341" s="93"/>
      <c r="AE341" s="85"/>
    </row>
    <row r="342" spans="7:31" x14ac:dyDescent="0.35">
      <c r="G342" s="85"/>
      <c r="H342" s="87"/>
      <c r="I342" s="94">
        <v>16</v>
      </c>
      <c r="J342" s="93">
        <v>45235</v>
      </c>
      <c r="K342" s="87" t="s">
        <v>1587</v>
      </c>
      <c r="L342" s="87">
        <v>9.16</v>
      </c>
      <c r="M342" s="94"/>
      <c r="N342" s="93"/>
      <c r="O342" s="85"/>
      <c r="Q342" s="94"/>
      <c r="R342" s="93"/>
      <c r="S342" s="85"/>
      <c r="U342" s="94"/>
      <c r="V342" s="93"/>
      <c r="W342" s="85"/>
      <c r="Y342" s="94"/>
      <c r="Z342" s="93"/>
      <c r="AA342" s="85"/>
      <c r="AC342" s="94"/>
      <c r="AD342" s="93"/>
      <c r="AE342" s="85"/>
    </row>
    <row r="343" spans="7:31" x14ac:dyDescent="0.35">
      <c r="G343" s="85"/>
      <c r="H343" s="87"/>
      <c r="I343" s="94">
        <v>14</v>
      </c>
      <c r="J343" s="93">
        <v>45237</v>
      </c>
      <c r="K343" s="87" t="s">
        <v>2325</v>
      </c>
      <c r="L343" s="87">
        <v>316.66000000000003</v>
      </c>
      <c r="M343" s="94"/>
      <c r="N343" s="93"/>
      <c r="O343" s="85"/>
      <c r="Q343" s="94"/>
      <c r="R343" s="93"/>
      <c r="S343" s="85"/>
      <c r="U343" s="94"/>
      <c r="V343" s="93"/>
      <c r="W343" s="85"/>
      <c r="Y343" s="94"/>
      <c r="Z343" s="93"/>
      <c r="AA343" s="85"/>
      <c r="AC343" s="94"/>
      <c r="AD343" s="93"/>
      <c r="AE343" s="85"/>
    </row>
    <row r="344" spans="7:31" x14ac:dyDescent="0.35">
      <c r="G344" s="85"/>
      <c r="H344" s="87"/>
      <c r="I344" s="94">
        <v>16</v>
      </c>
      <c r="J344" s="93">
        <v>45245</v>
      </c>
      <c r="K344" s="87" t="s">
        <v>2326</v>
      </c>
      <c r="L344" s="87">
        <v>14.98</v>
      </c>
      <c r="M344" s="94"/>
      <c r="N344" s="93"/>
      <c r="O344" s="85"/>
      <c r="Q344" s="94"/>
      <c r="R344" s="93"/>
      <c r="S344" s="85"/>
      <c r="U344" s="94"/>
      <c r="V344" s="93"/>
      <c r="W344" s="85"/>
      <c r="Y344" s="94"/>
      <c r="Z344" s="93"/>
      <c r="AA344" s="85"/>
      <c r="AC344" s="94"/>
      <c r="AD344" s="93"/>
      <c r="AE344" s="85"/>
    </row>
    <row r="345" spans="7:31" x14ac:dyDescent="0.35">
      <c r="G345" s="85"/>
      <c r="H345" s="87"/>
      <c r="I345" s="94">
        <v>16</v>
      </c>
      <c r="J345" s="93">
        <v>45234</v>
      </c>
      <c r="K345" s="87" t="s">
        <v>1516</v>
      </c>
      <c r="L345" s="87">
        <v>21.07</v>
      </c>
      <c r="M345" s="94"/>
      <c r="N345" s="93"/>
      <c r="O345" s="85"/>
      <c r="Q345" s="94"/>
      <c r="R345" s="93"/>
      <c r="S345" s="85"/>
      <c r="U345" s="94"/>
      <c r="V345" s="93"/>
      <c r="W345" s="85"/>
      <c r="Y345" s="94"/>
      <c r="Z345" s="93"/>
      <c r="AA345" s="85"/>
      <c r="AC345" s="94"/>
      <c r="AD345" s="93"/>
      <c r="AE345" s="85"/>
    </row>
    <row r="346" spans="7:31" x14ac:dyDescent="0.35">
      <c r="G346" s="85"/>
      <c r="H346" s="87"/>
      <c r="I346" s="94">
        <v>16</v>
      </c>
      <c r="J346" s="93">
        <v>45252</v>
      </c>
      <c r="K346" s="87" t="s">
        <v>1541</v>
      </c>
      <c r="L346" s="87">
        <v>7.91</v>
      </c>
      <c r="M346" s="94"/>
      <c r="N346" s="93"/>
      <c r="O346" s="85"/>
      <c r="Q346" s="94"/>
      <c r="R346" s="93"/>
      <c r="S346" s="85"/>
      <c r="U346" s="94"/>
      <c r="V346" s="93"/>
      <c r="W346" s="85"/>
      <c r="Y346" s="94"/>
      <c r="Z346" s="93"/>
      <c r="AA346" s="85"/>
      <c r="AC346" s="94"/>
      <c r="AD346" s="93"/>
      <c r="AE346" s="85"/>
    </row>
    <row r="347" spans="7:31" x14ac:dyDescent="0.35">
      <c r="G347" s="85"/>
      <c r="H347" s="87"/>
      <c r="I347" s="94">
        <v>16</v>
      </c>
      <c r="J347" s="93">
        <v>45252</v>
      </c>
      <c r="K347" s="87" t="s">
        <v>2327</v>
      </c>
      <c r="L347" s="87">
        <v>4.8600000000000003</v>
      </c>
      <c r="M347" s="94"/>
      <c r="N347" s="93"/>
      <c r="O347" s="85"/>
      <c r="Q347" s="94"/>
      <c r="R347" s="93"/>
      <c r="S347" s="85"/>
      <c r="U347" s="94"/>
      <c r="V347" s="93"/>
      <c r="W347" s="85"/>
      <c r="Y347" s="94"/>
      <c r="Z347" s="93"/>
      <c r="AA347" s="85"/>
      <c r="AC347" s="94"/>
      <c r="AD347" s="93"/>
      <c r="AE347" s="85"/>
    </row>
    <row r="348" spans="7:31" x14ac:dyDescent="0.35">
      <c r="G348" s="85"/>
      <c r="H348" s="87"/>
      <c r="I348" s="94">
        <v>14</v>
      </c>
      <c r="J348" s="93">
        <v>45252</v>
      </c>
      <c r="K348" s="87" t="s">
        <v>1607</v>
      </c>
      <c r="L348" s="87">
        <v>15.74</v>
      </c>
      <c r="M348" s="94"/>
      <c r="N348" s="93"/>
      <c r="O348" s="85"/>
      <c r="Q348" s="94"/>
      <c r="R348" s="93"/>
      <c r="S348" s="85"/>
      <c r="U348" s="94"/>
      <c r="V348" s="93"/>
      <c r="W348" s="85"/>
      <c r="Y348" s="94"/>
      <c r="Z348" s="93"/>
      <c r="AA348" s="85"/>
      <c r="AC348" s="94"/>
      <c r="AD348" s="93"/>
      <c r="AE348" s="85"/>
    </row>
    <row r="349" spans="7:31" x14ac:dyDescent="0.35">
      <c r="G349" s="85"/>
      <c r="H349" s="87"/>
      <c r="I349" s="94">
        <v>18</v>
      </c>
      <c r="J349" s="93">
        <v>45259</v>
      </c>
      <c r="K349" s="87" t="s">
        <v>2328</v>
      </c>
      <c r="L349" s="87">
        <v>58.32</v>
      </c>
      <c r="M349" s="94"/>
      <c r="N349" s="93"/>
      <c r="O349" s="85"/>
      <c r="Q349" s="94"/>
      <c r="R349" s="93"/>
      <c r="S349" s="85"/>
      <c r="U349" s="94"/>
      <c r="V349" s="93"/>
      <c r="W349" s="85"/>
      <c r="Y349" s="94"/>
      <c r="Z349" s="93"/>
      <c r="AA349" s="85"/>
      <c r="AC349" s="94"/>
      <c r="AD349" s="93"/>
      <c r="AE349" s="85"/>
    </row>
    <row r="350" spans="7:31" x14ac:dyDescent="0.35">
      <c r="G350" s="85"/>
      <c r="H350" s="87"/>
      <c r="I350" s="94">
        <v>16</v>
      </c>
      <c r="J350" s="93">
        <v>45260</v>
      </c>
      <c r="K350" s="87" t="s">
        <v>2329</v>
      </c>
      <c r="L350" s="87">
        <v>13.74</v>
      </c>
      <c r="M350" s="94"/>
      <c r="N350" s="93"/>
      <c r="O350" s="85"/>
      <c r="Q350" s="94"/>
      <c r="R350" s="93"/>
      <c r="S350" s="85"/>
      <c r="U350" s="94"/>
      <c r="V350" s="93"/>
      <c r="W350" s="85"/>
      <c r="Y350" s="94"/>
      <c r="Z350" s="93"/>
      <c r="AA350" s="85"/>
      <c r="AC350" s="94"/>
      <c r="AD350" s="93"/>
      <c r="AE350" s="85"/>
    </row>
    <row r="351" spans="7:31" x14ac:dyDescent="0.35">
      <c r="G351" s="85"/>
      <c r="H351" s="87"/>
      <c r="I351" s="94">
        <v>8</v>
      </c>
      <c r="J351" s="93">
        <v>45253</v>
      </c>
      <c r="K351" s="87" t="s">
        <v>1512</v>
      </c>
      <c r="L351" s="87">
        <v>44.99</v>
      </c>
      <c r="M351" s="94"/>
      <c r="N351" s="93"/>
      <c r="O351" s="85"/>
      <c r="Q351" s="94"/>
      <c r="R351" s="93"/>
      <c r="S351" s="85"/>
      <c r="U351" s="94"/>
      <c r="V351" s="93"/>
      <c r="W351" s="85"/>
      <c r="Y351" s="94"/>
      <c r="Z351" s="93"/>
      <c r="AA351" s="85"/>
      <c r="AC351" s="94"/>
      <c r="AD351" s="93"/>
      <c r="AE351" s="85"/>
    </row>
    <row r="352" spans="7:31" x14ac:dyDescent="0.35">
      <c r="G352" s="85"/>
      <c r="H352" s="87"/>
      <c r="I352" s="94">
        <v>6</v>
      </c>
      <c r="J352" s="93">
        <v>45292</v>
      </c>
      <c r="K352" s="87" t="s">
        <v>2331</v>
      </c>
      <c r="L352" s="87">
        <v>930.39</v>
      </c>
      <c r="M352" s="94"/>
      <c r="N352" s="93"/>
      <c r="O352" s="85"/>
      <c r="Q352" s="94"/>
      <c r="R352" s="93"/>
      <c r="S352" s="85"/>
      <c r="U352" s="94"/>
      <c r="V352" s="93"/>
      <c r="W352" s="85"/>
      <c r="Y352" s="94"/>
      <c r="Z352" s="93"/>
      <c r="AA352" s="85"/>
      <c r="AC352" s="94"/>
      <c r="AD352" s="93"/>
      <c r="AE352" s="85"/>
    </row>
    <row r="353" spans="7:31" x14ac:dyDescent="0.35">
      <c r="G353" s="85"/>
      <c r="H353" s="87"/>
      <c r="I353" s="94">
        <v>13</v>
      </c>
      <c r="J353" s="93">
        <v>45292</v>
      </c>
      <c r="K353" s="87" t="s">
        <v>2333</v>
      </c>
      <c r="L353" s="87">
        <v>1708.33</v>
      </c>
      <c r="M353" s="94"/>
      <c r="N353" s="93"/>
      <c r="O353" s="85"/>
      <c r="Q353" s="94"/>
      <c r="R353" s="93"/>
      <c r="S353" s="85"/>
      <c r="U353" s="94"/>
      <c r="V353" s="93"/>
      <c r="W353" s="85"/>
      <c r="Y353" s="94"/>
      <c r="Z353" s="93"/>
      <c r="AA353" s="85"/>
      <c r="AC353" s="94"/>
      <c r="AD353" s="93"/>
      <c r="AE353" s="85"/>
    </row>
    <row r="354" spans="7:31" x14ac:dyDescent="0.35">
      <c r="G354" s="85"/>
      <c r="H354" s="87"/>
      <c r="I354" s="94">
        <v>18</v>
      </c>
      <c r="J354" s="93">
        <v>44929</v>
      </c>
      <c r="K354" s="87" t="s">
        <v>2334</v>
      </c>
      <c r="L354" s="87">
        <v>312.54000000000002</v>
      </c>
      <c r="M354" s="94"/>
      <c r="N354" s="93"/>
      <c r="O354" s="85"/>
      <c r="Q354" s="94"/>
      <c r="R354" s="93"/>
      <c r="S354" s="85"/>
      <c r="U354" s="94"/>
      <c r="V354" s="93"/>
      <c r="W354" s="85"/>
      <c r="Y354" s="94"/>
      <c r="Z354" s="93"/>
      <c r="AA354" s="85"/>
      <c r="AC354" s="94"/>
      <c r="AD354" s="93"/>
      <c r="AE354" s="85"/>
    </row>
    <row r="355" spans="7:31" x14ac:dyDescent="0.35">
      <c r="G355" s="85"/>
      <c r="H355" s="87"/>
      <c r="I355" s="94">
        <v>14</v>
      </c>
      <c r="J355" s="93">
        <v>45296</v>
      </c>
      <c r="K355" s="87" t="s">
        <v>2335</v>
      </c>
      <c r="L355" s="87">
        <v>1150.1199999999999</v>
      </c>
      <c r="M355" s="94"/>
      <c r="N355" s="93"/>
      <c r="O355" s="85"/>
      <c r="Q355" s="94"/>
      <c r="R355" s="93"/>
      <c r="S355" s="85"/>
      <c r="U355" s="94"/>
      <c r="V355" s="93"/>
      <c r="W355" s="85"/>
      <c r="Y355" s="94"/>
      <c r="Z355" s="93"/>
      <c r="AA355" s="85"/>
      <c r="AC355" s="94"/>
      <c r="AD355" s="93"/>
      <c r="AE355" s="85"/>
    </row>
    <row r="356" spans="7:31" x14ac:dyDescent="0.35">
      <c r="G356" s="85"/>
      <c r="H356" s="87"/>
      <c r="I356" s="94">
        <v>18</v>
      </c>
      <c r="J356" s="93">
        <v>45293</v>
      </c>
      <c r="K356" s="87" t="s">
        <v>2338</v>
      </c>
      <c r="L356" s="87">
        <v>3845.88</v>
      </c>
      <c r="M356" s="94"/>
      <c r="N356" s="93"/>
      <c r="O356" s="85"/>
      <c r="Q356" s="94"/>
      <c r="R356" s="93"/>
      <c r="S356" s="85"/>
      <c r="U356" s="94"/>
      <c r="V356" s="93"/>
      <c r="W356" s="85"/>
      <c r="Y356" s="94"/>
      <c r="Z356" s="93"/>
      <c r="AA356" s="85"/>
      <c r="AC356" s="94"/>
      <c r="AD356" s="93"/>
      <c r="AE356" s="85"/>
    </row>
    <row r="357" spans="7:31" x14ac:dyDescent="0.35">
      <c r="G357" s="85"/>
      <c r="H357" s="87"/>
      <c r="I357" s="94">
        <v>18</v>
      </c>
      <c r="J357" s="93">
        <v>45265</v>
      </c>
      <c r="K357" s="87" t="s">
        <v>2345</v>
      </c>
      <c r="L357" s="87">
        <v>40.380000000000003</v>
      </c>
      <c r="M357" s="94"/>
      <c r="N357" s="93"/>
      <c r="O357" s="85"/>
      <c r="Q357" s="94"/>
      <c r="R357" s="93"/>
      <c r="S357" s="85"/>
      <c r="U357" s="94"/>
      <c r="V357" s="93"/>
      <c r="W357" s="85"/>
      <c r="Y357" s="94"/>
      <c r="Z357" s="93"/>
      <c r="AA357" s="85"/>
      <c r="AC357" s="94"/>
      <c r="AD357" s="93"/>
      <c r="AE357" s="85"/>
    </row>
    <row r="358" spans="7:31" x14ac:dyDescent="0.35">
      <c r="G358" s="85"/>
      <c r="H358" s="87"/>
      <c r="I358" s="94">
        <v>18</v>
      </c>
      <c r="J358" s="93">
        <v>45267</v>
      </c>
      <c r="K358" s="87" t="s">
        <v>2346</v>
      </c>
      <c r="L358" s="87">
        <v>99.9</v>
      </c>
      <c r="M358" s="94"/>
      <c r="N358" s="93"/>
      <c r="O358" s="85"/>
      <c r="Q358" s="94"/>
      <c r="R358" s="93"/>
      <c r="S358" s="85"/>
      <c r="U358" s="94"/>
      <c r="V358" s="93"/>
      <c r="W358" s="85"/>
      <c r="Y358" s="94"/>
      <c r="Z358" s="93"/>
      <c r="AA358" s="85"/>
      <c r="AC358" s="94"/>
      <c r="AD358" s="93"/>
      <c r="AE358" s="85"/>
    </row>
    <row r="359" spans="7:31" x14ac:dyDescent="0.35">
      <c r="G359" s="85"/>
      <c r="H359" s="87"/>
      <c r="I359" s="94">
        <v>18</v>
      </c>
      <c r="J359" s="93">
        <v>45280</v>
      </c>
      <c r="K359" s="87" t="s">
        <v>2345</v>
      </c>
      <c r="L359" s="87">
        <v>144.97999999999999</v>
      </c>
      <c r="M359" s="94"/>
      <c r="N359" s="93"/>
      <c r="O359" s="85"/>
      <c r="Q359" s="94"/>
      <c r="R359" s="93"/>
      <c r="S359" s="85"/>
      <c r="U359" s="94"/>
      <c r="V359" s="93"/>
      <c r="W359" s="85"/>
      <c r="Y359" s="94"/>
      <c r="Z359" s="93"/>
      <c r="AA359" s="85"/>
      <c r="AC359" s="94"/>
      <c r="AD359" s="93"/>
      <c r="AE359" s="85"/>
    </row>
    <row r="360" spans="7:31" x14ac:dyDescent="0.35">
      <c r="G360" s="85"/>
      <c r="H360" s="87"/>
      <c r="I360" s="94">
        <v>18</v>
      </c>
      <c r="J360" s="93">
        <v>45282</v>
      </c>
      <c r="K360" s="87" t="s">
        <v>2345</v>
      </c>
      <c r="L360" s="87">
        <v>16.66</v>
      </c>
      <c r="M360" s="94"/>
      <c r="N360" s="93"/>
      <c r="O360" s="85"/>
      <c r="Q360" s="94"/>
      <c r="R360" s="93"/>
      <c r="S360" s="85"/>
      <c r="U360" s="94"/>
      <c r="V360" s="93"/>
      <c r="W360" s="85"/>
      <c r="Y360" s="94"/>
      <c r="Z360" s="93"/>
      <c r="AA360" s="85"/>
      <c r="AC360" s="94"/>
      <c r="AD360" s="93"/>
      <c r="AE360" s="85"/>
    </row>
    <row r="361" spans="7:31" x14ac:dyDescent="0.35">
      <c r="G361" s="85"/>
      <c r="H361" s="87"/>
      <c r="I361" s="94">
        <v>14</v>
      </c>
      <c r="J361" s="93">
        <v>45264</v>
      </c>
      <c r="K361" s="87" t="s">
        <v>1607</v>
      </c>
      <c r="L361" s="87">
        <v>39.99</v>
      </c>
      <c r="M361" s="94"/>
      <c r="N361" s="93"/>
      <c r="O361" s="85"/>
      <c r="Q361" s="94"/>
      <c r="R361" s="93"/>
      <c r="S361" s="85"/>
      <c r="U361" s="94"/>
      <c r="V361" s="93"/>
      <c r="W361" s="85"/>
      <c r="Y361" s="94"/>
      <c r="Z361" s="93"/>
      <c r="AA361" s="85"/>
      <c r="AC361" s="94"/>
      <c r="AD361" s="93"/>
      <c r="AE361" s="85"/>
    </row>
    <row r="362" spans="7:31" x14ac:dyDescent="0.35">
      <c r="G362" s="85"/>
      <c r="H362" s="87"/>
      <c r="I362" s="94">
        <v>14</v>
      </c>
      <c r="J362" s="93">
        <v>45302</v>
      </c>
      <c r="K362" s="87" t="s">
        <v>2347</v>
      </c>
      <c r="L362" s="87">
        <v>649.76</v>
      </c>
      <c r="M362" s="94"/>
      <c r="N362" s="93"/>
      <c r="O362" s="85"/>
      <c r="Q362" s="94"/>
      <c r="R362" s="93"/>
      <c r="S362" s="85"/>
      <c r="U362" s="94"/>
      <c r="V362" s="93"/>
      <c r="W362" s="85"/>
      <c r="Y362" s="94"/>
      <c r="Z362" s="93"/>
      <c r="AA362" s="85"/>
      <c r="AC362" s="94"/>
      <c r="AD362" s="93"/>
      <c r="AE362" s="85"/>
    </row>
    <row r="363" spans="7:31" x14ac:dyDescent="0.35">
      <c r="G363" s="85"/>
      <c r="H363" s="87"/>
      <c r="I363" s="94">
        <v>16</v>
      </c>
      <c r="J363" s="93" t="s">
        <v>2363</v>
      </c>
      <c r="K363" s="87" t="s">
        <v>2364</v>
      </c>
      <c r="L363" s="87">
        <f>21.92+1.5+15.79+4.75</f>
        <v>43.96</v>
      </c>
      <c r="M363" s="94"/>
      <c r="N363" s="93"/>
      <c r="O363" s="85"/>
      <c r="Q363" s="94"/>
      <c r="R363" s="93"/>
      <c r="S363" s="85"/>
      <c r="U363" s="94"/>
      <c r="V363" s="93"/>
      <c r="W363" s="85"/>
      <c r="Y363" s="94"/>
      <c r="Z363" s="93"/>
      <c r="AA363" s="85"/>
      <c r="AC363" s="94"/>
      <c r="AD363" s="93"/>
      <c r="AE363" s="85"/>
    </row>
    <row r="364" spans="7:31" x14ac:dyDescent="0.35">
      <c r="G364" s="85"/>
      <c r="H364" s="87"/>
      <c r="I364" s="94">
        <v>18</v>
      </c>
      <c r="J364" s="93">
        <v>45220</v>
      </c>
      <c r="K364" s="87" t="s">
        <v>2365</v>
      </c>
      <c r="L364" s="87">
        <v>220</v>
      </c>
      <c r="M364" s="94"/>
      <c r="N364" s="93"/>
      <c r="O364" s="85"/>
      <c r="Q364" s="94"/>
      <c r="R364" s="93"/>
      <c r="S364" s="85"/>
      <c r="U364" s="94"/>
      <c r="V364" s="93"/>
      <c r="W364" s="85"/>
      <c r="Y364" s="94"/>
      <c r="Z364" s="93"/>
      <c r="AA364" s="85"/>
      <c r="AC364" s="94"/>
      <c r="AD364" s="93"/>
      <c r="AE364" s="85"/>
    </row>
    <row r="365" spans="7:31" x14ac:dyDescent="0.35">
      <c r="G365" s="85"/>
      <c r="H365" s="87"/>
      <c r="I365" s="94">
        <v>18</v>
      </c>
      <c r="J365" s="93">
        <v>45223</v>
      </c>
      <c r="K365" s="87" t="s">
        <v>2208</v>
      </c>
      <c r="L365" s="87">
        <f>11.82+15.42</f>
        <v>27.240000000000002</v>
      </c>
      <c r="M365" s="94"/>
      <c r="N365" s="93"/>
      <c r="O365" s="85"/>
      <c r="Q365" s="94"/>
      <c r="R365" s="93"/>
      <c r="S365" s="85"/>
      <c r="U365" s="94"/>
      <c r="V365" s="93"/>
      <c r="W365" s="85"/>
      <c r="Y365" s="94"/>
      <c r="Z365" s="93"/>
      <c r="AA365" s="85"/>
      <c r="AC365" s="94"/>
      <c r="AD365" s="93"/>
      <c r="AE365" s="85"/>
    </row>
    <row r="366" spans="7:31" x14ac:dyDescent="0.35">
      <c r="G366" s="85"/>
      <c r="H366" s="87"/>
      <c r="I366" s="94">
        <v>18</v>
      </c>
      <c r="J366" s="93">
        <v>45226</v>
      </c>
      <c r="K366" s="87" t="s">
        <v>2365</v>
      </c>
      <c r="L366" s="87">
        <v>47.44</v>
      </c>
      <c r="M366" s="94"/>
      <c r="N366" s="93"/>
      <c r="O366" s="85"/>
      <c r="Q366" s="94"/>
      <c r="R366" s="93"/>
      <c r="S366" s="85"/>
      <c r="U366" s="94"/>
      <c r="V366" s="93"/>
      <c r="W366" s="85"/>
      <c r="Y366" s="94"/>
      <c r="Z366" s="93"/>
      <c r="AA366" s="85"/>
      <c r="AC366" s="94"/>
      <c r="AD366" s="93"/>
      <c r="AE366" s="85"/>
    </row>
    <row r="367" spans="7:31" x14ac:dyDescent="0.35">
      <c r="G367" s="85"/>
      <c r="H367" s="87"/>
      <c r="I367" s="94">
        <v>7</v>
      </c>
      <c r="J367" s="93">
        <v>45211</v>
      </c>
      <c r="K367" s="87" t="s">
        <v>1634</v>
      </c>
      <c r="L367" s="87">
        <v>13.32</v>
      </c>
      <c r="M367" s="94"/>
      <c r="N367" s="93"/>
      <c r="O367" s="85"/>
      <c r="Q367" s="94"/>
      <c r="R367" s="93"/>
      <c r="S367" s="85"/>
      <c r="U367" s="94"/>
      <c r="V367" s="93"/>
      <c r="W367" s="85"/>
      <c r="Y367" s="94"/>
      <c r="Z367" s="93"/>
      <c r="AA367" s="85"/>
      <c r="AC367" s="94"/>
      <c r="AD367" s="93"/>
      <c r="AE367" s="85"/>
    </row>
    <row r="368" spans="7:31" x14ac:dyDescent="0.35">
      <c r="G368" s="85"/>
      <c r="H368" s="87"/>
      <c r="I368" s="94">
        <v>9</v>
      </c>
      <c r="J368" s="93">
        <v>45300</v>
      </c>
      <c r="K368" s="87" t="s">
        <v>2373</v>
      </c>
      <c r="L368" s="87">
        <v>900</v>
      </c>
      <c r="M368" s="94"/>
      <c r="N368" s="93"/>
      <c r="O368" s="85"/>
      <c r="Q368" s="94"/>
      <c r="R368" s="93"/>
      <c r="S368" s="85"/>
      <c r="U368" s="94"/>
      <c r="V368" s="93"/>
      <c r="W368" s="85"/>
      <c r="Y368" s="94"/>
      <c r="Z368" s="93"/>
      <c r="AA368" s="85"/>
      <c r="AC368" s="94"/>
      <c r="AD368" s="93"/>
      <c r="AE368" s="85"/>
    </row>
    <row r="369" spans="7:31" x14ac:dyDescent="0.35">
      <c r="G369" s="85"/>
      <c r="H369" s="87"/>
      <c r="I369" s="94">
        <v>13</v>
      </c>
      <c r="J369" s="93">
        <v>45261</v>
      </c>
      <c r="K369" s="87" t="s">
        <v>2375</v>
      </c>
      <c r="L369" s="87">
        <v>1708.33</v>
      </c>
      <c r="M369" s="94"/>
      <c r="N369" s="93"/>
      <c r="O369" s="85"/>
      <c r="Q369" s="94"/>
      <c r="R369" s="93"/>
      <c r="S369" s="85"/>
      <c r="U369" s="94"/>
      <c r="V369" s="93"/>
      <c r="W369" s="85"/>
      <c r="Y369" s="94"/>
      <c r="Z369" s="93"/>
      <c r="AA369" s="85"/>
      <c r="AC369" s="94"/>
      <c r="AD369" s="93"/>
      <c r="AE369" s="85"/>
    </row>
    <row r="370" spans="7:31" x14ac:dyDescent="0.35">
      <c r="G370" s="85"/>
      <c r="H370" s="87"/>
      <c r="I370" s="94">
        <v>14</v>
      </c>
      <c r="J370" s="93">
        <v>45211</v>
      </c>
      <c r="K370" s="87" t="s">
        <v>2383</v>
      </c>
      <c r="L370" s="87">
        <v>9.9700000000000006</v>
      </c>
      <c r="M370" s="94"/>
      <c r="N370" s="93"/>
      <c r="O370" s="85"/>
      <c r="Q370" s="94"/>
      <c r="R370" s="93"/>
      <c r="S370" s="85"/>
      <c r="U370" s="94"/>
      <c r="V370" s="93"/>
      <c r="W370" s="85"/>
      <c r="Y370" s="94"/>
      <c r="Z370" s="93"/>
      <c r="AA370" s="85"/>
      <c r="AC370" s="94"/>
      <c r="AD370" s="93"/>
      <c r="AE370" s="85"/>
    </row>
    <row r="371" spans="7:31" x14ac:dyDescent="0.35">
      <c r="G371" s="85"/>
      <c r="H371" s="87"/>
      <c r="I371" s="94">
        <v>14</v>
      </c>
      <c r="J371" s="125">
        <v>45215</v>
      </c>
      <c r="K371" s="87" t="s">
        <v>2384</v>
      </c>
      <c r="L371" s="87">
        <v>1570.24</v>
      </c>
      <c r="M371" s="94"/>
      <c r="N371" s="93"/>
      <c r="O371" s="85"/>
      <c r="Q371" s="94"/>
      <c r="R371" s="93"/>
      <c r="S371" s="85"/>
      <c r="U371" s="94"/>
      <c r="V371" s="93"/>
      <c r="W371" s="85"/>
      <c r="Y371" s="94"/>
      <c r="Z371" s="93"/>
      <c r="AA371" s="85"/>
      <c r="AC371" s="94"/>
      <c r="AD371" s="93"/>
      <c r="AE371" s="85"/>
    </row>
    <row r="372" spans="7:31" x14ac:dyDescent="0.35">
      <c r="G372" s="85"/>
      <c r="H372" s="87"/>
      <c r="I372" s="94">
        <v>20</v>
      </c>
      <c r="J372" s="93">
        <v>45314</v>
      </c>
      <c r="K372" s="87" t="s">
        <v>2754</v>
      </c>
      <c r="L372" s="87">
        <v>560.29999999999995</v>
      </c>
      <c r="M372" s="94"/>
      <c r="N372" s="93"/>
      <c r="O372" s="85"/>
      <c r="Q372" s="94"/>
      <c r="R372" s="93"/>
      <c r="S372" s="85"/>
      <c r="U372" s="94"/>
      <c r="V372" s="93"/>
      <c r="W372" s="85"/>
      <c r="Y372" s="94"/>
      <c r="Z372" s="93"/>
      <c r="AA372" s="85"/>
      <c r="AC372" s="94"/>
      <c r="AD372" s="93"/>
      <c r="AE372" s="85"/>
    </row>
    <row r="373" spans="7:31" x14ac:dyDescent="0.35">
      <c r="G373" s="85"/>
      <c r="H373" s="87"/>
      <c r="I373" s="94">
        <v>6</v>
      </c>
      <c r="J373" s="93">
        <v>45323</v>
      </c>
      <c r="K373" s="87" t="s">
        <v>2542</v>
      </c>
      <c r="L373" s="87">
        <v>903.75</v>
      </c>
      <c r="M373" s="94"/>
      <c r="N373" s="93"/>
      <c r="O373" s="85"/>
      <c r="Q373" s="94"/>
      <c r="R373" s="93"/>
      <c r="S373" s="85"/>
      <c r="U373" s="94"/>
      <c r="V373" s="93"/>
      <c r="W373" s="85"/>
      <c r="Y373" s="94"/>
      <c r="Z373" s="93"/>
      <c r="AA373" s="85"/>
      <c r="AC373" s="94"/>
      <c r="AD373" s="93"/>
      <c r="AE373" s="85"/>
    </row>
    <row r="374" spans="7:31" x14ac:dyDescent="0.35">
      <c r="G374" s="85"/>
      <c r="H374" s="87"/>
      <c r="I374" s="94">
        <v>14</v>
      </c>
      <c r="J374" s="93">
        <v>45308</v>
      </c>
      <c r="K374" s="87" t="s">
        <v>2408</v>
      </c>
      <c r="L374" s="87">
        <v>1258.54</v>
      </c>
      <c r="M374" s="94"/>
      <c r="N374" s="93"/>
      <c r="O374" s="85"/>
      <c r="Q374" s="94"/>
      <c r="R374" s="93"/>
      <c r="S374" s="85"/>
      <c r="U374" s="94"/>
      <c r="V374" s="93"/>
      <c r="W374" s="85"/>
      <c r="Y374" s="94"/>
      <c r="Z374" s="93"/>
      <c r="AA374" s="85"/>
      <c r="AC374" s="94"/>
      <c r="AD374" s="93"/>
      <c r="AE374" s="85"/>
    </row>
    <row r="375" spans="7:31" x14ac:dyDescent="0.35">
      <c r="G375" s="85"/>
      <c r="H375" s="87"/>
      <c r="I375" s="94">
        <v>16</v>
      </c>
      <c r="J375" s="93">
        <v>45273</v>
      </c>
      <c r="K375" s="87" t="s">
        <v>2327</v>
      </c>
      <c r="L375" s="87">
        <v>6.67</v>
      </c>
      <c r="M375" s="94"/>
      <c r="N375" s="93"/>
      <c r="O375" s="85"/>
      <c r="Q375" s="94"/>
      <c r="R375" s="93"/>
      <c r="S375" s="85"/>
      <c r="U375" s="94"/>
      <c r="V375" s="93"/>
      <c r="W375" s="85"/>
      <c r="Y375" s="94"/>
      <c r="Z375" s="93"/>
      <c r="AA375" s="85"/>
      <c r="AC375" s="94"/>
      <c r="AD375" s="93"/>
      <c r="AE375" s="85"/>
    </row>
    <row r="376" spans="7:31" x14ac:dyDescent="0.35">
      <c r="G376" s="85"/>
      <c r="H376" s="87"/>
      <c r="I376" s="94">
        <v>16</v>
      </c>
      <c r="J376" s="93">
        <v>45273</v>
      </c>
      <c r="K376" s="87" t="s">
        <v>2412</v>
      </c>
      <c r="L376" s="87">
        <v>9.98</v>
      </c>
      <c r="M376" s="94"/>
      <c r="N376" s="93"/>
      <c r="O376" s="85"/>
      <c r="Q376" s="94"/>
      <c r="R376" s="93"/>
      <c r="S376" s="85"/>
      <c r="U376" s="94"/>
      <c r="V376" s="93"/>
      <c r="W376" s="85"/>
      <c r="Y376" s="94"/>
      <c r="Z376" s="93"/>
      <c r="AA376" s="85"/>
      <c r="AC376" s="94"/>
      <c r="AD376" s="93"/>
      <c r="AE376" s="85"/>
    </row>
    <row r="377" spans="7:31" x14ac:dyDescent="0.35">
      <c r="G377" s="85"/>
      <c r="H377" s="87"/>
      <c r="I377" s="94">
        <v>8</v>
      </c>
      <c r="J377" s="93">
        <v>45278</v>
      </c>
      <c r="K377" s="87" t="s">
        <v>1579</v>
      </c>
      <c r="L377" s="87">
        <v>12.2</v>
      </c>
      <c r="M377" s="94"/>
      <c r="N377" s="93"/>
      <c r="O377" s="85"/>
      <c r="Q377" s="94"/>
      <c r="R377" s="93"/>
      <c r="S377" s="85"/>
      <c r="U377" s="94"/>
      <c r="V377" s="93"/>
      <c r="W377" s="85"/>
      <c r="Y377" s="94"/>
      <c r="Z377" s="93"/>
      <c r="AA377" s="85"/>
      <c r="AC377" s="94"/>
      <c r="AD377" s="93"/>
      <c r="AE377" s="85"/>
    </row>
    <row r="378" spans="7:31" x14ac:dyDescent="0.35">
      <c r="G378" s="85"/>
      <c r="H378" s="87"/>
      <c r="I378" s="94">
        <v>8</v>
      </c>
      <c r="J378" s="93">
        <v>45278</v>
      </c>
      <c r="K378" s="87" t="s">
        <v>1579</v>
      </c>
      <c r="L378" s="87">
        <v>33.78</v>
      </c>
      <c r="M378" s="94"/>
      <c r="N378" s="93"/>
      <c r="O378" s="85"/>
      <c r="Q378" s="94"/>
      <c r="R378" s="93"/>
      <c r="S378" s="85"/>
      <c r="U378" s="94"/>
      <c r="V378" s="93"/>
      <c r="W378" s="85"/>
      <c r="Y378" s="94"/>
      <c r="Z378" s="93"/>
      <c r="AA378" s="85"/>
      <c r="AC378" s="94"/>
      <c r="AD378" s="93"/>
      <c r="AE378" s="85"/>
    </row>
    <row r="379" spans="7:31" x14ac:dyDescent="0.35">
      <c r="G379" s="85"/>
      <c r="H379" s="87"/>
      <c r="I379" s="94">
        <v>16</v>
      </c>
      <c r="J379" s="93">
        <v>45280</v>
      </c>
      <c r="K379" s="87" t="s">
        <v>2413</v>
      </c>
      <c r="L379" s="87">
        <v>7.49</v>
      </c>
      <c r="M379" s="94"/>
      <c r="N379" s="93"/>
      <c r="O379" s="85"/>
      <c r="Q379" s="94"/>
      <c r="R379" s="93"/>
      <c r="S379" s="85"/>
      <c r="U379" s="94"/>
      <c r="V379" s="93"/>
      <c r="W379" s="85"/>
      <c r="Y379" s="94"/>
      <c r="Z379" s="93"/>
      <c r="AA379" s="85"/>
      <c r="AC379" s="94"/>
      <c r="AD379" s="93"/>
      <c r="AE379" s="85"/>
    </row>
    <row r="380" spans="7:31" x14ac:dyDescent="0.35">
      <c r="G380" s="85"/>
      <c r="H380" s="87"/>
      <c r="I380" s="94">
        <v>16</v>
      </c>
      <c r="J380" s="93">
        <v>45265</v>
      </c>
      <c r="K380" s="87" t="s">
        <v>1589</v>
      </c>
      <c r="L380" s="87">
        <v>12.1</v>
      </c>
      <c r="M380" s="94"/>
      <c r="N380" s="93"/>
      <c r="O380" s="85"/>
      <c r="Q380" s="94"/>
      <c r="R380" s="93"/>
      <c r="S380" s="85"/>
      <c r="U380" s="94"/>
      <c r="V380" s="93"/>
      <c r="W380" s="85"/>
      <c r="Y380" s="94"/>
      <c r="Z380" s="93"/>
      <c r="AA380" s="85"/>
      <c r="AC380" s="94"/>
      <c r="AD380" s="93"/>
      <c r="AE380" s="85"/>
    </row>
    <row r="381" spans="7:31" x14ac:dyDescent="0.35">
      <c r="G381" s="85"/>
      <c r="H381" s="87"/>
      <c r="I381" s="94">
        <v>18</v>
      </c>
      <c r="J381" s="93">
        <v>45271</v>
      </c>
      <c r="K381" s="87" t="s">
        <v>2416</v>
      </c>
      <c r="L381" s="87">
        <v>103.28</v>
      </c>
      <c r="M381" s="94"/>
      <c r="N381" s="93"/>
      <c r="O381" s="85"/>
      <c r="Q381" s="94"/>
      <c r="R381" s="93"/>
      <c r="S381" s="85"/>
      <c r="U381" s="94"/>
      <c r="V381" s="93"/>
      <c r="W381" s="85"/>
      <c r="Y381" s="94"/>
      <c r="Z381" s="93"/>
      <c r="AA381" s="85"/>
      <c r="AC381" s="94"/>
      <c r="AD381" s="93"/>
      <c r="AE381" s="85"/>
    </row>
    <row r="382" spans="7:31" x14ac:dyDescent="0.35">
      <c r="G382" s="85"/>
      <c r="H382" s="87"/>
      <c r="I382" s="94">
        <v>16</v>
      </c>
      <c r="J382" s="93">
        <v>45280</v>
      </c>
      <c r="K382" s="87" t="s">
        <v>2327</v>
      </c>
      <c r="L382" s="87">
        <v>13.32</v>
      </c>
      <c r="M382" s="94"/>
      <c r="N382" s="93"/>
      <c r="O382" s="85"/>
      <c r="Q382" s="94"/>
      <c r="R382" s="93"/>
      <c r="S382" s="85"/>
      <c r="U382" s="94"/>
      <c r="V382" s="93"/>
      <c r="W382" s="85"/>
      <c r="Y382" s="94"/>
      <c r="Z382" s="93"/>
      <c r="AA382" s="85"/>
      <c r="AC382" s="94"/>
      <c r="AD382" s="93"/>
      <c r="AE382" s="85"/>
    </row>
    <row r="383" spans="7:31" x14ac:dyDescent="0.35">
      <c r="G383" s="85"/>
      <c r="H383" s="87"/>
      <c r="I383" s="94">
        <v>8</v>
      </c>
      <c r="J383" s="93">
        <v>45283</v>
      </c>
      <c r="K383" s="87" t="s">
        <v>1512</v>
      </c>
      <c r="L383" s="87">
        <v>44.99</v>
      </c>
      <c r="M383" s="94"/>
      <c r="N383" s="93"/>
      <c r="O383" s="85"/>
      <c r="Q383" s="94"/>
      <c r="R383" s="93"/>
      <c r="S383" s="85"/>
      <c r="U383" s="94"/>
      <c r="V383" s="93"/>
      <c r="W383" s="85"/>
      <c r="Y383" s="94"/>
      <c r="Z383" s="93"/>
      <c r="AA383" s="85"/>
      <c r="AC383" s="94"/>
      <c r="AD383" s="93"/>
      <c r="AE383" s="85"/>
    </row>
    <row r="384" spans="7:31" x14ac:dyDescent="0.35">
      <c r="G384" s="85"/>
      <c r="H384" s="87"/>
      <c r="I384" s="94">
        <v>18</v>
      </c>
      <c r="J384" s="93">
        <v>45309</v>
      </c>
      <c r="K384" s="87" t="s">
        <v>2419</v>
      </c>
      <c r="L384" s="87">
        <v>640</v>
      </c>
      <c r="M384" s="94"/>
      <c r="N384" s="93"/>
      <c r="O384" s="85"/>
      <c r="Q384" s="94"/>
      <c r="R384" s="93"/>
      <c r="S384" s="85"/>
      <c r="U384" s="94"/>
      <c r="V384" s="93"/>
      <c r="W384" s="85"/>
      <c r="Y384" s="94"/>
      <c r="Z384" s="93"/>
      <c r="AA384" s="85"/>
      <c r="AC384" s="94"/>
      <c r="AD384" s="93"/>
      <c r="AE384" s="85"/>
    </row>
    <row r="385" spans="7:31" x14ac:dyDescent="0.35">
      <c r="G385" s="85"/>
      <c r="H385" s="87"/>
      <c r="I385" s="94">
        <v>18</v>
      </c>
      <c r="J385" s="93">
        <v>45303</v>
      </c>
      <c r="K385" s="87" t="s">
        <v>2420</v>
      </c>
      <c r="L385" s="87">
        <v>120</v>
      </c>
      <c r="M385" s="94"/>
      <c r="N385" s="93"/>
      <c r="O385" s="85"/>
      <c r="Q385" s="94"/>
      <c r="R385" s="93"/>
      <c r="S385" s="85"/>
      <c r="U385" s="94"/>
      <c r="V385" s="93"/>
      <c r="W385" s="85"/>
      <c r="Y385" s="94"/>
      <c r="Z385" s="93"/>
      <c r="AA385" s="85"/>
      <c r="AC385" s="94"/>
      <c r="AD385" s="93"/>
      <c r="AE385" s="85"/>
    </row>
    <row r="386" spans="7:31" x14ac:dyDescent="0.35">
      <c r="G386" s="85"/>
      <c r="H386" s="87"/>
      <c r="I386" s="94">
        <v>7</v>
      </c>
      <c r="J386" s="93">
        <v>45314</v>
      </c>
      <c r="K386" s="87" t="s">
        <v>1465</v>
      </c>
      <c r="L386" s="87">
        <v>9.99</v>
      </c>
      <c r="M386" s="94"/>
      <c r="N386" s="93"/>
      <c r="O386" s="85"/>
      <c r="Q386" s="94"/>
      <c r="R386" s="93"/>
      <c r="S386" s="85"/>
      <c r="U386" s="94"/>
      <c r="V386" s="93"/>
      <c r="W386" s="85"/>
      <c r="Y386" s="94"/>
      <c r="Z386" s="93"/>
      <c r="AA386" s="85"/>
      <c r="AC386" s="94"/>
      <c r="AD386" s="93"/>
      <c r="AE386" s="85"/>
    </row>
    <row r="387" spans="7:31" x14ac:dyDescent="0.35">
      <c r="G387" s="85"/>
      <c r="H387" s="87"/>
      <c r="I387" s="94">
        <v>14</v>
      </c>
      <c r="J387" s="93">
        <v>45335</v>
      </c>
      <c r="K387" s="87" t="s">
        <v>2533</v>
      </c>
      <c r="L387" s="87">
        <v>13400</v>
      </c>
      <c r="M387" s="94"/>
      <c r="N387" s="93"/>
      <c r="O387" s="85"/>
      <c r="Q387" s="94"/>
      <c r="R387" s="93"/>
      <c r="S387" s="85"/>
      <c r="U387" s="94"/>
      <c r="V387" s="93"/>
      <c r="W387" s="85"/>
      <c r="Y387" s="94"/>
      <c r="Z387" s="93"/>
      <c r="AA387" s="85"/>
      <c r="AC387" s="94"/>
      <c r="AD387" s="93"/>
      <c r="AE387" s="85"/>
    </row>
    <row r="388" spans="7:31" x14ac:dyDescent="0.35">
      <c r="G388" s="85"/>
      <c r="H388" s="87"/>
      <c r="I388" s="94">
        <v>16</v>
      </c>
      <c r="J388" s="93">
        <v>45295</v>
      </c>
      <c r="K388" s="87" t="s">
        <v>2537</v>
      </c>
      <c r="L388" s="87">
        <v>295.37</v>
      </c>
      <c r="M388" s="94"/>
      <c r="N388" s="93"/>
      <c r="O388" s="85"/>
      <c r="Q388" s="94"/>
      <c r="R388" s="93"/>
      <c r="S388" s="85"/>
      <c r="U388" s="94"/>
      <c r="V388" s="93"/>
      <c r="W388" s="85"/>
      <c r="Y388" s="94"/>
      <c r="Z388" s="93"/>
      <c r="AA388" s="85"/>
      <c r="AC388" s="94"/>
      <c r="AD388" s="93"/>
      <c r="AE388" s="85"/>
    </row>
    <row r="389" spans="7:31" x14ac:dyDescent="0.35">
      <c r="G389" s="85"/>
      <c r="H389" s="87"/>
      <c r="I389" s="94">
        <v>14</v>
      </c>
      <c r="J389" s="93">
        <v>45343</v>
      </c>
      <c r="K389" s="87" t="s">
        <v>2539</v>
      </c>
      <c r="L389" s="87">
        <v>1148</v>
      </c>
      <c r="M389" s="94"/>
      <c r="N389" s="93"/>
      <c r="O389" s="85"/>
      <c r="Q389" s="94"/>
      <c r="R389" s="93"/>
      <c r="S389" s="85"/>
      <c r="U389" s="94"/>
      <c r="V389" s="93"/>
      <c r="W389" s="85"/>
      <c r="Y389" s="94"/>
      <c r="Z389" s="93"/>
      <c r="AA389" s="85"/>
      <c r="AC389" s="94"/>
      <c r="AD389" s="93"/>
      <c r="AE389" s="85"/>
    </row>
    <row r="390" spans="7:31" x14ac:dyDescent="0.35">
      <c r="G390" s="85"/>
      <c r="H390" s="87"/>
      <c r="I390" s="94">
        <v>16</v>
      </c>
      <c r="J390" s="93">
        <v>45343</v>
      </c>
      <c r="K390" s="87" t="s">
        <v>1607</v>
      </c>
      <c r="L390" s="87">
        <v>176.77</v>
      </c>
      <c r="M390" s="94"/>
      <c r="N390" s="93"/>
      <c r="O390" s="85"/>
      <c r="Q390" s="94"/>
      <c r="R390" s="93"/>
      <c r="S390" s="85"/>
      <c r="U390" s="94"/>
      <c r="V390" s="93"/>
      <c r="W390" s="85"/>
      <c r="Y390" s="94"/>
      <c r="Z390" s="93"/>
      <c r="AA390" s="85"/>
      <c r="AC390" s="94"/>
      <c r="AD390" s="93"/>
      <c r="AE390" s="85"/>
    </row>
    <row r="391" spans="7:31" x14ac:dyDescent="0.35">
      <c r="G391" s="85"/>
      <c r="H391" s="87"/>
      <c r="I391" s="94">
        <v>14</v>
      </c>
      <c r="J391" s="93">
        <v>45327</v>
      </c>
      <c r="K391" s="87" t="s">
        <v>2544</v>
      </c>
      <c r="L391" s="87">
        <v>975.94</v>
      </c>
      <c r="M391" s="94"/>
      <c r="N391" s="93"/>
      <c r="O391" s="85"/>
      <c r="Q391" s="94"/>
      <c r="R391" s="93"/>
      <c r="S391" s="85"/>
      <c r="U391" s="94"/>
      <c r="V391" s="93"/>
      <c r="W391" s="85"/>
      <c r="Y391" s="94"/>
      <c r="Z391" s="93"/>
      <c r="AA391" s="85"/>
      <c r="AC391" s="94"/>
      <c r="AD391" s="93"/>
      <c r="AE391" s="85"/>
    </row>
    <row r="392" spans="7:31" x14ac:dyDescent="0.35">
      <c r="G392" s="85"/>
      <c r="H392" s="87"/>
      <c r="I392" s="94">
        <v>14</v>
      </c>
      <c r="J392" s="93">
        <v>45327</v>
      </c>
      <c r="K392" s="87" t="s">
        <v>2545</v>
      </c>
      <c r="L392" s="87">
        <v>496.88</v>
      </c>
      <c r="M392" s="94"/>
      <c r="N392" s="93"/>
      <c r="O392" s="85"/>
      <c r="Q392" s="94"/>
      <c r="R392" s="93"/>
      <c r="S392" s="85"/>
      <c r="U392" s="94"/>
      <c r="V392" s="93"/>
      <c r="W392" s="85"/>
      <c r="Y392" s="94"/>
      <c r="Z392" s="93"/>
      <c r="AA392" s="85"/>
      <c r="AC392" s="94"/>
      <c r="AD392" s="93"/>
      <c r="AE392" s="85"/>
    </row>
    <row r="393" spans="7:31" x14ac:dyDescent="0.35">
      <c r="G393" s="85"/>
      <c r="H393" s="87"/>
      <c r="I393" s="94">
        <v>15</v>
      </c>
      <c r="J393" s="93">
        <v>45257</v>
      </c>
      <c r="K393" s="87" t="s">
        <v>2557</v>
      </c>
      <c r="L393" s="87">
        <v>104.64</v>
      </c>
      <c r="M393" s="94"/>
      <c r="N393" s="93"/>
      <c r="O393" s="85"/>
      <c r="Q393" s="94"/>
      <c r="R393" s="93"/>
      <c r="S393" s="85"/>
      <c r="U393" s="94"/>
      <c r="V393" s="93"/>
      <c r="W393" s="85"/>
      <c r="Y393" s="94"/>
      <c r="Z393" s="93"/>
      <c r="AA393" s="85"/>
      <c r="AC393" s="94"/>
      <c r="AD393" s="93"/>
      <c r="AE393" s="85"/>
    </row>
    <row r="394" spans="7:31" x14ac:dyDescent="0.35">
      <c r="G394" s="85"/>
      <c r="H394" s="87"/>
      <c r="I394" s="94">
        <v>13</v>
      </c>
      <c r="J394" s="93">
        <v>45337</v>
      </c>
      <c r="K394" s="87" t="s">
        <v>2558</v>
      </c>
      <c r="L394" s="87">
        <v>519.72</v>
      </c>
      <c r="M394" s="94"/>
      <c r="N394" s="93"/>
      <c r="O394" s="85"/>
      <c r="Q394" s="94"/>
      <c r="R394" s="93"/>
      <c r="S394" s="85"/>
      <c r="U394" s="94"/>
      <c r="V394" s="93"/>
      <c r="W394" s="85"/>
      <c r="Y394" s="94"/>
      <c r="Z394" s="93"/>
      <c r="AA394" s="85"/>
      <c r="AC394" s="94"/>
      <c r="AD394" s="93"/>
      <c r="AE394" s="85"/>
    </row>
    <row r="395" spans="7:31" x14ac:dyDescent="0.35">
      <c r="G395" s="85"/>
      <c r="H395" s="87"/>
      <c r="I395" s="94">
        <v>20</v>
      </c>
      <c r="J395" s="93">
        <v>45330</v>
      </c>
      <c r="K395" s="87" t="s">
        <v>2561</v>
      </c>
      <c r="L395" s="87">
        <v>580</v>
      </c>
      <c r="M395" s="94"/>
      <c r="N395" s="93"/>
      <c r="O395" s="85"/>
      <c r="Q395" s="94"/>
      <c r="R395" s="93"/>
      <c r="S395" s="85"/>
      <c r="U395" s="94"/>
      <c r="V395" s="93"/>
      <c r="W395" s="85"/>
      <c r="Y395" s="94"/>
      <c r="Z395" s="93"/>
      <c r="AA395" s="85"/>
      <c r="AC395" s="94"/>
      <c r="AD395" s="93"/>
      <c r="AE395" s="85"/>
    </row>
    <row r="396" spans="7:31" x14ac:dyDescent="0.35">
      <c r="G396" s="85"/>
      <c r="H396" s="87"/>
      <c r="I396" s="94">
        <v>14</v>
      </c>
      <c r="J396" s="93">
        <v>45348</v>
      </c>
      <c r="K396" s="87" t="s">
        <v>589</v>
      </c>
      <c r="L396" s="87">
        <v>30</v>
      </c>
      <c r="M396" s="94"/>
      <c r="N396" s="93"/>
      <c r="O396" s="85"/>
      <c r="Q396" s="94"/>
      <c r="R396" s="93"/>
      <c r="S396" s="85"/>
      <c r="U396" s="94"/>
      <c r="V396" s="93"/>
      <c r="W396" s="85"/>
      <c r="Y396" s="94"/>
      <c r="Z396" s="93"/>
      <c r="AA396" s="85"/>
      <c r="AC396" s="94"/>
      <c r="AD396" s="93"/>
      <c r="AE396" s="85"/>
    </row>
    <row r="397" spans="7:31" x14ac:dyDescent="0.35">
      <c r="G397" s="85"/>
      <c r="H397" s="87"/>
      <c r="I397" s="94">
        <v>13</v>
      </c>
      <c r="J397" s="93">
        <v>45337</v>
      </c>
      <c r="K397" s="87" t="s">
        <v>2583</v>
      </c>
      <c r="L397" s="87">
        <v>578.26</v>
      </c>
      <c r="M397" s="94"/>
      <c r="N397" s="93"/>
      <c r="O397" s="85"/>
      <c r="Q397" s="94"/>
      <c r="R397" s="93"/>
      <c r="S397" s="85"/>
      <c r="U397" s="94"/>
      <c r="V397" s="93"/>
      <c r="W397" s="85"/>
      <c r="Y397" s="94"/>
      <c r="Z397" s="93"/>
      <c r="AA397" s="85"/>
      <c r="AC397" s="94"/>
      <c r="AD397" s="93"/>
      <c r="AE397" s="85"/>
    </row>
    <row r="398" spans="7:31" x14ac:dyDescent="0.35">
      <c r="G398" s="85"/>
      <c r="H398" s="87"/>
      <c r="I398" s="94">
        <v>16</v>
      </c>
      <c r="J398" s="93">
        <v>45324</v>
      </c>
      <c r="K398" s="87" t="s">
        <v>2589</v>
      </c>
      <c r="L398" s="87">
        <v>3.2</v>
      </c>
      <c r="M398" s="94"/>
      <c r="N398" s="93"/>
      <c r="O398" s="85"/>
      <c r="Q398" s="94"/>
      <c r="R398" s="93"/>
      <c r="S398" s="85"/>
      <c r="U398" s="94"/>
      <c r="V398" s="93"/>
      <c r="W398" s="85"/>
      <c r="Y398" s="94"/>
      <c r="Z398" s="93"/>
      <c r="AA398" s="85"/>
      <c r="AC398" s="94"/>
      <c r="AD398" s="93"/>
      <c r="AE398" s="85"/>
    </row>
    <row r="399" spans="7:31" x14ac:dyDescent="0.35">
      <c r="G399" s="85"/>
      <c r="H399" s="87"/>
      <c r="I399" s="94">
        <v>8</v>
      </c>
      <c r="J399" s="93">
        <v>45324</v>
      </c>
      <c r="K399" s="87" t="s">
        <v>1530</v>
      </c>
      <c r="L399" s="87">
        <v>9.1999999999999993</v>
      </c>
      <c r="M399" s="94"/>
      <c r="N399" s="93"/>
      <c r="O399" s="85"/>
      <c r="Q399" s="94"/>
      <c r="R399" s="93"/>
      <c r="S399" s="85"/>
      <c r="U399" s="94"/>
      <c r="V399" s="93"/>
      <c r="W399" s="85"/>
      <c r="Y399" s="94"/>
      <c r="Z399" s="93"/>
      <c r="AA399" s="85"/>
      <c r="AC399" s="94"/>
      <c r="AD399" s="93"/>
      <c r="AE399" s="85"/>
    </row>
    <row r="400" spans="7:31" x14ac:dyDescent="0.35">
      <c r="G400" s="85"/>
      <c r="H400" s="87"/>
      <c r="I400" s="94">
        <v>8</v>
      </c>
      <c r="J400" s="93">
        <v>45324</v>
      </c>
      <c r="K400" s="87" t="s">
        <v>1558</v>
      </c>
      <c r="L400" s="87">
        <v>12.98</v>
      </c>
      <c r="M400" s="94"/>
      <c r="N400" s="93"/>
      <c r="O400" s="85"/>
      <c r="Q400" s="94"/>
      <c r="R400" s="93"/>
      <c r="S400" s="85"/>
      <c r="U400" s="94"/>
      <c r="V400" s="93"/>
      <c r="W400" s="85"/>
      <c r="Y400" s="94"/>
      <c r="Z400" s="93"/>
      <c r="AA400" s="85"/>
      <c r="AC400" s="94"/>
      <c r="AD400" s="93"/>
      <c r="AE400" s="85"/>
    </row>
    <row r="401" spans="7:31" x14ac:dyDescent="0.35">
      <c r="G401" s="85"/>
      <c r="H401" s="87"/>
      <c r="I401" s="94">
        <v>7</v>
      </c>
      <c r="J401" s="93">
        <v>45330</v>
      </c>
      <c r="K401" s="87" t="s">
        <v>1465</v>
      </c>
      <c r="L401" s="87">
        <v>12.49</v>
      </c>
      <c r="M401" s="94"/>
      <c r="N401" s="93"/>
      <c r="O401" s="85"/>
      <c r="Q401" s="94"/>
      <c r="R401" s="93"/>
      <c r="S401" s="85"/>
      <c r="U401" s="94"/>
      <c r="V401" s="93"/>
      <c r="W401" s="85"/>
      <c r="Y401" s="94"/>
      <c r="Z401" s="93"/>
      <c r="AA401" s="85"/>
      <c r="AC401" s="94"/>
      <c r="AD401" s="93"/>
      <c r="AE401" s="85"/>
    </row>
    <row r="402" spans="7:31" x14ac:dyDescent="0.35">
      <c r="G402" s="85"/>
      <c r="H402" s="87"/>
      <c r="I402" s="94">
        <v>8</v>
      </c>
      <c r="J402" s="93">
        <v>45344</v>
      </c>
      <c r="K402" s="87" t="s">
        <v>1530</v>
      </c>
      <c r="L402" s="87">
        <v>6.08</v>
      </c>
      <c r="M402" s="94"/>
      <c r="N402" s="93"/>
      <c r="O402" s="85"/>
      <c r="Q402" s="94"/>
      <c r="R402" s="93"/>
      <c r="S402" s="85"/>
      <c r="U402" s="94"/>
      <c r="V402" s="93"/>
      <c r="W402" s="85"/>
      <c r="Y402" s="94"/>
      <c r="Z402" s="93"/>
      <c r="AA402" s="85"/>
      <c r="AC402" s="94"/>
      <c r="AD402" s="93"/>
      <c r="AE402" s="85"/>
    </row>
    <row r="403" spans="7:31" x14ac:dyDescent="0.35">
      <c r="G403" s="85"/>
      <c r="H403" s="87"/>
      <c r="I403" s="94">
        <v>14</v>
      </c>
      <c r="J403" s="93">
        <v>45323</v>
      </c>
      <c r="K403" s="87" t="s">
        <v>2345</v>
      </c>
      <c r="L403" s="87">
        <v>119.13</v>
      </c>
      <c r="M403" s="94"/>
      <c r="N403" s="93"/>
      <c r="O403" s="85"/>
      <c r="Q403" s="94"/>
      <c r="R403" s="93"/>
      <c r="S403" s="85"/>
      <c r="U403" s="94"/>
      <c r="V403" s="93"/>
      <c r="W403" s="85"/>
      <c r="Y403" s="94"/>
      <c r="Z403" s="93"/>
      <c r="AA403" s="85"/>
      <c r="AC403" s="94"/>
      <c r="AD403" s="93"/>
      <c r="AE403" s="85"/>
    </row>
    <row r="404" spans="7:31" x14ac:dyDescent="0.35">
      <c r="G404" s="85"/>
      <c r="H404" s="87"/>
      <c r="I404" s="94">
        <v>14</v>
      </c>
      <c r="J404" s="93">
        <v>45323</v>
      </c>
      <c r="K404" s="87" t="s">
        <v>2598</v>
      </c>
      <c r="L404" s="87">
        <v>3.74</v>
      </c>
      <c r="M404" s="94"/>
      <c r="N404" s="93"/>
      <c r="O404" s="85"/>
      <c r="Q404" s="94"/>
      <c r="R404" s="93"/>
      <c r="S404" s="85"/>
      <c r="U404" s="94"/>
      <c r="V404" s="93"/>
      <c r="W404" s="85"/>
      <c r="Y404" s="94"/>
      <c r="Z404" s="93"/>
      <c r="AA404" s="85"/>
      <c r="AC404" s="94"/>
      <c r="AD404" s="93"/>
      <c r="AE404" s="85"/>
    </row>
    <row r="405" spans="7:31" x14ac:dyDescent="0.35">
      <c r="G405" s="85"/>
      <c r="H405" s="87"/>
      <c r="I405" s="94">
        <v>14</v>
      </c>
      <c r="J405" s="93">
        <v>45327</v>
      </c>
      <c r="K405" s="87" t="s">
        <v>2599</v>
      </c>
      <c r="L405" s="87">
        <v>13.3</v>
      </c>
      <c r="M405" s="94"/>
      <c r="N405" s="93"/>
      <c r="O405" s="85"/>
      <c r="Q405" s="94"/>
      <c r="R405" s="93"/>
      <c r="S405" s="85"/>
      <c r="U405" s="94"/>
      <c r="V405" s="93"/>
      <c r="W405" s="85"/>
      <c r="Y405" s="94"/>
      <c r="Z405" s="93"/>
      <c r="AA405" s="85"/>
      <c r="AC405" s="94"/>
      <c r="AD405" s="93"/>
      <c r="AE405" s="85"/>
    </row>
    <row r="406" spans="7:31" x14ac:dyDescent="0.35">
      <c r="G406" s="85"/>
      <c r="H406" s="87"/>
      <c r="I406" s="94">
        <v>14</v>
      </c>
      <c r="J406" s="93">
        <v>45330</v>
      </c>
      <c r="K406" s="87" t="s">
        <v>2600</v>
      </c>
      <c r="L406" s="87">
        <v>96.63</v>
      </c>
      <c r="M406" s="94"/>
      <c r="N406" s="93"/>
      <c r="O406" s="85"/>
      <c r="Q406" s="94"/>
      <c r="R406" s="93"/>
      <c r="S406" s="85"/>
      <c r="U406" s="94"/>
      <c r="V406" s="93"/>
      <c r="W406" s="85"/>
      <c r="Y406" s="94"/>
      <c r="Z406" s="93"/>
      <c r="AA406" s="85"/>
      <c r="AC406" s="94"/>
      <c r="AD406" s="93"/>
      <c r="AE406" s="85"/>
    </row>
    <row r="407" spans="7:31" x14ac:dyDescent="0.35">
      <c r="G407" s="85"/>
      <c r="H407" s="87"/>
      <c r="I407" s="94">
        <v>14</v>
      </c>
      <c r="J407" s="93">
        <v>45335</v>
      </c>
      <c r="K407" s="87" t="s">
        <v>2601</v>
      </c>
      <c r="L407" s="87">
        <v>7.48</v>
      </c>
      <c r="M407" s="94"/>
      <c r="N407" s="93"/>
      <c r="O407" s="85"/>
      <c r="Q407" s="94"/>
      <c r="R407" s="93"/>
      <c r="S407" s="85"/>
      <c r="U407" s="94"/>
      <c r="V407" s="93"/>
      <c r="W407" s="85"/>
      <c r="Y407" s="94"/>
      <c r="Z407" s="93"/>
      <c r="AA407" s="85"/>
      <c r="AC407" s="94"/>
      <c r="AD407" s="93"/>
      <c r="AE407" s="85"/>
    </row>
    <row r="408" spans="7:31" x14ac:dyDescent="0.35">
      <c r="G408" s="85"/>
      <c r="H408" s="87"/>
      <c r="I408" s="94">
        <v>14</v>
      </c>
      <c r="J408" s="93">
        <v>45336</v>
      </c>
      <c r="K408" s="87" t="s">
        <v>2603</v>
      </c>
      <c r="L408" s="87">
        <v>27.49</v>
      </c>
      <c r="M408" s="94"/>
      <c r="N408" s="93"/>
      <c r="O408" s="85"/>
      <c r="Q408" s="94"/>
      <c r="R408" s="93"/>
      <c r="S408" s="85"/>
      <c r="U408" s="94"/>
      <c r="V408" s="93"/>
      <c r="W408" s="85"/>
      <c r="Y408" s="94"/>
      <c r="Z408" s="93"/>
      <c r="AA408" s="85"/>
      <c r="AC408" s="94"/>
      <c r="AD408" s="93"/>
      <c r="AE408" s="85"/>
    </row>
    <row r="409" spans="7:31" x14ac:dyDescent="0.35">
      <c r="G409" s="85"/>
      <c r="H409" s="87"/>
      <c r="I409" s="94">
        <v>20</v>
      </c>
      <c r="J409" s="93">
        <v>45340</v>
      </c>
      <c r="K409" s="87" t="s">
        <v>2605</v>
      </c>
      <c r="L409" s="87">
        <v>559.77</v>
      </c>
      <c r="M409" s="94"/>
      <c r="N409" s="93"/>
      <c r="O409" s="85"/>
      <c r="Q409" s="94"/>
      <c r="R409" s="93"/>
      <c r="S409" s="85"/>
      <c r="U409" s="94"/>
      <c r="V409" s="93"/>
      <c r="W409" s="85"/>
      <c r="Y409" s="94"/>
      <c r="Z409" s="93"/>
      <c r="AA409" s="85"/>
      <c r="AC409" s="94"/>
      <c r="AD409" s="93"/>
      <c r="AE409" s="85"/>
    </row>
    <row r="410" spans="7:31" x14ac:dyDescent="0.35">
      <c r="G410" s="85"/>
      <c r="H410" s="87"/>
      <c r="I410" s="94">
        <v>14</v>
      </c>
      <c r="J410" s="93">
        <v>45293</v>
      </c>
      <c r="K410" s="87" t="s">
        <v>1636</v>
      </c>
      <c r="L410" s="87">
        <v>62.48</v>
      </c>
      <c r="M410" s="94"/>
      <c r="N410" s="93"/>
      <c r="O410" s="85"/>
      <c r="Q410" s="94"/>
      <c r="R410" s="93"/>
      <c r="S410" s="85"/>
      <c r="U410" s="94"/>
      <c r="V410" s="93"/>
      <c r="W410" s="85"/>
      <c r="Y410" s="94"/>
      <c r="Z410" s="93"/>
      <c r="AA410" s="85"/>
      <c r="AC410" s="94"/>
      <c r="AD410" s="93"/>
      <c r="AE410" s="85"/>
    </row>
    <row r="411" spans="7:31" x14ac:dyDescent="0.35">
      <c r="G411" s="85"/>
      <c r="H411" s="87"/>
      <c r="I411" s="94">
        <v>14</v>
      </c>
      <c r="J411" s="93">
        <v>45301</v>
      </c>
      <c r="K411" s="87" t="s">
        <v>2607</v>
      </c>
      <c r="L411" s="87">
        <v>67.06</v>
      </c>
      <c r="M411" s="94"/>
      <c r="N411" s="93"/>
      <c r="O411" s="85"/>
      <c r="Q411" s="94"/>
      <c r="R411" s="93"/>
      <c r="S411" s="85"/>
      <c r="U411" s="94"/>
      <c r="V411" s="93"/>
      <c r="W411" s="85"/>
      <c r="Y411" s="94"/>
      <c r="Z411" s="93"/>
      <c r="AA411" s="85"/>
      <c r="AC411" s="94"/>
      <c r="AD411" s="93"/>
      <c r="AE411" s="85"/>
    </row>
    <row r="412" spans="7:31" x14ac:dyDescent="0.35">
      <c r="G412" s="85"/>
      <c r="H412" s="87"/>
      <c r="I412" s="94">
        <v>8</v>
      </c>
      <c r="J412" s="93">
        <v>45299</v>
      </c>
      <c r="K412" s="87" t="s">
        <v>2612</v>
      </c>
      <c r="L412" s="87">
        <v>7</v>
      </c>
      <c r="M412" s="94"/>
      <c r="N412" s="93"/>
      <c r="O412" s="85"/>
      <c r="Q412" s="94"/>
      <c r="R412" s="93"/>
      <c r="S412" s="85"/>
      <c r="U412" s="94"/>
      <c r="V412" s="93"/>
      <c r="W412" s="85"/>
      <c r="Y412" s="94"/>
      <c r="Z412" s="93"/>
      <c r="AA412" s="85"/>
      <c r="AC412" s="94"/>
      <c r="AD412" s="93"/>
      <c r="AE412" s="85"/>
    </row>
    <row r="413" spans="7:31" x14ac:dyDescent="0.35">
      <c r="G413" s="85"/>
      <c r="H413" s="87"/>
      <c r="I413" s="94">
        <v>8</v>
      </c>
      <c r="J413" s="93">
        <v>45306</v>
      </c>
      <c r="K413" s="87" t="s">
        <v>1578</v>
      </c>
      <c r="L413" s="87">
        <v>12.16</v>
      </c>
      <c r="M413" s="94"/>
      <c r="N413" s="93"/>
      <c r="O413" s="85"/>
      <c r="Q413" s="94"/>
      <c r="R413" s="93"/>
      <c r="S413" s="85"/>
      <c r="U413" s="94"/>
      <c r="V413" s="93"/>
      <c r="W413" s="85"/>
      <c r="Y413" s="94"/>
      <c r="Z413" s="93"/>
      <c r="AA413" s="85"/>
      <c r="AC413" s="94"/>
      <c r="AD413" s="93"/>
      <c r="AE413" s="85"/>
    </row>
    <row r="414" spans="7:31" x14ac:dyDescent="0.35">
      <c r="G414" s="85"/>
      <c r="H414" s="87"/>
      <c r="I414" s="94">
        <v>8</v>
      </c>
      <c r="J414" s="93">
        <v>45308</v>
      </c>
      <c r="K414" s="87" t="s">
        <v>1578</v>
      </c>
      <c r="L414" s="87">
        <v>41.22</v>
      </c>
      <c r="M414" s="94"/>
      <c r="N414" s="93"/>
      <c r="O414" s="85"/>
      <c r="Q414" s="94"/>
      <c r="R414" s="93"/>
      <c r="S414" s="85"/>
      <c r="U414" s="94"/>
      <c r="V414" s="93"/>
      <c r="W414" s="85"/>
      <c r="Y414" s="94"/>
      <c r="Z414" s="93"/>
      <c r="AA414" s="85"/>
      <c r="AC414" s="94"/>
      <c r="AD414" s="93"/>
      <c r="AE414" s="85"/>
    </row>
    <row r="415" spans="7:31" x14ac:dyDescent="0.35">
      <c r="G415" s="85"/>
      <c r="H415" s="87"/>
      <c r="I415" s="94">
        <v>14</v>
      </c>
      <c r="J415" s="93">
        <v>45309</v>
      </c>
      <c r="K415" s="87" t="s">
        <v>2614</v>
      </c>
      <c r="L415" s="87">
        <v>29.55</v>
      </c>
      <c r="M415" s="94"/>
      <c r="N415" s="93"/>
      <c r="O415" s="85"/>
      <c r="Q415" s="94"/>
      <c r="R415" s="93"/>
      <c r="S415" s="85"/>
      <c r="U415" s="94"/>
      <c r="V415" s="93"/>
      <c r="W415" s="85"/>
      <c r="Y415" s="94"/>
      <c r="Z415" s="93"/>
      <c r="AA415" s="85"/>
      <c r="AC415" s="94"/>
      <c r="AD415" s="93"/>
      <c r="AE415" s="85"/>
    </row>
    <row r="416" spans="7:31" x14ac:dyDescent="0.35">
      <c r="G416" s="85"/>
      <c r="H416" s="87"/>
      <c r="I416" s="94">
        <v>16</v>
      </c>
      <c r="J416" s="93">
        <v>45309</v>
      </c>
      <c r="K416" s="87" t="s">
        <v>2615</v>
      </c>
      <c r="L416" s="87">
        <v>25</v>
      </c>
      <c r="M416" s="94"/>
      <c r="N416" s="93"/>
      <c r="O416" s="85"/>
      <c r="Q416" s="94"/>
      <c r="R416" s="93"/>
      <c r="S416" s="85"/>
      <c r="U416" s="94"/>
      <c r="V416" s="93"/>
      <c r="W416" s="85"/>
      <c r="Y416" s="94"/>
      <c r="Z416" s="93"/>
      <c r="AA416" s="85"/>
      <c r="AC416" s="94"/>
      <c r="AD416" s="93"/>
      <c r="AE416" s="85"/>
    </row>
    <row r="417" spans="7:31" x14ac:dyDescent="0.35">
      <c r="G417" s="85"/>
      <c r="H417" s="87"/>
      <c r="I417" s="94">
        <v>16</v>
      </c>
      <c r="J417" s="93">
        <v>45312</v>
      </c>
      <c r="K417" s="87" t="s">
        <v>1516</v>
      </c>
      <c r="L417" s="87">
        <v>20.82</v>
      </c>
      <c r="M417" s="94"/>
      <c r="N417" s="93"/>
      <c r="O417" s="85"/>
      <c r="Q417" s="94"/>
      <c r="R417" s="93"/>
      <c r="S417" s="85"/>
      <c r="U417" s="94"/>
      <c r="V417" s="93"/>
      <c r="W417" s="85"/>
      <c r="Y417" s="94"/>
      <c r="Z417" s="93"/>
      <c r="AA417" s="85"/>
      <c r="AC417" s="94"/>
      <c r="AD417" s="93"/>
      <c r="AE417" s="85"/>
    </row>
    <row r="418" spans="7:31" x14ac:dyDescent="0.35">
      <c r="G418" s="85"/>
      <c r="H418" s="87"/>
      <c r="I418" s="94">
        <v>16</v>
      </c>
      <c r="J418" s="93">
        <v>45316</v>
      </c>
      <c r="K418" s="87" t="s">
        <v>1580</v>
      </c>
      <c r="L418" s="87">
        <v>15</v>
      </c>
      <c r="M418" s="94"/>
      <c r="N418" s="93"/>
      <c r="O418" s="85"/>
      <c r="Q418" s="94"/>
      <c r="R418" s="93"/>
      <c r="S418" s="85"/>
      <c r="U418" s="94"/>
      <c r="V418" s="93"/>
      <c r="W418" s="85"/>
      <c r="Y418" s="94"/>
      <c r="Z418" s="93"/>
      <c r="AA418" s="85"/>
      <c r="AC418" s="94"/>
      <c r="AD418" s="93"/>
      <c r="AE418" s="85"/>
    </row>
    <row r="419" spans="7:31" x14ac:dyDescent="0.35">
      <c r="G419" s="85"/>
      <c r="H419" s="87"/>
      <c r="I419" s="94">
        <v>8</v>
      </c>
      <c r="J419" s="93">
        <v>45321</v>
      </c>
      <c r="K419" s="87" t="s">
        <v>2617</v>
      </c>
      <c r="L419" s="87">
        <v>0.99</v>
      </c>
      <c r="M419" s="94"/>
      <c r="N419" s="93"/>
      <c r="O419" s="85"/>
      <c r="Q419" s="94"/>
      <c r="R419" s="93"/>
      <c r="S419" s="85"/>
      <c r="U419" s="94"/>
      <c r="V419" s="93"/>
      <c r="W419" s="85"/>
      <c r="Y419" s="94"/>
      <c r="Z419" s="93"/>
      <c r="AA419" s="85"/>
      <c r="AC419" s="94"/>
      <c r="AD419" s="93"/>
      <c r="AE419" s="85"/>
    </row>
    <row r="420" spans="7:31" x14ac:dyDescent="0.35">
      <c r="G420" s="85"/>
      <c r="H420" s="87"/>
      <c r="I420" s="94">
        <v>8</v>
      </c>
      <c r="J420" s="93">
        <v>45321</v>
      </c>
      <c r="K420" s="87" t="s">
        <v>1578</v>
      </c>
      <c r="L420" s="87">
        <v>21.25</v>
      </c>
      <c r="M420" s="94"/>
      <c r="N420" s="93"/>
      <c r="O420" s="85"/>
      <c r="Q420" s="94"/>
      <c r="R420" s="93"/>
      <c r="S420" s="85"/>
      <c r="U420" s="94"/>
      <c r="V420" s="93"/>
      <c r="W420" s="85"/>
      <c r="Y420" s="94"/>
      <c r="Z420" s="93"/>
      <c r="AA420" s="85"/>
      <c r="AC420" s="94"/>
      <c r="AD420" s="93"/>
      <c r="AE420" s="85"/>
    </row>
    <row r="421" spans="7:31" x14ac:dyDescent="0.35">
      <c r="G421" s="85"/>
      <c r="H421" s="87"/>
      <c r="I421" s="94">
        <v>16</v>
      </c>
      <c r="J421" s="93">
        <v>45323</v>
      </c>
      <c r="K421" s="87" t="s">
        <v>1580</v>
      </c>
      <c r="L421" s="87">
        <v>2.75</v>
      </c>
      <c r="M421" s="94"/>
      <c r="N421" s="93"/>
      <c r="O421" s="85"/>
      <c r="Q421" s="94"/>
      <c r="R421" s="93"/>
      <c r="S421" s="85"/>
      <c r="U421" s="94"/>
      <c r="V421" s="93"/>
      <c r="W421" s="85"/>
      <c r="Y421" s="94"/>
      <c r="Z421" s="93"/>
      <c r="AA421" s="85"/>
      <c r="AC421" s="94"/>
      <c r="AD421" s="93"/>
      <c r="AE421" s="85"/>
    </row>
    <row r="422" spans="7:31" x14ac:dyDescent="0.35">
      <c r="G422" s="85"/>
      <c r="H422" s="87"/>
      <c r="I422" s="94">
        <v>16</v>
      </c>
      <c r="J422" s="93">
        <v>45313</v>
      </c>
      <c r="K422" s="87" t="s">
        <v>2619</v>
      </c>
      <c r="L422" s="87">
        <v>4.1399999999999997</v>
      </c>
      <c r="M422" s="94"/>
      <c r="N422" s="93"/>
      <c r="O422" s="85"/>
      <c r="Q422" s="94"/>
      <c r="R422" s="93"/>
      <c r="S422" s="85"/>
      <c r="U422" s="94"/>
      <c r="V422" s="93"/>
      <c r="W422" s="85"/>
      <c r="Y422" s="94"/>
      <c r="Z422" s="93"/>
      <c r="AA422" s="85"/>
      <c r="AC422" s="94"/>
      <c r="AD422" s="93"/>
      <c r="AE422" s="85"/>
    </row>
    <row r="423" spans="7:31" x14ac:dyDescent="0.35">
      <c r="G423" s="85"/>
      <c r="H423" s="87"/>
      <c r="I423" s="94">
        <v>8</v>
      </c>
      <c r="J423" s="93">
        <v>45314</v>
      </c>
      <c r="K423" s="87" t="s">
        <v>1512</v>
      </c>
      <c r="L423" s="87">
        <v>44.99</v>
      </c>
      <c r="M423" s="94"/>
      <c r="N423" s="93"/>
      <c r="O423" s="85"/>
      <c r="Q423" s="94"/>
      <c r="R423" s="93"/>
      <c r="S423" s="85"/>
      <c r="U423" s="94"/>
      <c r="V423" s="93"/>
      <c r="W423" s="85"/>
      <c r="Y423" s="94"/>
      <c r="Z423" s="93"/>
      <c r="AA423" s="85"/>
      <c r="AC423" s="94"/>
      <c r="AD423" s="93"/>
      <c r="AE423" s="85"/>
    </row>
    <row r="424" spans="7:31" x14ac:dyDescent="0.35">
      <c r="G424" s="85"/>
      <c r="H424" s="87"/>
      <c r="I424" s="94">
        <v>14</v>
      </c>
      <c r="J424" s="93">
        <v>45314</v>
      </c>
      <c r="K424" s="87" t="s">
        <v>1673</v>
      </c>
      <c r="L424" s="87">
        <v>27.82</v>
      </c>
      <c r="M424" s="94"/>
      <c r="N424" s="93"/>
      <c r="O424" s="85"/>
      <c r="Q424" s="94"/>
      <c r="R424" s="93"/>
      <c r="S424" s="85"/>
      <c r="U424" s="94"/>
      <c r="V424" s="93"/>
      <c r="W424" s="85"/>
      <c r="Y424" s="94"/>
      <c r="Z424" s="93"/>
      <c r="AA424" s="85"/>
      <c r="AC424" s="94"/>
      <c r="AD424" s="93"/>
      <c r="AE424" s="85"/>
    </row>
    <row r="425" spans="7:31" x14ac:dyDescent="0.35">
      <c r="G425" s="85"/>
      <c r="H425" s="87"/>
      <c r="I425" s="94">
        <v>14</v>
      </c>
      <c r="J425" s="93">
        <v>45314</v>
      </c>
      <c r="K425" s="87" t="s">
        <v>2620</v>
      </c>
      <c r="L425" s="87">
        <v>16.66</v>
      </c>
      <c r="M425" s="94"/>
      <c r="N425" s="93"/>
      <c r="O425" s="85"/>
      <c r="Q425" s="94"/>
      <c r="R425" s="93"/>
      <c r="S425" s="85"/>
      <c r="U425" s="94"/>
      <c r="V425" s="93"/>
      <c r="W425" s="85"/>
      <c r="Y425" s="94"/>
      <c r="Z425" s="93"/>
      <c r="AA425" s="85"/>
      <c r="AC425" s="94"/>
      <c r="AD425" s="93"/>
      <c r="AE425" s="85"/>
    </row>
    <row r="426" spans="7:31" x14ac:dyDescent="0.35">
      <c r="G426" s="85"/>
      <c r="H426" s="87"/>
      <c r="I426" s="94">
        <v>14</v>
      </c>
      <c r="J426" s="93">
        <v>45315</v>
      </c>
      <c r="K426" s="87" t="s">
        <v>2621</v>
      </c>
      <c r="L426" s="87">
        <v>66.64</v>
      </c>
      <c r="M426" s="94"/>
      <c r="N426" s="93"/>
      <c r="O426" s="85"/>
      <c r="Q426" s="94"/>
      <c r="R426" s="93"/>
      <c r="S426" s="85"/>
      <c r="U426" s="94"/>
      <c r="V426" s="93"/>
      <c r="W426" s="85"/>
      <c r="Y426" s="94"/>
      <c r="Z426" s="93"/>
      <c r="AA426" s="85"/>
      <c r="AC426" s="94"/>
      <c r="AD426" s="93"/>
      <c r="AE426" s="85"/>
    </row>
    <row r="427" spans="7:31" x14ac:dyDescent="0.35">
      <c r="G427" s="85"/>
      <c r="H427" s="87"/>
      <c r="I427" s="94">
        <v>14</v>
      </c>
      <c r="J427" s="93">
        <v>45315</v>
      </c>
      <c r="K427" s="87" t="s">
        <v>2622</v>
      </c>
      <c r="L427" s="87">
        <v>29.98</v>
      </c>
      <c r="M427" s="94"/>
      <c r="N427" s="93"/>
      <c r="O427" s="85"/>
      <c r="Q427" s="94"/>
      <c r="R427" s="93"/>
      <c r="S427" s="85"/>
      <c r="U427" s="94"/>
      <c r="V427" s="93"/>
      <c r="W427" s="85"/>
      <c r="Y427" s="94"/>
      <c r="Z427" s="93"/>
      <c r="AA427" s="85"/>
      <c r="AC427" s="94"/>
      <c r="AD427" s="93"/>
      <c r="AE427" s="85"/>
    </row>
    <row r="428" spans="7:31" x14ac:dyDescent="0.35">
      <c r="G428" s="85"/>
      <c r="H428" s="87"/>
      <c r="I428" s="94">
        <v>14</v>
      </c>
      <c r="J428" s="93">
        <v>45315</v>
      </c>
      <c r="K428" s="87" t="s">
        <v>2625</v>
      </c>
      <c r="L428" s="87">
        <v>16.66</v>
      </c>
      <c r="M428" s="94"/>
      <c r="N428" s="93"/>
      <c r="O428" s="85"/>
      <c r="Q428" s="94"/>
      <c r="R428" s="93"/>
      <c r="S428" s="85"/>
      <c r="U428" s="94"/>
      <c r="V428" s="93"/>
      <c r="W428" s="85"/>
      <c r="Y428" s="94"/>
      <c r="Z428" s="93"/>
      <c r="AA428" s="85"/>
      <c r="AC428" s="94"/>
      <c r="AD428" s="93"/>
      <c r="AE428" s="85"/>
    </row>
    <row r="429" spans="7:31" x14ac:dyDescent="0.35">
      <c r="G429" s="85"/>
      <c r="H429" s="87"/>
      <c r="I429" s="94">
        <v>20</v>
      </c>
      <c r="J429" s="93">
        <v>45657</v>
      </c>
      <c r="K429" s="87" t="s">
        <v>2626</v>
      </c>
      <c r="L429" s="87">
        <v>2680</v>
      </c>
      <c r="M429" s="94"/>
      <c r="N429" s="93"/>
      <c r="O429" s="85"/>
      <c r="Q429" s="94"/>
      <c r="R429" s="93"/>
      <c r="S429" s="85"/>
      <c r="U429" s="94"/>
      <c r="V429" s="93"/>
      <c r="W429" s="85"/>
      <c r="Y429" s="94"/>
      <c r="Z429" s="93"/>
      <c r="AA429" s="85"/>
      <c r="AC429" s="94"/>
      <c r="AD429" s="93"/>
      <c r="AE429" s="85"/>
    </row>
    <row r="430" spans="7:31" x14ac:dyDescent="0.35">
      <c r="G430" s="85"/>
      <c r="H430" s="87"/>
      <c r="I430" s="94" t="s">
        <v>23</v>
      </c>
      <c r="J430" s="93" t="s">
        <v>1929</v>
      </c>
      <c r="K430" s="87" t="s">
        <v>2627</v>
      </c>
      <c r="L430" s="87">
        <f>5119-L429</f>
        <v>2439</v>
      </c>
      <c r="M430" s="94"/>
      <c r="N430" s="93"/>
      <c r="O430" s="85"/>
      <c r="Q430" s="94"/>
      <c r="R430" s="93"/>
      <c r="S430" s="85"/>
      <c r="U430" s="94"/>
      <c r="V430" s="93"/>
      <c r="W430" s="85"/>
      <c r="Y430" s="94"/>
      <c r="Z430" s="93"/>
      <c r="AA430" s="85"/>
      <c r="AC430" s="94"/>
      <c r="AD430" s="93"/>
      <c r="AE430" s="85"/>
    </row>
    <row r="431" spans="7:31" x14ac:dyDescent="0.35">
      <c r="G431" s="85"/>
      <c r="H431" s="87"/>
      <c r="I431" s="94">
        <v>7</v>
      </c>
      <c r="J431" s="93">
        <v>45355</v>
      </c>
      <c r="K431" s="87" t="s">
        <v>1510</v>
      </c>
      <c r="L431" s="87">
        <v>16.649999999999999</v>
      </c>
      <c r="M431" s="94"/>
      <c r="N431" s="93"/>
      <c r="O431" s="85"/>
      <c r="Q431" s="94"/>
      <c r="R431" s="93"/>
      <c r="S431" s="85"/>
      <c r="U431" s="94"/>
      <c r="V431" s="93"/>
      <c r="W431" s="85"/>
      <c r="Y431" s="94"/>
      <c r="Z431" s="93"/>
      <c r="AA431" s="85"/>
      <c r="AC431" s="94"/>
      <c r="AD431" s="93"/>
      <c r="AE431" s="85"/>
    </row>
    <row r="432" spans="7:31" x14ac:dyDescent="0.35">
      <c r="G432" s="85"/>
      <c r="H432" s="87"/>
      <c r="I432" s="94">
        <v>14</v>
      </c>
      <c r="J432" s="93">
        <v>45357</v>
      </c>
      <c r="K432" s="87" t="s">
        <v>2629</v>
      </c>
      <c r="L432" s="87">
        <v>106.5</v>
      </c>
      <c r="M432" s="94"/>
      <c r="N432" s="93"/>
      <c r="O432" s="85"/>
      <c r="Q432" s="94"/>
      <c r="R432" s="93"/>
      <c r="S432" s="85"/>
      <c r="U432" s="94"/>
      <c r="V432" s="93"/>
      <c r="W432" s="85"/>
      <c r="Y432" s="94"/>
      <c r="Z432" s="93"/>
      <c r="AA432" s="85"/>
      <c r="AC432" s="94"/>
      <c r="AD432" s="93"/>
      <c r="AE432" s="85"/>
    </row>
    <row r="433" spans="7:31" x14ac:dyDescent="0.35">
      <c r="G433" s="85"/>
      <c r="H433" s="87"/>
      <c r="I433" s="94">
        <v>14</v>
      </c>
      <c r="J433" s="93">
        <v>45355</v>
      </c>
      <c r="K433" s="87" t="s">
        <v>2635</v>
      </c>
      <c r="L433" s="87">
        <v>1638.92</v>
      </c>
      <c r="M433" s="94"/>
      <c r="N433" s="93"/>
      <c r="O433" s="85"/>
      <c r="Q433" s="94"/>
      <c r="R433" s="93"/>
      <c r="S433" s="85"/>
      <c r="U433" s="94"/>
      <c r="V433" s="93"/>
      <c r="W433" s="85"/>
      <c r="Y433" s="94"/>
      <c r="Z433" s="93"/>
      <c r="AA433" s="85"/>
      <c r="AC433" s="94"/>
      <c r="AD433" s="93"/>
      <c r="AE433" s="85"/>
    </row>
    <row r="434" spans="7:31" x14ac:dyDescent="0.35">
      <c r="G434" s="85"/>
      <c r="H434" s="87"/>
      <c r="I434" s="94">
        <v>13</v>
      </c>
      <c r="J434" s="93">
        <v>45352</v>
      </c>
      <c r="K434" s="87" t="s">
        <v>2638</v>
      </c>
      <c r="L434" s="87">
        <v>1708.33</v>
      </c>
      <c r="M434" s="94"/>
      <c r="N434" s="93"/>
      <c r="O434" s="85"/>
      <c r="Q434" s="94"/>
      <c r="R434" s="93"/>
      <c r="S434" s="85"/>
      <c r="U434" s="94"/>
      <c r="V434" s="93"/>
      <c r="W434" s="85"/>
      <c r="Y434" s="94"/>
      <c r="Z434" s="93"/>
      <c r="AA434" s="85"/>
      <c r="AC434" s="94"/>
      <c r="AD434" s="93"/>
      <c r="AE434" s="85"/>
    </row>
    <row r="435" spans="7:31" x14ac:dyDescent="0.35">
      <c r="G435" s="85"/>
      <c r="H435" s="87"/>
      <c r="I435" s="94">
        <v>18</v>
      </c>
      <c r="J435" s="93">
        <v>45357</v>
      </c>
      <c r="K435" s="87" t="s">
        <v>2639</v>
      </c>
      <c r="L435" s="87">
        <v>52.49</v>
      </c>
      <c r="M435" s="94"/>
      <c r="N435" s="93"/>
      <c r="O435" s="85"/>
      <c r="Q435" s="94"/>
      <c r="R435" s="93"/>
      <c r="S435" s="85"/>
      <c r="U435" s="94"/>
      <c r="V435" s="93"/>
      <c r="W435" s="85"/>
      <c r="Y435" s="94"/>
      <c r="Z435" s="93"/>
      <c r="AA435" s="85"/>
      <c r="AC435" s="94"/>
      <c r="AD435" s="93"/>
      <c r="AE435" s="85"/>
    </row>
    <row r="436" spans="7:31" x14ac:dyDescent="0.35">
      <c r="G436" s="85"/>
      <c r="H436" s="87"/>
      <c r="I436" s="94">
        <v>7</v>
      </c>
      <c r="J436" s="93">
        <v>45359</v>
      </c>
      <c r="K436" s="87" t="s">
        <v>1465</v>
      </c>
      <c r="L436" s="87">
        <v>13.32</v>
      </c>
      <c r="M436" s="94"/>
      <c r="N436" s="93"/>
      <c r="O436" s="85"/>
      <c r="Q436" s="94"/>
      <c r="R436" s="93"/>
      <c r="S436" s="85"/>
      <c r="U436" s="94"/>
      <c r="V436" s="93"/>
      <c r="W436" s="85"/>
      <c r="Y436" s="94"/>
      <c r="Z436" s="93"/>
      <c r="AA436" s="85"/>
      <c r="AC436" s="94"/>
      <c r="AD436" s="93"/>
      <c r="AE436" s="85"/>
    </row>
    <row r="437" spans="7:31" x14ac:dyDescent="0.35">
      <c r="G437" s="85"/>
      <c r="H437" s="87"/>
      <c r="I437" s="94">
        <v>14</v>
      </c>
      <c r="J437" s="93">
        <v>45328</v>
      </c>
      <c r="K437" s="87" t="s">
        <v>2643</v>
      </c>
      <c r="L437" s="87">
        <v>10.07</v>
      </c>
      <c r="M437" s="94"/>
      <c r="N437" s="93"/>
      <c r="O437" s="85"/>
      <c r="Q437" s="94"/>
      <c r="R437" s="93"/>
      <c r="S437" s="85"/>
      <c r="U437" s="94"/>
      <c r="V437" s="93"/>
      <c r="W437" s="85"/>
      <c r="Y437" s="94"/>
      <c r="Z437" s="93"/>
      <c r="AA437" s="85"/>
      <c r="AC437" s="94"/>
      <c r="AD437" s="93"/>
      <c r="AE437" s="85"/>
    </row>
    <row r="438" spans="7:31" x14ac:dyDescent="0.35">
      <c r="G438" s="85"/>
      <c r="H438" s="87"/>
      <c r="I438" s="94">
        <v>8</v>
      </c>
      <c r="J438" s="93">
        <v>45334</v>
      </c>
      <c r="K438" s="87" t="s">
        <v>1579</v>
      </c>
      <c r="L438" s="87">
        <v>19.7</v>
      </c>
      <c r="M438" s="94"/>
      <c r="N438" s="93"/>
      <c r="O438" s="85"/>
      <c r="Q438" s="94"/>
      <c r="R438" s="93"/>
      <c r="S438" s="85"/>
      <c r="U438" s="94"/>
      <c r="V438" s="93"/>
      <c r="W438" s="85"/>
      <c r="Y438" s="94"/>
      <c r="Z438" s="93"/>
      <c r="AA438" s="85"/>
      <c r="AC438" s="94"/>
      <c r="AD438" s="93"/>
      <c r="AE438" s="85"/>
    </row>
    <row r="439" spans="7:31" x14ac:dyDescent="0.35">
      <c r="G439" s="85"/>
      <c r="H439" s="87"/>
      <c r="I439" s="94">
        <v>14</v>
      </c>
      <c r="J439" s="93">
        <v>45344</v>
      </c>
      <c r="K439" s="87" t="s">
        <v>2644</v>
      </c>
      <c r="L439" s="87">
        <v>23.14</v>
      </c>
      <c r="M439" s="94"/>
      <c r="N439" s="93"/>
      <c r="O439" s="85"/>
      <c r="Q439" s="94"/>
      <c r="R439" s="93"/>
      <c r="S439" s="85"/>
      <c r="U439" s="94"/>
      <c r="V439" s="93"/>
      <c r="W439" s="85"/>
      <c r="Y439" s="94"/>
      <c r="Z439" s="93"/>
      <c r="AA439" s="85"/>
      <c r="AC439" s="94"/>
      <c r="AD439" s="93"/>
      <c r="AE439" s="85"/>
    </row>
    <row r="440" spans="7:31" x14ac:dyDescent="0.35">
      <c r="G440" s="85"/>
      <c r="H440" s="87"/>
      <c r="I440" s="94">
        <v>18</v>
      </c>
      <c r="J440" s="93">
        <v>45347</v>
      </c>
      <c r="K440" s="87" t="s">
        <v>2645</v>
      </c>
      <c r="L440" s="87">
        <v>229.92</v>
      </c>
      <c r="M440" s="94"/>
      <c r="N440" s="93"/>
      <c r="O440" s="85"/>
      <c r="Q440" s="94"/>
      <c r="R440" s="93"/>
      <c r="S440" s="85"/>
      <c r="U440" s="94"/>
      <c r="V440" s="93"/>
      <c r="W440" s="85"/>
      <c r="Y440" s="94"/>
      <c r="Z440" s="93"/>
      <c r="AA440" s="85"/>
      <c r="AC440" s="94"/>
      <c r="AD440" s="93"/>
      <c r="AE440" s="85"/>
    </row>
    <row r="441" spans="7:31" x14ac:dyDescent="0.35">
      <c r="G441" s="85"/>
      <c r="H441" s="87"/>
      <c r="I441" s="94">
        <v>16</v>
      </c>
      <c r="J441" s="93">
        <v>45347</v>
      </c>
      <c r="K441" s="87" t="s">
        <v>1674</v>
      </c>
      <c r="L441" s="87">
        <v>16.420000000000002</v>
      </c>
      <c r="M441" s="94"/>
      <c r="N441" s="93"/>
      <c r="O441" s="85"/>
      <c r="Q441" s="94"/>
      <c r="R441" s="93"/>
      <c r="S441" s="85"/>
      <c r="U441" s="94"/>
      <c r="V441" s="93"/>
      <c r="W441" s="85"/>
      <c r="Y441" s="94"/>
      <c r="Z441" s="93"/>
      <c r="AA441" s="85"/>
      <c r="AC441" s="94"/>
      <c r="AD441" s="93"/>
      <c r="AE441" s="85"/>
    </row>
    <row r="442" spans="7:31" x14ac:dyDescent="0.35">
      <c r="G442" s="85"/>
      <c r="H442" s="87"/>
      <c r="I442" s="94">
        <v>8</v>
      </c>
      <c r="J442" s="93">
        <v>45348</v>
      </c>
      <c r="K442" s="87" t="s">
        <v>1579</v>
      </c>
      <c r="L442" s="87">
        <v>6</v>
      </c>
      <c r="M442" s="94"/>
      <c r="N442" s="93"/>
      <c r="O442" s="85"/>
      <c r="Q442" s="94"/>
      <c r="R442" s="93"/>
      <c r="S442" s="85"/>
      <c r="U442" s="94"/>
      <c r="V442" s="93"/>
      <c r="W442" s="85"/>
      <c r="Y442" s="94"/>
      <c r="Z442" s="93"/>
      <c r="AA442" s="85"/>
      <c r="AC442" s="94"/>
      <c r="AD442" s="93"/>
      <c r="AE442" s="85"/>
    </row>
    <row r="443" spans="7:31" x14ac:dyDescent="0.35">
      <c r="G443" s="85"/>
      <c r="H443" s="87"/>
      <c r="I443" s="94">
        <v>8</v>
      </c>
      <c r="J443" s="93">
        <v>45348</v>
      </c>
      <c r="K443" s="87" t="s">
        <v>1579</v>
      </c>
      <c r="L443" s="87">
        <v>3.35</v>
      </c>
      <c r="M443" s="94"/>
      <c r="N443" s="93"/>
      <c r="O443" s="85"/>
      <c r="Q443" s="94"/>
      <c r="R443" s="93"/>
      <c r="S443" s="85"/>
      <c r="U443" s="94"/>
      <c r="V443" s="93"/>
      <c r="W443" s="85"/>
      <c r="Y443" s="94"/>
      <c r="Z443" s="93"/>
      <c r="AA443" s="85"/>
      <c r="AC443" s="94"/>
      <c r="AD443" s="93"/>
      <c r="AE443" s="85"/>
    </row>
    <row r="444" spans="7:31" x14ac:dyDescent="0.35">
      <c r="G444" s="85"/>
      <c r="H444" s="87"/>
      <c r="I444" s="94">
        <v>14</v>
      </c>
      <c r="J444" s="93">
        <v>45349</v>
      </c>
      <c r="K444" s="87" t="s">
        <v>2647</v>
      </c>
      <c r="L444" s="87">
        <v>27.48</v>
      </c>
      <c r="M444" s="94"/>
      <c r="N444" s="93"/>
      <c r="O444" s="85"/>
      <c r="Q444" s="94"/>
      <c r="R444" s="93"/>
      <c r="S444" s="85"/>
      <c r="U444" s="94"/>
      <c r="V444" s="93"/>
      <c r="W444" s="85"/>
      <c r="Y444" s="94"/>
      <c r="Z444" s="93"/>
      <c r="AA444" s="85"/>
      <c r="AC444" s="94"/>
      <c r="AD444" s="93"/>
      <c r="AE444" s="85"/>
    </row>
    <row r="445" spans="7:31" x14ac:dyDescent="0.35">
      <c r="G445" s="85"/>
      <c r="H445" s="87"/>
      <c r="I445" s="94">
        <v>8</v>
      </c>
      <c r="J445" s="93">
        <v>45351</v>
      </c>
      <c r="K445" s="87" t="s">
        <v>1579</v>
      </c>
      <c r="L445" s="87">
        <v>15</v>
      </c>
      <c r="M445" s="94"/>
      <c r="N445" s="93"/>
      <c r="O445" s="85"/>
      <c r="Q445" s="94"/>
      <c r="R445" s="93"/>
      <c r="S445" s="85"/>
      <c r="U445" s="94"/>
      <c r="V445" s="93"/>
      <c r="W445" s="85"/>
      <c r="Y445" s="94"/>
      <c r="Z445" s="93"/>
      <c r="AA445" s="85"/>
      <c r="AC445" s="94"/>
      <c r="AD445" s="93"/>
      <c r="AE445" s="85"/>
    </row>
    <row r="446" spans="7:31" x14ac:dyDescent="0.35">
      <c r="G446" s="85"/>
      <c r="H446" s="87"/>
      <c r="I446" s="94">
        <v>8</v>
      </c>
      <c r="J446" s="93">
        <v>45351</v>
      </c>
      <c r="K446" s="87" t="s">
        <v>2617</v>
      </c>
      <c r="L446" s="87">
        <v>3.27</v>
      </c>
      <c r="M446" s="94"/>
      <c r="N446" s="93"/>
      <c r="O446" s="85"/>
      <c r="Q446" s="94"/>
      <c r="R446" s="93"/>
      <c r="S446" s="85"/>
      <c r="U446" s="94"/>
      <c r="V446" s="93"/>
      <c r="W446" s="85"/>
      <c r="Y446" s="94"/>
      <c r="Z446" s="93"/>
      <c r="AA446" s="85"/>
      <c r="AC446" s="94"/>
      <c r="AD446" s="93"/>
      <c r="AE446" s="85"/>
    </row>
    <row r="447" spans="7:31" x14ac:dyDescent="0.35">
      <c r="G447" s="85"/>
      <c r="H447" s="87"/>
      <c r="I447" s="94">
        <v>16</v>
      </c>
      <c r="J447" s="93">
        <v>45336</v>
      </c>
      <c r="K447" s="87" t="s">
        <v>1674</v>
      </c>
      <c r="L447" s="87">
        <v>9.4700000000000006</v>
      </c>
      <c r="M447" s="94"/>
      <c r="N447" s="93"/>
      <c r="O447" s="85"/>
      <c r="Q447" s="94"/>
      <c r="R447" s="93"/>
      <c r="S447" s="85"/>
      <c r="U447" s="94"/>
      <c r="V447" s="93"/>
      <c r="W447" s="85"/>
      <c r="Y447" s="94"/>
      <c r="Z447" s="93"/>
      <c r="AA447" s="85"/>
      <c r="AC447" s="94"/>
      <c r="AD447" s="93"/>
      <c r="AE447" s="85"/>
    </row>
    <row r="448" spans="7:31" x14ac:dyDescent="0.35">
      <c r="G448" s="85"/>
      <c r="H448" s="87"/>
      <c r="I448" s="94">
        <v>18</v>
      </c>
      <c r="J448" s="93">
        <v>45337</v>
      </c>
      <c r="K448" s="87" t="s">
        <v>2650</v>
      </c>
      <c r="L448" s="87">
        <v>6.18</v>
      </c>
      <c r="M448" s="94"/>
      <c r="N448" s="93"/>
      <c r="O448" s="85"/>
      <c r="Q448" s="94"/>
      <c r="R448" s="93"/>
      <c r="S448" s="85"/>
      <c r="U448" s="94"/>
      <c r="V448" s="93"/>
      <c r="W448" s="85"/>
      <c r="Y448" s="94"/>
      <c r="Z448" s="93"/>
      <c r="AA448" s="85"/>
      <c r="AC448" s="94"/>
      <c r="AD448" s="93"/>
      <c r="AE448" s="85"/>
    </row>
    <row r="449" spans="7:31" x14ac:dyDescent="0.35">
      <c r="G449" s="85"/>
      <c r="H449" s="87"/>
      <c r="I449" s="94">
        <v>8</v>
      </c>
      <c r="J449" s="93">
        <v>45345</v>
      </c>
      <c r="K449" s="87" t="s">
        <v>1512</v>
      </c>
      <c r="L449" s="87">
        <v>44.99</v>
      </c>
      <c r="M449" s="94"/>
      <c r="N449" s="93"/>
      <c r="O449" s="85"/>
      <c r="Q449" s="94"/>
      <c r="R449" s="93"/>
      <c r="S449" s="85"/>
      <c r="U449" s="94"/>
      <c r="V449" s="93"/>
      <c r="W449" s="85"/>
      <c r="Y449" s="94"/>
      <c r="Z449" s="93"/>
      <c r="AA449" s="85"/>
      <c r="AC449" s="94"/>
      <c r="AD449" s="93"/>
      <c r="AE449" s="85"/>
    </row>
    <row r="450" spans="7:31" x14ac:dyDescent="0.35">
      <c r="G450" s="85"/>
      <c r="H450" s="87"/>
      <c r="I450" s="94">
        <v>18</v>
      </c>
      <c r="J450" s="93">
        <v>45349</v>
      </c>
      <c r="K450" s="87" t="s">
        <v>2653</v>
      </c>
      <c r="L450" s="87">
        <v>25</v>
      </c>
      <c r="M450" s="94"/>
      <c r="N450" s="93"/>
      <c r="O450" s="85"/>
      <c r="Q450" s="94"/>
      <c r="R450" s="93"/>
      <c r="S450" s="85"/>
      <c r="U450" s="94"/>
      <c r="V450" s="93"/>
      <c r="W450" s="85"/>
      <c r="Y450" s="94"/>
      <c r="Z450" s="93"/>
      <c r="AA450" s="85"/>
      <c r="AC450" s="94"/>
      <c r="AD450" s="93"/>
      <c r="AE450" s="85"/>
    </row>
    <row r="451" spans="7:31" x14ac:dyDescent="0.35">
      <c r="G451" s="85"/>
      <c r="H451" s="87"/>
      <c r="I451" s="94">
        <v>14</v>
      </c>
      <c r="J451" s="93">
        <v>45349</v>
      </c>
      <c r="K451" s="87" t="s">
        <v>2654</v>
      </c>
      <c r="L451" s="87">
        <v>21.64</v>
      </c>
      <c r="M451" s="94"/>
      <c r="N451" s="93"/>
      <c r="O451" s="85"/>
      <c r="Q451" s="94"/>
      <c r="R451" s="93"/>
      <c r="S451" s="85"/>
      <c r="U451" s="94"/>
      <c r="V451" s="93"/>
      <c r="W451" s="85"/>
      <c r="Y451" s="94"/>
      <c r="Z451" s="93"/>
      <c r="AA451" s="85"/>
      <c r="AC451" s="94"/>
      <c r="AD451" s="93"/>
      <c r="AE451" s="85"/>
    </row>
    <row r="452" spans="7:31" x14ac:dyDescent="0.35">
      <c r="G452" s="85"/>
      <c r="H452" s="87"/>
      <c r="I452" s="94">
        <v>8</v>
      </c>
      <c r="J452" s="93">
        <v>45373</v>
      </c>
      <c r="K452" s="87" t="s">
        <v>1558</v>
      </c>
      <c r="L452" s="87">
        <v>4</v>
      </c>
      <c r="M452" s="94"/>
      <c r="N452" s="93"/>
      <c r="O452" s="85"/>
      <c r="Q452" s="94"/>
      <c r="R452" s="93"/>
      <c r="S452" s="85"/>
      <c r="U452" s="94"/>
      <c r="V452" s="93"/>
      <c r="W452" s="85"/>
      <c r="Y452" s="94"/>
      <c r="Z452" s="93"/>
      <c r="AA452" s="85"/>
      <c r="AC452" s="94"/>
      <c r="AD452" s="93"/>
      <c r="AE452" s="85"/>
    </row>
    <row r="453" spans="7:31" x14ac:dyDescent="0.35">
      <c r="G453" s="85"/>
      <c r="H453" s="87"/>
      <c r="I453" s="94">
        <v>18</v>
      </c>
      <c r="J453" s="93">
        <v>45359</v>
      </c>
      <c r="K453" s="87" t="s">
        <v>2675</v>
      </c>
      <c r="L453" s="87">
        <v>1347.71</v>
      </c>
      <c r="M453" s="94"/>
      <c r="N453" s="93"/>
      <c r="O453" s="85"/>
      <c r="Q453" s="94"/>
      <c r="R453" s="93"/>
      <c r="S453" s="85"/>
      <c r="U453" s="94"/>
      <c r="V453" s="93"/>
      <c r="W453" s="85"/>
      <c r="Y453" s="94"/>
      <c r="Z453" s="93"/>
      <c r="AA453" s="85"/>
      <c r="AC453" s="94"/>
      <c r="AD453" s="93"/>
      <c r="AE453" s="85"/>
    </row>
    <row r="454" spans="7:31" x14ac:dyDescent="0.35">
      <c r="G454" s="85"/>
      <c r="H454" s="87"/>
      <c r="I454" s="94">
        <v>18</v>
      </c>
      <c r="J454" s="93">
        <v>45359</v>
      </c>
      <c r="K454" s="87" t="s">
        <v>2676</v>
      </c>
      <c r="L454" s="87">
        <v>1988.78</v>
      </c>
      <c r="M454" s="94"/>
      <c r="N454" s="93"/>
      <c r="O454" s="85"/>
      <c r="Q454" s="94"/>
      <c r="R454" s="93"/>
      <c r="S454" s="85"/>
      <c r="U454" s="94"/>
      <c r="V454" s="93"/>
      <c r="W454" s="85"/>
      <c r="Y454" s="94"/>
      <c r="Z454" s="93"/>
      <c r="AA454" s="85"/>
      <c r="AC454" s="94"/>
      <c r="AD454" s="93"/>
      <c r="AE454" s="85"/>
    </row>
    <row r="455" spans="7:31" x14ac:dyDescent="0.35">
      <c r="G455" s="85"/>
      <c r="H455" s="87"/>
      <c r="I455" s="94">
        <v>9</v>
      </c>
      <c r="J455" s="93">
        <v>45331</v>
      </c>
      <c r="K455" s="87" t="s">
        <v>2695</v>
      </c>
      <c r="L455" s="87">
        <v>912</v>
      </c>
      <c r="M455" s="94"/>
      <c r="N455" s="93"/>
      <c r="O455" s="85"/>
      <c r="Q455" s="94"/>
      <c r="R455" s="93"/>
      <c r="S455" s="85"/>
      <c r="U455" s="94"/>
      <c r="V455" s="93"/>
      <c r="W455" s="85"/>
      <c r="Y455" s="94"/>
      <c r="Z455" s="93"/>
      <c r="AA455" s="85"/>
      <c r="AC455" s="94"/>
      <c r="AD455" s="93"/>
      <c r="AE455" s="85"/>
    </row>
    <row r="456" spans="7:31" x14ac:dyDescent="0.35">
      <c r="G456" s="85"/>
      <c r="H456" s="87"/>
      <c r="I456" s="94">
        <v>9</v>
      </c>
      <c r="J456" s="93">
        <v>45360</v>
      </c>
      <c r="K456" s="87" t="s">
        <v>2696</v>
      </c>
      <c r="L456" s="87">
        <v>920</v>
      </c>
      <c r="M456" s="94"/>
      <c r="N456" s="93"/>
      <c r="O456" s="85"/>
      <c r="Q456" s="94"/>
      <c r="R456" s="93"/>
      <c r="S456" s="85"/>
      <c r="U456" s="94"/>
      <c r="V456" s="93"/>
      <c r="W456" s="85"/>
      <c r="Y456" s="94"/>
      <c r="Z456" s="93"/>
      <c r="AA456" s="85"/>
      <c r="AC456" s="94"/>
      <c r="AD456" s="93"/>
      <c r="AE456" s="85"/>
    </row>
    <row r="457" spans="7:31" x14ac:dyDescent="0.35">
      <c r="G457" s="85"/>
      <c r="H457" s="87"/>
      <c r="I457" s="94">
        <v>13</v>
      </c>
      <c r="J457" s="93">
        <v>45310</v>
      </c>
      <c r="K457" s="87" t="s">
        <v>2705</v>
      </c>
      <c r="L457" s="87">
        <v>1083.6600000000001</v>
      </c>
      <c r="M457" s="94"/>
      <c r="N457" s="93"/>
      <c r="O457" s="85"/>
      <c r="Q457" s="94"/>
      <c r="R457" s="93"/>
      <c r="S457" s="85"/>
      <c r="U457" s="94"/>
      <c r="V457" s="93"/>
      <c r="W457" s="85"/>
      <c r="Y457" s="94"/>
      <c r="Z457" s="93"/>
      <c r="AA457" s="85"/>
      <c r="AC457" s="94"/>
      <c r="AD457" s="93"/>
      <c r="AE457" s="85"/>
    </row>
    <row r="458" spans="7:31" x14ac:dyDescent="0.35">
      <c r="G458" s="85"/>
      <c r="H458" s="87"/>
      <c r="I458" s="94">
        <v>13</v>
      </c>
      <c r="J458" s="93">
        <v>45323</v>
      </c>
      <c r="K458" s="87" t="s">
        <v>2706</v>
      </c>
      <c r="L458" s="87">
        <v>1708.33</v>
      </c>
      <c r="M458" s="94"/>
      <c r="N458" s="93"/>
      <c r="O458" s="85"/>
      <c r="Q458" s="94"/>
      <c r="R458" s="93"/>
      <c r="S458" s="85"/>
      <c r="U458" s="94"/>
      <c r="V458" s="93"/>
      <c r="W458" s="85"/>
      <c r="Y458" s="94"/>
      <c r="Z458" s="93"/>
      <c r="AA458" s="85"/>
      <c r="AC458" s="94"/>
      <c r="AD458" s="93"/>
      <c r="AE458" s="85"/>
    </row>
    <row r="459" spans="7:31" x14ac:dyDescent="0.35">
      <c r="G459" s="85"/>
      <c r="H459" s="87"/>
      <c r="I459" s="94">
        <v>15</v>
      </c>
      <c r="J459" s="93">
        <v>45356</v>
      </c>
      <c r="K459" s="87" t="s">
        <v>2714</v>
      </c>
      <c r="L459" s="87">
        <v>1916.84</v>
      </c>
      <c r="M459" s="94"/>
      <c r="N459" s="93"/>
      <c r="O459" s="85"/>
      <c r="Q459" s="94"/>
      <c r="R459" s="93"/>
      <c r="S459" s="85"/>
      <c r="U459" s="94"/>
      <c r="V459" s="93"/>
      <c r="W459" s="85"/>
      <c r="Y459" s="94"/>
      <c r="Z459" s="93"/>
      <c r="AA459" s="85"/>
      <c r="AC459" s="94"/>
      <c r="AD459" s="93"/>
      <c r="AE459" s="85"/>
    </row>
    <row r="460" spans="7:31" x14ac:dyDescent="0.35">
      <c r="G460" s="85"/>
      <c r="H460" s="87"/>
      <c r="I460" s="94">
        <v>15</v>
      </c>
      <c r="J460" s="93">
        <v>45356</v>
      </c>
      <c r="K460" s="87" t="s">
        <v>2715</v>
      </c>
      <c r="L460" s="87">
        <v>1694.4</v>
      </c>
      <c r="M460" s="94"/>
      <c r="N460" s="93"/>
      <c r="O460" s="85"/>
      <c r="Q460" s="94"/>
      <c r="R460" s="93"/>
      <c r="S460" s="85"/>
      <c r="U460" s="94"/>
      <c r="V460" s="93"/>
      <c r="W460" s="85"/>
      <c r="Y460" s="94"/>
      <c r="Z460" s="93"/>
      <c r="AA460" s="85"/>
      <c r="AC460" s="94"/>
      <c r="AD460" s="93"/>
      <c r="AE460" s="85"/>
    </row>
    <row r="461" spans="7:31" x14ac:dyDescent="0.35">
      <c r="G461" s="85"/>
      <c r="H461" s="87"/>
      <c r="I461" s="94">
        <v>14</v>
      </c>
      <c r="J461" s="93">
        <v>45308</v>
      </c>
      <c r="K461" s="87" t="s">
        <v>2727</v>
      </c>
      <c r="L461" s="87">
        <v>22.81</v>
      </c>
      <c r="M461" s="94"/>
      <c r="N461" s="93"/>
      <c r="O461" s="85"/>
      <c r="Q461" s="94"/>
      <c r="R461" s="93"/>
      <c r="S461" s="85"/>
      <c r="U461" s="94"/>
      <c r="V461" s="93"/>
      <c r="W461" s="85"/>
      <c r="Y461" s="94"/>
      <c r="Z461" s="93"/>
      <c r="AA461" s="85"/>
      <c r="AC461" s="94"/>
      <c r="AD461" s="93"/>
      <c r="AE461" s="85"/>
    </row>
    <row r="462" spans="7:31" x14ac:dyDescent="0.35">
      <c r="G462" s="85"/>
      <c r="H462" s="87"/>
      <c r="I462" s="94">
        <v>14</v>
      </c>
      <c r="J462" s="93">
        <v>45313</v>
      </c>
      <c r="K462" s="87" t="s">
        <v>1607</v>
      </c>
      <c r="L462" s="87">
        <v>34.75</v>
      </c>
      <c r="M462" s="94"/>
      <c r="N462" s="93"/>
      <c r="O462" s="85"/>
      <c r="Q462" s="94"/>
      <c r="R462" s="93"/>
      <c r="S462" s="85"/>
      <c r="U462" s="94"/>
      <c r="V462" s="93"/>
      <c r="W462" s="85"/>
      <c r="Y462" s="94"/>
      <c r="Z462" s="93"/>
      <c r="AA462" s="85"/>
      <c r="AC462" s="94"/>
      <c r="AD462" s="93"/>
      <c r="AE462" s="85"/>
    </row>
    <row r="463" spans="7:31" x14ac:dyDescent="0.35">
      <c r="G463" s="85"/>
      <c r="H463" s="87"/>
      <c r="I463" s="94">
        <v>14</v>
      </c>
      <c r="J463" s="93">
        <v>45314</v>
      </c>
      <c r="K463" s="87" t="s">
        <v>1614</v>
      </c>
      <c r="L463" s="87">
        <v>5500</v>
      </c>
      <c r="M463" s="94"/>
      <c r="N463" s="93"/>
      <c r="O463" s="85"/>
      <c r="Q463" s="94"/>
      <c r="R463" s="93"/>
      <c r="S463" s="85"/>
      <c r="U463" s="94"/>
      <c r="V463" s="93"/>
      <c r="W463" s="85"/>
      <c r="Y463" s="94"/>
      <c r="Z463" s="93"/>
      <c r="AA463" s="85"/>
      <c r="AC463" s="94"/>
      <c r="AD463" s="93"/>
      <c r="AE463" s="85"/>
    </row>
    <row r="464" spans="7:31" x14ac:dyDescent="0.35">
      <c r="G464" s="85"/>
      <c r="H464" s="87"/>
      <c r="I464" s="94">
        <v>14</v>
      </c>
      <c r="J464" s="93">
        <v>45317</v>
      </c>
      <c r="K464" s="87" t="s">
        <v>2728</v>
      </c>
      <c r="L464" s="87">
        <v>1400</v>
      </c>
      <c r="M464" s="94"/>
      <c r="N464" s="93"/>
      <c r="O464" s="85"/>
      <c r="Q464" s="94"/>
      <c r="R464" s="93"/>
      <c r="S464" s="85"/>
      <c r="U464" s="94"/>
      <c r="V464" s="93"/>
      <c r="W464" s="85"/>
      <c r="Y464" s="94"/>
      <c r="Z464" s="93"/>
      <c r="AA464" s="85"/>
      <c r="AC464" s="94"/>
      <c r="AD464" s="93"/>
      <c r="AE464" s="85"/>
    </row>
    <row r="465" spans="7:31" x14ac:dyDescent="0.35">
      <c r="G465" s="85"/>
      <c r="H465" s="87"/>
      <c r="I465" s="94">
        <v>14</v>
      </c>
      <c r="J465" s="93">
        <v>45348</v>
      </c>
      <c r="K465" s="87" t="s">
        <v>2729</v>
      </c>
      <c r="L465" s="87">
        <v>34.86</v>
      </c>
      <c r="M465" s="94"/>
      <c r="N465" s="93"/>
      <c r="O465" s="85"/>
      <c r="Q465" s="94"/>
      <c r="R465" s="93"/>
      <c r="S465" s="85"/>
      <c r="U465" s="94"/>
      <c r="V465" s="93"/>
      <c r="W465" s="85"/>
      <c r="Y465" s="94"/>
      <c r="Z465" s="93"/>
      <c r="AA465" s="85"/>
      <c r="AC465" s="94"/>
      <c r="AD465" s="93"/>
      <c r="AE465" s="85"/>
    </row>
    <row r="466" spans="7:31" x14ac:dyDescent="0.35">
      <c r="G466" s="85"/>
      <c r="H466" s="87"/>
      <c r="I466" s="94">
        <v>14</v>
      </c>
      <c r="J466" s="93">
        <v>45355</v>
      </c>
      <c r="K466" s="87" t="s">
        <v>1484</v>
      </c>
      <c r="L466" s="87">
        <v>100</v>
      </c>
      <c r="M466" s="94"/>
      <c r="N466" s="93"/>
      <c r="O466" s="85"/>
      <c r="Q466" s="94"/>
      <c r="R466" s="93"/>
      <c r="S466" s="85"/>
      <c r="U466" s="94"/>
      <c r="V466" s="93"/>
      <c r="W466" s="85"/>
      <c r="Y466" s="94"/>
      <c r="Z466" s="93"/>
      <c r="AA466" s="85"/>
      <c r="AC466" s="94"/>
      <c r="AD466" s="93"/>
      <c r="AE466" s="85"/>
    </row>
    <row r="467" spans="7:31" x14ac:dyDescent="0.35">
      <c r="G467" s="85"/>
      <c r="H467" s="87"/>
      <c r="I467" s="94">
        <v>14</v>
      </c>
      <c r="J467" s="93">
        <v>45359</v>
      </c>
      <c r="K467" s="87" t="s">
        <v>1630</v>
      </c>
      <c r="L467" s="87">
        <v>33</v>
      </c>
      <c r="M467" s="94"/>
      <c r="N467" s="93"/>
      <c r="O467" s="85"/>
      <c r="Q467" s="94"/>
      <c r="R467" s="93"/>
      <c r="S467" s="85"/>
      <c r="U467" s="94"/>
      <c r="V467" s="93"/>
      <c r="W467" s="85"/>
      <c r="Y467" s="94"/>
      <c r="Z467" s="93"/>
      <c r="AA467" s="85"/>
      <c r="AC467" s="94"/>
      <c r="AD467" s="93"/>
      <c r="AE467" s="85"/>
    </row>
    <row r="468" spans="7:31" x14ac:dyDescent="0.35">
      <c r="G468" s="85"/>
      <c r="H468" s="87"/>
      <c r="I468" s="94">
        <v>14</v>
      </c>
      <c r="J468" s="93">
        <v>45369</v>
      </c>
      <c r="K468" s="87" t="s">
        <v>2557</v>
      </c>
      <c r="L468" s="87">
        <v>183.1</v>
      </c>
      <c r="M468" s="94"/>
      <c r="N468" s="93"/>
      <c r="O468" s="85"/>
      <c r="Q468" s="94"/>
      <c r="R468" s="93"/>
      <c r="S468" s="85"/>
      <c r="U468" s="94"/>
      <c r="V468" s="93"/>
      <c r="W468" s="85"/>
      <c r="Y468" s="94"/>
      <c r="Z468" s="93"/>
      <c r="AA468" s="85"/>
      <c r="AC468" s="94"/>
      <c r="AD468" s="93"/>
      <c r="AE468" s="85"/>
    </row>
    <row r="469" spans="7:31" x14ac:dyDescent="0.35">
      <c r="G469" s="85"/>
      <c r="H469" s="87"/>
      <c r="I469" s="94">
        <v>6</v>
      </c>
      <c r="J469" s="93">
        <v>45352</v>
      </c>
      <c r="K469" s="87" t="s">
        <v>2733</v>
      </c>
      <c r="L469" s="87">
        <v>903.75</v>
      </c>
      <c r="M469" s="94"/>
      <c r="N469" s="93"/>
      <c r="O469" s="85"/>
      <c r="Q469" s="94"/>
      <c r="R469" s="93"/>
      <c r="S469" s="85"/>
      <c r="U469" s="94"/>
      <c r="V469" s="93"/>
      <c r="W469" s="85"/>
      <c r="Y469" s="94"/>
      <c r="Z469" s="93"/>
      <c r="AA469" s="85"/>
      <c r="AC469" s="94"/>
      <c r="AD469" s="93"/>
      <c r="AE469" s="85"/>
    </row>
    <row r="470" spans="7:31" x14ac:dyDescent="0.35">
      <c r="G470" s="85"/>
      <c r="H470" s="87"/>
      <c r="I470" s="94">
        <v>18</v>
      </c>
      <c r="J470" s="93">
        <v>45377</v>
      </c>
      <c r="K470" s="87" t="s">
        <v>2736</v>
      </c>
      <c r="L470" s="87">
        <v>3408.89</v>
      </c>
      <c r="M470" s="94"/>
      <c r="N470" s="93"/>
      <c r="O470" s="85"/>
      <c r="Q470" s="94"/>
      <c r="R470" s="93"/>
      <c r="S470" s="85"/>
      <c r="U470" s="94"/>
      <c r="V470" s="93"/>
      <c r="W470" s="85"/>
      <c r="Y470" s="94"/>
      <c r="Z470" s="93"/>
      <c r="AA470" s="85"/>
      <c r="AC470" s="94"/>
      <c r="AD470" s="93"/>
      <c r="AE470" s="85"/>
    </row>
    <row r="471" spans="7:31" x14ac:dyDescent="0.35">
      <c r="G471" s="85"/>
      <c r="H471" s="87"/>
      <c r="I471" s="94">
        <v>18</v>
      </c>
      <c r="J471" s="93">
        <v>45377</v>
      </c>
      <c r="K471" s="87" t="s">
        <v>2737</v>
      </c>
      <c r="L471" s="87">
        <v>220</v>
      </c>
      <c r="M471" s="94"/>
      <c r="N471" s="93"/>
      <c r="O471" s="85"/>
      <c r="Q471" s="94"/>
      <c r="R471" s="93"/>
      <c r="S471" s="85"/>
      <c r="U471" s="94"/>
      <c r="V471" s="93"/>
      <c r="W471" s="85"/>
      <c r="Y471" s="94"/>
      <c r="Z471" s="93"/>
      <c r="AA471" s="85"/>
      <c r="AC471" s="94"/>
      <c r="AD471" s="93"/>
      <c r="AE471" s="85"/>
    </row>
    <row r="472" spans="7:31" x14ac:dyDescent="0.35">
      <c r="G472" s="85"/>
      <c r="H472" s="87"/>
      <c r="I472" s="94">
        <v>14</v>
      </c>
      <c r="J472" s="93">
        <v>45378</v>
      </c>
      <c r="K472" s="87" t="s">
        <v>2751</v>
      </c>
      <c r="L472" s="87">
        <v>12</v>
      </c>
      <c r="M472" s="94"/>
      <c r="N472" s="93"/>
      <c r="O472" s="85"/>
      <c r="Q472" s="94"/>
      <c r="R472" s="93"/>
      <c r="S472" s="85"/>
      <c r="U472" s="94"/>
      <c r="V472" s="93"/>
      <c r="W472" s="85"/>
      <c r="Y472" s="94"/>
      <c r="Z472" s="93"/>
      <c r="AA472" s="85"/>
      <c r="AC472" s="94"/>
      <c r="AD472" s="93"/>
      <c r="AE472" s="85"/>
    </row>
    <row r="473" spans="7:31" x14ac:dyDescent="0.35">
      <c r="G473" s="85"/>
      <c r="H473" s="87"/>
      <c r="I473" s="94">
        <v>20</v>
      </c>
      <c r="J473" s="93">
        <v>45369</v>
      </c>
      <c r="K473" s="87" t="s">
        <v>1584</v>
      </c>
      <c r="L473" s="87">
        <v>553.37</v>
      </c>
      <c r="M473" s="94"/>
      <c r="N473" s="93"/>
      <c r="O473" s="85"/>
      <c r="Q473" s="94"/>
      <c r="R473" s="93"/>
      <c r="S473" s="85"/>
      <c r="U473" s="94"/>
      <c r="V473" s="93"/>
      <c r="W473" s="85"/>
      <c r="Y473" s="94"/>
      <c r="Z473" s="93"/>
      <c r="AA473" s="85"/>
      <c r="AC473" s="94"/>
      <c r="AD473" s="93"/>
      <c r="AE473" s="85"/>
    </row>
    <row r="474" spans="7:31" x14ac:dyDescent="0.35">
      <c r="G474" s="85"/>
      <c r="H474" s="87"/>
      <c r="I474" s="94">
        <v>7</v>
      </c>
      <c r="J474" s="93">
        <v>45379</v>
      </c>
      <c r="K474" s="87" t="s">
        <v>1510</v>
      </c>
      <c r="L474" s="87">
        <v>23.31</v>
      </c>
      <c r="M474" s="94"/>
      <c r="N474" s="93"/>
      <c r="O474" s="85"/>
      <c r="Q474" s="94"/>
      <c r="R474" s="93"/>
      <c r="S474" s="85"/>
      <c r="U474" s="94"/>
      <c r="V474" s="93"/>
      <c r="W474" s="85"/>
      <c r="Y474" s="94"/>
      <c r="Z474" s="93"/>
      <c r="AA474" s="85"/>
      <c r="AC474" s="94"/>
      <c r="AD474" s="93"/>
      <c r="AE474" s="85"/>
    </row>
    <row r="475" spans="7:31" x14ac:dyDescent="0.35">
      <c r="G475" s="85"/>
      <c r="H475" s="87"/>
      <c r="I475" s="94">
        <v>7</v>
      </c>
      <c r="J475" s="93">
        <v>45379</v>
      </c>
      <c r="K475" s="87" t="s">
        <v>1465</v>
      </c>
      <c r="L475" s="87">
        <v>9.99</v>
      </c>
      <c r="M475" s="94"/>
      <c r="N475" s="93"/>
      <c r="O475" s="85"/>
      <c r="Q475" s="94"/>
      <c r="R475" s="93"/>
      <c r="S475" s="85"/>
      <c r="U475" s="94"/>
      <c r="V475" s="93"/>
      <c r="W475" s="85"/>
      <c r="Y475" s="94"/>
      <c r="Z475" s="93"/>
      <c r="AA475" s="85"/>
      <c r="AC475" s="94"/>
      <c r="AD475" s="93"/>
      <c r="AE475" s="85"/>
    </row>
    <row r="476" spans="7:31" x14ac:dyDescent="0.35">
      <c r="G476" s="85"/>
      <c r="H476" s="87"/>
      <c r="I476" s="94">
        <v>14</v>
      </c>
      <c r="J476" s="93">
        <v>45379</v>
      </c>
      <c r="K476" s="87" t="s">
        <v>2755</v>
      </c>
      <c r="L476" s="87">
        <v>358.29</v>
      </c>
      <c r="M476" s="94"/>
      <c r="N476" s="93"/>
      <c r="O476" s="85"/>
      <c r="Q476" s="94"/>
      <c r="R476" s="93"/>
      <c r="S476" s="85"/>
      <c r="U476" s="94"/>
      <c r="V476" s="93"/>
      <c r="W476" s="85"/>
      <c r="Y476" s="94"/>
      <c r="Z476" s="93"/>
      <c r="AA476" s="85"/>
      <c r="AC476" s="94"/>
      <c r="AD476" s="93"/>
      <c r="AE476" s="85"/>
    </row>
    <row r="477" spans="7:31" x14ac:dyDescent="0.35">
      <c r="G477" s="85"/>
      <c r="H477" s="87"/>
      <c r="I477" s="94">
        <v>18</v>
      </c>
      <c r="J477" s="93">
        <v>45379</v>
      </c>
      <c r="K477" s="87" t="s">
        <v>2757</v>
      </c>
      <c r="L477" s="87">
        <v>29.73</v>
      </c>
      <c r="M477" s="94"/>
      <c r="N477" s="93"/>
      <c r="O477" s="85"/>
      <c r="Q477" s="94"/>
      <c r="R477" s="93"/>
      <c r="S477" s="85"/>
      <c r="U477" s="94"/>
      <c r="V477" s="93"/>
      <c r="W477" s="85"/>
      <c r="Y477" s="94"/>
      <c r="Z477" s="93"/>
      <c r="AA477" s="85"/>
      <c r="AC477" s="94"/>
      <c r="AD477" s="93"/>
      <c r="AE477" s="85"/>
    </row>
    <row r="478" spans="7:31" x14ac:dyDescent="0.35">
      <c r="G478" s="85"/>
      <c r="H478" s="87"/>
      <c r="I478" s="94">
        <v>8</v>
      </c>
      <c r="J478" s="93">
        <v>45379</v>
      </c>
      <c r="K478" s="87" t="s">
        <v>1558</v>
      </c>
      <c r="L478" s="87">
        <v>15.81</v>
      </c>
      <c r="M478" s="94"/>
      <c r="N478" s="93"/>
      <c r="O478" s="85"/>
      <c r="Q478" s="94"/>
      <c r="R478" s="93"/>
      <c r="S478" s="85"/>
      <c r="U478" s="94"/>
      <c r="V478" s="93"/>
      <c r="W478" s="85"/>
      <c r="Y478" s="94"/>
      <c r="Z478" s="93"/>
      <c r="AA478" s="85"/>
      <c r="AC478" s="94"/>
      <c r="AD478" s="93"/>
      <c r="AE478" s="85"/>
    </row>
    <row r="479" spans="7:31" x14ac:dyDescent="0.35">
      <c r="G479" s="85"/>
      <c r="H479" s="87"/>
      <c r="I479" s="94">
        <v>16</v>
      </c>
      <c r="J479" s="93">
        <v>45379</v>
      </c>
      <c r="K479" s="87" t="s">
        <v>2758</v>
      </c>
      <c r="L479" s="87">
        <v>3</v>
      </c>
      <c r="M479" s="94"/>
      <c r="N479" s="93"/>
      <c r="O479" s="85"/>
      <c r="Q479" s="94"/>
      <c r="R479" s="93"/>
      <c r="S479" s="85"/>
      <c r="U479" s="94"/>
      <c r="V479" s="93"/>
      <c r="W479" s="85"/>
      <c r="Y479" s="94"/>
      <c r="Z479" s="93"/>
      <c r="AA479" s="85"/>
      <c r="AC479" s="94"/>
      <c r="AD479" s="93"/>
      <c r="AE479" s="85"/>
    </row>
    <row r="480" spans="7:31" x14ac:dyDescent="0.35">
      <c r="G480" s="85"/>
      <c r="H480" s="87"/>
      <c r="I480" s="94">
        <v>16</v>
      </c>
      <c r="J480" s="93">
        <v>45379</v>
      </c>
      <c r="K480" s="87" t="s">
        <v>2760</v>
      </c>
      <c r="L480" s="87">
        <v>1.25</v>
      </c>
      <c r="M480" s="94"/>
      <c r="N480" s="93"/>
      <c r="O480" s="85"/>
      <c r="Q480" s="94"/>
      <c r="R480" s="93"/>
      <c r="S480" s="85"/>
      <c r="U480" s="94"/>
      <c r="V480" s="93"/>
      <c r="W480" s="85"/>
      <c r="Y480" s="94"/>
      <c r="Z480" s="93"/>
      <c r="AA480" s="85"/>
      <c r="AC480" s="94"/>
      <c r="AD480" s="93"/>
      <c r="AE480" s="85"/>
    </row>
    <row r="481" spans="7:31" x14ac:dyDescent="0.35">
      <c r="G481" s="85"/>
      <c r="H481" s="87"/>
      <c r="I481" s="94">
        <v>16</v>
      </c>
      <c r="J481" s="93" t="s">
        <v>775</v>
      </c>
      <c r="K481" s="87" t="s">
        <v>2779</v>
      </c>
      <c r="L481" s="87">
        <v>160.52000000000001</v>
      </c>
      <c r="M481" s="94"/>
      <c r="N481" s="93"/>
      <c r="O481" s="85"/>
      <c r="Q481" s="94"/>
      <c r="R481" s="93"/>
      <c r="S481" s="85"/>
      <c r="U481" s="94"/>
      <c r="V481" s="93"/>
      <c r="W481" s="85"/>
      <c r="Y481" s="94"/>
      <c r="Z481" s="93"/>
      <c r="AA481" s="85"/>
      <c r="AC481" s="94"/>
      <c r="AD481" s="93"/>
      <c r="AE481" s="85"/>
    </row>
    <row r="482" spans="7:31" x14ac:dyDescent="0.35">
      <c r="G482" s="85"/>
      <c r="H482" s="87"/>
      <c r="I482" s="94">
        <v>14</v>
      </c>
      <c r="J482" s="93" t="s">
        <v>775</v>
      </c>
      <c r="K482" s="87" t="s">
        <v>2790</v>
      </c>
      <c r="L482" s="148">
        <v>1150</v>
      </c>
      <c r="M482" s="94"/>
      <c r="N482" s="93"/>
      <c r="O482" s="85"/>
      <c r="Q482" s="94"/>
      <c r="R482" s="93"/>
      <c r="S482" s="85"/>
      <c r="U482" s="94"/>
      <c r="V482" s="93"/>
      <c r="W482" s="85"/>
      <c r="Y482" s="94"/>
      <c r="Z482" s="93"/>
      <c r="AA482" s="85"/>
      <c r="AC482" s="94"/>
      <c r="AD482" s="93"/>
      <c r="AE482" s="85"/>
    </row>
    <row r="483" spans="7:31" x14ac:dyDescent="0.35">
      <c r="G483" s="85"/>
      <c r="H483" s="87"/>
      <c r="I483" s="94">
        <v>16</v>
      </c>
      <c r="J483" s="93" t="s">
        <v>775</v>
      </c>
      <c r="K483" s="87" t="s">
        <v>2791</v>
      </c>
      <c r="L483" s="87">
        <v>40.96</v>
      </c>
      <c r="M483" s="94"/>
      <c r="N483" s="93"/>
      <c r="O483" s="85"/>
      <c r="Q483" s="94"/>
      <c r="R483" s="93"/>
      <c r="S483" s="85"/>
      <c r="U483" s="94"/>
      <c r="V483" s="93"/>
      <c r="W483" s="85"/>
      <c r="Y483" s="94"/>
      <c r="Z483" s="93"/>
      <c r="AA483" s="85"/>
      <c r="AC483" s="94"/>
      <c r="AD483" s="93"/>
      <c r="AE483" s="85"/>
    </row>
    <row r="484" spans="7:31" x14ac:dyDescent="0.35">
      <c r="G484" s="85"/>
      <c r="H484" s="87"/>
      <c r="I484" s="94">
        <v>10</v>
      </c>
      <c r="J484" s="93" t="s">
        <v>775</v>
      </c>
      <c r="K484" s="87" t="s">
        <v>2792</v>
      </c>
      <c r="L484" s="87">
        <v>109.99</v>
      </c>
      <c r="M484" s="94"/>
      <c r="N484" s="93"/>
      <c r="O484" s="85"/>
      <c r="Q484" s="94"/>
      <c r="R484" s="93"/>
      <c r="S484" s="85"/>
      <c r="U484" s="94"/>
      <c r="V484" s="93"/>
      <c r="W484" s="85"/>
      <c r="Y484" s="94"/>
      <c r="Z484" s="93"/>
      <c r="AA484" s="85"/>
      <c r="AC484" s="94"/>
      <c r="AD484" s="93"/>
      <c r="AE484" s="85"/>
    </row>
    <row r="485" spans="7:31" x14ac:dyDescent="0.35">
      <c r="G485" s="85"/>
      <c r="H485" s="87"/>
      <c r="I485" s="94">
        <v>8</v>
      </c>
      <c r="J485" s="93" t="s">
        <v>775</v>
      </c>
      <c r="K485" s="87" t="s">
        <v>2793</v>
      </c>
      <c r="L485" s="87">
        <v>78.099999999999994</v>
      </c>
      <c r="M485" s="94"/>
      <c r="N485" s="93"/>
      <c r="O485" s="85"/>
      <c r="Q485" s="94"/>
      <c r="R485" s="93"/>
      <c r="S485" s="85"/>
      <c r="U485" s="94"/>
      <c r="V485" s="93"/>
      <c r="W485" s="85"/>
      <c r="Y485" s="94"/>
      <c r="Z485" s="93"/>
      <c r="AA485" s="85"/>
      <c r="AC485" s="94"/>
      <c r="AD485" s="93"/>
      <c r="AE485" s="85"/>
    </row>
    <row r="486" spans="7:31" x14ac:dyDescent="0.35">
      <c r="G486" s="85"/>
      <c r="H486" s="87"/>
      <c r="I486" s="94">
        <v>13</v>
      </c>
      <c r="J486" s="93">
        <v>45376</v>
      </c>
      <c r="K486" s="87" t="s">
        <v>2810</v>
      </c>
      <c r="L486" s="87">
        <v>553.57000000000005</v>
      </c>
      <c r="M486" s="94"/>
      <c r="N486" s="93"/>
      <c r="O486" s="85"/>
      <c r="Q486" s="94"/>
      <c r="R486" s="93"/>
      <c r="S486" s="85"/>
      <c r="U486" s="94"/>
      <c r="V486" s="93"/>
      <c r="W486" s="85"/>
      <c r="Y486" s="94"/>
      <c r="Z486" s="93"/>
      <c r="AA486" s="85"/>
      <c r="AC486" s="94"/>
      <c r="AD486" s="93"/>
      <c r="AE486" s="85"/>
    </row>
    <row r="487" spans="7:31" x14ac:dyDescent="0.35">
      <c r="G487" s="85"/>
      <c r="H487" s="87"/>
      <c r="I487" s="94">
        <v>13</v>
      </c>
      <c r="J487" s="93" t="s">
        <v>775</v>
      </c>
      <c r="K487" s="87" t="s">
        <v>2811</v>
      </c>
      <c r="L487" s="87">
        <f>L486*31/60</f>
        <v>286.01116666666672</v>
      </c>
      <c r="M487" s="94"/>
      <c r="N487" s="93"/>
      <c r="O487" s="85"/>
      <c r="Q487" s="94"/>
      <c r="R487" s="93"/>
      <c r="S487" s="85"/>
      <c r="U487" s="94"/>
      <c r="V487" s="93"/>
      <c r="W487" s="85"/>
      <c r="Y487" s="94"/>
      <c r="Z487" s="93"/>
      <c r="AA487" s="85"/>
      <c r="AC487" s="94"/>
      <c r="AD487" s="93"/>
      <c r="AE487" s="85"/>
    </row>
    <row r="488" spans="7:31" x14ac:dyDescent="0.35">
      <c r="G488" s="85"/>
      <c r="H488" s="87"/>
      <c r="I488" s="94">
        <v>15</v>
      </c>
      <c r="J488" s="93" t="s">
        <v>775</v>
      </c>
      <c r="K488" s="85" t="s">
        <v>3094</v>
      </c>
      <c r="L488" s="151">
        <v>480</v>
      </c>
      <c r="M488" s="94"/>
      <c r="N488" s="93"/>
      <c r="O488" s="85"/>
      <c r="Q488" s="94"/>
      <c r="R488" s="93"/>
      <c r="S488" s="85"/>
      <c r="U488" s="94"/>
      <c r="V488" s="93"/>
      <c r="W488" s="85"/>
      <c r="Y488" s="94"/>
      <c r="Z488" s="93"/>
      <c r="AA488" s="85"/>
      <c r="AC488" s="94"/>
      <c r="AD488" s="93"/>
      <c r="AE488" s="85"/>
    </row>
    <row r="489" spans="7:31" x14ac:dyDescent="0.35">
      <c r="G489" s="85"/>
      <c r="H489" s="87"/>
      <c r="K489" s="85"/>
      <c r="M489" s="94"/>
      <c r="N489" s="93"/>
      <c r="O489" s="85"/>
      <c r="Q489" s="94"/>
      <c r="R489" s="93"/>
      <c r="S489" s="85"/>
      <c r="U489" s="94"/>
      <c r="V489" s="93"/>
      <c r="W489" s="85"/>
      <c r="Y489" s="94"/>
      <c r="Z489" s="93"/>
      <c r="AA489" s="85"/>
      <c r="AC489" s="94"/>
      <c r="AD489" s="93"/>
      <c r="AE489" s="85"/>
    </row>
    <row r="490" spans="7:31" x14ac:dyDescent="0.35">
      <c r="G490" s="85"/>
      <c r="H490" s="87"/>
      <c r="K490" s="85"/>
      <c r="M490" s="94"/>
      <c r="N490" s="93"/>
      <c r="O490" s="85"/>
      <c r="Q490" s="94"/>
      <c r="R490" s="93"/>
      <c r="S490" s="85"/>
      <c r="U490" s="94"/>
      <c r="V490" s="93"/>
      <c r="W490" s="85"/>
      <c r="Y490" s="94"/>
      <c r="Z490" s="93"/>
      <c r="AA490" s="85"/>
      <c r="AC490" s="94"/>
      <c r="AD490" s="93"/>
      <c r="AE490" s="85"/>
    </row>
    <row r="491" spans="7:31" x14ac:dyDescent="0.35">
      <c r="G491" s="85"/>
      <c r="H491" s="87"/>
      <c r="K491" s="85"/>
      <c r="M491" s="94"/>
      <c r="N491" s="93"/>
      <c r="O491" s="85"/>
      <c r="Q491" s="94"/>
      <c r="R491" s="93"/>
      <c r="S491" s="85"/>
      <c r="U491" s="94"/>
      <c r="V491" s="93"/>
      <c r="W491" s="85"/>
      <c r="Y491" s="94"/>
      <c r="Z491" s="93"/>
      <c r="AA491" s="85"/>
      <c r="AC491" s="94"/>
      <c r="AD491" s="93"/>
      <c r="AE491" s="85"/>
    </row>
    <row r="492" spans="7:31" x14ac:dyDescent="0.35">
      <c r="G492" s="85"/>
      <c r="H492" s="87"/>
      <c r="K492" s="85"/>
      <c r="M492" s="94"/>
      <c r="N492" s="93"/>
      <c r="O492" s="85"/>
      <c r="Q492" s="94"/>
      <c r="R492" s="93"/>
      <c r="S492" s="85"/>
      <c r="U492" s="94"/>
      <c r="V492" s="93"/>
      <c r="W492" s="85"/>
      <c r="Y492" s="94"/>
      <c r="Z492" s="93"/>
      <c r="AA492" s="85"/>
      <c r="AC492" s="94"/>
      <c r="AD492" s="93"/>
      <c r="AE492" s="85"/>
    </row>
    <row r="493" spans="7:31" x14ac:dyDescent="0.35">
      <c r="G493" s="85"/>
      <c r="H493" s="87"/>
      <c r="K493" s="85"/>
      <c r="M493" s="94"/>
      <c r="N493" s="93"/>
      <c r="O493" s="85"/>
      <c r="Q493" s="94"/>
      <c r="R493" s="93"/>
      <c r="S493" s="85"/>
      <c r="U493" s="94"/>
      <c r="V493" s="93"/>
      <c r="W493" s="85"/>
      <c r="Y493" s="94"/>
      <c r="Z493" s="93"/>
      <c r="AA493" s="85"/>
      <c r="AC493" s="94"/>
      <c r="AD493" s="93"/>
      <c r="AE493" s="85"/>
    </row>
    <row r="494" spans="7:31" x14ac:dyDescent="0.35">
      <c r="G494" s="85"/>
      <c r="H494" s="87"/>
      <c r="K494" s="85"/>
      <c r="M494" s="94"/>
      <c r="N494" s="93"/>
      <c r="O494" s="85"/>
      <c r="Q494" s="94"/>
      <c r="R494" s="93"/>
      <c r="S494" s="85"/>
      <c r="U494" s="94"/>
      <c r="V494" s="93"/>
      <c r="W494" s="85"/>
      <c r="Y494" s="94"/>
      <c r="Z494" s="93"/>
      <c r="AA494" s="85"/>
      <c r="AC494" s="94"/>
      <c r="AD494" s="93"/>
      <c r="AE494" s="85"/>
    </row>
    <row r="495" spans="7:31" x14ac:dyDescent="0.35">
      <c r="G495" s="85"/>
      <c r="H495" s="87"/>
      <c r="K495" s="85"/>
      <c r="M495" s="94"/>
      <c r="N495" s="93"/>
      <c r="O495" s="85"/>
      <c r="Q495" s="94"/>
      <c r="R495" s="93"/>
      <c r="S495" s="85"/>
      <c r="U495" s="94"/>
      <c r="V495" s="93"/>
      <c r="W495" s="85"/>
      <c r="Y495" s="94"/>
      <c r="Z495" s="93"/>
      <c r="AA495" s="85"/>
      <c r="AC495" s="94"/>
      <c r="AD495" s="93"/>
      <c r="AE495" s="85"/>
    </row>
    <row r="496" spans="7:31" x14ac:dyDescent="0.35">
      <c r="G496" s="85"/>
      <c r="H496" s="87"/>
      <c r="K496" s="85"/>
      <c r="M496" s="94"/>
      <c r="N496" s="93"/>
      <c r="O496" s="85"/>
      <c r="Q496" s="94"/>
      <c r="R496" s="93"/>
      <c r="S496" s="85"/>
      <c r="U496" s="94"/>
      <c r="V496" s="93"/>
      <c r="W496" s="85"/>
      <c r="Y496" s="94"/>
      <c r="Z496" s="93"/>
      <c r="AA496" s="85"/>
      <c r="AC496" s="94"/>
      <c r="AD496" s="93"/>
      <c r="AE496" s="85"/>
    </row>
    <row r="497" spans="7:31" x14ac:dyDescent="0.35">
      <c r="G497" s="85"/>
      <c r="H497" s="87"/>
      <c r="K497" s="85"/>
      <c r="M497" s="94"/>
      <c r="N497" s="93"/>
      <c r="O497" s="85"/>
      <c r="Q497" s="94"/>
      <c r="R497" s="93"/>
      <c r="S497" s="85"/>
      <c r="U497" s="94"/>
      <c r="V497" s="93"/>
      <c r="W497" s="85"/>
      <c r="Y497" s="94"/>
      <c r="Z497" s="93"/>
      <c r="AA497" s="85"/>
      <c r="AC497" s="94"/>
      <c r="AD497" s="93"/>
      <c r="AE497" s="85"/>
    </row>
    <row r="498" spans="7:31" x14ac:dyDescent="0.35">
      <c r="G498" s="85"/>
      <c r="H498" s="87"/>
      <c r="K498" s="85"/>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Q987" s="94"/>
      <c r="R987" s="93"/>
      <c r="S987" s="85"/>
      <c r="U987" s="94"/>
      <c r="V987" s="93"/>
      <c r="W987" s="85"/>
      <c r="Y987" s="94"/>
      <c r="Z987" s="93"/>
      <c r="AA987" s="85"/>
      <c r="AC987" s="94"/>
      <c r="AD987" s="93"/>
      <c r="AE987" s="85"/>
    </row>
    <row r="988" spans="7:31" x14ac:dyDescent="0.35">
      <c r="G988" s="85"/>
      <c r="H988" s="87"/>
      <c r="K988" s="85"/>
      <c r="Q988" s="94"/>
      <c r="R988" s="93"/>
      <c r="S988" s="85"/>
      <c r="U988" s="94"/>
      <c r="V988" s="93"/>
      <c r="W988" s="85"/>
      <c r="Y988" s="94"/>
      <c r="Z988" s="93"/>
      <c r="AA988" s="85"/>
      <c r="AC988" s="94"/>
      <c r="AD988" s="93"/>
      <c r="AE988" s="85"/>
    </row>
    <row r="989" spans="7:31" x14ac:dyDescent="0.35">
      <c r="K989" s="85"/>
    </row>
    <row r="990" spans="7:31" x14ac:dyDescent="0.35">
      <c r="K990" s="85"/>
    </row>
    <row r="991" spans="7:31" x14ac:dyDescent="0.35">
      <c r="K991" s="85"/>
    </row>
    <row r="992" spans="7:31" x14ac:dyDescent="0.35">
      <c r="K992" s="85"/>
    </row>
    <row r="993" spans="11:11" x14ac:dyDescent="0.35">
      <c r="K993" s="85"/>
    </row>
    <row r="994" spans="11:11" x14ac:dyDescent="0.35">
      <c r="K994" s="85"/>
    </row>
    <row r="995" spans="11:11" x14ac:dyDescent="0.35">
      <c r="K995" s="85"/>
    </row>
    <row r="996" spans="11:11" x14ac:dyDescent="0.35">
      <c r="K996" s="85"/>
    </row>
    <row r="997" spans="11:11" x14ac:dyDescent="0.35">
      <c r="K997" s="85"/>
    </row>
    <row r="998" spans="11:11" x14ac:dyDescent="0.35">
      <c r="K998" s="85"/>
    </row>
    <row r="999" spans="11:11" x14ac:dyDescent="0.35">
      <c r="K999" s="85"/>
    </row>
    <row r="1000" spans="11:11" x14ac:dyDescent="0.35">
      <c r="K1000" s="85"/>
    </row>
    <row r="1001" spans="11:11" x14ac:dyDescent="0.35">
      <c r="K1001" s="85"/>
    </row>
  </sheetData>
  <autoFilter ref="E16:M456" xr:uid="{00000000-0001-0000-2500-000000000000}"/>
  <conditionalFormatting sqref="A1:AG1048576">
    <cfRule type="expression" dxfId="18" priority="1">
      <formula>$A4="Spend to Date"</formula>
    </cfRule>
  </conditionalFormatting>
  <pageMargins left="0.7" right="0.7" top="0.75" bottom="0.75" header="0.3" footer="0.3"/>
  <pageSetup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06E6-4969-4F24-9A55-9102D6D9701B}">
  <sheetPr codeName="Sheet61"/>
  <dimension ref="A1:AG1000"/>
  <sheetViews>
    <sheetView workbookViewId="0">
      <pane xSplit="2" ySplit="1" topLeftCell="C12" activePane="bottomRight" state="frozen"/>
      <selection pane="topRight" activeCell="C1" sqref="C1"/>
      <selection pane="bottomLeft" activeCell="A2" sqref="A2"/>
      <selection pane="bottomRight" activeCell="J58" sqref="J5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39" customWidth="1"/>
    <col min="6" max="6" width="19.54296875" style="36" customWidth="1"/>
    <col min="7" max="7" width="18.54296875" style="37" customWidth="1"/>
    <col min="8" max="8" width="13.453125" style="38" customWidth="1"/>
    <col min="9" max="9" width="13.81640625" style="42" bestFit="1" customWidth="1"/>
    <col min="10" max="10" width="19.54296875" style="7" bestFit="1" customWidth="1"/>
    <col min="11" max="11" width="24.1796875" style="1" customWidth="1"/>
    <col min="12" max="12" width="41.453125" style="1" customWidth="1"/>
    <col min="13" max="13" width="13.81640625" style="40" bestFit="1" customWidth="1"/>
    <col min="14" max="14" width="13.81640625" style="1" customWidth="1"/>
    <col min="15" max="15" width="11.81640625" style="1" bestFit="1" customWidth="1"/>
    <col min="16" max="16" width="13.453125" style="1" bestFit="1" customWidth="1"/>
    <col min="17" max="17" width="13.81640625" style="40" bestFit="1" customWidth="1"/>
    <col min="18" max="18" width="13.81640625" style="1" customWidth="1"/>
    <col min="19" max="19" width="11" style="1" bestFit="1" customWidth="1"/>
    <col min="20" max="20" width="13.453125" style="1" bestFit="1" customWidth="1"/>
    <col min="21" max="21" width="13.81640625" style="40" bestFit="1" customWidth="1"/>
    <col min="22" max="22" width="13.81640625" style="1" customWidth="1"/>
    <col min="23" max="23" width="11" style="1" bestFit="1" customWidth="1"/>
    <col min="24" max="24" width="13.453125" style="1" bestFit="1" customWidth="1"/>
    <col min="25" max="25" width="13.81640625" style="40" bestFit="1" customWidth="1"/>
    <col min="26" max="26" width="13.81640625" style="1" customWidth="1"/>
    <col min="27" max="27" width="12.453125" style="1" bestFit="1" customWidth="1"/>
    <col min="28" max="28" width="13.453125" style="1" bestFit="1" customWidth="1"/>
    <col min="29" max="29" width="13.81640625" style="40"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x14ac:dyDescent="0.35">
      <c r="A1" s="23" t="s">
        <v>221</v>
      </c>
      <c r="B1" t="s">
        <v>484</v>
      </c>
      <c r="C1" t="s">
        <v>1</v>
      </c>
      <c r="D1" s="5" t="s">
        <v>2</v>
      </c>
      <c r="E1" s="1" t="s">
        <v>3</v>
      </c>
      <c r="F1" s="1" t="s">
        <v>4</v>
      </c>
      <c r="G1" s="1" t="s">
        <v>5</v>
      </c>
      <c r="H1" s="6" t="s">
        <v>450</v>
      </c>
      <c r="I1" s="40" t="s">
        <v>6</v>
      </c>
      <c r="J1" s="1" t="s">
        <v>7</v>
      </c>
      <c r="K1" s="1" t="s">
        <v>8</v>
      </c>
      <c r="L1" s="1" t="s">
        <v>9</v>
      </c>
      <c r="M1" s="40" t="s">
        <v>451</v>
      </c>
      <c r="N1" s="1" t="s">
        <v>452</v>
      </c>
      <c r="O1" s="1" t="s">
        <v>453</v>
      </c>
      <c r="P1" s="1" t="s">
        <v>454</v>
      </c>
      <c r="Q1" s="40" t="s">
        <v>455</v>
      </c>
      <c r="R1" s="1" t="s">
        <v>456</v>
      </c>
      <c r="S1" s="1" t="s">
        <v>457</v>
      </c>
      <c r="T1" s="1" t="s">
        <v>458</v>
      </c>
      <c r="U1" s="40" t="s">
        <v>459</v>
      </c>
      <c r="V1" s="1" t="s">
        <v>460</v>
      </c>
      <c r="W1" s="1" t="s">
        <v>461</v>
      </c>
      <c r="X1" s="1" t="s">
        <v>462</v>
      </c>
      <c r="Y1" s="40" t="s">
        <v>463</v>
      </c>
      <c r="Z1" s="1" t="s">
        <v>464</v>
      </c>
      <c r="AA1" s="1" t="s">
        <v>465</v>
      </c>
      <c r="AB1" s="1" t="s">
        <v>466</v>
      </c>
      <c r="AC1" s="40" t="s">
        <v>467</v>
      </c>
      <c r="AD1" s="1" t="s">
        <v>468</v>
      </c>
      <c r="AE1" s="1" t="s">
        <v>469</v>
      </c>
      <c r="AF1" s="1" t="s">
        <v>470</v>
      </c>
      <c r="AG1" s="1" t="s">
        <v>485</v>
      </c>
    </row>
    <row r="2" spans="1:33" x14ac:dyDescent="0.35">
      <c r="A2" s="5" t="s">
        <v>10</v>
      </c>
      <c r="D2" s="1"/>
      <c r="E2" s="1">
        <f>SUM(E3:E6)</f>
        <v>-13150</v>
      </c>
      <c r="F2" s="1">
        <f>SUM(F3:F6)</f>
        <v>-60020</v>
      </c>
      <c r="G2" s="1"/>
      <c r="H2" s="6"/>
      <c r="I2" s="40">
        <f>SUM(I3:I6)</f>
        <v>-211004</v>
      </c>
      <c r="J2" s="1">
        <f>SUM(J3:J6)</f>
        <v>0</v>
      </c>
      <c r="M2" s="40">
        <f>SUM(M3:M6)</f>
        <v>0</v>
      </c>
      <c r="N2" s="1">
        <f>SUM(N3:N6)</f>
        <v>0</v>
      </c>
      <c r="Q2" s="40">
        <f>SUM(Q3:Q6)</f>
        <v>0</v>
      </c>
      <c r="R2" s="1">
        <f>SUM(R3:R6)</f>
        <v>0</v>
      </c>
      <c r="U2" s="40">
        <f>SUM(U3:U6)</f>
        <v>0</v>
      </c>
      <c r="V2" s="1">
        <f>SUM(V3:V6)</f>
        <v>0</v>
      </c>
      <c r="Y2" s="40">
        <f>SUM(Y3:Y6)</f>
        <v>0</v>
      </c>
      <c r="Z2" s="1">
        <f>SUM(Z3:Z6)</f>
        <v>0</v>
      </c>
      <c r="AC2" s="40">
        <f>SUM(AC3:AC6)</f>
        <v>0</v>
      </c>
      <c r="AD2" s="1">
        <f>SUM(AD3:AD6)</f>
        <v>0</v>
      </c>
    </row>
    <row r="3" spans="1:33" ht="101.5" x14ac:dyDescent="0.35">
      <c r="A3" s="5" t="s">
        <v>221</v>
      </c>
      <c r="B3">
        <v>1</v>
      </c>
      <c r="D3" s="5">
        <v>134217.12</v>
      </c>
      <c r="E3" s="1">
        <f>4456-1000-8000-1500-5356-1250-500</f>
        <v>-13150</v>
      </c>
      <c r="F3" s="1">
        <f>SUMIFS(H$31:H$1005,E$31:E$1005,$B3)</f>
        <v>-60020</v>
      </c>
      <c r="G3" s="1">
        <f>D3+E3-F3+SUMIFS(E$9:E$25,$C$9:$C$25,$A3)-SUMIFS(F$9:F$25,$C$9:$C$25,$A3)</f>
        <v>184375.96000000002</v>
      </c>
      <c r="H3" s="6"/>
      <c r="I3" s="43">
        <f>-(11480+118000+32000+12924)-1000-10000</f>
        <v>-185404</v>
      </c>
      <c r="J3" s="1">
        <f>SUMIFS(L$31:L$1004,I$31:I$1004,$B3)</f>
        <v>0</v>
      </c>
      <c r="K3" s="1">
        <f>G3+I3-J3+SUMIFS(I$9:I$25,$C$9:$C$25,$A3)-SUMIFS(J$9:J$25,$C$9:$C$25,$A3)</f>
        <v>58962.560273972689</v>
      </c>
      <c r="L3" s="29" t="str">
        <f ca="1">"£11.48K EMR offset against 2023/24 Equipment budget; £150K EMR offset against 2023/24 Grounds Maintenance budget; £12,924 EMR offset against IT Service Costs" &amp; CHAR(10) &amp; "all spent: £" &amp; G3+I3-J3 &amp; CHAR(10) &amp; "current rate: £" &amp; ROUND(G3+I3-J3+SUMIFS(I$9:I$25,$C$9:$C$25,$A3)-SUMIFS(J$9:J$25,$C$9:$C$25,$A3)*366/(TODAY()-DATE(2023,4,1)),2) &amp; CHAR(10) &amp; "end now: £" &amp; G3+I3-J3+SUMIFS(I$9:I$25,$C$9:$C$25,$A3)-SUMIFS(J$9:J$25,$C$9:$C$25,$A3)</f>
        <v>£11.48K EMR offset against 2023/24 Equipment budget; £150K EMR offset against 2023/24 Grounds Maintenance budget; £12,924 EMR offset against IT Service Costs
all spent: £-1028.03999999998
current rate: £125904.05
end now: £58962.5602739727</v>
      </c>
      <c r="N3" s="1">
        <f>SUMIFS(P$31:P$1005,M$31:M$1005,$B3)</f>
        <v>0</v>
      </c>
      <c r="O3" s="1">
        <f>K3+M3-N3+SUMIFS(M$9:M$25,$C$9:$C$25,$A3)-SUMIFS(N$9:N$25,$C$9:$C$25,$A3)</f>
        <v>58962.560273972689</v>
      </c>
      <c r="R3" s="1">
        <f>SUMIFS(T$31:T$1005,Q$31:Q$1005,$B3)</f>
        <v>0</v>
      </c>
      <c r="S3" s="1">
        <f>O3+Q3-R3+SUMIFS(Q$9:Q$25,$C$9:$C$25,$A3)-SUMIFS(R$9:R$25,$C$9:$C$25,$A3)</f>
        <v>58962.560273972689</v>
      </c>
      <c r="V3" s="1">
        <f>SUMIFS(X$31:X$1005,U$31:U$1005,$B3)</f>
        <v>0</v>
      </c>
      <c r="W3" s="1">
        <f>S3+U3-V3+SUMIFS(U$9:U$25,$C$9:$C$25,$A3)-SUMIFS(V$9:V$25,$C$9:$C$25,$A3)</f>
        <v>58962.560273972689</v>
      </c>
      <c r="Z3" s="1">
        <f>SUMIFS(AB$31:AB$1005,Y$31:Y$1005,$B3)</f>
        <v>0</v>
      </c>
      <c r="AA3" s="1">
        <f>W3+Y3-Z3+SUMIFS(Y$9:Y$25,$C$9:$C$25,$A3)-SUMIFS(Z$9:Z$25,$C$9:$C$25,$A3)</f>
        <v>58962.560273972689</v>
      </c>
      <c r="AD3" s="1">
        <f>SUMIFS(AF$31:AF$1005,AC$31:AC$1005,$B3)</f>
        <v>0</v>
      </c>
      <c r="AE3" s="1">
        <f>AA3+AC3-AD3+SUMIFS(AC$9:AC$25,$C$9:$C$25,$A3)-SUMIFS(AD$9:AD$25,$C$9:$C$25,$A3)</f>
        <v>58962.560273972689</v>
      </c>
      <c r="AG3" s="1">
        <v>100000</v>
      </c>
    </row>
    <row r="4" spans="1:33" ht="72.5" x14ac:dyDescent="0.35">
      <c r="A4" s="5" t="s">
        <v>223</v>
      </c>
      <c r="B4">
        <v>2</v>
      </c>
      <c r="D4" s="5">
        <v>16000</v>
      </c>
      <c r="E4" s="1">
        <v>0</v>
      </c>
      <c r="F4" s="1">
        <f>SUMIFS(H$31:H$1005,E$31:E$1005,$B4)</f>
        <v>0</v>
      </c>
      <c r="G4" s="1">
        <f>D4+E4-F4+SUMIFS(E$9:E$25,$C$9:$C$25,$A4)-SUMIFS(F$9:F$25,$C$9:$C$25,$A4)</f>
        <v>9336.77</v>
      </c>
      <c r="H4" s="6" t="s">
        <v>1441</v>
      </c>
      <c r="I4" s="43">
        <v>-5600</v>
      </c>
      <c r="J4" s="1">
        <f>SUMIFS(L$31:L$1004,I$31:I$1004,$B4)</f>
        <v>0</v>
      </c>
      <c r="K4" s="1">
        <f>G4+I4-J4+SUMIFS(I$9:I$25,$C$9:$C$25,$A4)-SUMIFS(J$9:J$25,$C$9:$C$25,$A4)</f>
        <v>6765.77</v>
      </c>
      <c r="L4" s="29" t="str">
        <f ca="1">"£5.6K EMR offset against 2023/24 Amplification budget" &amp; CHAR(10) &amp; "all spent: £" &amp; G4+I4-J4 &amp; CHAR(10) &amp; "current rate: £" &amp; ROUND(G4+I4-J4+SUMIFS(I$9:I$25,$C$9:$C$25,$A4)-SUMIFS(J$9:J$25,$C$9:$C$25,$A4)*366/(TODAY()-DATE(2023,4,1)),2) &amp; CHAR(10) &amp; "end now: £" &amp; G4+I4-J4+SUMIFS(I$9:I$25,$C$9:$C$25,$A4)-SUMIFS(J$9:J$25,$C$9:$C$25,$A4)</f>
        <v>£5.6K EMR offset against 2023/24 Amplification budget
all spent: £3736.77
current rate: £7451.03
end now: £6765.77</v>
      </c>
      <c r="N4" s="1">
        <f>SUMIFS(P$31:P$1005,M$31:M$1005,$B4)</f>
        <v>0</v>
      </c>
      <c r="O4" s="1">
        <f>K4+M4-N4+SUMIFS(M$9:M$25,$C$9:$C$25,$A4)-SUMIFS(N$9:N$25,$C$9:$C$25,$A4)</f>
        <v>6765.77</v>
      </c>
      <c r="R4" s="1">
        <f>SUMIFS(T$31:T$1005,Q$31:Q$1005,$B4)</f>
        <v>0</v>
      </c>
      <c r="S4" s="1">
        <f>O4+Q4-R4+SUMIFS(Q$9:Q$25,$C$9:$C$25,$A4)-SUMIFS(R$9:R$25,$C$9:$C$25,$A4)</f>
        <v>6765.77</v>
      </c>
      <c r="V4" s="1">
        <f>SUMIFS(X$31:X$1005,U$31:U$1005,$B4)</f>
        <v>0</v>
      </c>
      <c r="W4" s="1">
        <f>S4+U4-V4+SUMIFS(U$9:U$25,$C$9:$C$25,$A4)-SUMIFS(V$9:V$25,$C$9:$C$25,$A4)</f>
        <v>6765.77</v>
      </c>
      <c r="Z4" s="1">
        <f>SUMIFS(AB$31:AB$1005,Y$31:Y$1005,$B4)</f>
        <v>0</v>
      </c>
      <c r="AA4" s="1">
        <f>W4+Y4-Z4+SUMIFS(Y$9:Y$25,$C$9:$C$25,$A4)-SUMIFS(Z$9:Z$25,$C$9:$C$25,$A4)</f>
        <v>6765.77</v>
      </c>
      <c r="AD4" s="1">
        <f>SUMIFS(AF$31:AF$1005,AC$31:AC$1005,$B4)</f>
        <v>0</v>
      </c>
      <c r="AE4" s="1">
        <f>AA4+AC4-AD4+SUMIFS(AC$9:AC$25,$C$9:$C$25,$A4)-SUMIFS(AD$9:AD$25,$C$9:$C$25,$A4)</f>
        <v>6765.77</v>
      </c>
    </row>
    <row r="5" spans="1:33" ht="58" x14ac:dyDescent="0.35">
      <c r="A5" s="5" t="s">
        <v>225</v>
      </c>
      <c r="B5">
        <v>3</v>
      </c>
      <c r="D5" s="5">
        <v>9763</v>
      </c>
      <c r="E5" s="1">
        <v>0</v>
      </c>
      <c r="F5" s="1">
        <f>SUMIFS(H$31:H$1005,E$31:E$1005,$B5)</f>
        <v>0</v>
      </c>
      <c r="G5" s="1">
        <f>D5+E5-F5+SUMIFS(E$9:E$25,$C$9:$C$25,$A5)-SUMIFS(F$9:F$25,$C$9:$C$25,$A5)</f>
        <v>19089</v>
      </c>
      <c r="H5" s="6"/>
      <c r="I5" s="40">
        <v>-20000</v>
      </c>
      <c r="J5" s="1">
        <f>SUMIFS(L$31:L$1004,I$31:I$1004,$B5)</f>
        <v>0</v>
      </c>
      <c r="K5" s="1">
        <f>G5+I5-J5+SUMIFS(I$9:I$25,$C$9:$C$25,$A5)-SUMIFS(J$9:J$25,$C$9:$C$25,$A5)</f>
        <v>16080.58</v>
      </c>
      <c r="L5" s="29" t="str">
        <f ca="1">"£20K EMR offset against 2023/24 IT budget" &amp; CHAR(10) &amp; "all spent: £" &amp; G5+I5-J5 &amp; CHAR(10) &amp; "current rate: £" &amp; ROUND(G5+I5-J5+SUMIFS(I$9:I$25,$C$9:$C$25,$A5)-SUMIFS(J$9:J$25,$C$9:$C$25,$A5)*366/(TODAY()-DATE(2023,4,1)),2) &amp; CHAR(10) &amp; "end now: £" &amp; G5+I5-J5+SUMIFS(I$9:I$25,$C$9:$C$25,$A5)-SUMIFS(J$9:J$25,$C$9:$C$25,$A5)</f>
        <v>£20K EMR offset against 2023/24 IT budget
all spent: £-911
current rate: £20327.1
end now: £16080.58</v>
      </c>
      <c r="N5" s="1">
        <f>SUMIFS(P$31:P$1005,M$31:M$1005,$B5)</f>
        <v>0</v>
      </c>
      <c r="O5" s="1">
        <f>K5+M5-N5+SUMIFS(M$9:M$25,$C$9:$C$25,$A5)-SUMIFS(N$9:N$25,$C$9:$C$25,$A5)</f>
        <v>16080.580000000002</v>
      </c>
      <c r="R5" s="1">
        <f>SUMIFS(T$31:T$1005,Q$31:Q$1005,$B5)</f>
        <v>0</v>
      </c>
      <c r="S5" s="1">
        <f>O5+Q5-R5+SUMIFS(Q$9:Q$25,$C$9:$C$25,$A5)-SUMIFS(R$9:R$25,$C$9:$C$25,$A5)</f>
        <v>16080.580000000002</v>
      </c>
      <c r="V5" s="1">
        <f>SUMIFS(X$31:X$1005,U$31:U$1005,$B5)</f>
        <v>0</v>
      </c>
      <c r="W5" s="1">
        <f>S5+U5-V5+SUMIFS(U$9:U$25,$C$9:$C$25,$A5)-SUMIFS(V$9:V$25,$C$9:$C$25,$A5)</f>
        <v>16080.580000000002</v>
      </c>
      <c r="Z5" s="1">
        <f>SUMIFS(AB$31:AB$1005,Y$31:Y$1005,$B5)</f>
        <v>0</v>
      </c>
      <c r="AA5" s="1">
        <f>W5+Y5-Z5+SUMIFS(Y$9:Y$25,$C$9:$C$25,$A5)-SUMIFS(Z$9:Z$25,$C$9:$C$25,$A5)</f>
        <v>16080.580000000002</v>
      </c>
      <c r="AD5" s="1">
        <f>SUMIFS(AF$31:AF$1005,AC$31:AC$1005,$B5)</f>
        <v>0</v>
      </c>
      <c r="AE5" s="1">
        <f>AA5+AC5-AD5+SUMIFS(AC$9:AC$25,$C$9:$C$25,$A5)-SUMIFS(AD$9:AD$25,$C$9:$C$25,$A5)</f>
        <v>16080.580000000002</v>
      </c>
      <c r="AG5" s="1">
        <v>30000</v>
      </c>
    </row>
    <row r="6" spans="1:33" ht="43.5" x14ac:dyDescent="0.35">
      <c r="A6" s="5" t="s">
        <v>72</v>
      </c>
      <c r="B6">
        <v>4</v>
      </c>
      <c r="D6" s="5">
        <v>0</v>
      </c>
      <c r="E6" s="1">
        <v>0</v>
      </c>
      <c r="F6" s="1">
        <f>SUMIFS(H$31:H$1005,E$31:E$1005,$B6)</f>
        <v>0</v>
      </c>
      <c r="G6" s="1">
        <f>D6+E6-F6+SUMIFS(E$9:E$25,$C$9:$C$25,$A6)-SUMIFS(F$9:F$25,$C$9:$C$25,$A6)</f>
        <v>0</v>
      </c>
      <c r="H6" s="6"/>
      <c r="I6" s="40"/>
      <c r="J6" s="1">
        <f>SUMIFS(L$31:L$1004,I$31:I$1004,$B6)</f>
        <v>0</v>
      </c>
      <c r="K6" s="1">
        <f>G6+I6-J6+SUMIFS(I$9:I$25,$C$9:$C$25,$A6)-SUMIFS(J$9:J$25,$C$9:$C$25,$A6)</f>
        <v>0</v>
      </c>
      <c r="L6" s="5" t="str">
        <f ca="1">"all spent: £" &amp; G6+I6-J6 &amp; CHAR(10) &amp; "current rate: £" &amp; ROUND(G6+I6-J6+SUMIFS(I$9:I$25,$C$9:$C$25,$A6)-SUMIFS(J$9:J$25,$C$9:$C$25,$A6)*366/(TODAY()-DATE(2023,4,1)),2) &amp; CHAR(10) &amp; "end now: £" &amp; G6+I6-J6+SUMIFS(I$9:I$25,$C$9:$C$25,$A6)-SUMIFS(J$9:J$25,$C$9:$C$25,$A6)</f>
        <v>all spent: £0
current rate: £0
end now: £0</v>
      </c>
      <c r="N6" s="1">
        <f>SUMIFS(P$31:P$1005,M$31:M$1005,$B6)</f>
        <v>0</v>
      </c>
      <c r="O6" s="1">
        <f>K6+M6-N6+SUMIFS(M$9:M$25,$C$9:$C$25,$A6)-SUMIFS(N$9:N$25,$C$9:$C$25,$A6)</f>
        <v>0</v>
      </c>
      <c r="R6" s="1">
        <f>SUMIFS(T$31:T$1005,Q$31:Q$1005,$B6)</f>
        <v>0</v>
      </c>
      <c r="S6" s="1">
        <f>O6+Q6-R6+SUMIFS(Q$9:Q$25,$C$9:$C$25,$A6)-SUMIFS(R$9:R$25,$C$9:$C$25,$A6)</f>
        <v>0</v>
      </c>
      <c r="V6" s="1">
        <f>SUMIFS(X$31:X$1005,U$31:U$1005,$B6)</f>
        <v>0</v>
      </c>
      <c r="W6" s="1">
        <f>S6+U6-V6+SUMIFS(U$9:U$25,$C$9:$C$25,$A6)-SUMIFS(V$9:V$25,$C$9:$C$25,$A6)</f>
        <v>0</v>
      </c>
      <c r="Z6" s="1">
        <f>SUMIFS(AB$31:AB$1005,Y$31:Y$1005,$B6)</f>
        <v>0</v>
      </c>
      <c r="AA6" s="1">
        <f>W6+Y6-Z6+SUMIFS(Y$9:Y$25,$C$9:$C$25,$A6)-SUMIFS(Z$9:Z$25,$C$9:$C$25,$A6)</f>
        <v>0</v>
      </c>
      <c r="AD6" s="1">
        <f>SUMIFS(AF$31:AF$1005,AC$31:AC$1005,$B6)</f>
        <v>0</v>
      </c>
      <c r="AE6" s="1">
        <f>AA6+AC6-AD6+SUMIFS(AC$9:AC$25,$C$9:$C$25,$A6)-SUMIFS(AD$9:AD$25,$C$9:$C$25,$A6)</f>
        <v>0</v>
      </c>
    </row>
    <row r="7" spans="1:33" x14ac:dyDescent="0.35">
      <c r="E7" s="1"/>
      <c r="F7" s="1"/>
      <c r="G7" s="1"/>
      <c r="H7" s="6"/>
      <c r="I7" s="40"/>
      <c r="J7" s="1"/>
    </row>
    <row r="8" spans="1:33" x14ac:dyDescent="0.35">
      <c r="A8" s="23" t="s">
        <v>227</v>
      </c>
      <c r="D8" s="23"/>
      <c r="E8" s="1">
        <f>SUM(E9:E25)</f>
        <v>118359.81000000001</v>
      </c>
      <c r="F8" s="1">
        <f>SUM(F9:F25)</f>
        <v>112408.19999999998</v>
      </c>
      <c r="G8" s="1"/>
      <c r="H8" s="6"/>
      <c r="I8" s="40">
        <f>SUM(I9:I25)</f>
        <v>399671</v>
      </c>
      <c r="J8" s="1">
        <f>SUM(J9:J25)</f>
        <v>269659.81972602732</v>
      </c>
      <c r="M8" s="40">
        <f>SUM(M9:M25)</f>
        <v>159890</v>
      </c>
      <c r="N8" s="1">
        <f>$M$8</f>
        <v>159890</v>
      </c>
      <c r="Q8" s="40">
        <f>SUM(Q9:Q25)</f>
        <v>166031</v>
      </c>
      <c r="R8" s="1">
        <f>$Q$8</f>
        <v>166031</v>
      </c>
      <c r="U8" s="40">
        <f>SUM(U9:U25)</f>
        <v>170298</v>
      </c>
      <c r="V8" s="1">
        <f>$U$8</f>
        <v>170298</v>
      </c>
      <c r="Y8" s="40">
        <f>SUM(Y9:Y25)</f>
        <v>175692</v>
      </c>
      <c r="Z8" s="1">
        <f>$Y$8</f>
        <v>175692</v>
      </c>
      <c r="AC8" s="40">
        <f>SUM(AC9:AC25)</f>
        <v>180969</v>
      </c>
      <c r="AD8" s="1">
        <f>$AC$8</f>
        <v>180969</v>
      </c>
    </row>
    <row r="9" spans="1:33" x14ac:dyDescent="0.35">
      <c r="B9">
        <v>5</v>
      </c>
      <c r="C9" t="s">
        <v>221</v>
      </c>
      <c r="D9" s="23"/>
      <c r="E9" s="1">
        <v>1000</v>
      </c>
      <c r="F9" s="1">
        <f t="shared" ref="F9:F16" si="0">SUMIFS(H$31:H$1005,E$31:E$1005,$B9)</f>
        <v>3100.32</v>
      </c>
      <c r="G9" s="1"/>
      <c r="H9" s="6"/>
      <c r="I9" s="40">
        <v>0</v>
      </c>
      <c r="J9" s="1">
        <f t="shared" ref="J9:J25" si="1">SUMIFS(L$31:L$1004,I$31:I$1004,$B9)</f>
        <v>0</v>
      </c>
      <c r="M9" s="40">
        <f>ROUNDUP((I9)*RPI,0)</f>
        <v>0</v>
      </c>
      <c r="N9" s="1">
        <f>$M$9</f>
        <v>0</v>
      </c>
      <c r="Q9" s="40">
        <f t="shared" ref="Q9:Q25" si="2">ROUNDUP((M9)*RPI,0)</f>
        <v>0</v>
      </c>
      <c r="R9" s="1">
        <f>$Q$9</f>
        <v>0</v>
      </c>
      <c r="U9" s="40">
        <f t="shared" ref="U9:U25" si="3">ROUNDUP((Q9)*RPI,0)</f>
        <v>0</v>
      </c>
      <c r="V9" s="1">
        <f>$U$9</f>
        <v>0</v>
      </c>
      <c r="Y9" s="40">
        <f t="shared" ref="Y9:Y25" si="4">ROUNDUP((U9)*RPI,0)</f>
        <v>0</v>
      </c>
      <c r="Z9" s="1">
        <f>$Y$9</f>
        <v>0</v>
      </c>
      <c r="AC9" s="40">
        <f t="shared" ref="AC9:AC25" si="5">ROUNDUP((Y9)*RPI,0)</f>
        <v>0</v>
      </c>
      <c r="AD9" s="1">
        <f>$AC$9</f>
        <v>0</v>
      </c>
    </row>
    <row r="10" spans="1:33" x14ac:dyDescent="0.35">
      <c r="B10">
        <v>6</v>
      </c>
      <c r="C10" t="s">
        <v>225</v>
      </c>
      <c r="D10" s="23"/>
      <c r="E10" s="1">
        <v>12924</v>
      </c>
      <c r="F10" s="1">
        <f t="shared" si="0"/>
        <v>13439</v>
      </c>
      <c r="G10" s="1"/>
      <c r="H10" s="6" t="s">
        <v>1442</v>
      </c>
      <c r="I10" s="40">
        <v>12924</v>
      </c>
      <c r="J10" s="1">
        <f t="shared" si="1"/>
        <v>6226.76</v>
      </c>
      <c r="M10" s="40">
        <f t="shared" ref="M10:M25" si="6">ROUNDUP((I10)*RPI,0)</f>
        <v>13312</v>
      </c>
      <c r="N10" s="1">
        <f>$M$10</f>
        <v>13312</v>
      </c>
      <c r="Q10" s="40">
        <f t="shared" si="2"/>
        <v>13712</v>
      </c>
      <c r="R10" s="1">
        <f>$Q$10</f>
        <v>13712</v>
      </c>
      <c r="U10" s="40">
        <f t="shared" si="3"/>
        <v>14124</v>
      </c>
      <c r="V10" s="1">
        <f>$U$10</f>
        <v>14124</v>
      </c>
      <c r="Y10" s="40">
        <f t="shared" si="4"/>
        <v>14548</v>
      </c>
      <c r="Z10" s="1">
        <f>$Y$10</f>
        <v>14548</v>
      </c>
      <c r="AC10" s="40">
        <f t="shared" si="5"/>
        <v>14985</v>
      </c>
      <c r="AD10" s="1">
        <f>$AC$10</f>
        <v>14985</v>
      </c>
    </row>
    <row r="11" spans="1:33" x14ac:dyDescent="0.35">
      <c r="B11">
        <v>7</v>
      </c>
      <c r="C11" t="s">
        <v>221</v>
      </c>
      <c r="D11" s="23"/>
      <c r="E11" s="1">
        <v>5356</v>
      </c>
      <c r="F11" s="1">
        <f t="shared" si="0"/>
        <v>755.28000000000009</v>
      </c>
      <c r="G11" s="1"/>
      <c r="H11" s="6"/>
      <c r="I11" s="43">
        <v>3000</v>
      </c>
      <c r="J11" s="1">
        <f t="shared" si="1"/>
        <v>286.39</v>
      </c>
      <c r="M11" s="40">
        <f t="shared" si="6"/>
        <v>3090</v>
      </c>
      <c r="N11" s="1">
        <f>$M$11</f>
        <v>3090</v>
      </c>
      <c r="Q11" s="40">
        <f t="shared" si="2"/>
        <v>3183</v>
      </c>
      <c r="R11" s="1">
        <f>$Q$11</f>
        <v>3183</v>
      </c>
      <c r="U11" s="40">
        <f t="shared" si="3"/>
        <v>3279</v>
      </c>
      <c r="V11" s="1">
        <f>$U$11</f>
        <v>3279</v>
      </c>
      <c r="Y11" s="40">
        <f t="shared" si="4"/>
        <v>3378</v>
      </c>
      <c r="Z11" s="1">
        <f>$Y$11</f>
        <v>3378</v>
      </c>
      <c r="AC11" s="40">
        <f t="shared" si="5"/>
        <v>3480</v>
      </c>
      <c r="AD11" s="1">
        <f>$AC$11</f>
        <v>3480</v>
      </c>
    </row>
    <row r="12" spans="1:33" x14ac:dyDescent="0.35">
      <c r="B12">
        <v>8</v>
      </c>
      <c r="C12" t="s">
        <v>221</v>
      </c>
      <c r="D12" s="23"/>
      <c r="E12" s="1">
        <v>1250</v>
      </c>
      <c r="F12" s="1">
        <f t="shared" si="0"/>
        <v>999.93</v>
      </c>
      <c r="G12" s="1"/>
      <c r="H12" s="6"/>
      <c r="I12" s="40">
        <f>ROUNDUP((E12)*RPICurrent,0)</f>
        <v>1357</v>
      </c>
      <c r="J12" s="1">
        <f t="shared" si="1"/>
        <v>207.71</v>
      </c>
      <c r="M12" s="40">
        <f t="shared" si="6"/>
        <v>1398</v>
      </c>
      <c r="N12" s="1">
        <f>$M$12</f>
        <v>1398</v>
      </c>
      <c r="Q12" s="40">
        <f t="shared" si="2"/>
        <v>1440</v>
      </c>
      <c r="R12" s="1">
        <f>$Q$12</f>
        <v>1440</v>
      </c>
      <c r="U12" s="40">
        <f t="shared" si="3"/>
        <v>1484</v>
      </c>
      <c r="V12" s="1">
        <f>$U$12</f>
        <v>1484</v>
      </c>
      <c r="Y12" s="40">
        <f t="shared" si="4"/>
        <v>1529</v>
      </c>
      <c r="Z12" s="1">
        <f>$Y$12</f>
        <v>1529</v>
      </c>
      <c r="AC12" s="40">
        <f t="shared" si="5"/>
        <v>1575</v>
      </c>
      <c r="AD12" s="1">
        <f>$AC$12</f>
        <v>1575</v>
      </c>
    </row>
    <row r="13" spans="1:33" x14ac:dyDescent="0.35">
      <c r="A13" s="5" t="s">
        <v>1688</v>
      </c>
      <c r="B13">
        <v>9</v>
      </c>
      <c r="C13" t="s">
        <v>221</v>
      </c>
      <c r="D13" s="23"/>
      <c r="E13" s="1">
        <v>0</v>
      </c>
      <c r="F13" s="1">
        <f t="shared" si="0"/>
        <v>0</v>
      </c>
      <c r="G13" s="1"/>
      <c r="H13" s="6"/>
      <c r="I13" s="40">
        <v>8400</v>
      </c>
      <c r="J13" s="1">
        <f t="shared" si="1"/>
        <v>2000</v>
      </c>
      <c r="L13" s="1" t="s">
        <v>1689</v>
      </c>
      <c r="M13" s="40">
        <f t="shared" si="6"/>
        <v>8652</v>
      </c>
      <c r="N13" s="1">
        <f>$M$13</f>
        <v>8652</v>
      </c>
      <c r="Q13" s="40">
        <f t="shared" si="2"/>
        <v>8912</v>
      </c>
      <c r="R13" s="1">
        <f>$Q$13</f>
        <v>8912</v>
      </c>
      <c r="U13" s="40">
        <f t="shared" si="3"/>
        <v>9180</v>
      </c>
      <c r="V13" s="1">
        <f>$U$13</f>
        <v>9180</v>
      </c>
      <c r="Y13" s="40">
        <f t="shared" si="4"/>
        <v>9456</v>
      </c>
      <c r="Z13" s="1">
        <f>$Y$13</f>
        <v>9456</v>
      </c>
      <c r="AC13" s="40">
        <f t="shared" si="5"/>
        <v>9740</v>
      </c>
      <c r="AD13" s="1">
        <f>$AC$13</f>
        <v>9740</v>
      </c>
    </row>
    <row r="14" spans="1:33" x14ac:dyDescent="0.35">
      <c r="A14" s="5" t="s">
        <v>102</v>
      </c>
      <c r="B14">
        <v>10</v>
      </c>
      <c r="C14" t="s">
        <v>221</v>
      </c>
      <c r="D14" s="23"/>
      <c r="E14" s="1">
        <v>8000</v>
      </c>
      <c r="F14" s="1">
        <f t="shared" si="0"/>
        <v>3780.4299999999994</v>
      </c>
      <c r="G14" s="1"/>
      <c r="H14" s="6"/>
      <c r="I14" s="43">
        <f>ROUNDUP((E14)*RPICurrent,0)+3800</f>
        <v>12480</v>
      </c>
      <c r="J14" s="1">
        <f t="shared" si="1"/>
        <v>0</v>
      </c>
      <c r="M14" s="40">
        <f>ROUNDUP(8680*RPI,0)</f>
        <v>8941</v>
      </c>
      <c r="N14" s="1">
        <f>$M$14</f>
        <v>8941</v>
      </c>
      <c r="Q14" s="40">
        <f>ROUNDUP((M14)*RPI,0)</f>
        <v>9210</v>
      </c>
      <c r="R14" s="1">
        <f>$Q$14</f>
        <v>9210</v>
      </c>
      <c r="U14" s="40">
        <f>ROUNDUP((Q14)*RPI,0)</f>
        <v>9487</v>
      </c>
      <c r="V14" s="1">
        <f>$U$14</f>
        <v>9487</v>
      </c>
      <c r="Y14" s="40">
        <f>ROUNDUP((U14)*RPI,0)</f>
        <v>9772</v>
      </c>
      <c r="Z14" s="1">
        <f>$Y$14</f>
        <v>9772</v>
      </c>
      <c r="AC14" s="40">
        <f>ROUNDUP((Y14)*RPI,0)</f>
        <v>10066</v>
      </c>
      <c r="AD14" s="1">
        <f>$AC$14</f>
        <v>10066</v>
      </c>
    </row>
    <row r="15" spans="1:33" x14ac:dyDescent="0.35">
      <c r="B15">
        <v>11</v>
      </c>
      <c r="C15" t="s">
        <v>221</v>
      </c>
      <c r="D15" s="23"/>
      <c r="E15" s="1">
        <v>0</v>
      </c>
      <c r="F15" s="1">
        <f t="shared" si="0"/>
        <v>4373</v>
      </c>
      <c r="G15" s="1"/>
      <c r="H15" s="6"/>
      <c r="I15" s="40">
        <f>ROUNDUP((E15)*RPICurrent,0)</f>
        <v>0</v>
      </c>
      <c r="J15" s="1">
        <f t="shared" si="1"/>
        <v>0</v>
      </c>
      <c r="M15" s="40">
        <f>ROUNDUP((I15)*RPI,0)</f>
        <v>0</v>
      </c>
      <c r="N15" s="1">
        <f>$M$15</f>
        <v>0</v>
      </c>
      <c r="Q15" s="40">
        <f>ROUNDUP((M15)*RPI,0)</f>
        <v>0</v>
      </c>
      <c r="R15" s="1">
        <f>$Q$15</f>
        <v>0</v>
      </c>
      <c r="U15" s="40">
        <f>ROUNDUP((Q15)*RPI,0)</f>
        <v>0</v>
      </c>
      <c r="V15" s="1">
        <f>$U$15</f>
        <v>0</v>
      </c>
      <c r="Y15" s="40">
        <f>ROUNDUP((U15)*RPI,0)</f>
        <v>0</v>
      </c>
      <c r="Z15" s="1">
        <f>$Y$15</f>
        <v>0</v>
      </c>
      <c r="AC15" s="40">
        <f>ROUNDUP((Y15)*RPI,0)</f>
        <v>0</v>
      </c>
      <c r="AD15" s="1">
        <f>$AC$15</f>
        <v>0</v>
      </c>
    </row>
    <row r="16" spans="1:33" x14ac:dyDescent="0.35">
      <c r="B16">
        <v>12</v>
      </c>
      <c r="C16" t="s">
        <v>221</v>
      </c>
      <c r="D16" s="23"/>
      <c r="E16" s="1">
        <f>14700+13429.6+18460</f>
        <v>46589.599999999999</v>
      </c>
      <c r="F16" s="1">
        <f t="shared" si="0"/>
        <v>57659.369999999995</v>
      </c>
      <c r="G16" s="1"/>
      <c r="H16" s="6"/>
      <c r="I16" s="40">
        <f>ROUNDUP(14700+13429.6+33250,0)</f>
        <v>61380</v>
      </c>
      <c r="J16" s="1">
        <f t="shared" si="1"/>
        <v>58897.3397260274</v>
      </c>
      <c r="L16" s="1" t="s">
        <v>234</v>
      </c>
      <c r="M16" s="40">
        <f>ROUNDUP((I16)*RPI,0)</f>
        <v>63222</v>
      </c>
      <c r="N16" s="1">
        <f>$M$16</f>
        <v>63222</v>
      </c>
      <c r="Q16" s="40">
        <f>ROUNDUP((M16)*RPI,0)</f>
        <v>65119</v>
      </c>
      <c r="R16" s="1">
        <f>$Q$16</f>
        <v>65119</v>
      </c>
      <c r="U16" s="40">
        <f>ROUNDUP((Q16)*RPI,0)</f>
        <v>67073</v>
      </c>
      <c r="V16" s="1">
        <f>$U$16</f>
        <v>67073</v>
      </c>
      <c r="Y16" s="40">
        <f>ROUNDUP((U16)*RPI,0)</f>
        <v>69086</v>
      </c>
      <c r="Z16" s="1">
        <f>$Y$16</f>
        <v>69086</v>
      </c>
      <c r="AC16" s="40">
        <f>ROUNDUP((Y16)*RPI,0)</f>
        <v>71159</v>
      </c>
      <c r="AD16" s="1">
        <f>$AC$16</f>
        <v>71159</v>
      </c>
    </row>
    <row r="17" spans="1:31" ht="29" x14ac:dyDescent="0.35">
      <c r="A17" s="29" t="s">
        <v>235</v>
      </c>
      <c r="D17" s="23"/>
      <c r="E17" s="1"/>
      <c r="F17" s="1"/>
      <c r="G17" s="1"/>
      <c r="H17" s="6"/>
      <c r="I17" s="40">
        <v>50000</v>
      </c>
      <c r="J17" s="1">
        <f t="shared" si="1"/>
        <v>0</v>
      </c>
    </row>
    <row r="18" spans="1:31" ht="29" x14ac:dyDescent="0.35">
      <c r="A18" s="29" t="s">
        <v>236</v>
      </c>
      <c r="B18">
        <v>13</v>
      </c>
      <c r="C18" t="s">
        <v>221</v>
      </c>
      <c r="D18" s="23"/>
      <c r="E18" s="1">
        <v>0</v>
      </c>
      <c r="F18" s="1">
        <f t="shared" ref="F18:F25" si="7">SUMIFS(H$31:H$1005,E$31:E$1005,$B18)</f>
        <v>0</v>
      </c>
      <c r="G18" s="1"/>
      <c r="H18" s="6"/>
      <c r="I18" s="40">
        <v>22000</v>
      </c>
      <c r="J18" s="1">
        <f t="shared" si="1"/>
        <v>0</v>
      </c>
      <c r="M18" s="43">
        <v>22000</v>
      </c>
      <c r="N18" s="26">
        <f>$M$18</f>
        <v>22000</v>
      </c>
      <c r="Q18" s="43">
        <v>24000</v>
      </c>
      <c r="R18" s="26">
        <f>$Q$18</f>
        <v>24000</v>
      </c>
      <c r="U18" s="43">
        <v>24000</v>
      </c>
      <c r="V18" s="26">
        <f>$U$18</f>
        <v>24000</v>
      </c>
      <c r="Y18" s="43">
        <v>25000</v>
      </c>
      <c r="Z18" s="26">
        <f>$Y$18</f>
        <v>25000</v>
      </c>
      <c r="AC18" s="40">
        <f>ROUNDUP((Y18)*RPI,0)</f>
        <v>25750</v>
      </c>
      <c r="AD18" s="1">
        <f>$AC$18</f>
        <v>25750</v>
      </c>
    </row>
    <row r="19" spans="1:31" s="26" customFormat="1" x14ac:dyDescent="0.35">
      <c r="A19" s="5" t="s">
        <v>237</v>
      </c>
      <c r="B19" s="27">
        <v>14</v>
      </c>
      <c r="C19" s="27" t="s">
        <v>221</v>
      </c>
      <c r="D19" s="29"/>
      <c r="E19" s="26">
        <v>0</v>
      </c>
      <c r="F19" s="26">
        <f t="shared" si="7"/>
        <v>0</v>
      </c>
      <c r="H19" s="30"/>
      <c r="I19" s="43">
        <v>160000</v>
      </c>
      <c r="J19" s="26">
        <f t="shared" si="1"/>
        <v>154848.10999999996</v>
      </c>
      <c r="M19" s="43">
        <v>0</v>
      </c>
      <c r="N19" s="26">
        <f>$M$19</f>
        <v>0</v>
      </c>
      <c r="Q19" s="43">
        <v>0</v>
      </c>
      <c r="R19" s="26">
        <f>$Q$19</f>
        <v>0</v>
      </c>
      <c r="U19" s="43">
        <v>0</v>
      </c>
      <c r="V19" s="26">
        <f>$U$19</f>
        <v>0</v>
      </c>
      <c r="Y19" s="43">
        <v>0</v>
      </c>
      <c r="Z19" s="26">
        <f>$Y$19</f>
        <v>0</v>
      </c>
      <c r="AC19" s="43">
        <v>0</v>
      </c>
      <c r="AD19" s="26">
        <f>$AC$19</f>
        <v>0</v>
      </c>
    </row>
    <row r="20" spans="1:31" ht="29" x14ac:dyDescent="0.35">
      <c r="A20" s="29" t="s">
        <v>238</v>
      </c>
      <c r="B20" s="27">
        <v>15</v>
      </c>
      <c r="C20" s="27" t="s">
        <v>221</v>
      </c>
      <c r="D20" s="23"/>
      <c r="E20" s="26">
        <v>0</v>
      </c>
      <c r="F20" s="26">
        <f t="shared" si="7"/>
        <v>0</v>
      </c>
      <c r="G20" s="1"/>
      <c r="H20" s="6"/>
      <c r="I20" s="40">
        <v>30000</v>
      </c>
      <c r="J20" s="26">
        <f t="shared" si="1"/>
        <v>24148.67</v>
      </c>
    </row>
    <row r="21" spans="1:31" x14ac:dyDescent="0.35">
      <c r="A21" s="5" t="s">
        <v>1607</v>
      </c>
      <c r="B21" s="27">
        <v>16</v>
      </c>
      <c r="C21" t="s">
        <v>221</v>
      </c>
      <c r="D21" s="23"/>
      <c r="E21" s="1">
        <v>1500</v>
      </c>
      <c r="F21" s="1">
        <f t="shared" si="7"/>
        <v>1712.6400000000003</v>
      </c>
      <c r="G21" s="1"/>
      <c r="H21" s="6"/>
      <c r="I21" s="40">
        <v>2250</v>
      </c>
      <c r="J21" s="1">
        <f t="shared" si="1"/>
        <v>463.13</v>
      </c>
      <c r="M21" s="40">
        <f t="shared" si="6"/>
        <v>2318</v>
      </c>
      <c r="N21" s="1">
        <f>$M$21</f>
        <v>2318</v>
      </c>
      <c r="Q21" s="40">
        <f t="shared" si="2"/>
        <v>2388</v>
      </c>
      <c r="R21" s="1">
        <f>$Q$21</f>
        <v>2388</v>
      </c>
      <c r="U21" s="40">
        <f t="shared" si="3"/>
        <v>2460</v>
      </c>
      <c r="V21" s="1">
        <f>$U$21</f>
        <v>2460</v>
      </c>
      <c r="Y21" s="40">
        <f t="shared" si="4"/>
        <v>2534</v>
      </c>
      <c r="Z21" s="1">
        <f>$Y$21</f>
        <v>2534</v>
      </c>
      <c r="AC21" s="40">
        <f t="shared" si="5"/>
        <v>2611</v>
      </c>
      <c r="AD21" s="1">
        <f>$AC$21</f>
        <v>2611</v>
      </c>
    </row>
    <row r="22" spans="1:31" x14ac:dyDescent="0.35">
      <c r="B22" s="27">
        <v>17</v>
      </c>
      <c r="C22" t="s">
        <v>221</v>
      </c>
      <c r="D22" s="23"/>
      <c r="E22" s="1">
        <f>20682.4+1057.81</f>
        <v>21740.210000000003</v>
      </c>
      <c r="F22" s="1">
        <f t="shared" si="7"/>
        <v>9766</v>
      </c>
      <c r="G22" s="1"/>
      <c r="H22" s="6"/>
      <c r="I22" s="40">
        <f>9980+300</f>
        <v>10280</v>
      </c>
      <c r="J22" s="1">
        <f t="shared" si="1"/>
        <v>10305.049999999999</v>
      </c>
      <c r="M22" s="40">
        <f t="shared" si="6"/>
        <v>10589</v>
      </c>
      <c r="N22" s="1">
        <f>$M$22</f>
        <v>10589</v>
      </c>
      <c r="Q22" s="40">
        <f t="shared" si="2"/>
        <v>10907</v>
      </c>
      <c r="R22" s="1">
        <f>$Q$22</f>
        <v>10907</v>
      </c>
      <c r="U22" s="40">
        <f t="shared" si="3"/>
        <v>11235</v>
      </c>
      <c r="V22" s="1">
        <f>$U$22</f>
        <v>11235</v>
      </c>
      <c r="Y22" s="40">
        <f t="shared" si="4"/>
        <v>11573</v>
      </c>
      <c r="Z22" s="1">
        <f>$Y$22</f>
        <v>11573</v>
      </c>
      <c r="AC22" s="40">
        <f t="shared" si="5"/>
        <v>11921</v>
      </c>
      <c r="AD22" s="1">
        <f>$AC$22</f>
        <v>11921</v>
      </c>
    </row>
    <row r="23" spans="1:31" x14ac:dyDescent="0.35">
      <c r="A23" s="1"/>
      <c r="B23" s="27">
        <v>18</v>
      </c>
      <c r="C23" t="s">
        <v>72</v>
      </c>
      <c r="D23" s="23"/>
      <c r="E23" s="1">
        <v>0</v>
      </c>
      <c r="F23" s="1">
        <f t="shared" si="7"/>
        <v>0</v>
      </c>
      <c r="G23" s="1"/>
      <c r="H23" s="6"/>
      <c r="I23" s="40">
        <f>ROUNDUP((E23)*RPICurrent,0)</f>
        <v>0</v>
      </c>
      <c r="J23" s="1">
        <f t="shared" si="1"/>
        <v>0</v>
      </c>
      <c r="M23" s="40">
        <f>ROUNDUP((I23)*RPI,0)</f>
        <v>0</v>
      </c>
      <c r="N23" s="1">
        <f>$M$23</f>
        <v>0</v>
      </c>
      <c r="Q23" s="40">
        <f>ROUNDUP((M23)*RPI,0)</f>
        <v>0</v>
      </c>
      <c r="R23" s="1">
        <f>$Q$23</f>
        <v>0</v>
      </c>
      <c r="U23" s="40">
        <f>ROUNDUP((Q23)*RPI,0)</f>
        <v>0</v>
      </c>
      <c r="V23" s="1">
        <f>$U$23</f>
        <v>0</v>
      </c>
      <c r="Y23" s="40">
        <f>ROUNDUP((U23)*RPI,0)</f>
        <v>0</v>
      </c>
      <c r="Z23" s="1">
        <f>$Y$23</f>
        <v>0</v>
      </c>
      <c r="AC23" s="40">
        <f>ROUNDUP((Y23)*RPI,0)</f>
        <v>0</v>
      </c>
      <c r="AD23" s="1">
        <f>$AC$23</f>
        <v>0</v>
      </c>
    </row>
    <row r="24" spans="1:31" x14ac:dyDescent="0.35">
      <c r="A24" s="1"/>
      <c r="B24" s="27">
        <v>19</v>
      </c>
      <c r="C24" t="s">
        <v>223</v>
      </c>
      <c r="D24" s="23"/>
      <c r="E24" s="1">
        <v>0</v>
      </c>
      <c r="F24" s="1">
        <f t="shared" si="7"/>
        <v>6663.23</v>
      </c>
      <c r="G24" s="1"/>
      <c r="H24" s="6"/>
      <c r="I24" s="43">
        <v>5600</v>
      </c>
      <c r="J24" s="1">
        <f t="shared" si="1"/>
        <v>2571</v>
      </c>
      <c r="M24" s="40">
        <f t="shared" si="6"/>
        <v>5768</v>
      </c>
      <c r="N24" s="1">
        <f>$M$24</f>
        <v>5768</v>
      </c>
      <c r="Q24" s="40">
        <f t="shared" si="2"/>
        <v>5942</v>
      </c>
      <c r="R24" s="1">
        <f>$Q$24</f>
        <v>5942</v>
      </c>
      <c r="U24" s="40">
        <f t="shared" si="3"/>
        <v>6121</v>
      </c>
      <c r="V24" s="1">
        <f>$U$24</f>
        <v>6121</v>
      </c>
      <c r="Y24" s="40">
        <f t="shared" si="4"/>
        <v>6305</v>
      </c>
      <c r="Z24" s="1">
        <f>$Y$24</f>
        <v>6305</v>
      </c>
      <c r="AC24" s="40">
        <f t="shared" si="5"/>
        <v>6495</v>
      </c>
      <c r="AD24" s="1">
        <f>$AC$24</f>
        <v>6495</v>
      </c>
    </row>
    <row r="25" spans="1:31" x14ac:dyDescent="0.35">
      <c r="B25" s="27">
        <v>20</v>
      </c>
      <c r="C25" t="s">
        <v>225</v>
      </c>
      <c r="D25" s="29"/>
      <c r="E25" s="1">
        <v>20000</v>
      </c>
      <c r="F25" s="1">
        <f t="shared" si="7"/>
        <v>10159</v>
      </c>
      <c r="G25" s="1"/>
      <c r="H25" s="6"/>
      <c r="I25" s="40">
        <v>20000</v>
      </c>
      <c r="J25" s="1">
        <f t="shared" si="1"/>
        <v>9705.66</v>
      </c>
      <c r="M25" s="40">
        <f t="shared" si="6"/>
        <v>20600</v>
      </c>
      <c r="N25" s="1">
        <f>$M$25</f>
        <v>20600</v>
      </c>
      <c r="Q25" s="40">
        <f t="shared" si="2"/>
        <v>21218</v>
      </c>
      <c r="R25" s="1">
        <f>$Q$25</f>
        <v>21218</v>
      </c>
      <c r="U25" s="40">
        <f t="shared" si="3"/>
        <v>21855</v>
      </c>
      <c r="V25" s="1">
        <f>$U$25</f>
        <v>21855</v>
      </c>
      <c r="Y25" s="40">
        <f t="shared" si="4"/>
        <v>22511</v>
      </c>
      <c r="Z25" s="1">
        <f>$Y$25</f>
        <v>22511</v>
      </c>
      <c r="AC25" s="40">
        <f t="shared" si="5"/>
        <v>23187</v>
      </c>
      <c r="AD25" s="1">
        <f>$AC$25</f>
        <v>23187</v>
      </c>
    </row>
    <row r="26" spans="1:31" s="33" customFormat="1" x14ac:dyDescent="0.35">
      <c r="A26" s="31"/>
      <c r="B26" s="32"/>
      <c r="C26" s="32"/>
      <c r="D26" s="31"/>
      <c r="H26" s="34"/>
      <c r="I26" s="41"/>
      <c r="M26" s="41"/>
      <c r="Q26" s="41"/>
      <c r="U26" s="41"/>
      <c r="Y26" s="41"/>
      <c r="AC26" s="41"/>
    </row>
    <row r="27" spans="1:31" x14ac:dyDescent="0.35">
      <c r="E27" s="1"/>
      <c r="F27" s="1"/>
      <c r="G27" s="1"/>
      <c r="H27" s="6"/>
      <c r="I27" s="40"/>
      <c r="J27" s="1"/>
    </row>
    <row r="28" spans="1:31" x14ac:dyDescent="0.35">
      <c r="E28" s="1"/>
      <c r="F28" s="1"/>
      <c r="G28" s="1"/>
      <c r="H28" s="6"/>
      <c r="I28" s="40"/>
      <c r="J28" s="1"/>
    </row>
    <row r="29" spans="1:31" x14ac:dyDescent="0.35">
      <c r="A29" s="23" t="s">
        <v>487</v>
      </c>
      <c r="E29"/>
      <c r="F29" s="7"/>
      <c r="G29"/>
      <c r="H29" s="1"/>
      <c r="K29"/>
      <c r="M29" s="42"/>
      <c r="N29" s="7"/>
      <c r="O29"/>
      <c r="Q29" s="42"/>
      <c r="R29" s="7"/>
      <c r="S29"/>
      <c r="U29" s="42"/>
      <c r="V29" s="7"/>
      <c r="W29"/>
      <c r="Y29" s="42"/>
      <c r="Z29" s="7"/>
      <c r="AA29"/>
      <c r="AC29" s="42"/>
      <c r="AD29" s="7"/>
      <c r="AE29"/>
    </row>
    <row r="30" spans="1:31" x14ac:dyDescent="0.35">
      <c r="E30" t="s">
        <v>484</v>
      </c>
      <c r="F30" s="7" t="s">
        <v>488</v>
      </c>
      <c r="G30" t="s">
        <v>489</v>
      </c>
      <c r="H30" s="1" t="s">
        <v>475</v>
      </c>
      <c r="I30" t="s">
        <v>484</v>
      </c>
      <c r="J30" s="7" t="s">
        <v>488</v>
      </c>
      <c r="K30" t="s">
        <v>489</v>
      </c>
      <c r="L30" s="1" t="s">
        <v>475</v>
      </c>
      <c r="M30" s="42"/>
      <c r="N30" s="7"/>
      <c r="O30"/>
      <c r="Q30" s="42"/>
      <c r="R30" s="7"/>
      <c r="S30"/>
      <c r="U30" s="42"/>
      <c r="V30" s="7"/>
      <c r="W30"/>
      <c r="Y30" s="42"/>
      <c r="Z30" s="7"/>
      <c r="AA30"/>
      <c r="AC30" s="42"/>
      <c r="AD30" s="7"/>
      <c r="AE30"/>
    </row>
    <row r="31" spans="1:31" x14ac:dyDescent="0.35">
      <c r="A31"/>
      <c r="D31"/>
      <c r="E31">
        <v>10</v>
      </c>
      <c r="F31" s="7" t="s">
        <v>947</v>
      </c>
      <c r="G31" t="s">
        <v>1447</v>
      </c>
      <c r="H31" s="49">
        <v>13</v>
      </c>
      <c r="I31" s="42">
        <v>6</v>
      </c>
      <c r="J31" s="7">
        <v>45017</v>
      </c>
      <c r="K31" t="s">
        <v>1448</v>
      </c>
      <c r="L31" s="1">
        <v>100</v>
      </c>
      <c r="M31" s="42"/>
      <c r="N31" s="7"/>
      <c r="O31"/>
      <c r="Q31" s="42"/>
      <c r="R31" s="7"/>
      <c r="S31"/>
      <c r="U31" s="42"/>
      <c r="V31" s="7"/>
      <c r="W31"/>
      <c r="Y31" s="42"/>
      <c r="Z31" s="7"/>
      <c r="AA31"/>
      <c r="AC31" s="42"/>
      <c r="AD31" s="7"/>
      <c r="AE31"/>
    </row>
    <row r="32" spans="1:31" x14ac:dyDescent="0.35">
      <c r="E32" s="27">
        <v>16</v>
      </c>
      <c r="F32" s="7" t="s">
        <v>891</v>
      </c>
      <c r="G32" t="s">
        <v>1449</v>
      </c>
      <c r="H32" s="50">
        <f>1466.18-21.23</f>
        <v>1444.95</v>
      </c>
      <c r="I32" s="42">
        <v>6</v>
      </c>
      <c r="J32" s="7">
        <v>45017</v>
      </c>
      <c r="K32" t="s">
        <v>1450</v>
      </c>
      <c r="L32" s="1">
        <v>1300</v>
      </c>
      <c r="M32" s="42"/>
      <c r="N32" s="7"/>
      <c r="O32"/>
      <c r="Q32" s="42"/>
      <c r="R32" s="7"/>
      <c r="S32"/>
      <c r="U32" s="42"/>
      <c r="V32" s="7"/>
      <c r="W32"/>
      <c r="Y32" s="42"/>
      <c r="Z32" s="7"/>
      <c r="AA32"/>
      <c r="AC32" s="42"/>
      <c r="AD32" s="7"/>
      <c r="AE32"/>
    </row>
    <row r="33" spans="5:31" x14ac:dyDescent="0.35">
      <c r="E33" s="27">
        <v>20</v>
      </c>
      <c r="F33" s="7" t="s">
        <v>1186</v>
      </c>
      <c r="G33" t="s">
        <v>1451</v>
      </c>
      <c r="H33" s="49">
        <f>43.78+724.55</f>
        <v>768.32999999999993</v>
      </c>
      <c r="I33" s="42">
        <v>20</v>
      </c>
      <c r="J33" s="7">
        <v>45017</v>
      </c>
      <c r="K33" t="s">
        <v>1452</v>
      </c>
      <c r="L33" s="1">
        <v>176.4</v>
      </c>
      <c r="M33" s="42"/>
      <c r="N33" s="7"/>
      <c r="O33"/>
      <c r="Q33" s="42"/>
      <c r="R33" s="7"/>
      <c r="S33"/>
      <c r="U33" s="42"/>
      <c r="V33" s="7"/>
      <c r="W33"/>
      <c r="Y33" s="42"/>
      <c r="Z33" s="7"/>
      <c r="AA33"/>
      <c r="AC33" s="42"/>
      <c r="AD33" s="7"/>
      <c r="AE33"/>
    </row>
    <row r="34" spans="5:31" x14ac:dyDescent="0.35">
      <c r="E34">
        <v>8</v>
      </c>
      <c r="F34" s="7" t="s">
        <v>891</v>
      </c>
      <c r="G34" t="s">
        <v>1453</v>
      </c>
      <c r="H34" s="49">
        <f>9.27+5.86+3.5+43.99+10.1+8.99+43.99+12.87+43.99+36+14.7+43.99+32.88+72+43.99+37.98+8.4+30+43.99+6.25+0.95+12.63+43.99+43.99+16.6+6.5+4.15+7.8+43.99</f>
        <v>733.34</v>
      </c>
      <c r="I34" s="42">
        <v>12</v>
      </c>
      <c r="J34" s="7" t="s">
        <v>790</v>
      </c>
      <c r="K34" t="s">
        <v>1454</v>
      </c>
      <c r="L34" s="1">
        <f>14700*(DATE(2023,8,23)-DATE(2023,4,1))/365+15435*(DATE(2024,3,31)-DATE(2023,8,24))/365</f>
        <v>15102.739726027397</v>
      </c>
      <c r="M34" s="42"/>
      <c r="N34" s="7"/>
      <c r="O34"/>
      <c r="Q34" s="42"/>
      <c r="R34" s="7"/>
      <c r="S34"/>
      <c r="U34" s="42"/>
      <c r="V34" s="7"/>
      <c r="W34"/>
      <c r="Y34" s="42"/>
      <c r="Z34" s="7"/>
      <c r="AA34"/>
      <c r="AC34" s="42"/>
      <c r="AD34" s="7"/>
      <c r="AE34"/>
    </row>
    <row r="35" spans="5:31" x14ac:dyDescent="0.35">
      <c r="E35" s="27">
        <v>19</v>
      </c>
      <c r="F35" s="7" t="s">
        <v>1186</v>
      </c>
      <c r="G35" t="s">
        <v>240</v>
      </c>
      <c r="H35" s="49">
        <f>400*9+106+21.23</f>
        <v>3727.23</v>
      </c>
      <c r="I35" s="42">
        <v>12</v>
      </c>
      <c r="J35" s="7" t="s">
        <v>790</v>
      </c>
      <c r="K35" t="s">
        <v>1455</v>
      </c>
      <c r="L35" s="1">
        <f>3357.4*4</f>
        <v>13429.6</v>
      </c>
      <c r="M35" s="42"/>
      <c r="N35" s="7"/>
      <c r="O35"/>
      <c r="Q35" s="42"/>
      <c r="R35" s="7"/>
      <c r="S35"/>
      <c r="U35" s="42"/>
      <c r="V35" s="7"/>
      <c r="W35"/>
      <c r="Y35" s="42"/>
      <c r="Z35" s="7"/>
      <c r="AA35"/>
      <c r="AC35" s="42"/>
      <c r="AD35" s="7"/>
      <c r="AE35"/>
    </row>
    <row r="36" spans="5:31" x14ac:dyDescent="0.35">
      <c r="E36">
        <v>7</v>
      </c>
      <c r="F36" s="7" t="s">
        <v>891</v>
      </c>
      <c r="G36" t="s">
        <v>229</v>
      </c>
      <c r="H36" s="49">
        <v>504.69</v>
      </c>
      <c r="I36" s="42">
        <v>12</v>
      </c>
      <c r="J36" s="7" t="s">
        <v>790</v>
      </c>
      <c r="K36" t="s">
        <v>1456</v>
      </c>
      <c r="L36" s="1">
        <f>7591.25*4</f>
        <v>30365</v>
      </c>
      <c r="M36" s="42"/>
      <c r="N36" s="7"/>
      <c r="O36"/>
      <c r="Q36" s="42"/>
      <c r="R36" s="7"/>
      <c r="S36"/>
      <c r="U36" s="42"/>
      <c r="V36" s="7"/>
      <c r="W36"/>
      <c r="Y36" s="42"/>
      <c r="Z36" s="7"/>
      <c r="AA36"/>
      <c r="AC36" s="42"/>
      <c r="AD36" s="7"/>
      <c r="AE36"/>
    </row>
    <row r="37" spans="5:31" x14ac:dyDescent="0.35">
      <c r="E37" s="27">
        <v>17</v>
      </c>
      <c r="F37" s="7" t="s">
        <v>891</v>
      </c>
      <c r="G37" t="s">
        <v>1457</v>
      </c>
      <c r="H37" s="49">
        <v>9481</v>
      </c>
      <c r="I37" s="42">
        <v>17</v>
      </c>
      <c r="J37" s="7">
        <v>45017</v>
      </c>
      <c r="K37" t="s">
        <v>151</v>
      </c>
      <c r="L37" s="1">
        <v>9955.0499999999993</v>
      </c>
      <c r="M37" s="42"/>
      <c r="N37" s="7"/>
      <c r="O37"/>
      <c r="Q37" s="42"/>
      <c r="R37" s="7"/>
      <c r="S37"/>
      <c r="U37" s="42"/>
      <c r="V37" s="7"/>
      <c r="W37"/>
      <c r="Y37" s="42"/>
      <c r="Z37" s="7"/>
      <c r="AA37"/>
      <c r="AC37" s="42"/>
      <c r="AD37" s="7"/>
      <c r="AE37"/>
    </row>
    <row r="38" spans="5:31" x14ac:dyDescent="0.35">
      <c r="E38" s="27">
        <v>17</v>
      </c>
      <c r="F38" s="7">
        <v>44652</v>
      </c>
      <c r="G38" t="s">
        <v>1458</v>
      </c>
      <c r="H38" s="49">
        <v>285</v>
      </c>
      <c r="I38" s="42">
        <v>19</v>
      </c>
      <c r="J38" s="7">
        <v>45042</v>
      </c>
      <c r="K38" t="s">
        <v>1459</v>
      </c>
      <c r="L38" s="1">
        <v>421</v>
      </c>
      <c r="M38" s="42"/>
      <c r="N38" s="7"/>
      <c r="O38"/>
      <c r="Q38" s="42"/>
      <c r="R38" s="7"/>
      <c r="S38"/>
      <c r="U38" s="42"/>
      <c r="V38" s="7"/>
      <c r="W38"/>
      <c r="Y38" s="42"/>
      <c r="Z38" s="7"/>
      <c r="AA38"/>
      <c r="AC38" s="42"/>
      <c r="AD38" s="7"/>
      <c r="AE38"/>
    </row>
    <row r="39" spans="5:31" x14ac:dyDescent="0.35">
      <c r="E39">
        <v>10</v>
      </c>
      <c r="F39" s="7" t="s">
        <v>1186</v>
      </c>
      <c r="G39" t="s">
        <v>525</v>
      </c>
      <c r="H39" s="49">
        <f>132.48+61.4+158.97+337.25+433.33+13.58+21.66+10.81+9.99+69.72+54.64+19.17+67.06+103.4+11.9+48.69+439+74.99+26.65+20.83+40.87+11.24+113.66+42.63+12.16+14.99+186.86-18.33+24.99+113.97+164.55+44.76+5.42+3.66+42.77+6.65+14.1+132.28</f>
        <v>3072.75</v>
      </c>
      <c r="I39" s="42">
        <v>7</v>
      </c>
      <c r="J39" s="7">
        <v>45019</v>
      </c>
      <c r="K39" t="s">
        <v>1460</v>
      </c>
      <c r="L39" s="1">
        <v>6.66</v>
      </c>
      <c r="M39" s="42"/>
      <c r="N39" s="7"/>
      <c r="O39"/>
      <c r="Q39" s="42"/>
      <c r="R39" s="7"/>
      <c r="S39"/>
      <c r="U39" s="42"/>
      <c r="V39" s="7"/>
      <c r="W39"/>
      <c r="Y39" s="42"/>
      <c r="Z39" s="7"/>
      <c r="AA39"/>
      <c r="AC39" s="42"/>
      <c r="AD39" s="7"/>
      <c r="AE39"/>
    </row>
    <row r="40" spans="5:31" x14ac:dyDescent="0.35">
      <c r="E40">
        <v>11</v>
      </c>
      <c r="F40" s="7">
        <v>44833</v>
      </c>
      <c r="G40" t="s">
        <v>1461</v>
      </c>
      <c r="H40" s="49">
        <v>3570.6</v>
      </c>
      <c r="I40" s="42">
        <v>20</v>
      </c>
      <c r="J40" s="7">
        <v>45034</v>
      </c>
      <c r="K40" t="s">
        <v>1462</v>
      </c>
      <c r="L40" s="1">
        <v>367.77</v>
      </c>
      <c r="M40" s="42"/>
      <c r="N40" s="7"/>
      <c r="O40"/>
      <c r="Q40" s="42"/>
      <c r="R40" s="7"/>
      <c r="S40"/>
      <c r="U40" s="42"/>
      <c r="V40" s="7"/>
      <c r="W40"/>
      <c r="Y40" s="42"/>
      <c r="Z40" s="7"/>
      <c r="AA40"/>
      <c r="AC40" s="42"/>
      <c r="AD40" s="7"/>
      <c r="AE40"/>
    </row>
    <row r="41" spans="5:31" x14ac:dyDescent="0.35">
      <c r="E41">
        <v>10</v>
      </c>
      <c r="F41" s="7">
        <v>44762</v>
      </c>
      <c r="G41" t="s">
        <v>1463</v>
      </c>
      <c r="H41" s="49">
        <f>95.82+13.57+438.73</f>
        <v>548.12</v>
      </c>
      <c r="I41" s="42">
        <v>8</v>
      </c>
      <c r="J41" s="7">
        <v>45040</v>
      </c>
      <c r="K41" t="s">
        <v>1449</v>
      </c>
      <c r="L41" s="1">
        <v>4.95</v>
      </c>
      <c r="M41" s="42"/>
      <c r="N41" s="7"/>
      <c r="O41"/>
      <c r="Q41" s="42"/>
      <c r="R41" s="7"/>
      <c r="S41"/>
      <c r="U41" s="42"/>
      <c r="V41" s="7"/>
      <c r="W41"/>
      <c r="Y41" s="42"/>
      <c r="Z41" s="7"/>
      <c r="AA41"/>
      <c r="AC41" s="42"/>
      <c r="AD41" s="7"/>
      <c r="AE41"/>
    </row>
    <row r="42" spans="5:31" x14ac:dyDescent="0.35">
      <c r="E42">
        <v>10</v>
      </c>
      <c r="F42" s="7">
        <v>44817</v>
      </c>
      <c r="G42" t="s">
        <v>1464</v>
      </c>
      <c r="H42" s="49">
        <f>6.13+5.67</f>
        <v>11.8</v>
      </c>
      <c r="I42" s="42">
        <v>7</v>
      </c>
      <c r="J42" s="7">
        <v>45040</v>
      </c>
      <c r="K42" t="s">
        <v>1465</v>
      </c>
      <c r="L42" s="1">
        <v>13.32</v>
      </c>
      <c r="M42" s="42"/>
      <c r="N42" s="7"/>
      <c r="O42"/>
      <c r="Q42" s="42"/>
      <c r="R42" s="7"/>
      <c r="S42"/>
      <c r="U42" s="42"/>
      <c r="V42" s="7"/>
      <c r="W42"/>
      <c r="Y42" s="42"/>
      <c r="Z42" s="7"/>
      <c r="AA42"/>
      <c r="AC42" s="42"/>
      <c r="AD42" s="7"/>
      <c r="AE42"/>
    </row>
    <row r="43" spans="5:31" x14ac:dyDescent="0.35">
      <c r="E43">
        <v>10</v>
      </c>
      <c r="F43" s="7">
        <v>44871</v>
      </c>
      <c r="G43" t="s">
        <v>1466</v>
      </c>
      <c r="H43" s="49">
        <v>14.99</v>
      </c>
      <c r="I43" s="42">
        <v>14</v>
      </c>
      <c r="J43" s="7">
        <v>45064</v>
      </c>
      <c r="K43" t="s">
        <v>1467</v>
      </c>
      <c r="L43" s="1">
        <v>45.46</v>
      </c>
      <c r="M43" s="42"/>
      <c r="N43" s="7"/>
      <c r="O43"/>
      <c r="Q43" s="42"/>
      <c r="R43" s="7"/>
      <c r="S43"/>
      <c r="U43" s="42"/>
      <c r="V43" s="7"/>
      <c r="W43"/>
      <c r="Y43" s="42"/>
      <c r="Z43" s="7"/>
      <c r="AA43"/>
      <c r="AC43" s="42"/>
      <c r="AD43" s="7"/>
      <c r="AE43"/>
    </row>
    <row r="44" spans="5:31" x14ac:dyDescent="0.35">
      <c r="E44">
        <v>10</v>
      </c>
      <c r="F44" s="7">
        <v>44875</v>
      </c>
      <c r="G44" t="s">
        <v>1468</v>
      </c>
      <c r="H44" s="49">
        <v>12.87</v>
      </c>
      <c r="I44" s="42">
        <v>19</v>
      </c>
      <c r="J44" s="7">
        <v>45063</v>
      </c>
      <c r="K44" t="s">
        <v>1469</v>
      </c>
      <c r="L44" s="1">
        <v>420</v>
      </c>
      <c r="M44" s="42"/>
      <c r="N44" s="7"/>
      <c r="O44"/>
      <c r="Q44" s="42"/>
      <c r="R44" s="7"/>
      <c r="S44"/>
      <c r="U44" s="42"/>
      <c r="V44" s="7"/>
      <c r="W44"/>
      <c r="Y44" s="42"/>
      <c r="Z44" s="7"/>
      <c r="AA44"/>
      <c r="AC44" s="42"/>
      <c r="AD44" s="7"/>
      <c r="AE44"/>
    </row>
    <row r="45" spans="5:31" x14ac:dyDescent="0.35">
      <c r="E45">
        <v>6</v>
      </c>
      <c r="F45" s="7" t="s">
        <v>790</v>
      </c>
      <c r="G45" t="s">
        <v>1470</v>
      </c>
      <c r="H45" s="49">
        <f>3231*4</f>
        <v>12924</v>
      </c>
      <c r="I45" s="42">
        <v>16</v>
      </c>
      <c r="J45" s="7">
        <v>45050</v>
      </c>
      <c r="K45" t="s">
        <v>1471</v>
      </c>
      <c r="L45" s="1">
        <v>134.4</v>
      </c>
      <c r="M45" s="42"/>
      <c r="N45" s="7"/>
      <c r="O45"/>
      <c r="Q45" s="42"/>
      <c r="R45" s="7"/>
      <c r="S45"/>
      <c r="U45" s="42"/>
      <c r="V45" s="7"/>
      <c r="W45"/>
      <c r="Y45" s="42"/>
      <c r="Z45" s="7"/>
      <c r="AA45"/>
      <c r="AC45" s="42"/>
      <c r="AD45" s="7"/>
      <c r="AE45"/>
    </row>
    <row r="46" spans="5:31" x14ac:dyDescent="0.35">
      <c r="E46">
        <v>12</v>
      </c>
      <c r="F46" s="7" t="s">
        <v>790</v>
      </c>
      <c r="G46" t="s">
        <v>1472</v>
      </c>
      <c r="H46" s="49">
        <f>3357.4*4</f>
        <v>13429.6</v>
      </c>
      <c r="I46" s="42">
        <v>14</v>
      </c>
      <c r="J46" s="7">
        <v>45046</v>
      </c>
      <c r="K46" t="s">
        <v>1473</v>
      </c>
      <c r="L46" s="1">
        <v>1031.17</v>
      </c>
      <c r="M46" s="42"/>
      <c r="N46" s="7"/>
      <c r="O46"/>
      <c r="Q46" s="42"/>
      <c r="R46" s="7"/>
      <c r="S46"/>
      <c r="U46" s="42"/>
      <c r="V46" s="7"/>
      <c r="W46"/>
      <c r="Y46" s="42"/>
      <c r="Z46" s="7"/>
      <c r="AA46"/>
      <c r="AC46" s="42"/>
      <c r="AD46" s="7"/>
      <c r="AE46"/>
    </row>
    <row r="47" spans="5:31" x14ac:dyDescent="0.35">
      <c r="E47">
        <v>12</v>
      </c>
      <c r="F47" s="7" t="s">
        <v>790</v>
      </c>
      <c r="G47" t="s">
        <v>1454</v>
      </c>
      <c r="H47" s="49">
        <f>3675*4</f>
        <v>14700</v>
      </c>
      <c r="I47" s="42">
        <v>14</v>
      </c>
      <c r="J47" s="7">
        <v>45036</v>
      </c>
      <c r="K47" t="s">
        <v>1474</v>
      </c>
      <c r="L47" s="1">
        <v>33.33</v>
      </c>
      <c r="M47" s="42"/>
      <c r="N47" s="7"/>
      <c r="O47"/>
      <c r="Q47" s="42"/>
      <c r="R47" s="7"/>
      <c r="S47"/>
      <c r="U47" s="42"/>
      <c r="V47" s="7"/>
      <c r="W47"/>
      <c r="Y47" s="42"/>
      <c r="Z47" s="7"/>
      <c r="AA47"/>
      <c r="AC47" s="42"/>
      <c r="AD47" s="7"/>
      <c r="AE47"/>
    </row>
    <row r="48" spans="5:31" x14ac:dyDescent="0.35">
      <c r="E48">
        <v>12</v>
      </c>
      <c r="F48" s="7" t="s">
        <v>790</v>
      </c>
      <c r="G48" t="s">
        <v>1475</v>
      </c>
      <c r="H48" s="49">
        <f>8312.25*2+7591.25*2</f>
        <v>31807</v>
      </c>
      <c r="I48" s="42">
        <v>14</v>
      </c>
      <c r="J48" s="7">
        <v>45021</v>
      </c>
      <c r="K48" t="s">
        <v>1476</v>
      </c>
      <c r="L48" s="1">
        <v>37.49</v>
      </c>
      <c r="M48" s="42"/>
      <c r="N48" s="7"/>
      <c r="O48"/>
      <c r="Q48" s="42"/>
      <c r="R48" s="7"/>
      <c r="S48"/>
      <c r="U48" s="42"/>
      <c r="V48" s="7"/>
      <c r="W48"/>
      <c r="Y48" s="42"/>
      <c r="Z48" s="7"/>
      <c r="AA48"/>
      <c r="AC48" s="42"/>
      <c r="AD48" s="7"/>
      <c r="AE48"/>
    </row>
    <row r="49" spans="5:31" x14ac:dyDescent="0.35">
      <c r="E49">
        <v>5</v>
      </c>
      <c r="F49" s="7">
        <v>44797</v>
      </c>
      <c r="G49" t="s">
        <v>1477</v>
      </c>
      <c r="H49" s="49">
        <f>737+17</f>
        <v>754</v>
      </c>
      <c r="I49" s="42">
        <v>14</v>
      </c>
      <c r="J49" s="7">
        <v>45021</v>
      </c>
      <c r="K49" t="s">
        <v>1478</v>
      </c>
      <c r="L49" s="1">
        <v>29.66</v>
      </c>
      <c r="M49" s="42"/>
      <c r="N49" s="7"/>
      <c r="O49"/>
      <c r="Q49" s="42"/>
      <c r="R49" s="7"/>
      <c r="S49"/>
      <c r="U49" s="42"/>
      <c r="V49" s="7"/>
      <c r="W49"/>
      <c r="Y49" s="42"/>
      <c r="Z49" s="7"/>
      <c r="AA49"/>
      <c r="AC49" s="42"/>
      <c r="AD49" s="7"/>
      <c r="AE49"/>
    </row>
    <row r="50" spans="5:31" x14ac:dyDescent="0.35">
      <c r="E50">
        <v>5</v>
      </c>
      <c r="F50" s="7">
        <v>44797</v>
      </c>
      <c r="G50" t="s">
        <v>1479</v>
      </c>
      <c r="H50" s="49">
        <f>2096.32+250</f>
        <v>2346.3200000000002</v>
      </c>
      <c r="I50" s="42">
        <v>14</v>
      </c>
      <c r="J50" s="7">
        <v>45021</v>
      </c>
      <c r="K50" t="s">
        <v>1476</v>
      </c>
      <c r="L50" s="1">
        <v>37.49</v>
      </c>
      <c r="M50" s="42"/>
      <c r="N50" s="7"/>
      <c r="O50"/>
      <c r="Q50" s="42"/>
      <c r="R50" s="7"/>
      <c r="S50"/>
      <c r="U50" s="42"/>
      <c r="V50" s="7"/>
      <c r="W50"/>
      <c r="Y50" s="42"/>
      <c r="Z50" s="7"/>
      <c r="AA50"/>
      <c r="AC50" s="42"/>
      <c r="AD50" s="7"/>
      <c r="AE50"/>
    </row>
    <row r="51" spans="5:31" x14ac:dyDescent="0.35">
      <c r="E51">
        <v>6</v>
      </c>
      <c r="F51" s="7">
        <v>44652</v>
      </c>
      <c r="G51" t="s">
        <v>1450</v>
      </c>
      <c r="H51" s="49">
        <v>959</v>
      </c>
      <c r="I51" s="42">
        <v>14</v>
      </c>
      <c r="J51" s="7">
        <v>45028</v>
      </c>
      <c r="K51" t="s">
        <v>1480</v>
      </c>
      <c r="L51" s="1">
        <v>348.14</v>
      </c>
      <c r="M51" s="42"/>
      <c r="N51" s="7"/>
      <c r="O51"/>
      <c r="Q51" s="42"/>
      <c r="R51" s="7"/>
      <c r="S51"/>
      <c r="U51" s="42"/>
      <c r="V51" s="7"/>
      <c r="W51"/>
      <c r="Y51" s="42"/>
      <c r="Z51" s="7"/>
      <c r="AA51"/>
      <c r="AC51" s="42"/>
      <c r="AD51" s="7"/>
      <c r="AE51"/>
    </row>
    <row r="52" spans="5:31" x14ac:dyDescent="0.35">
      <c r="E52">
        <v>6</v>
      </c>
      <c r="F52" s="7">
        <v>44876</v>
      </c>
      <c r="G52" t="s">
        <v>1481</v>
      </c>
      <c r="H52" s="49">
        <f>-3231/6</f>
        <v>-538.5</v>
      </c>
      <c r="I52" s="42">
        <v>14</v>
      </c>
      <c r="J52" s="7">
        <v>45028</v>
      </c>
      <c r="K52" t="s">
        <v>1482</v>
      </c>
      <c r="L52" s="1">
        <v>24.99</v>
      </c>
      <c r="M52" s="42"/>
      <c r="N52" s="7"/>
      <c r="O52"/>
      <c r="Q52" s="42"/>
      <c r="R52" s="7"/>
      <c r="S52"/>
      <c r="U52" s="42"/>
      <c r="V52" s="7"/>
      <c r="W52"/>
      <c r="Y52" s="42"/>
      <c r="Z52" s="7"/>
      <c r="AA52"/>
      <c r="AC52" s="42"/>
      <c r="AD52" s="7"/>
      <c r="AE52"/>
    </row>
    <row r="53" spans="5:31" x14ac:dyDescent="0.35">
      <c r="E53">
        <v>12</v>
      </c>
      <c r="F53" s="7">
        <v>44876</v>
      </c>
      <c r="G53" t="s">
        <v>1483</v>
      </c>
      <c r="H53" s="49">
        <v>-2277.23</v>
      </c>
      <c r="I53" s="42">
        <v>14</v>
      </c>
      <c r="J53" s="7">
        <v>45033</v>
      </c>
      <c r="K53" t="s">
        <v>1484</v>
      </c>
      <c r="L53" s="1">
        <v>49.99</v>
      </c>
      <c r="M53" s="42"/>
      <c r="N53" s="7"/>
      <c r="O53"/>
      <c r="Q53" s="42"/>
      <c r="R53" s="7"/>
      <c r="S53"/>
      <c r="U53" s="42"/>
      <c r="V53" s="7"/>
      <c r="W53"/>
      <c r="Y53" s="42"/>
      <c r="Z53" s="7"/>
      <c r="AA53"/>
      <c r="AC53" s="42"/>
      <c r="AD53" s="7"/>
      <c r="AE53"/>
    </row>
    <row r="54" spans="5:31" x14ac:dyDescent="0.35">
      <c r="E54" s="27">
        <v>19</v>
      </c>
      <c r="F54" s="7">
        <v>44882</v>
      </c>
      <c r="G54" t="s">
        <v>240</v>
      </c>
      <c r="H54" s="49">
        <v>400</v>
      </c>
      <c r="I54" s="42">
        <v>14</v>
      </c>
      <c r="J54" s="7">
        <v>45036</v>
      </c>
      <c r="K54" t="s">
        <v>1476</v>
      </c>
      <c r="L54" s="1">
        <v>43.7</v>
      </c>
      <c r="M54" s="42"/>
      <c r="N54" s="7"/>
      <c r="O54"/>
      <c r="Q54" s="42"/>
      <c r="R54" s="7"/>
      <c r="S54"/>
      <c r="U54" s="42"/>
      <c r="V54" s="7"/>
      <c r="W54"/>
      <c r="Y54" s="42"/>
      <c r="Z54" s="7"/>
      <c r="AA54"/>
      <c r="AC54" s="42"/>
      <c r="AD54" s="7"/>
      <c r="AE54"/>
    </row>
    <row r="55" spans="5:31" ht="43.5" x14ac:dyDescent="0.35">
      <c r="E55">
        <v>1</v>
      </c>
      <c r="F55" s="7" t="s">
        <v>1485</v>
      </c>
      <c r="G55" s="44" t="s">
        <v>235</v>
      </c>
      <c r="H55" s="50">
        <v>100000</v>
      </c>
      <c r="I55" s="42">
        <v>14</v>
      </c>
      <c r="J55" s="7">
        <v>45040</v>
      </c>
      <c r="K55" t="s">
        <v>1476</v>
      </c>
      <c r="L55" s="1">
        <v>64.959999999999994</v>
      </c>
      <c r="M55" s="42"/>
      <c r="N55" s="7"/>
      <c r="O55"/>
      <c r="Q55" s="42"/>
      <c r="R55" s="7"/>
      <c r="S55"/>
      <c r="U55" s="42"/>
      <c r="V55" s="7"/>
      <c r="W55"/>
      <c r="Y55" s="42"/>
      <c r="Z55" s="7"/>
      <c r="AA55"/>
      <c r="AC55" s="42"/>
      <c r="AD55" s="7"/>
      <c r="AE55"/>
    </row>
    <row r="56" spans="5:31" x14ac:dyDescent="0.35">
      <c r="E56">
        <v>1</v>
      </c>
      <c r="F56" s="7" t="s">
        <v>1485</v>
      </c>
      <c r="G56" t="s">
        <v>1486</v>
      </c>
      <c r="H56" s="50">
        <v>10000</v>
      </c>
      <c r="I56" s="42">
        <v>14</v>
      </c>
      <c r="J56" s="7">
        <v>45043</v>
      </c>
      <c r="K56" t="s">
        <v>1476</v>
      </c>
      <c r="L56" s="1">
        <v>263.91000000000003</v>
      </c>
      <c r="M56" s="42"/>
      <c r="N56" s="7"/>
      <c r="O56"/>
      <c r="Q56" s="42"/>
      <c r="R56" s="7"/>
      <c r="S56"/>
      <c r="U56" s="42"/>
      <c r="V56" s="7"/>
      <c r="W56"/>
      <c r="Y56" s="42"/>
      <c r="Z56" s="7"/>
      <c r="AA56"/>
      <c r="AC56" s="42"/>
      <c r="AD56" s="7"/>
      <c r="AE56"/>
    </row>
    <row r="57" spans="5:31" x14ac:dyDescent="0.35">
      <c r="E57" s="27">
        <v>20</v>
      </c>
      <c r="F57" s="7">
        <v>44896</v>
      </c>
      <c r="G57" t="s">
        <v>1487</v>
      </c>
      <c r="H57" s="49">
        <v>5669.5</v>
      </c>
      <c r="I57" s="42">
        <v>20</v>
      </c>
      <c r="J57" s="7">
        <v>45058</v>
      </c>
      <c r="K57" t="s">
        <v>1488</v>
      </c>
      <c r="L57" s="1">
        <v>1416.8</v>
      </c>
      <c r="M57" s="42"/>
      <c r="N57" s="7"/>
      <c r="O57"/>
      <c r="Q57" s="42"/>
      <c r="R57" s="7"/>
      <c r="S57"/>
      <c r="U57" s="42"/>
      <c r="V57" s="7"/>
      <c r="W57"/>
      <c r="Y57" s="42"/>
      <c r="Z57" s="7"/>
      <c r="AA57"/>
      <c r="AC57" s="42"/>
      <c r="AD57" s="7"/>
      <c r="AE57"/>
    </row>
    <row r="58" spans="5:31" x14ac:dyDescent="0.35">
      <c r="E58" s="27">
        <v>19</v>
      </c>
      <c r="F58" s="7">
        <v>44896</v>
      </c>
      <c r="G58" t="s">
        <v>240</v>
      </c>
      <c r="H58" s="49">
        <v>400</v>
      </c>
      <c r="I58" s="42">
        <v>17</v>
      </c>
      <c r="J58" s="7">
        <v>45042</v>
      </c>
      <c r="K58" t="s">
        <v>1371</v>
      </c>
      <c r="L58" s="1">
        <v>350</v>
      </c>
      <c r="M58" s="42"/>
      <c r="N58" s="7"/>
      <c r="O58"/>
      <c r="Q58" s="42"/>
      <c r="R58" s="7"/>
      <c r="S58"/>
      <c r="U58" s="42"/>
      <c r="V58" s="7"/>
      <c r="W58"/>
      <c r="Y58" s="42"/>
      <c r="Z58" s="7"/>
      <c r="AA58"/>
      <c r="AC58" s="42"/>
      <c r="AD58" s="7"/>
      <c r="AE58"/>
    </row>
    <row r="59" spans="5:31" x14ac:dyDescent="0.35">
      <c r="E59" s="27">
        <v>1</v>
      </c>
      <c r="F59" s="28" t="s">
        <v>784</v>
      </c>
      <c r="G59" s="27" t="s">
        <v>1154</v>
      </c>
      <c r="H59" s="26">
        <v>-118000</v>
      </c>
      <c r="I59" s="42">
        <v>8</v>
      </c>
      <c r="J59" s="7">
        <v>45061</v>
      </c>
      <c r="K59" t="s">
        <v>1489</v>
      </c>
      <c r="L59" s="1">
        <v>14.23</v>
      </c>
      <c r="M59" s="42"/>
      <c r="N59" s="7"/>
      <c r="O59"/>
      <c r="Q59" s="42"/>
      <c r="R59" s="7"/>
      <c r="S59"/>
      <c r="U59" s="42"/>
      <c r="V59" s="7"/>
      <c r="W59"/>
      <c r="Y59" s="42"/>
      <c r="Z59" s="7"/>
      <c r="AA59"/>
      <c r="AC59" s="42"/>
      <c r="AD59" s="7"/>
      <c r="AE59"/>
    </row>
    <row r="60" spans="5:31" x14ac:dyDescent="0.35">
      <c r="E60" s="27">
        <v>1</v>
      </c>
      <c r="F60" s="28" t="s">
        <v>699</v>
      </c>
      <c r="G60" s="27" t="s">
        <v>1490</v>
      </c>
      <c r="H60" s="26">
        <v>-32000</v>
      </c>
      <c r="I60" s="42">
        <v>16</v>
      </c>
      <c r="J60" s="7">
        <v>45061</v>
      </c>
      <c r="K60" t="s">
        <v>1489</v>
      </c>
      <c r="L60" s="1">
        <v>12</v>
      </c>
      <c r="M60" s="42"/>
      <c r="N60" s="7"/>
      <c r="O60"/>
      <c r="Q60" s="42"/>
      <c r="R60" s="7"/>
      <c r="S60"/>
      <c r="U60" s="42"/>
      <c r="V60" s="7"/>
      <c r="W60"/>
      <c r="Y60" s="42"/>
      <c r="Z60" s="7"/>
      <c r="AA60"/>
      <c r="AC60" s="42"/>
      <c r="AD60" s="7"/>
      <c r="AE60"/>
    </row>
    <row r="61" spans="5:31" x14ac:dyDescent="0.35">
      <c r="E61" s="27">
        <v>1</v>
      </c>
      <c r="F61" s="28" t="s">
        <v>1199</v>
      </c>
      <c r="G61" s="27" t="s">
        <v>1491</v>
      </c>
      <c r="H61" s="26">
        <v>-10000</v>
      </c>
      <c r="I61" s="45">
        <v>7</v>
      </c>
      <c r="J61" s="7">
        <v>45061</v>
      </c>
      <c r="K61" t="s">
        <v>1465</v>
      </c>
      <c r="L61" s="1">
        <v>16.649999999999999</v>
      </c>
      <c r="M61" s="42"/>
      <c r="N61" s="7"/>
      <c r="O61"/>
      <c r="Q61" s="42"/>
      <c r="R61" s="7"/>
      <c r="S61"/>
      <c r="U61" s="42"/>
      <c r="V61" s="7"/>
      <c r="W61"/>
      <c r="Y61" s="42"/>
      <c r="Z61" s="7"/>
      <c r="AA61"/>
      <c r="AC61" s="42"/>
      <c r="AD61" s="7"/>
      <c r="AE61"/>
    </row>
    <row r="62" spans="5:31" x14ac:dyDescent="0.35">
      <c r="E62" s="27">
        <v>1</v>
      </c>
      <c r="F62" s="28" t="s">
        <v>784</v>
      </c>
      <c r="G62" s="27" t="s">
        <v>1154</v>
      </c>
      <c r="H62" s="26">
        <v>-10000</v>
      </c>
      <c r="I62" s="45">
        <v>7</v>
      </c>
      <c r="J62" s="7">
        <v>45061</v>
      </c>
      <c r="K62" t="s">
        <v>1492</v>
      </c>
      <c r="L62" s="1">
        <v>11.66</v>
      </c>
      <c r="M62" s="42"/>
      <c r="N62" s="7"/>
      <c r="O62"/>
      <c r="Q62" s="42"/>
      <c r="R62" s="7"/>
      <c r="S62"/>
      <c r="U62" s="42"/>
      <c r="V62" s="7"/>
      <c r="W62"/>
      <c r="Y62" s="42"/>
      <c r="Z62" s="7"/>
      <c r="AA62"/>
      <c r="AC62" s="42"/>
      <c r="AD62" s="7"/>
      <c r="AE62"/>
    </row>
    <row r="63" spans="5:31" x14ac:dyDescent="0.35">
      <c r="E63" s="39">
        <v>19</v>
      </c>
      <c r="F63" s="36">
        <v>44942</v>
      </c>
      <c r="G63" s="39" t="s">
        <v>240</v>
      </c>
      <c r="H63" s="51">
        <v>400</v>
      </c>
      <c r="I63" s="42">
        <v>19</v>
      </c>
      <c r="J63" s="7">
        <v>45069</v>
      </c>
      <c r="K63" t="s">
        <v>1493</v>
      </c>
      <c r="L63" s="1">
        <v>420</v>
      </c>
      <c r="M63" s="42"/>
      <c r="N63" s="7"/>
      <c r="O63"/>
      <c r="Q63" s="42"/>
      <c r="R63" s="7"/>
      <c r="S63"/>
      <c r="U63" s="42"/>
      <c r="V63" s="7"/>
      <c r="W63"/>
      <c r="Y63" s="42"/>
      <c r="Z63" s="7"/>
      <c r="AA63"/>
      <c r="AC63" s="42"/>
      <c r="AD63" s="7"/>
      <c r="AE63"/>
    </row>
    <row r="64" spans="5:31" x14ac:dyDescent="0.35">
      <c r="E64" s="39">
        <v>19</v>
      </c>
      <c r="F64" s="36">
        <v>44949</v>
      </c>
      <c r="G64" s="39" t="s">
        <v>240</v>
      </c>
      <c r="H64" s="51">
        <v>400</v>
      </c>
      <c r="I64" s="42">
        <v>14</v>
      </c>
      <c r="J64" s="7">
        <v>45058</v>
      </c>
      <c r="K64" t="s">
        <v>1010</v>
      </c>
      <c r="L64" s="1">
        <v>440</v>
      </c>
      <c r="M64" s="42"/>
      <c r="N64" s="7"/>
      <c r="O64"/>
      <c r="Q64" s="42"/>
      <c r="R64" s="7"/>
      <c r="S64"/>
      <c r="U64" s="42"/>
      <c r="V64" s="7"/>
      <c r="W64"/>
      <c r="Y64" s="42"/>
      <c r="Z64" s="7"/>
      <c r="AA64"/>
      <c r="AC64" s="42"/>
      <c r="AD64" s="7"/>
      <c r="AE64"/>
    </row>
    <row r="65" spans="5:31" x14ac:dyDescent="0.35">
      <c r="E65" s="39">
        <v>19</v>
      </c>
      <c r="F65" s="36">
        <v>44985</v>
      </c>
      <c r="G65" s="39" t="s">
        <v>240</v>
      </c>
      <c r="H65" s="51">
        <v>400</v>
      </c>
      <c r="I65" s="42">
        <v>20</v>
      </c>
      <c r="J65" s="7">
        <v>45069</v>
      </c>
      <c r="K65" t="s">
        <v>1494</v>
      </c>
      <c r="L65" s="1">
        <v>5540</v>
      </c>
      <c r="M65" s="42"/>
      <c r="N65" s="7"/>
      <c r="O65"/>
      <c r="Q65" s="42"/>
      <c r="R65" s="7"/>
      <c r="S65"/>
      <c r="U65" s="42"/>
      <c r="V65" s="7"/>
      <c r="W65"/>
      <c r="Y65" s="42"/>
      <c r="Z65" s="7"/>
      <c r="AA65"/>
      <c r="AC65" s="42"/>
      <c r="AD65" s="7"/>
      <c r="AE65"/>
    </row>
    <row r="66" spans="5:31" x14ac:dyDescent="0.35">
      <c r="E66" s="39">
        <v>19</v>
      </c>
      <c r="F66" s="36">
        <v>45013</v>
      </c>
      <c r="G66" s="39" t="s">
        <v>240</v>
      </c>
      <c r="H66" s="51">
        <v>430</v>
      </c>
      <c r="I66" s="42">
        <v>14</v>
      </c>
      <c r="J66" s="7">
        <v>45068</v>
      </c>
      <c r="K66" t="s">
        <v>1495</v>
      </c>
      <c r="L66" s="1">
        <v>2105</v>
      </c>
      <c r="M66" s="42"/>
      <c r="N66" s="7"/>
      <c r="O66"/>
      <c r="Q66" s="42"/>
      <c r="R66" s="7"/>
      <c r="S66"/>
      <c r="U66" s="42"/>
      <c r="V66" s="7"/>
      <c r="W66"/>
      <c r="Y66" s="42"/>
      <c r="Z66" s="7"/>
      <c r="AA66"/>
      <c r="AC66" s="42"/>
      <c r="AD66" s="7"/>
      <c r="AE66"/>
    </row>
    <row r="67" spans="5:31" x14ac:dyDescent="0.35">
      <c r="E67" s="39">
        <v>19</v>
      </c>
      <c r="F67" s="36">
        <v>44767</v>
      </c>
      <c r="G67" s="39" t="s">
        <v>1496</v>
      </c>
      <c r="H67" s="51">
        <v>106</v>
      </c>
      <c r="I67" s="42">
        <v>20</v>
      </c>
      <c r="J67" s="7">
        <v>45064</v>
      </c>
      <c r="K67" t="s">
        <v>1497</v>
      </c>
      <c r="L67" s="1">
        <v>598.16999999999996</v>
      </c>
      <c r="M67" s="42"/>
      <c r="N67" s="7"/>
      <c r="O67"/>
      <c r="Q67" s="42"/>
      <c r="R67" s="7"/>
      <c r="S67"/>
      <c r="U67" s="42"/>
      <c r="V67" s="7"/>
      <c r="W67"/>
      <c r="Y67" s="42"/>
      <c r="Z67" s="7"/>
      <c r="AA67"/>
      <c r="AC67" s="42"/>
      <c r="AD67" s="7"/>
      <c r="AE67"/>
    </row>
    <row r="68" spans="5:31" x14ac:dyDescent="0.35">
      <c r="E68" s="39">
        <v>19</v>
      </c>
      <c r="F68" s="36">
        <v>44987</v>
      </c>
      <c r="G68" s="39" t="s">
        <v>240</v>
      </c>
      <c r="H68" s="51">
        <v>400</v>
      </c>
      <c r="I68" s="42">
        <v>14</v>
      </c>
      <c r="J68" s="7">
        <v>45068</v>
      </c>
      <c r="K68" t="s">
        <v>1498</v>
      </c>
      <c r="L68" s="1">
        <v>1996.5</v>
      </c>
      <c r="M68" s="42"/>
      <c r="N68" s="7"/>
      <c r="O68"/>
      <c r="Q68" s="42"/>
      <c r="R68" s="7"/>
      <c r="S68"/>
      <c r="U68" s="42"/>
      <c r="V68" s="7"/>
      <c r="W68"/>
      <c r="Y68" s="42"/>
      <c r="Z68" s="7"/>
      <c r="AA68"/>
      <c r="AC68" s="42"/>
      <c r="AD68" s="7"/>
      <c r="AE68"/>
    </row>
    <row r="69" spans="5:31" x14ac:dyDescent="0.35">
      <c r="E69" s="39">
        <v>20</v>
      </c>
      <c r="F69" s="36">
        <v>44799</v>
      </c>
      <c r="G69" s="39" t="s">
        <v>1499</v>
      </c>
      <c r="H69" s="51">
        <v>798</v>
      </c>
      <c r="I69" s="42">
        <v>14</v>
      </c>
      <c r="J69" s="7">
        <v>45019</v>
      </c>
      <c r="K69" t="s">
        <v>1500</v>
      </c>
      <c r="L69" s="47">
        <v>5900</v>
      </c>
      <c r="M69" s="42"/>
      <c r="N69" s="7"/>
      <c r="O69"/>
      <c r="Q69" s="42"/>
      <c r="R69" s="7"/>
      <c r="S69"/>
      <c r="U69" s="42"/>
      <c r="V69" s="7"/>
      <c r="W69"/>
      <c r="Y69" s="42"/>
      <c r="Z69" s="7"/>
      <c r="AA69"/>
      <c r="AC69" s="42"/>
      <c r="AD69" s="7"/>
      <c r="AE69"/>
    </row>
    <row r="70" spans="5:31" x14ac:dyDescent="0.35">
      <c r="E70" s="39">
        <v>20</v>
      </c>
      <c r="F70" s="36">
        <v>44946</v>
      </c>
      <c r="G70" s="39" t="s">
        <v>1501</v>
      </c>
      <c r="H70" s="51">
        <v>342.37</v>
      </c>
      <c r="I70" s="42">
        <v>14</v>
      </c>
      <c r="J70" s="7">
        <v>45071</v>
      </c>
      <c r="K70" t="s">
        <v>1502</v>
      </c>
      <c r="L70" s="1">
        <v>2759</v>
      </c>
      <c r="M70" s="42"/>
      <c r="N70" s="7"/>
      <c r="O70"/>
      <c r="Q70" s="42"/>
      <c r="R70" s="7"/>
      <c r="S70"/>
      <c r="U70" s="42"/>
      <c r="V70" s="7"/>
      <c r="W70"/>
      <c r="Y70" s="42"/>
      <c r="Z70" s="7"/>
      <c r="AA70"/>
      <c r="AC70" s="42"/>
      <c r="AD70" s="7"/>
      <c r="AE70"/>
    </row>
    <row r="71" spans="5:31" x14ac:dyDescent="0.35">
      <c r="E71" s="39">
        <v>20</v>
      </c>
      <c r="F71" s="36">
        <v>44971</v>
      </c>
      <c r="G71" s="39" t="s">
        <v>1448</v>
      </c>
      <c r="H71" s="51">
        <v>12.38</v>
      </c>
      <c r="I71" s="42">
        <v>9</v>
      </c>
      <c r="J71" s="7">
        <v>45026</v>
      </c>
      <c r="K71" t="s">
        <v>1503</v>
      </c>
      <c r="L71" s="1">
        <v>650</v>
      </c>
      <c r="M71" s="42"/>
      <c r="N71" s="7"/>
      <c r="O71"/>
      <c r="Q71" s="42"/>
      <c r="R71" s="7"/>
      <c r="S71"/>
      <c r="U71" s="42"/>
      <c r="V71" s="7"/>
      <c r="W71"/>
      <c r="Y71" s="42"/>
      <c r="Z71" s="7"/>
      <c r="AA71"/>
      <c r="AC71" s="42"/>
      <c r="AD71" s="7"/>
      <c r="AE71"/>
    </row>
    <row r="72" spans="5:31" x14ac:dyDescent="0.35">
      <c r="E72" s="39">
        <v>20</v>
      </c>
      <c r="F72" s="36">
        <v>44972</v>
      </c>
      <c r="G72" s="39" t="s">
        <v>1487</v>
      </c>
      <c r="H72" s="51">
        <v>2101.48</v>
      </c>
      <c r="I72" s="42">
        <v>9</v>
      </c>
      <c r="J72" s="7">
        <v>45056</v>
      </c>
      <c r="K72" t="s">
        <v>1504</v>
      </c>
      <c r="L72" s="1">
        <v>650</v>
      </c>
      <c r="M72" s="42"/>
      <c r="N72" s="7"/>
      <c r="O72"/>
      <c r="Q72" s="42"/>
      <c r="R72" s="7"/>
      <c r="S72"/>
      <c r="U72" s="42"/>
      <c r="V72" s="7"/>
      <c r="W72"/>
      <c r="Y72" s="42"/>
      <c r="Z72" s="7"/>
      <c r="AA72"/>
      <c r="AC72" s="42"/>
      <c r="AD72" s="7"/>
      <c r="AE72"/>
    </row>
    <row r="73" spans="5:31" x14ac:dyDescent="0.35">
      <c r="E73" s="39">
        <v>8</v>
      </c>
      <c r="F73" s="36">
        <v>44939</v>
      </c>
      <c r="G73" s="39" t="s">
        <v>1505</v>
      </c>
      <c r="H73" s="51">
        <v>1.1000000000000001</v>
      </c>
      <c r="I73" s="42">
        <v>7</v>
      </c>
      <c r="J73" s="7">
        <v>45072</v>
      </c>
      <c r="K73" t="s">
        <v>1510</v>
      </c>
      <c r="L73" s="1">
        <v>49.95</v>
      </c>
      <c r="M73" s="42"/>
      <c r="N73" s="7"/>
      <c r="O73"/>
      <c r="Q73" s="42"/>
      <c r="R73" s="7"/>
      <c r="S73"/>
      <c r="U73" s="42"/>
      <c r="V73" s="7"/>
      <c r="W73"/>
      <c r="Y73" s="42"/>
      <c r="Z73" s="7"/>
      <c r="AA73"/>
      <c r="AC73" s="42"/>
      <c r="AD73" s="7"/>
      <c r="AE73"/>
    </row>
    <row r="74" spans="5:31" x14ac:dyDescent="0.35">
      <c r="E74" s="39">
        <v>8</v>
      </c>
      <c r="F74" s="36">
        <v>44944</v>
      </c>
      <c r="G74" s="39" t="s">
        <v>1507</v>
      </c>
      <c r="H74" s="51">
        <v>17.420000000000002</v>
      </c>
      <c r="I74" s="42">
        <v>7</v>
      </c>
      <c r="J74" s="7">
        <v>45072</v>
      </c>
      <c r="K74" t="s">
        <v>1492</v>
      </c>
      <c r="L74" s="1">
        <v>5.83</v>
      </c>
      <c r="M74" s="42"/>
      <c r="N74" s="7"/>
      <c r="O74"/>
      <c r="Q74" s="42"/>
      <c r="R74" s="7"/>
      <c r="S74"/>
      <c r="U74" s="42"/>
      <c r="V74" s="7"/>
      <c r="W74"/>
      <c r="Y74" s="42"/>
      <c r="Z74" s="7"/>
      <c r="AA74"/>
      <c r="AC74" s="42"/>
      <c r="AD74" s="7"/>
      <c r="AE74"/>
    </row>
    <row r="75" spans="5:31" x14ac:dyDescent="0.35">
      <c r="E75" s="39">
        <v>16</v>
      </c>
      <c r="F75" s="36">
        <v>44950</v>
      </c>
      <c r="G75" s="39" t="s">
        <v>1509</v>
      </c>
      <c r="H75" s="51">
        <v>55.34</v>
      </c>
      <c r="I75" s="42">
        <v>14</v>
      </c>
      <c r="J75" s="7">
        <v>45072</v>
      </c>
      <c r="K75" t="s">
        <v>1513</v>
      </c>
      <c r="L75" s="1">
        <v>122.95</v>
      </c>
      <c r="M75" s="42"/>
      <c r="N75" s="7"/>
      <c r="O75"/>
      <c r="Q75" s="42"/>
      <c r="R75" s="7"/>
      <c r="S75"/>
      <c r="U75" s="42"/>
      <c r="V75" s="7"/>
      <c r="W75"/>
      <c r="Y75" s="42"/>
      <c r="Z75" s="7"/>
      <c r="AA75"/>
      <c r="AC75" s="42"/>
      <c r="AD75" s="7"/>
      <c r="AE75"/>
    </row>
    <row r="76" spans="5:31" x14ac:dyDescent="0.35">
      <c r="E76" s="39">
        <v>16</v>
      </c>
      <c r="F76" s="36">
        <v>44950</v>
      </c>
      <c r="G76" s="39" t="s">
        <v>1511</v>
      </c>
      <c r="H76" s="51">
        <v>9.4600000000000009</v>
      </c>
      <c r="I76" s="42">
        <v>8</v>
      </c>
      <c r="J76" s="7">
        <v>45072</v>
      </c>
      <c r="K76" t="s">
        <v>1515</v>
      </c>
      <c r="L76" s="1">
        <v>9.65</v>
      </c>
      <c r="M76" s="42"/>
      <c r="N76" s="7"/>
      <c r="O76"/>
      <c r="Q76" s="42"/>
      <c r="R76" s="7"/>
      <c r="S76"/>
      <c r="U76" s="42"/>
      <c r="V76" s="7"/>
      <c r="W76"/>
      <c r="Y76" s="42"/>
      <c r="Z76" s="7"/>
      <c r="AA76"/>
      <c r="AC76" s="42"/>
      <c r="AD76" s="7"/>
      <c r="AE76"/>
    </row>
    <row r="77" spans="5:31" x14ac:dyDescent="0.35">
      <c r="E77" s="39">
        <v>8</v>
      </c>
      <c r="F77" s="36">
        <v>44950</v>
      </c>
      <c r="G77" s="39" t="s">
        <v>1512</v>
      </c>
      <c r="H77" s="51">
        <v>43.99</v>
      </c>
      <c r="I77" s="42">
        <v>7</v>
      </c>
      <c r="J77" s="7">
        <v>45072</v>
      </c>
      <c r="K77" t="s">
        <v>1465</v>
      </c>
      <c r="L77" s="1">
        <v>13.32</v>
      </c>
      <c r="M77" s="42"/>
      <c r="N77" s="7"/>
      <c r="O77"/>
      <c r="Q77" s="42"/>
      <c r="R77" s="7"/>
      <c r="S77"/>
      <c r="U77" s="42"/>
      <c r="V77" s="7"/>
      <c r="W77"/>
      <c r="Y77" s="42"/>
      <c r="Z77" s="7"/>
      <c r="AA77"/>
      <c r="AC77" s="42"/>
      <c r="AD77" s="7"/>
      <c r="AE77"/>
    </row>
    <row r="78" spans="5:31" x14ac:dyDescent="0.35">
      <c r="E78" s="39">
        <v>16</v>
      </c>
      <c r="F78" s="36">
        <v>44952</v>
      </c>
      <c r="G78" s="39" t="s">
        <v>1514</v>
      </c>
      <c r="H78" s="51">
        <v>8.91</v>
      </c>
      <c r="I78" s="42">
        <v>16</v>
      </c>
      <c r="J78" s="7">
        <v>45072</v>
      </c>
      <c r="K78" t="s">
        <v>1449</v>
      </c>
      <c r="L78" s="1">
        <v>11.99</v>
      </c>
      <c r="M78" s="42"/>
      <c r="N78" s="7"/>
      <c r="O78"/>
      <c r="Q78" s="42"/>
      <c r="R78" s="7"/>
      <c r="S78"/>
      <c r="U78" s="42"/>
      <c r="V78" s="7"/>
      <c r="W78"/>
      <c r="Y78" s="42"/>
      <c r="Z78" s="7"/>
      <c r="AA78"/>
      <c r="AC78" s="42"/>
      <c r="AD78" s="7"/>
      <c r="AE78"/>
    </row>
    <row r="79" spans="5:31" x14ac:dyDescent="0.35">
      <c r="E79" s="39">
        <v>16</v>
      </c>
      <c r="F79" s="36">
        <v>44952</v>
      </c>
      <c r="G79" s="39" t="s">
        <v>1516</v>
      </c>
      <c r="H79" s="51">
        <v>25.95</v>
      </c>
      <c r="I79" s="42">
        <v>8</v>
      </c>
      <c r="J79" s="7">
        <v>45072</v>
      </c>
      <c r="K79" t="s">
        <v>1519</v>
      </c>
      <c r="L79" s="1">
        <v>5.15</v>
      </c>
      <c r="M79" s="42"/>
      <c r="N79" s="7"/>
      <c r="O79"/>
      <c r="Q79" s="42"/>
      <c r="R79" s="7"/>
      <c r="S79"/>
      <c r="U79" s="42"/>
      <c r="V79" s="7"/>
      <c r="W79"/>
      <c r="Y79" s="42"/>
      <c r="Z79" s="7"/>
      <c r="AA79"/>
      <c r="AC79" s="42"/>
      <c r="AD79" s="7"/>
      <c r="AE79"/>
    </row>
    <row r="80" spans="5:31" x14ac:dyDescent="0.35">
      <c r="E80" s="39">
        <v>16</v>
      </c>
      <c r="F80" s="36">
        <v>44952</v>
      </c>
      <c r="G80" s="39" t="s">
        <v>1517</v>
      </c>
      <c r="H80" s="51">
        <v>3.99</v>
      </c>
      <c r="I80" s="42">
        <v>15</v>
      </c>
      <c r="J80" s="7">
        <v>45121</v>
      </c>
      <c r="K80" t="s">
        <v>1521</v>
      </c>
      <c r="L80" s="1">
        <v>1630</v>
      </c>
      <c r="M80" s="42"/>
      <c r="N80" s="7"/>
      <c r="O80"/>
      <c r="Q80" s="42"/>
      <c r="R80" s="7"/>
      <c r="S80"/>
      <c r="U80" s="42"/>
      <c r="V80" s="7"/>
      <c r="W80"/>
      <c r="Y80" s="42"/>
      <c r="Z80" s="7"/>
      <c r="AA80"/>
      <c r="AC80" s="42"/>
      <c r="AD80" s="7"/>
      <c r="AE80"/>
    </row>
    <row r="81" spans="5:31" x14ac:dyDescent="0.35">
      <c r="E81" s="39">
        <v>10</v>
      </c>
      <c r="F81" s="36">
        <v>44952</v>
      </c>
      <c r="G81" s="39" t="s">
        <v>1518</v>
      </c>
      <c r="H81" s="51">
        <v>39.97</v>
      </c>
      <c r="I81" s="42">
        <v>14</v>
      </c>
      <c r="J81" s="7">
        <v>45093</v>
      </c>
      <c r="K81" t="s">
        <v>1523</v>
      </c>
      <c r="L81" s="1">
        <v>17596</v>
      </c>
      <c r="M81" s="42"/>
      <c r="N81" s="7"/>
      <c r="O81"/>
      <c r="Q81" s="42"/>
      <c r="R81" s="7"/>
      <c r="S81"/>
      <c r="U81" s="42"/>
      <c r="V81" s="7"/>
      <c r="W81"/>
      <c r="Y81" s="42"/>
      <c r="Z81" s="7"/>
      <c r="AA81"/>
      <c r="AC81" s="42"/>
      <c r="AD81" s="7"/>
      <c r="AE81"/>
    </row>
    <row r="82" spans="5:31" x14ac:dyDescent="0.35">
      <c r="E82" s="39">
        <v>10</v>
      </c>
      <c r="F82" s="36">
        <v>44952</v>
      </c>
      <c r="G82" s="39" t="s">
        <v>1520</v>
      </c>
      <c r="H82" s="51">
        <v>27.49</v>
      </c>
      <c r="I82" s="42">
        <v>14</v>
      </c>
      <c r="J82" s="7" t="s">
        <v>491</v>
      </c>
      <c r="K82" t="s">
        <v>1524</v>
      </c>
      <c r="L82" s="1">
        <v>1370</v>
      </c>
      <c r="M82" s="42"/>
      <c r="N82" s="7"/>
      <c r="O82"/>
      <c r="Q82" s="42"/>
      <c r="R82" s="7"/>
      <c r="S82"/>
      <c r="U82" s="42"/>
      <c r="V82" s="7"/>
      <c r="W82"/>
      <c r="Y82" s="42"/>
      <c r="Z82" s="7"/>
      <c r="AA82"/>
      <c r="AC82" s="42"/>
      <c r="AD82" s="7"/>
      <c r="AE82"/>
    </row>
    <row r="83" spans="5:31" x14ac:dyDescent="0.35">
      <c r="E83" s="39">
        <v>10</v>
      </c>
      <c r="F83" s="36">
        <v>44952</v>
      </c>
      <c r="G83" s="39" t="s">
        <v>1522</v>
      </c>
      <c r="H83" s="51">
        <v>4.16</v>
      </c>
      <c r="I83" s="42">
        <v>14</v>
      </c>
      <c r="J83" s="7" t="s">
        <v>491</v>
      </c>
      <c r="K83" t="s">
        <v>1525</v>
      </c>
      <c r="M83" s="42"/>
      <c r="N83" s="7"/>
      <c r="O83"/>
      <c r="Q83" s="42"/>
      <c r="R83" s="7"/>
      <c r="S83"/>
      <c r="U83" s="42"/>
      <c r="V83" s="7"/>
      <c r="W83"/>
      <c r="Y83" s="42"/>
      <c r="Z83" s="7"/>
      <c r="AA83"/>
      <c r="AC83" s="42"/>
      <c r="AD83" s="7"/>
      <c r="AE83"/>
    </row>
    <row r="84" spans="5:31" x14ac:dyDescent="0.35">
      <c r="G84" s="39"/>
      <c r="H84" s="37"/>
      <c r="I84" s="42">
        <v>14</v>
      </c>
      <c r="J84" s="7">
        <v>45047</v>
      </c>
      <c r="K84" t="s">
        <v>1528</v>
      </c>
      <c r="L84" s="47">
        <v>37565</v>
      </c>
      <c r="M84" s="42"/>
      <c r="N84" s="7"/>
      <c r="O84"/>
      <c r="Q84" s="42"/>
      <c r="R84" s="7"/>
      <c r="S84"/>
      <c r="U84" s="42"/>
      <c r="V84" s="7"/>
      <c r="W84"/>
      <c r="Y84" s="42"/>
      <c r="Z84" s="7"/>
      <c r="AA84"/>
      <c r="AC84" s="42"/>
      <c r="AD84" s="7"/>
      <c r="AE84"/>
    </row>
    <row r="85" spans="5:31" x14ac:dyDescent="0.35">
      <c r="E85" s="39">
        <v>7</v>
      </c>
      <c r="F85" s="36">
        <v>44959</v>
      </c>
      <c r="G85" s="39" t="s">
        <v>1492</v>
      </c>
      <c r="H85" s="51">
        <v>16.649999999999999</v>
      </c>
      <c r="I85" s="42">
        <v>14</v>
      </c>
      <c r="J85" s="7">
        <v>45086</v>
      </c>
      <c r="K85" t="s">
        <v>1529</v>
      </c>
      <c r="L85" s="47">
        <v>3225</v>
      </c>
      <c r="M85" s="42" t="s">
        <v>1526</v>
      </c>
      <c r="N85" s="7"/>
      <c r="O85"/>
      <c r="Q85" s="42"/>
      <c r="R85" s="7"/>
      <c r="S85"/>
      <c r="U85" s="42"/>
      <c r="V85" s="7"/>
      <c r="W85"/>
      <c r="Y85" s="42"/>
      <c r="Z85" s="7"/>
      <c r="AA85"/>
      <c r="AC85" s="42"/>
      <c r="AD85" s="7"/>
      <c r="AE85"/>
    </row>
    <row r="86" spans="5:31" x14ac:dyDescent="0.35">
      <c r="E86" s="39">
        <v>7</v>
      </c>
      <c r="F86" s="36">
        <v>44959</v>
      </c>
      <c r="G86" s="39" t="s">
        <v>1527</v>
      </c>
      <c r="H86" s="51">
        <v>13.32</v>
      </c>
      <c r="I86" s="42">
        <v>14</v>
      </c>
      <c r="J86" s="7" t="s">
        <v>1104</v>
      </c>
      <c r="K86" t="s">
        <v>1531</v>
      </c>
      <c r="L86" s="46">
        <f>46580-5000+1641+(11954+1027)*2/3</f>
        <v>51875</v>
      </c>
      <c r="M86" s="42"/>
      <c r="N86" s="7"/>
      <c r="O86"/>
      <c r="Q86" s="42"/>
      <c r="R86" s="7"/>
      <c r="S86"/>
      <c r="U86" s="42"/>
      <c r="V86" s="7"/>
      <c r="W86"/>
      <c r="Y86" s="42"/>
      <c r="Z86" s="7"/>
      <c r="AA86"/>
      <c r="AC86" s="42"/>
      <c r="AD86" s="7"/>
      <c r="AE86"/>
    </row>
    <row r="87" spans="5:31" x14ac:dyDescent="0.35">
      <c r="G87" s="39"/>
      <c r="H87" s="37"/>
      <c r="I87" s="42">
        <v>15</v>
      </c>
      <c r="J87" s="7" t="s">
        <v>1104</v>
      </c>
      <c r="K87" t="s">
        <v>1534</v>
      </c>
      <c r="L87" s="46">
        <v>5000</v>
      </c>
      <c r="M87" s="42"/>
      <c r="N87" s="7"/>
      <c r="O87"/>
      <c r="Q87" s="42"/>
      <c r="R87" s="7"/>
      <c r="S87"/>
      <c r="U87" s="42"/>
      <c r="V87" s="7"/>
      <c r="W87"/>
      <c r="Y87" s="42"/>
      <c r="Z87" s="7"/>
      <c r="AA87"/>
      <c r="AC87" s="42"/>
      <c r="AD87" s="7"/>
      <c r="AE87"/>
    </row>
    <row r="88" spans="5:31" x14ac:dyDescent="0.35">
      <c r="E88" s="39">
        <v>8</v>
      </c>
      <c r="F88" s="36">
        <v>44974</v>
      </c>
      <c r="G88" s="39" t="s">
        <v>1530</v>
      </c>
      <c r="H88" s="51">
        <f>0.95+0.95+1.75+1.1+1.1</f>
        <v>5.85</v>
      </c>
      <c r="I88" s="42">
        <v>14</v>
      </c>
      <c r="J88" s="7">
        <v>45096</v>
      </c>
      <c r="K88" t="s">
        <v>1536</v>
      </c>
      <c r="L88" s="1">
        <v>2250</v>
      </c>
      <c r="M88" s="42" t="s">
        <v>1532</v>
      </c>
      <c r="N88" s="7"/>
      <c r="O88"/>
      <c r="Q88" s="42"/>
      <c r="R88" s="7"/>
      <c r="S88"/>
      <c r="U88" s="42"/>
      <c r="V88" s="7"/>
      <c r="W88"/>
      <c r="Y88" s="42"/>
      <c r="Z88" s="7"/>
      <c r="AA88"/>
      <c r="AC88" s="42"/>
      <c r="AD88" s="7"/>
      <c r="AE88"/>
    </row>
    <row r="89" spans="5:31" x14ac:dyDescent="0.35">
      <c r="E89" s="39">
        <v>16</v>
      </c>
      <c r="F89" s="36">
        <v>44974</v>
      </c>
      <c r="G89" s="39" t="s">
        <v>1533</v>
      </c>
      <c r="H89" s="51">
        <v>10.42</v>
      </c>
      <c r="I89" s="42">
        <v>14</v>
      </c>
      <c r="J89" s="7">
        <v>45096</v>
      </c>
      <c r="K89" t="s">
        <v>1538</v>
      </c>
      <c r="L89" s="1">
        <v>847</v>
      </c>
      <c r="M89" s="42"/>
      <c r="N89" s="7"/>
      <c r="O89"/>
      <c r="Q89" s="42"/>
      <c r="R89" s="7"/>
      <c r="S89"/>
      <c r="U89" s="42"/>
      <c r="V89" s="7"/>
      <c r="W89"/>
      <c r="Y89" s="42"/>
      <c r="Z89" s="7"/>
      <c r="AA89"/>
      <c r="AC89" s="42"/>
      <c r="AD89" s="7"/>
      <c r="AE89"/>
    </row>
    <row r="90" spans="5:31" x14ac:dyDescent="0.35">
      <c r="E90" s="39">
        <v>7</v>
      </c>
      <c r="F90" s="36">
        <v>44974</v>
      </c>
      <c r="G90" s="39" t="s">
        <v>1535</v>
      </c>
      <c r="H90" s="51">
        <f>13.32+3.33</f>
        <v>16.649999999999999</v>
      </c>
      <c r="I90" s="42">
        <v>14</v>
      </c>
      <c r="J90" s="7" t="s">
        <v>491</v>
      </c>
      <c r="K90" t="s">
        <v>1540</v>
      </c>
      <c r="L90" s="48">
        <f>3500-610</f>
        <v>2890</v>
      </c>
      <c r="M90" s="42"/>
      <c r="N90" s="7"/>
      <c r="O90"/>
      <c r="Q90" s="42"/>
      <c r="R90" s="7"/>
      <c r="S90"/>
      <c r="U90" s="42"/>
      <c r="V90" s="7"/>
      <c r="W90"/>
      <c r="Y90" s="42"/>
      <c r="Z90" s="7"/>
      <c r="AA90"/>
      <c r="AC90" s="42"/>
      <c r="AD90" s="7"/>
      <c r="AE90"/>
    </row>
    <row r="91" spans="5:31" x14ac:dyDescent="0.35">
      <c r="E91" s="39">
        <v>20</v>
      </c>
      <c r="F91" s="36">
        <v>44975</v>
      </c>
      <c r="G91" s="39" t="s">
        <v>1537</v>
      </c>
      <c r="H91" s="51">
        <v>321.67</v>
      </c>
      <c r="I91" s="42">
        <v>14</v>
      </c>
      <c r="J91" s="7" t="s">
        <v>491</v>
      </c>
      <c r="K91" t="s">
        <v>1542</v>
      </c>
      <c r="L91" s="1">
        <v>500</v>
      </c>
      <c r="M91" s="42"/>
      <c r="N91" s="7"/>
      <c r="O91"/>
      <c r="Q91" s="42"/>
      <c r="R91" s="7"/>
      <c r="S91"/>
      <c r="U91" s="42"/>
      <c r="V91" s="7"/>
      <c r="W91"/>
      <c r="Y91" s="42"/>
      <c r="Z91" s="7"/>
      <c r="AA91"/>
      <c r="AC91" s="42"/>
      <c r="AD91" s="7"/>
      <c r="AE91"/>
    </row>
    <row r="92" spans="5:31" x14ac:dyDescent="0.35">
      <c r="E92" s="39">
        <v>7</v>
      </c>
      <c r="F92" s="36">
        <v>44984</v>
      </c>
      <c r="G92" s="39" t="s">
        <v>1539</v>
      </c>
      <c r="H92" s="51">
        <v>15.82</v>
      </c>
      <c r="I92" s="42">
        <v>14</v>
      </c>
      <c r="J92" s="7">
        <v>45048</v>
      </c>
      <c r="K92" t="s">
        <v>1544</v>
      </c>
      <c r="L92" s="1">
        <v>124.13</v>
      </c>
      <c r="M92" s="42"/>
      <c r="N92" s="7"/>
      <c r="O92"/>
      <c r="Q92" s="42"/>
      <c r="R92" s="7"/>
      <c r="S92"/>
      <c r="U92" s="42"/>
      <c r="V92" s="7"/>
      <c r="W92"/>
      <c r="Y92" s="42"/>
      <c r="Z92" s="7"/>
      <c r="AA92"/>
      <c r="AC92" s="42"/>
      <c r="AD92" s="7"/>
      <c r="AE92"/>
    </row>
    <row r="93" spans="5:31" x14ac:dyDescent="0.35">
      <c r="E93" s="39">
        <v>16</v>
      </c>
      <c r="F93" s="36">
        <v>44984</v>
      </c>
      <c r="G93" s="39" t="s">
        <v>1541</v>
      </c>
      <c r="H93" s="51">
        <v>1.67</v>
      </c>
      <c r="I93" s="42">
        <v>14</v>
      </c>
      <c r="J93" s="7">
        <v>45062</v>
      </c>
      <c r="K93" t="s">
        <v>1546</v>
      </c>
      <c r="L93" s="1">
        <v>18.149999999999999</v>
      </c>
      <c r="M93" s="42"/>
      <c r="N93" s="7"/>
      <c r="O93"/>
      <c r="Q93" s="42"/>
      <c r="R93" s="7"/>
      <c r="S93"/>
      <c r="U93" s="42"/>
      <c r="V93" s="7"/>
      <c r="W93"/>
      <c r="Y93" s="42"/>
      <c r="Z93" s="7"/>
      <c r="AA93"/>
      <c r="AC93" s="42"/>
      <c r="AD93" s="7"/>
      <c r="AE93"/>
    </row>
    <row r="94" spans="5:31" x14ac:dyDescent="0.35">
      <c r="E94" s="39">
        <v>11</v>
      </c>
      <c r="F94" s="36">
        <v>44988</v>
      </c>
      <c r="G94" s="39" t="s">
        <v>1543</v>
      </c>
      <c r="H94" s="51">
        <v>415</v>
      </c>
      <c r="I94" s="42">
        <v>14</v>
      </c>
      <c r="J94" s="7">
        <v>45064</v>
      </c>
      <c r="K94" t="s">
        <v>1548</v>
      </c>
      <c r="L94" s="1">
        <v>58.3</v>
      </c>
      <c r="M94" s="42"/>
      <c r="N94" s="7"/>
      <c r="O94"/>
      <c r="Q94" s="42"/>
      <c r="R94" s="7"/>
      <c r="S94"/>
      <c r="U94" s="42"/>
      <c r="V94" s="7"/>
      <c r="W94"/>
      <c r="Y94" s="42"/>
      <c r="Z94" s="7"/>
      <c r="AA94"/>
      <c r="AC94" s="42"/>
      <c r="AD94" s="7"/>
      <c r="AE94"/>
    </row>
    <row r="95" spans="5:31" x14ac:dyDescent="0.35">
      <c r="E95" s="39">
        <v>16</v>
      </c>
      <c r="F95" s="36">
        <v>44993</v>
      </c>
      <c r="G95" s="39" t="s">
        <v>1545</v>
      </c>
      <c r="H95" s="51">
        <v>4.99</v>
      </c>
      <c r="I95" s="42">
        <v>14</v>
      </c>
      <c r="J95" s="7">
        <v>45068</v>
      </c>
      <c r="K95" t="s">
        <v>1550</v>
      </c>
      <c r="L95" s="1">
        <v>49.99</v>
      </c>
      <c r="M95" s="42"/>
      <c r="N95" s="7"/>
      <c r="O95"/>
      <c r="Q95" s="42"/>
      <c r="R95" s="7"/>
      <c r="S95"/>
      <c r="U95" s="42"/>
      <c r="V95" s="7"/>
      <c r="W95"/>
      <c r="Y95" s="42"/>
      <c r="Z95" s="7"/>
      <c r="AA95"/>
      <c r="AC95" s="42"/>
      <c r="AD95" s="7"/>
      <c r="AE95"/>
    </row>
    <row r="96" spans="5:31" x14ac:dyDescent="0.35">
      <c r="E96" s="39">
        <v>7</v>
      </c>
      <c r="F96" s="36">
        <v>44993</v>
      </c>
      <c r="G96" s="39" t="s">
        <v>1547</v>
      </c>
      <c r="H96" s="51">
        <v>43.29</v>
      </c>
      <c r="I96" s="42">
        <v>14</v>
      </c>
      <c r="J96" s="7">
        <v>45070</v>
      </c>
      <c r="K96" t="s">
        <v>1551</v>
      </c>
      <c r="L96" s="47">
        <v>74.400000000000006</v>
      </c>
      <c r="M96" s="42"/>
      <c r="N96" s="7"/>
      <c r="O96"/>
      <c r="Q96" s="42"/>
      <c r="R96" s="7"/>
      <c r="S96"/>
      <c r="U96" s="42"/>
      <c r="V96" s="7"/>
      <c r="W96"/>
      <c r="Y96" s="42"/>
      <c r="Z96" s="7"/>
      <c r="AA96"/>
      <c r="AC96" s="42"/>
      <c r="AD96" s="7"/>
      <c r="AE96"/>
    </row>
    <row r="97" spans="5:31" x14ac:dyDescent="0.35">
      <c r="E97" s="39">
        <v>11</v>
      </c>
      <c r="F97" s="36">
        <v>44998</v>
      </c>
      <c r="G97" s="39" t="s">
        <v>1549</v>
      </c>
      <c r="H97" s="51">
        <v>387.4</v>
      </c>
      <c r="I97" s="42">
        <v>14</v>
      </c>
      <c r="J97" s="7" t="s">
        <v>491</v>
      </c>
      <c r="K97" t="s">
        <v>1690</v>
      </c>
      <c r="L97" s="1">
        <v>550</v>
      </c>
      <c r="M97" s="42"/>
      <c r="N97" s="7"/>
      <c r="O97"/>
      <c r="Q97" s="42"/>
      <c r="R97" s="7"/>
      <c r="S97"/>
      <c r="U97" s="42"/>
      <c r="V97" s="7"/>
      <c r="W97"/>
      <c r="Y97" s="42"/>
      <c r="Z97" s="7"/>
      <c r="AA97"/>
      <c r="AC97" s="42"/>
      <c r="AD97" s="7"/>
      <c r="AE97"/>
    </row>
    <row r="98" spans="5:31" x14ac:dyDescent="0.35">
      <c r="E98" s="39">
        <v>7</v>
      </c>
      <c r="F98" s="36">
        <v>45002</v>
      </c>
      <c r="G98" s="39" t="s">
        <v>1535</v>
      </c>
      <c r="H98" s="51">
        <v>6.66</v>
      </c>
      <c r="I98" s="42">
        <v>6</v>
      </c>
      <c r="J98" s="7">
        <v>45085</v>
      </c>
      <c r="K98" t="s">
        <v>1555</v>
      </c>
      <c r="L98" s="1">
        <v>55</v>
      </c>
      <c r="M98" s="42"/>
      <c r="N98" s="7"/>
      <c r="O98"/>
      <c r="Q98" s="42"/>
      <c r="R98" s="7"/>
      <c r="S98"/>
      <c r="U98" s="42"/>
      <c r="V98" s="7"/>
      <c r="W98"/>
      <c r="Y98" s="42"/>
      <c r="Z98" s="7"/>
      <c r="AA98"/>
      <c r="AC98" s="42"/>
      <c r="AD98" s="7"/>
      <c r="AE98"/>
    </row>
    <row r="99" spans="5:31" x14ac:dyDescent="0.35">
      <c r="E99" s="39">
        <v>8</v>
      </c>
      <c r="F99" s="36">
        <v>45002</v>
      </c>
      <c r="G99" s="39" t="s">
        <v>1552</v>
      </c>
      <c r="H99" s="51">
        <v>17.84</v>
      </c>
      <c r="I99" s="42">
        <v>6</v>
      </c>
      <c r="J99" s="7">
        <v>45085</v>
      </c>
      <c r="K99" t="s">
        <v>1557</v>
      </c>
      <c r="L99" s="1">
        <v>91.2</v>
      </c>
      <c r="M99" s="42"/>
      <c r="N99" s="7"/>
      <c r="O99"/>
      <c r="Q99" s="42"/>
      <c r="R99" s="7"/>
      <c r="S99"/>
      <c r="U99" s="42"/>
      <c r="V99" s="7"/>
      <c r="W99"/>
      <c r="Y99" s="42"/>
      <c r="Z99" s="7"/>
      <c r="AA99"/>
      <c r="AC99" s="42"/>
      <c r="AD99" s="7"/>
      <c r="AE99"/>
    </row>
    <row r="100" spans="5:31" x14ac:dyDescent="0.35">
      <c r="E100" s="39">
        <v>10</v>
      </c>
      <c r="F100" s="36">
        <v>45002</v>
      </c>
      <c r="G100" s="39" t="s">
        <v>1554</v>
      </c>
      <c r="H100" s="51">
        <v>12</v>
      </c>
      <c r="I100" s="42">
        <v>6</v>
      </c>
      <c r="J100" s="7">
        <v>45085</v>
      </c>
      <c r="K100" t="s">
        <v>1559</v>
      </c>
      <c r="L100" s="1">
        <v>812.39</v>
      </c>
      <c r="M100" s="42"/>
      <c r="N100" s="7"/>
      <c r="O100"/>
      <c r="Q100" s="42"/>
      <c r="R100" s="7"/>
      <c r="S100"/>
      <c r="U100" s="42"/>
      <c r="V100" s="7"/>
      <c r="W100"/>
      <c r="Y100" s="42"/>
      <c r="Z100" s="7"/>
      <c r="AA100"/>
      <c r="AC100" s="42"/>
      <c r="AD100" s="7"/>
      <c r="AE100"/>
    </row>
    <row r="101" spans="5:31" x14ac:dyDescent="0.35">
      <c r="E101" s="39">
        <v>7</v>
      </c>
      <c r="F101" s="36">
        <v>45002</v>
      </c>
      <c r="G101" s="39" t="s">
        <v>1556</v>
      </c>
      <c r="H101" s="51">
        <v>2.08</v>
      </c>
      <c r="I101" s="42">
        <v>6</v>
      </c>
      <c r="J101" s="7">
        <v>45085</v>
      </c>
      <c r="K101" t="s">
        <v>1561</v>
      </c>
      <c r="L101" s="1">
        <v>930.39</v>
      </c>
      <c r="M101" s="42"/>
      <c r="N101" s="7"/>
      <c r="O101"/>
      <c r="Q101" s="42"/>
      <c r="R101" s="7"/>
      <c r="S101"/>
      <c r="U101" s="42"/>
      <c r="V101" s="7"/>
      <c r="W101"/>
      <c r="Y101" s="42"/>
      <c r="Z101" s="7"/>
      <c r="AA101"/>
      <c r="AC101" s="42"/>
      <c r="AD101" s="7"/>
      <c r="AE101"/>
    </row>
    <row r="102" spans="5:31" x14ac:dyDescent="0.35">
      <c r="E102" s="39">
        <v>8</v>
      </c>
      <c r="F102" s="36">
        <v>45002</v>
      </c>
      <c r="G102" s="39" t="s">
        <v>1558</v>
      </c>
      <c r="H102" s="51">
        <v>6</v>
      </c>
      <c r="I102" s="42">
        <v>20</v>
      </c>
      <c r="J102" s="7">
        <v>45090</v>
      </c>
      <c r="K102" t="s">
        <v>1563</v>
      </c>
      <c r="L102" s="1">
        <v>528</v>
      </c>
      <c r="M102" s="42"/>
      <c r="N102" s="7"/>
      <c r="O102"/>
      <c r="Q102" s="42"/>
      <c r="R102" s="7"/>
      <c r="S102"/>
      <c r="U102" s="42"/>
      <c r="V102" s="7"/>
      <c r="W102"/>
      <c r="Y102" s="42"/>
      <c r="Z102" s="7"/>
      <c r="AA102"/>
      <c r="AC102" s="42"/>
      <c r="AD102" s="7"/>
      <c r="AE102"/>
    </row>
    <row r="103" spans="5:31" x14ac:dyDescent="0.35">
      <c r="E103" s="39">
        <v>7</v>
      </c>
      <c r="F103" s="36">
        <v>45002</v>
      </c>
      <c r="G103" s="39" t="s">
        <v>1560</v>
      </c>
      <c r="H103" s="51">
        <v>16.649999999999999</v>
      </c>
      <c r="I103" s="42">
        <v>6</v>
      </c>
      <c r="J103" s="7">
        <v>45092</v>
      </c>
      <c r="K103" t="s">
        <v>1564</v>
      </c>
      <c r="L103" s="1">
        <v>1077</v>
      </c>
      <c r="M103" s="42"/>
      <c r="N103" s="7"/>
      <c r="O103"/>
      <c r="Q103" s="42"/>
      <c r="R103" s="7"/>
      <c r="S103"/>
      <c r="U103" s="42"/>
      <c r="V103" s="7"/>
      <c r="W103"/>
      <c r="Y103" s="42"/>
      <c r="Z103" s="7"/>
      <c r="AA103"/>
      <c r="AC103" s="42"/>
      <c r="AD103" s="7"/>
      <c r="AE103"/>
    </row>
    <row r="104" spans="5:31" x14ac:dyDescent="0.35">
      <c r="E104" s="39">
        <v>7</v>
      </c>
      <c r="F104" s="36">
        <v>45002</v>
      </c>
      <c r="G104" s="39" t="s">
        <v>1562</v>
      </c>
      <c r="H104" s="51">
        <v>38.299999999999997</v>
      </c>
      <c r="I104" s="42">
        <v>7</v>
      </c>
      <c r="J104" s="7">
        <v>45086</v>
      </c>
      <c r="K104" t="s">
        <v>1465</v>
      </c>
      <c r="L104" s="1">
        <v>13.32</v>
      </c>
      <c r="M104" s="42"/>
      <c r="N104" s="7"/>
      <c r="O104"/>
      <c r="Q104" s="42"/>
      <c r="R104" s="7"/>
      <c r="S104"/>
      <c r="U104" s="42"/>
      <c r="V104" s="7"/>
      <c r="W104"/>
      <c r="Y104" s="42"/>
      <c r="Z104" s="7"/>
      <c r="AA104"/>
      <c r="AC104" s="42"/>
      <c r="AD104" s="7"/>
      <c r="AE104"/>
    </row>
    <row r="105" spans="5:31" x14ac:dyDescent="0.35">
      <c r="E105" s="39">
        <v>6</v>
      </c>
      <c r="F105" s="36">
        <v>44989</v>
      </c>
      <c r="G105" s="39" t="s">
        <v>1450</v>
      </c>
      <c r="H105" s="51">
        <v>94.5</v>
      </c>
      <c r="I105" s="42">
        <v>8</v>
      </c>
      <c r="J105" s="7">
        <v>45096</v>
      </c>
      <c r="K105" t="s">
        <v>1567</v>
      </c>
      <c r="L105" s="1">
        <v>7.6</v>
      </c>
      <c r="M105" s="42"/>
      <c r="N105" s="7"/>
      <c r="O105"/>
      <c r="Q105" s="42"/>
      <c r="R105" s="7"/>
      <c r="S105"/>
      <c r="U105" s="42"/>
      <c r="V105" s="7"/>
      <c r="W105"/>
      <c r="Y105" s="42"/>
      <c r="Z105" s="7"/>
      <c r="AA105"/>
      <c r="AC105" s="42"/>
      <c r="AD105" s="7"/>
      <c r="AE105"/>
    </row>
    <row r="106" spans="5:31" x14ac:dyDescent="0.35">
      <c r="E106" s="39">
        <v>10</v>
      </c>
      <c r="F106" s="36">
        <v>44980</v>
      </c>
      <c r="G106" s="39" t="s">
        <v>1565</v>
      </c>
      <c r="H106" s="51">
        <v>23.28</v>
      </c>
      <c r="I106" s="42">
        <v>16</v>
      </c>
      <c r="J106" s="7">
        <v>45096</v>
      </c>
      <c r="K106" t="s">
        <v>1569</v>
      </c>
      <c r="L106" s="1">
        <v>3.3</v>
      </c>
      <c r="M106" s="42"/>
      <c r="N106" s="7"/>
      <c r="O106"/>
      <c r="Q106" s="42"/>
      <c r="R106" s="7"/>
      <c r="S106"/>
      <c r="U106" s="42"/>
      <c r="V106" s="7"/>
      <c r="W106"/>
      <c r="Y106" s="42"/>
      <c r="Z106" s="7"/>
      <c r="AA106"/>
      <c r="AC106" s="42"/>
      <c r="AD106" s="7"/>
      <c r="AE106"/>
    </row>
    <row r="107" spans="5:31" x14ac:dyDescent="0.35">
      <c r="E107" s="39">
        <v>7</v>
      </c>
      <c r="F107" s="36">
        <v>45016</v>
      </c>
      <c r="G107" s="39" t="s">
        <v>1566</v>
      </c>
      <c r="H107" s="51">
        <v>19.98</v>
      </c>
      <c r="I107" s="42">
        <v>14</v>
      </c>
      <c r="J107" s="7">
        <v>45096</v>
      </c>
      <c r="K107" t="s">
        <v>1571</v>
      </c>
      <c r="L107" s="1">
        <v>14</v>
      </c>
      <c r="M107" s="42"/>
      <c r="N107" s="7"/>
      <c r="O107"/>
      <c r="Q107" s="42"/>
      <c r="R107" s="7"/>
      <c r="S107"/>
      <c r="U107" s="42"/>
      <c r="V107" s="7"/>
      <c r="W107"/>
      <c r="Y107" s="42"/>
      <c r="Z107" s="7"/>
      <c r="AA107"/>
      <c r="AC107" s="42"/>
      <c r="AD107" s="7"/>
      <c r="AE107"/>
    </row>
    <row r="108" spans="5:31" x14ac:dyDescent="0.35">
      <c r="E108" s="39">
        <v>7</v>
      </c>
      <c r="F108" s="36">
        <v>45016</v>
      </c>
      <c r="G108" s="39" t="s">
        <v>1568</v>
      </c>
      <c r="H108" s="51">
        <v>33.299999999999997</v>
      </c>
      <c r="I108" s="42">
        <v>14</v>
      </c>
      <c r="J108" s="7">
        <v>45096</v>
      </c>
      <c r="K108" t="s">
        <v>1572</v>
      </c>
      <c r="L108" s="1">
        <v>55.37</v>
      </c>
      <c r="M108" s="42"/>
      <c r="N108" s="7"/>
      <c r="O108"/>
      <c r="Q108" s="42"/>
      <c r="R108" s="7"/>
      <c r="S108"/>
      <c r="U108" s="42"/>
      <c r="V108" s="7"/>
      <c r="W108"/>
      <c r="Y108" s="42"/>
      <c r="Z108" s="7"/>
      <c r="AA108"/>
      <c r="AC108" s="42"/>
      <c r="AD108" s="7"/>
      <c r="AE108"/>
    </row>
    <row r="109" spans="5:31" x14ac:dyDescent="0.35">
      <c r="E109" s="39">
        <v>8</v>
      </c>
      <c r="F109" s="36">
        <v>45016</v>
      </c>
      <c r="G109" s="39" t="s">
        <v>1570</v>
      </c>
      <c r="H109" s="51">
        <v>5.05</v>
      </c>
      <c r="I109" s="42">
        <v>7</v>
      </c>
      <c r="J109" s="7">
        <v>45096</v>
      </c>
      <c r="K109" t="s">
        <v>1492</v>
      </c>
      <c r="L109" s="1">
        <v>6.66</v>
      </c>
      <c r="M109" s="42"/>
      <c r="N109" s="7"/>
      <c r="O109"/>
      <c r="Q109" s="42"/>
      <c r="R109" s="7"/>
      <c r="S109"/>
      <c r="U109" s="42"/>
      <c r="V109" s="7"/>
      <c r="W109"/>
      <c r="Y109" s="42"/>
      <c r="Z109" s="7"/>
      <c r="AA109"/>
      <c r="AC109" s="42"/>
      <c r="AD109" s="7"/>
      <c r="AE109"/>
    </row>
    <row r="110" spans="5:31" x14ac:dyDescent="0.35">
      <c r="E110" s="39">
        <v>7</v>
      </c>
      <c r="F110" s="36">
        <v>45016</v>
      </c>
      <c r="G110" s="39" t="s">
        <v>1560</v>
      </c>
      <c r="H110" s="51">
        <v>9.99</v>
      </c>
      <c r="I110" s="42">
        <v>7</v>
      </c>
      <c r="J110" s="7">
        <v>45096</v>
      </c>
      <c r="K110" t="s">
        <v>1465</v>
      </c>
      <c r="L110" s="1">
        <v>9.16</v>
      </c>
      <c r="M110" s="42"/>
      <c r="N110" s="7"/>
      <c r="O110"/>
      <c r="Q110" s="42"/>
      <c r="R110" s="7"/>
      <c r="S110"/>
      <c r="U110" s="42"/>
      <c r="V110" s="7"/>
      <c r="W110"/>
      <c r="Y110" s="42"/>
      <c r="Z110" s="7"/>
      <c r="AA110"/>
      <c r="AC110" s="42"/>
      <c r="AD110" s="7"/>
      <c r="AE110"/>
    </row>
    <row r="111" spans="5:31" x14ac:dyDescent="0.35">
      <c r="E111" s="39">
        <v>7</v>
      </c>
      <c r="F111" s="36">
        <v>45016</v>
      </c>
      <c r="G111" s="39" t="s">
        <v>1573</v>
      </c>
      <c r="H111" s="51">
        <v>14.57</v>
      </c>
      <c r="I111" s="42">
        <v>14</v>
      </c>
      <c r="J111" s="7" t="s">
        <v>491</v>
      </c>
      <c r="K111" t="s">
        <v>1691</v>
      </c>
      <c r="L111" s="1">
        <v>591.6</v>
      </c>
      <c r="M111" s="42"/>
      <c r="N111" s="7"/>
      <c r="O111"/>
      <c r="Q111" s="42"/>
      <c r="R111" s="7"/>
      <c r="S111"/>
      <c r="U111" s="42"/>
      <c r="V111" s="7"/>
      <c r="W111"/>
      <c r="Y111" s="42"/>
      <c r="Z111" s="7"/>
      <c r="AA111"/>
      <c r="AC111" s="42"/>
      <c r="AD111" s="7"/>
      <c r="AE111"/>
    </row>
    <row r="112" spans="5:31" x14ac:dyDescent="0.35">
      <c r="E112" s="39">
        <v>7</v>
      </c>
      <c r="F112" s="36">
        <v>45016</v>
      </c>
      <c r="G112" s="39" t="s">
        <v>1574</v>
      </c>
      <c r="H112" s="51">
        <v>3.33</v>
      </c>
      <c r="I112" s="42">
        <v>15</v>
      </c>
      <c r="J112" s="7" t="s">
        <v>491</v>
      </c>
      <c r="K112" t="s">
        <v>1692</v>
      </c>
      <c r="L112" s="1">
        <f>359.21+15.99</f>
        <v>375.2</v>
      </c>
      <c r="M112" s="42"/>
      <c r="N112" s="7"/>
      <c r="O112"/>
      <c r="Q112" s="42"/>
      <c r="R112" s="7"/>
      <c r="S112"/>
      <c r="U112" s="42"/>
      <c r="V112" s="7"/>
      <c r="W112"/>
      <c r="Y112" s="42"/>
      <c r="Z112" s="7"/>
      <c r="AA112"/>
      <c r="AC112" s="42"/>
      <c r="AD112" s="7"/>
      <c r="AE112"/>
    </row>
    <row r="113" spans="5:31" x14ac:dyDescent="0.35">
      <c r="E113" s="39">
        <v>16</v>
      </c>
      <c r="F113" s="36">
        <v>44971</v>
      </c>
      <c r="G113" s="39" t="s">
        <v>1541</v>
      </c>
      <c r="H113" s="51">
        <v>5.62</v>
      </c>
      <c r="I113" s="42">
        <v>15</v>
      </c>
      <c r="J113" s="7" t="s">
        <v>491</v>
      </c>
      <c r="K113" t="s">
        <v>1575</v>
      </c>
      <c r="L113" s="1">
        <f>7*80*1.5</f>
        <v>840</v>
      </c>
      <c r="M113" s="42"/>
      <c r="N113" s="7"/>
      <c r="O113"/>
      <c r="Q113" s="42"/>
      <c r="R113" s="7"/>
      <c r="S113"/>
      <c r="U113" s="42"/>
      <c r="V113" s="7"/>
      <c r="W113"/>
      <c r="Y113" s="42"/>
      <c r="Z113" s="7"/>
      <c r="AA113"/>
      <c r="AC113" s="42"/>
      <c r="AD113" s="7"/>
      <c r="AE113"/>
    </row>
    <row r="114" spans="5:31" x14ac:dyDescent="0.35">
      <c r="G114" s="39"/>
      <c r="H114" s="37"/>
      <c r="I114" s="42">
        <v>14</v>
      </c>
      <c r="J114" s="7" t="s">
        <v>491</v>
      </c>
      <c r="K114" t="s">
        <v>1577</v>
      </c>
      <c r="L114" s="1">
        <f>6825/2-L113</f>
        <v>2572.5</v>
      </c>
      <c r="M114" s="42"/>
      <c r="N114" s="7"/>
      <c r="O114"/>
      <c r="Q114" s="42"/>
      <c r="R114" s="7"/>
      <c r="S114"/>
      <c r="U114" s="42"/>
      <c r="V114" s="7"/>
      <c r="W114"/>
      <c r="Y114" s="42"/>
      <c r="Z114" s="7"/>
      <c r="AA114"/>
      <c r="AC114" s="42"/>
      <c r="AD114" s="7"/>
      <c r="AE114"/>
    </row>
    <row r="115" spans="5:31" x14ac:dyDescent="0.35">
      <c r="E115" s="39">
        <v>8</v>
      </c>
      <c r="F115" s="36">
        <v>44974</v>
      </c>
      <c r="G115" s="39" t="s">
        <v>1576</v>
      </c>
      <c r="H115" s="51">
        <v>2.8</v>
      </c>
      <c r="I115" s="42">
        <v>8</v>
      </c>
      <c r="J115" s="7">
        <v>45029</v>
      </c>
      <c r="K115" t="s">
        <v>1579</v>
      </c>
      <c r="L115" s="1">
        <f>1.35+6.68</f>
        <v>8.0299999999999994</v>
      </c>
      <c r="M115" s="42"/>
      <c r="N115" s="7"/>
      <c r="O115"/>
      <c r="Q115" s="42"/>
      <c r="R115" s="7"/>
      <c r="S115"/>
      <c r="U115" s="42"/>
      <c r="V115" s="7"/>
      <c r="W115"/>
      <c r="Y115" s="42"/>
      <c r="Z115" s="7"/>
      <c r="AA115"/>
      <c r="AC115" s="42"/>
      <c r="AD115" s="7"/>
      <c r="AE115"/>
    </row>
    <row r="116" spans="5:31" x14ac:dyDescent="0.35">
      <c r="E116" s="39">
        <v>8</v>
      </c>
      <c r="F116" s="36">
        <v>44974</v>
      </c>
      <c r="G116" s="39" t="s">
        <v>1578</v>
      </c>
      <c r="H116" s="51">
        <v>5.0199999999999996</v>
      </c>
      <c r="I116" s="42">
        <v>14</v>
      </c>
      <c r="J116" s="7">
        <v>45029</v>
      </c>
      <c r="K116" t="s">
        <v>1581</v>
      </c>
      <c r="L116" s="1">
        <v>17.5</v>
      </c>
      <c r="M116" s="42"/>
      <c r="N116" s="7"/>
      <c r="O116"/>
      <c r="Q116" s="42"/>
      <c r="R116" s="7"/>
      <c r="S116"/>
      <c r="U116" s="42"/>
      <c r="V116" s="7"/>
      <c r="W116"/>
      <c r="Y116" s="42"/>
      <c r="Z116" s="7"/>
      <c r="AA116"/>
      <c r="AC116" s="42"/>
      <c r="AD116" s="7"/>
      <c r="AE116"/>
    </row>
    <row r="117" spans="5:31" x14ac:dyDescent="0.35">
      <c r="E117" s="39">
        <v>16</v>
      </c>
      <c r="F117" s="36">
        <v>44974</v>
      </c>
      <c r="G117" s="39" t="s">
        <v>1580</v>
      </c>
      <c r="H117" s="51">
        <v>2.65</v>
      </c>
      <c r="I117" s="42">
        <v>14</v>
      </c>
      <c r="J117" s="7">
        <v>45030</v>
      </c>
      <c r="K117" t="s">
        <v>1582</v>
      </c>
      <c r="L117" s="1">
        <v>5.57</v>
      </c>
      <c r="M117" s="42"/>
      <c r="N117" s="7"/>
      <c r="O117"/>
      <c r="Q117" s="42"/>
      <c r="R117" s="7"/>
      <c r="S117"/>
      <c r="U117" s="42"/>
      <c r="V117" s="7"/>
      <c r="W117"/>
      <c r="Y117" s="42"/>
      <c r="Z117" s="7"/>
      <c r="AA117"/>
      <c r="AC117" s="42"/>
      <c r="AD117" s="7"/>
      <c r="AE117"/>
    </row>
    <row r="118" spans="5:31" x14ac:dyDescent="0.35">
      <c r="E118" s="39">
        <v>8</v>
      </c>
      <c r="F118" s="36">
        <v>44980</v>
      </c>
      <c r="G118" s="39" t="s">
        <v>1512</v>
      </c>
      <c r="H118" s="51">
        <v>43.99</v>
      </c>
      <c r="I118" s="42">
        <v>8</v>
      </c>
      <c r="J118" s="7">
        <v>45042</v>
      </c>
      <c r="K118" t="s">
        <v>1579</v>
      </c>
      <c r="L118" s="1">
        <v>6</v>
      </c>
      <c r="M118" s="42"/>
      <c r="N118" s="7"/>
      <c r="O118"/>
      <c r="Q118" s="42"/>
      <c r="R118" s="7"/>
      <c r="S118"/>
      <c r="U118" s="42"/>
      <c r="V118" s="7"/>
      <c r="W118"/>
      <c r="Y118" s="42"/>
      <c r="Z118" s="7"/>
      <c r="AA118"/>
      <c r="AC118" s="42"/>
      <c r="AD118" s="7"/>
      <c r="AE118"/>
    </row>
    <row r="119" spans="5:31" x14ac:dyDescent="0.35">
      <c r="E119" s="39">
        <v>1</v>
      </c>
      <c r="F119" s="36">
        <v>44966</v>
      </c>
      <c r="G119" s="39" t="s">
        <v>1583</v>
      </c>
      <c r="H119" s="51">
        <v>-20</v>
      </c>
      <c r="I119" s="42">
        <v>20</v>
      </c>
      <c r="J119" s="7">
        <v>45043</v>
      </c>
      <c r="K119" t="s">
        <v>1585</v>
      </c>
      <c r="L119" s="1">
        <v>56.2</v>
      </c>
      <c r="M119" s="42"/>
      <c r="N119" s="7"/>
      <c r="O119"/>
      <c r="Q119" s="42"/>
      <c r="R119" s="7"/>
      <c r="S119"/>
      <c r="U119" s="42"/>
      <c r="V119" s="7"/>
      <c r="W119"/>
      <c r="Y119" s="42"/>
      <c r="Z119" s="7"/>
      <c r="AA119"/>
      <c r="AC119" s="42"/>
      <c r="AD119" s="7"/>
      <c r="AE119"/>
    </row>
    <row r="120" spans="5:31" x14ac:dyDescent="0.35">
      <c r="E120" s="39">
        <v>20</v>
      </c>
      <c r="F120" s="36">
        <v>45004</v>
      </c>
      <c r="G120" s="39" t="s">
        <v>1584</v>
      </c>
      <c r="H120" s="51">
        <v>145.27000000000001</v>
      </c>
      <c r="I120" s="42">
        <v>16</v>
      </c>
      <c r="J120" s="7">
        <v>45043</v>
      </c>
      <c r="K120" t="s">
        <v>1587</v>
      </c>
      <c r="L120" s="1">
        <v>8.4600000000000009</v>
      </c>
      <c r="M120" s="42"/>
      <c r="N120" s="7"/>
      <c r="O120"/>
      <c r="Q120" s="42"/>
      <c r="R120" s="7"/>
      <c r="S120"/>
      <c r="U120" s="42"/>
      <c r="V120" s="7"/>
      <c r="W120"/>
      <c r="Y120" s="42"/>
      <c r="Z120" s="7"/>
      <c r="AA120"/>
      <c r="AC120" s="42"/>
      <c r="AD120" s="7"/>
      <c r="AE120"/>
    </row>
    <row r="121" spans="5:31" x14ac:dyDescent="0.35">
      <c r="E121" s="39">
        <v>16</v>
      </c>
      <c r="F121" s="36" t="s">
        <v>775</v>
      </c>
      <c r="G121" s="39" t="s">
        <v>1586</v>
      </c>
      <c r="H121" s="51">
        <v>96.68</v>
      </c>
      <c r="I121" s="42">
        <v>16</v>
      </c>
      <c r="J121" s="7">
        <v>45043</v>
      </c>
      <c r="K121" t="s">
        <v>1589</v>
      </c>
      <c r="L121" s="1">
        <v>16.57</v>
      </c>
      <c r="M121" s="42"/>
      <c r="N121" s="7"/>
      <c r="O121"/>
      <c r="Q121" s="42"/>
      <c r="R121" s="7"/>
      <c r="S121"/>
      <c r="U121" s="42"/>
      <c r="V121" s="7"/>
      <c r="W121"/>
      <c r="Y121" s="42"/>
      <c r="Z121" s="7"/>
      <c r="AA121"/>
      <c r="AC121" s="42"/>
      <c r="AD121" s="7"/>
      <c r="AE121"/>
    </row>
    <row r="122" spans="5:31" x14ac:dyDescent="0.35">
      <c r="E122" s="39">
        <v>8</v>
      </c>
      <c r="F122" s="36">
        <v>45000</v>
      </c>
      <c r="G122" s="39" t="s">
        <v>1588</v>
      </c>
      <c r="H122" s="51">
        <v>11.4</v>
      </c>
      <c r="I122" s="42">
        <v>16</v>
      </c>
      <c r="J122" s="7">
        <v>45043</v>
      </c>
      <c r="K122" t="s">
        <v>1590</v>
      </c>
      <c r="L122" s="1">
        <v>12.3</v>
      </c>
      <c r="M122" s="42"/>
      <c r="N122" s="7"/>
      <c r="O122"/>
      <c r="Q122" s="42"/>
      <c r="R122" s="7"/>
      <c r="S122"/>
      <c r="U122" s="42"/>
      <c r="V122" s="7"/>
      <c r="W122"/>
      <c r="Y122" s="42"/>
      <c r="Z122" s="7"/>
      <c r="AA122"/>
      <c r="AC122" s="42"/>
      <c r="AD122" s="7"/>
      <c r="AE122"/>
    </row>
    <row r="123" spans="5:31" x14ac:dyDescent="0.35">
      <c r="E123" s="39">
        <v>16</v>
      </c>
      <c r="F123" s="36">
        <v>45001</v>
      </c>
      <c r="G123" s="39" t="s">
        <v>1553</v>
      </c>
      <c r="H123" s="51">
        <v>1.9</v>
      </c>
      <c r="I123" s="42">
        <v>16</v>
      </c>
      <c r="J123" s="7">
        <v>45043</v>
      </c>
      <c r="K123" t="s">
        <v>1516</v>
      </c>
      <c r="L123" s="1">
        <v>27.92</v>
      </c>
      <c r="M123" s="42"/>
      <c r="N123" s="7"/>
      <c r="O123"/>
      <c r="Q123" s="42"/>
      <c r="R123" s="7"/>
      <c r="S123"/>
      <c r="U123" s="42"/>
      <c r="V123" s="7"/>
      <c r="W123"/>
      <c r="Y123" s="42"/>
      <c r="Z123" s="7"/>
      <c r="AA123"/>
      <c r="AC123" s="42"/>
      <c r="AD123" s="7"/>
      <c r="AE123"/>
    </row>
    <row r="124" spans="5:31" x14ac:dyDescent="0.35">
      <c r="E124" s="39">
        <v>16</v>
      </c>
      <c r="F124" s="36">
        <v>45001</v>
      </c>
      <c r="G124" s="39" t="s">
        <v>715</v>
      </c>
      <c r="H124" s="51">
        <v>8.33</v>
      </c>
      <c r="I124" s="42">
        <v>14</v>
      </c>
      <c r="J124" s="7">
        <v>45043</v>
      </c>
      <c r="K124" t="s">
        <v>1591</v>
      </c>
      <c r="L124" s="1">
        <v>33.840000000000003</v>
      </c>
      <c r="M124" s="42"/>
      <c r="N124" s="7"/>
      <c r="O124"/>
      <c r="Q124" s="42"/>
      <c r="R124" s="7"/>
      <c r="S124"/>
      <c r="U124" s="42"/>
      <c r="V124" s="7"/>
      <c r="W124"/>
      <c r="Y124" s="42"/>
      <c r="Z124" s="7"/>
      <c r="AA124"/>
      <c r="AC124" s="42"/>
      <c r="AD124" s="7"/>
      <c r="AE124"/>
    </row>
    <row r="125" spans="5:31" x14ac:dyDescent="0.35">
      <c r="E125" s="39">
        <v>8</v>
      </c>
      <c r="F125" s="36">
        <v>45002</v>
      </c>
      <c r="G125" s="39" t="s">
        <v>1579</v>
      </c>
      <c r="H125" s="51">
        <v>3.9</v>
      </c>
      <c r="I125" s="42">
        <v>16</v>
      </c>
      <c r="J125" s="7">
        <v>45047</v>
      </c>
      <c r="K125" t="s">
        <v>1593</v>
      </c>
      <c r="L125" s="1">
        <v>9.1199999999999992</v>
      </c>
      <c r="M125" s="42"/>
      <c r="N125" s="7"/>
      <c r="O125"/>
      <c r="Q125" s="42"/>
      <c r="R125" s="7"/>
      <c r="S125"/>
      <c r="U125" s="42"/>
      <c r="V125" s="7"/>
      <c r="W125"/>
      <c r="Y125" s="42"/>
      <c r="Z125" s="7"/>
      <c r="AA125"/>
      <c r="AC125" s="42"/>
      <c r="AD125" s="7"/>
      <c r="AE125"/>
    </row>
    <row r="126" spans="5:31" x14ac:dyDescent="0.35">
      <c r="E126" s="39">
        <v>8</v>
      </c>
      <c r="F126" s="36">
        <v>45002</v>
      </c>
      <c r="G126" s="39" t="s">
        <v>1592</v>
      </c>
      <c r="H126" s="51">
        <v>58.24</v>
      </c>
      <c r="I126" s="42">
        <v>8</v>
      </c>
      <c r="J126" s="7">
        <v>45039</v>
      </c>
      <c r="K126" t="s">
        <v>1512</v>
      </c>
      <c r="L126" s="1">
        <v>44.99</v>
      </c>
      <c r="M126" s="42"/>
      <c r="N126" s="7"/>
      <c r="O126"/>
      <c r="Q126" s="42"/>
      <c r="R126" s="7"/>
      <c r="S126"/>
      <c r="U126" s="42"/>
      <c r="V126" s="7"/>
      <c r="W126"/>
      <c r="Y126" s="42"/>
      <c r="Z126" s="7"/>
      <c r="AA126"/>
      <c r="AC126" s="42"/>
      <c r="AD126" s="7"/>
      <c r="AE126"/>
    </row>
    <row r="127" spans="5:31" x14ac:dyDescent="0.35">
      <c r="E127" s="39">
        <v>16</v>
      </c>
      <c r="F127" s="36">
        <v>45011</v>
      </c>
      <c r="G127" s="39" t="s">
        <v>1516</v>
      </c>
      <c r="H127" s="51">
        <v>24.46</v>
      </c>
      <c r="I127" s="42">
        <v>16</v>
      </c>
      <c r="J127" s="7">
        <v>45058</v>
      </c>
      <c r="K127" t="s">
        <v>1595</v>
      </c>
      <c r="L127" s="1">
        <v>8.32</v>
      </c>
      <c r="M127" s="42"/>
      <c r="N127" s="7"/>
      <c r="O127"/>
      <c r="Q127" s="42"/>
      <c r="R127" s="7"/>
      <c r="S127"/>
      <c r="U127" s="42"/>
      <c r="V127" s="7"/>
      <c r="W127"/>
      <c r="Y127" s="42"/>
      <c r="Z127" s="7"/>
      <c r="AA127"/>
      <c r="AC127" s="42"/>
      <c r="AD127" s="7"/>
      <c r="AE127"/>
    </row>
    <row r="128" spans="5:31" x14ac:dyDescent="0.35">
      <c r="E128" s="39">
        <v>16</v>
      </c>
      <c r="F128" s="36">
        <v>45011</v>
      </c>
      <c r="G128" s="39" t="s">
        <v>1594</v>
      </c>
      <c r="H128" s="51">
        <v>5.82</v>
      </c>
      <c r="I128" s="42">
        <v>20</v>
      </c>
      <c r="J128" s="7">
        <v>45059</v>
      </c>
      <c r="K128" t="s">
        <v>1596</v>
      </c>
      <c r="L128" s="1">
        <v>23.71</v>
      </c>
      <c r="M128" s="42"/>
      <c r="N128" s="7"/>
      <c r="O128"/>
      <c r="Q128" s="42"/>
      <c r="R128" s="7"/>
      <c r="S128"/>
      <c r="U128" s="42"/>
      <c r="V128" s="7"/>
      <c r="W128"/>
      <c r="Y128" s="42"/>
      <c r="Z128" s="7"/>
      <c r="AA128"/>
      <c r="AC128" s="42"/>
      <c r="AD128" s="7"/>
      <c r="AE128"/>
    </row>
    <row r="129" spans="5:31" x14ac:dyDescent="0.35">
      <c r="E129" s="39">
        <v>8</v>
      </c>
      <c r="F129" s="36">
        <v>45008</v>
      </c>
      <c r="G129" s="39" t="s">
        <v>1512</v>
      </c>
      <c r="H129" s="51">
        <v>43.99</v>
      </c>
      <c r="I129" s="42">
        <v>8</v>
      </c>
      <c r="J129" s="7">
        <v>45071</v>
      </c>
      <c r="K129" t="s">
        <v>1579</v>
      </c>
      <c r="L129" s="1">
        <v>29.59</v>
      </c>
      <c r="M129" s="42"/>
      <c r="N129" s="7"/>
      <c r="O129"/>
      <c r="Q129" s="42"/>
      <c r="R129" s="7"/>
      <c r="S129"/>
      <c r="U129" s="42"/>
      <c r="V129" s="7"/>
      <c r="W129"/>
      <c r="Y129" s="42"/>
      <c r="Z129" s="7"/>
      <c r="AA129"/>
      <c r="AC129" s="42"/>
      <c r="AD129" s="7"/>
      <c r="AE129"/>
    </row>
    <row r="130" spans="5:31" x14ac:dyDescent="0.35">
      <c r="E130" s="39">
        <v>16</v>
      </c>
      <c r="F130" s="36">
        <v>45012</v>
      </c>
      <c r="G130" s="39" t="s">
        <v>1580</v>
      </c>
      <c r="H130" s="51">
        <v>1.5</v>
      </c>
      <c r="I130" s="42">
        <v>16</v>
      </c>
      <c r="J130" s="7">
        <v>45072</v>
      </c>
      <c r="K130" s="1" t="s">
        <v>1553</v>
      </c>
      <c r="L130" s="1">
        <v>1.1000000000000001</v>
      </c>
      <c r="M130" s="42"/>
      <c r="N130" s="7"/>
      <c r="O130"/>
      <c r="Q130" s="42"/>
      <c r="R130" s="7"/>
      <c r="S130"/>
      <c r="U130" s="42"/>
      <c r="V130" s="7"/>
      <c r="W130"/>
      <c r="Y130" s="42"/>
      <c r="Z130" s="7"/>
      <c r="AA130"/>
      <c r="AC130" s="42"/>
      <c r="AD130" s="7"/>
      <c r="AE130"/>
    </row>
    <row r="131" spans="5:31" x14ac:dyDescent="0.35">
      <c r="E131" s="39" t="s">
        <v>1597</v>
      </c>
      <c r="G131" s="39" t="s">
        <v>1598</v>
      </c>
      <c r="H131" s="52">
        <v>1.77</v>
      </c>
      <c r="I131" s="42">
        <v>8</v>
      </c>
      <c r="J131" s="7">
        <v>45069</v>
      </c>
      <c r="K131" t="s">
        <v>1512</v>
      </c>
      <c r="L131" s="1">
        <v>44.99</v>
      </c>
      <c r="M131" s="42"/>
      <c r="N131" s="7"/>
      <c r="O131"/>
      <c r="Q131" s="42"/>
      <c r="R131" s="7"/>
      <c r="S131"/>
      <c r="U131" s="42"/>
      <c r="V131" s="7"/>
      <c r="W131"/>
      <c r="Y131" s="42"/>
      <c r="Z131" s="7"/>
      <c r="AA131"/>
      <c r="AC131" s="42"/>
      <c r="AD131" s="7"/>
      <c r="AE131"/>
    </row>
    <row r="132" spans="5:31" x14ac:dyDescent="0.35">
      <c r="E132" s="39" t="s">
        <v>1597</v>
      </c>
      <c r="G132" s="39" t="s">
        <v>1599</v>
      </c>
      <c r="H132" s="52">
        <f>30.81+48.15</f>
        <v>78.959999999999994</v>
      </c>
      <c r="I132" s="42">
        <v>20</v>
      </c>
      <c r="J132" s="7">
        <v>45095</v>
      </c>
      <c r="K132" s="1" t="s">
        <v>1600</v>
      </c>
      <c r="L132" s="1">
        <v>495.77</v>
      </c>
      <c r="N132" s="7"/>
      <c r="O132"/>
      <c r="Q132" s="42"/>
      <c r="R132" s="7"/>
      <c r="S132"/>
      <c r="U132" s="42"/>
      <c r="V132" s="7"/>
      <c r="W132"/>
      <c r="Y132" s="42"/>
      <c r="Z132" s="7"/>
      <c r="AA132"/>
      <c r="AC132" s="42"/>
      <c r="AD132" s="7"/>
      <c r="AE132"/>
    </row>
    <row r="133" spans="5:31" x14ac:dyDescent="0.35">
      <c r="G133" s="39"/>
      <c r="H133" s="37"/>
      <c r="I133" s="42">
        <v>14</v>
      </c>
      <c r="J133" s="7">
        <v>45106</v>
      </c>
      <c r="K133" s="1" t="s">
        <v>1601</v>
      </c>
      <c r="L133" s="1">
        <v>729.77</v>
      </c>
      <c r="M133" s="42"/>
      <c r="N133" s="7"/>
      <c r="O133"/>
      <c r="Q133" s="42"/>
      <c r="R133" s="7"/>
      <c r="S133"/>
      <c r="U133" s="42"/>
      <c r="V133" s="7"/>
      <c r="W133"/>
      <c r="Y133" s="42"/>
      <c r="Z133" s="7"/>
      <c r="AA133"/>
      <c r="AC133" s="42"/>
      <c r="AD133" s="7"/>
      <c r="AE133"/>
    </row>
    <row r="134" spans="5:31" x14ac:dyDescent="0.35">
      <c r="G134" s="39"/>
      <c r="H134" s="37"/>
      <c r="I134" s="42">
        <v>14</v>
      </c>
      <c r="J134" s="7">
        <v>45104</v>
      </c>
      <c r="K134" s="1" t="s">
        <v>1602</v>
      </c>
      <c r="L134" s="1">
        <v>529.65</v>
      </c>
      <c r="M134" s="42"/>
      <c r="N134" s="7"/>
      <c r="O134"/>
      <c r="Q134" s="42"/>
      <c r="R134" s="7"/>
      <c r="S134"/>
      <c r="U134" s="42"/>
      <c r="V134" s="7"/>
      <c r="W134"/>
      <c r="Y134" s="42"/>
      <c r="Z134" s="7"/>
      <c r="AA134"/>
      <c r="AC134" s="42"/>
      <c r="AD134" s="7"/>
      <c r="AE134"/>
    </row>
    <row r="135" spans="5:31" x14ac:dyDescent="0.35">
      <c r="G135" s="39"/>
      <c r="H135" s="37"/>
      <c r="I135" s="42">
        <v>16</v>
      </c>
      <c r="J135" s="7">
        <v>45099</v>
      </c>
      <c r="K135" s="1" t="s">
        <v>1603</v>
      </c>
      <c r="L135" s="1">
        <v>90.7</v>
      </c>
      <c r="M135" s="42"/>
      <c r="N135" s="7"/>
      <c r="O135"/>
      <c r="Q135" s="42"/>
      <c r="R135" s="7"/>
      <c r="S135"/>
      <c r="U135" s="42"/>
      <c r="V135" s="7"/>
      <c r="W135"/>
      <c r="Y135" s="42"/>
      <c r="Z135" s="7"/>
      <c r="AA135"/>
      <c r="AC135" s="42"/>
      <c r="AD135" s="7"/>
      <c r="AE135"/>
    </row>
    <row r="136" spans="5:31" x14ac:dyDescent="0.35">
      <c r="G136" s="39"/>
      <c r="H136" s="37"/>
      <c r="I136" s="42">
        <v>8</v>
      </c>
      <c r="J136" s="7">
        <v>45106</v>
      </c>
      <c r="K136" s="1" t="s">
        <v>1579</v>
      </c>
      <c r="L136" s="1">
        <v>16.05</v>
      </c>
      <c r="M136" s="42"/>
      <c r="N136" s="7"/>
      <c r="O136"/>
      <c r="Q136" s="42"/>
      <c r="R136" s="7"/>
      <c r="S136"/>
      <c r="U136" s="42"/>
      <c r="V136" s="7"/>
      <c r="W136"/>
      <c r="Y136" s="42"/>
      <c r="Z136" s="7"/>
      <c r="AA136"/>
      <c r="AC136" s="42"/>
      <c r="AD136" s="7"/>
      <c r="AE136"/>
    </row>
    <row r="137" spans="5:31" x14ac:dyDescent="0.35">
      <c r="G137" s="39"/>
      <c r="H137" s="37"/>
      <c r="I137" s="42">
        <v>7</v>
      </c>
      <c r="J137" s="7">
        <v>45112</v>
      </c>
      <c r="K137" s="1" t="s">
        <v>1510</v>
      </c>
      <c r="L137" s="1">
        <v>56.61</v>
      </c>
      <c r="M137" s="42"/>
      <c r="N137" s="7"/>
      <c r="O137"/>
      <c r="Q137" s="42"/>
      <c r="R137" s="7"/>
      <c r="S137"/>
      <c r="U137" s="42"/>
      <c r="V137" s="7"/>
      <c r="W137"/>
      <c r="Y137" s="42"/>
      <c r="Z137" s="7"/>
      <c r="AA137"/>
      <c r="AC137" s="42"/>
      <c r="AD137" s="7"/>
      <c r="AE137"/>
    </row>
    <row r="138" spans="5:31" x14ac:dyDescent="0.35">
      <c r="G138" s="39"/>
      <c r="H138" s="37"/>
      <c r="I138" s="42">
        <v>7</v>
      </c>
      <c r="J138" s="7">
        <v>45112</v>
      </c>
      <c r="K138" s="1" t="s">
        <v>1604</v>
      </c>
      <c r="L138" s="1">
        <v>6.66</v>
      </c>
      <c r="M138" s="42"/>
      <c r="N138" s="7"/>
      <c r="O138"/>
      <c r="Q138" s="42"/>
      <c r="R138" s="7"/>
      <c r="S138"/>
      <c r="U138" s="42"/>
      <c r="V138" s="7"/>
      <c r="W138"/>
      <c r="Y138" s="42"/>
      <c r="Z138" s="7"/>
      <c r="AA138"/>
      <c r="AC138" s="42"/>
      <c r="AD138" s="7"/>
      <c r="AE138"/>
    </row>
    <row r="139" spans="5:31" x14ac:dyDescent="0.35">
      <c r="G139" s="39"/>
      <c r="H139" s="37"/>
      <c r="I139" s="42">
        <v>14</v>
      </c>
      <c r="J139" s="7">
        <v>45112</v>
      </c>
      <c r="K139" s="1" t="s">
        <v>1605</v>
      </c>
      <c r="L139" s="1">
        <v>10.75</v>
      </c>
      <c r="M139" s="42"/>
      <c r="N139" s="7"/>
      <c r="O139"/>
      <c r="Q139" s="42"/>
      <c r="R139" s="7"/>
      <c r="S139"/>
      <c r="U139" s="42"/>
      <c r="V139" s="7"/>
      <c r="W139"/>
      <c r="Y139" s="42"/>
      <c r="Z139" s="7"/>
      <c r="AA139"/>
      <c r="AC139" s="42"/>
      <c r="AD139" s="7"/>
      <c r="AE139"/>
    </row>
    <row r="140" spans="5:31" x14ac:dyDescent="0.35">
      <c r="G140" s="39"/>
      <c r="H140" s="37"/>
      <c r="I140" s="42">
        <v>15</v>
      </c>
      <c r="J140" s="7">
        <v>45107</v>
      </c>
      <c r="K140" s="1" t="s">
        <v>1606</v>
      </c>
      <c r="L140" s="1">
        <f>19+4</f>
        <v>23</v>
      </c>
      <c r="M140" s="42"/>
      <c r="N140" s="7"/>
      <c r="O140"/>
      <c r="Q140" s="42"/>
      <c r="R140" s="7"/>
      <c r="S140"/>
      <c r="U140" s="42"/>
      <c r="V140" s="7"/>
      <c r="W140"/>
      <c r="Y140" s="42"/>
      <c r="Z140" s="7"/>
      <c r="AA140"/>
      <c r="AC140" s="42"/>
      <c r="AD140" s="7"/>
      <c r="AE140"/>
    </row>
    <row r="141" spans="5:31" x14ac:dyDescent="0.35">
      <c r="G141" s="39"/>
      <c r="H141" s="37"/>
      <c r="I141" s="42">
        <v>14</v>
      </c>
      <c r="J141" s="7">
        <v>45107</v>
      </c>
      <c r="K141" s="1" t="s">
        <v>1607</v>
      </c>
      <c r="L141" s="1">
        <v>24</v>
      </c>
      <c r="M141" s="42"/>
      <c r="N141" s="7"/>
      <c r="O141"/>
      <c r="Q141" s="42"/>
      <c r="R141" s="7"/>
      <c r="S141"/>
      <c r="U141" s="42"/>
      <c r="V141" s="7"/>
      <c r="W141"/>
      <c r="Y141" s="42"/>
      <c r="Z141" s="7"/>
      <c r="AA141"/>
      <c r="AC141" s="42"/>
      <c r="AD141" s="7"/>
      <c r="AE141"/>
    </row>
    <row r="142" spans="5:31" x14ac:dyDescent="0.35">
      <c r="G142" s="39"/>
      <c r="H142" s="37"/>
      <c r="I142" s="42">
        <v>15</v>
      </c>
      <c r="J142" s="7">
        <v>45125</v>
      </c>
      <c r="K142" s="1" t="s">
        <v>1606</v>
      </c>
      <c r="L142" s="1">
        <v>57</v>
      </c>
      <c r="M142" s="42"/>
      <c r="N142" s="7"/>
      <c r="O142"/>
      <c r="Q142" s="42"/>
      <c r="R142" s="7"/>
      <c r="S142"/>
      <c r="U142" s="42"/>
      <c r="V142" s="7"/>
      <c r="W142"/>
      <c r="Y142" s="42"/>
      <c r="Z142" s="7"/>
      <c r="AA142"/>
      <c r="AC142" s="42"/>
      <c r="AD142" s="7"/>
      <c r="AE142"/>
    </row>
    <row r="143" spans="5:31" x14ac:dyDescent="0.35">
      <c r="G143" s="39"/>
      <c r="H143" s="37"/>
      <c r="I143" s="42">
        <v>14</v>
      </c>
      <c r="J143" s="7">
        <v>45118</v>
      </c>
      <c r="K143" s="1" t="s">
        <v>1607</v>
      </c>
      <c r="L143" s="1">
        <v>193</v>
      </c>
      <c r="M143" s="42"/>
      <c r="N143" s="7"/>
      <c r="O143"/>
      <c r="Q143" s="42"/>
      <c r="R143" s="7"/>
      <c r="S143"/>
      <c r="U143" s="42"/>
      <c r="V143" s="7"/>
      <c r="W143"/>
      <c r="Y143" s="42"/>
      <c r="Z143" s="7"/>
      <c r="AA143"/>
      <c r="AC143" s="42"/>
      <c r="AD143" s="7"/>
      <c r="AE143"/>
    </row>
    <row r="144" spans="5:31" x14ac:dyDescent="0.35">
      <c r="G144" s="39"/>
      <c r="H144" s="37"/>
      <c r="I144" s="42">
        <v>15</v>
      </c>
      <c r="J144" s="7">
        <v>45118</v>
      </c>
      <c r="K144" s="1" t="s">
        <v>1606</v>
      </c>
      <c r="L144" s="1">
        <v>28.5</v>
      </c>
      <c r="M144" s="42"/>
      <c r="N144" s="7"/>
      <c r="O144"/>
      <c r="Q144" s="42"/>
      <c r="R144" s="7"/>
      <c r="S144"/>
      <c r="U144" s="42"/>
      <c r="V144" s="7"/>
      <c r="W144"/>
      <c r="Y144" s="42"/>
      <c r="Z144" s="7"/>
      <c r="AA144"/>
      <c r="AC144" s="42"/>
      <c r="AD144" s="7"/>
      <c r="AE144"/>
    </row>
    <row r="145" spans="7:31" x14ac:dyDescent="0.35">
      <c r="G145" s="39"/>
      <c r="H145" s="37"/>
      <c r="I145" s="42">
        <v>14</v>
      </c>
      <c r="J145" s="7">
        <v>45127</v>
      </c>
      <c r="K145" s="1" t="s">
        <v>1608</v>
      </c>
      <c r="L145" s="1">
        <v>610</v>
      </c>
      <c r="M145" s="42"/>
      <c r="N145" s="7"/>
      <c r="O145"/>
      <c r="Q145" s="42"/>
      <c r="R145" s="7"/>
      <c r="S145"/>
      <c r="U145" s="42"/>
      <c r="V145" s="7"/>
      <c r="W145"/>
      <c r="Y145" s="42"/>
      <c r="Z145" s="7"/>
      <c r="AA145"/>
      <c r="AC145" s="42"/>
      <c r="AD145" s="7"/>
      <c r="AE145"/>
    </row>
    <row r="146" spans="7:31" x14ac:dyDescent="0.35">
      <c r="G146" s="39"/>
      <c r="H146" s="37"/>
      <c r="I146" s="42">
        <v>14</v>
      </c>
      <c r="J146" s="7">
        <v>45120</v>
      </c>
      <c r="K146" s="1" t="s">
        <v>1607</v>
      </c>
      <c r="L146" s="1">
        <v>199.47</v>
      </c>
      <c r="M146" s="42"/>
      <c r="N146" s="7"/>
      <c r="O146"/>
      <c r="Q146" s="42"/>
      <c r="R146" s="7"/>
      <c r="S146"/>
      <c r="U146" s="42"/>
      <c r="V146" s="7"/>
      <c r="W146"/>
      <c r="Y146" s="42"/>
      <c r="Z146" s="7"/>
      <c r="AA146"/>
      <c r="AC146" s="42"/>
      <c r="AD146" s="7"/>
      <c r="AE146"/>
    </row>
    <row r="147" spans="7:31" x14ac:dyDescent="0.35">
      <c r="G147" s="39"/>
      <c r="H147" s="37"/>
      <c r="I147" s="42">
        <v>14</v>
      </c>
      <c r="J147" s="7">
        <v>45079</v>
      </c>
      <c r="K147" s="1" t="s">
        <v>1609</v>
      </c>
      <c r="L147" s="1">
        <f>179.95+29.13+29.16+124.92+154.3+16.66</f>
        <v>534.12</v>
      </c>
      <c r="M147" s="42"/>
      <c r="N147" s="7"/>
      <c r="O147"/>
      <c r="Q147" s="42"/>
      <c r="R147" s="7"/>
      <c r="S147"/>
      <c r="U147" s="42"/>
      <c r="V147" s="7"/>
      <c r="W147"/>
      <c r="Y147" s="42"/>
      <c r="Z147" s="7"/>
      <c r="AA147"/>
      <c r="AC147" s="42"/>
      <c r="AD147" s="7"/>
      <c r="AE147"/>
    </row>
    <row r="148" spans="7:31" x14ac:dyDescent="0.35">
      <c r="G148" s="39"/>
      <c r="H148" s="37"/>
      <c r="I148" s="42">
        <v>19</v>
      </c>
      <c r="J148" s="7">
        <v>45110</v>
      </c>
      <c r="K148" s="1" t="s">
        <v>1610</v>
      </c>
      <c r="L148" s="1">
        <v>445</v>
      </c>
      <c r="N148" s="7"/>
      <c r="O148"/>
      <c r="Q148" s="42"/>
      <c r="R148" s="7"/>
      <c r="S148"/>
      <c r="U148" s="42"/>
      <c r="V148" s="7"/>
      <c r="W148"/>
      <c r="Y148" s="42"/>
      <c r="Z148" s="7"/>
      <c r="AA148"/>
      <c r="AC148" s="42"/>
      <c r="AD148" s="7"/>
      <c r="AE148"/>
    </row>
    <row r="149" spans="7:31" x14ac:dyDescent="0.35">
      <c r="G149" s="39"/>
      <c r="H149" s="37"/>
      <c r="I149" s="42">
        <v>14</v>
      </c>
      <c r="J149" s="7">
        <v>45148</v>
      </c>
      <c r="K149" s="1" t="s">
        <v>1611</v>
      </c>
      <c r="L149" s="1">
        <v>537.57000000000005</v>
      </c>
      <c r="N149" s="7"/>
      <c r="O149"/>
      <c r="Q149" s="42"/>
      <c r="R149" s="7"/>
      <c r="S149"/>
      <c r="U149" s="42"/>
      <c r="V149" s="7"/>
      <c r="W149"/>
      <c r="Y149" s="42"/>
      <c r="Z149" s="7"/>
      <c r="AA149"/>
      <c r="AC149" s="42"/>
      <c r="AD149" s="7"/>
      <c r="AE149"/>
    </row>
    <row r="150" spans="7:31" x14ac:dyDescent="0.35">
      <c r="G150" s="39"/>
      <c r="H150" s="37"/>
      <c r="I150" s="42">
        <v>14</v>
      </c>
      <c r="J150" s="7">
        <v>45139</v>
      </c>
      <c r="K150" s="1" t="s">
        <v>1693</v>
      </c>
      <c r="L150" s="1">
        <v>416.95</v>
      </c>
      <c r="M150" s="42"/>
      <c r="N150" s="7"/>
      <c r="O150"/>
      <c r="Q150" s="42"/>
      <c r="R150" s="7"/>
      <c r="S150"/>
      <c r="U150" s="42"/>
      <c r="V150" s="7"/>
      <c r="W150"/>
      <c r="Y150" s="42"/>
      <c r="Z150" s="7"/>
      <c r="AA150"/>
      <c r="AC150" s="42"/>
      <c r="AD150" s="7"/>
      <c r="AE150"/>
    </row>
    <row r="151" spans="7:31" x14ac:dyDescent="0.35">
      <c r="G151" s="39"/>
      <c r="H151" s="37"/>
      <c r="I151" s="42">
        <v>15</v>
      </c>
      <c r="J151" s="7" t="s">
        <v>1694</v>
      </c>
      <c r="K151" s="1" t="s">
        <v>1695</v>
      </c>
      <c r="L151" s="1">
        <v>15000</v>
      </c>
      <c r="M151" s="42"/>
      <c r="N151" s="7"/>
      <c r="O151"/>
      <c r="Q151" s="42"/>
      <c r="R151" s="7"/>
      <c r="S151"/>
      <c r="U151" s="42"/>
      <c r="V151" s="7"/>
      <c r="W151"/>
      <c r="Y151" s="42"/>
      <c r="Z151" s="7"/>
      <c r="AA151"/>
      <c r="AC151" s="42"/>
      <c r="AD151" s="7"/>
      <c r="AE151"/>
    </row>
    <row r="152" spans="7:31" x14ac:dyDescent="0.35">
      <c r="G152" s="39"/>
      <c r="H152" s="37"/>
      <c r="I152" s="42">
        <v>14</v>
      </c>
      <c r="J152" s="7">
        <v>45118</v>
      </c>
      <c r="K152" s="1" t="s">
        <v>1614</v>
      </c>
      <c r="L152" s="1">
        <v>4950</v>
      </c>
      <c r="M152" s="42"/>
      <c r="N152" s="7"/>
      <c r="O152"/>
      <c r="Q152" s="42"/>
      <c r="R152" s="7"/>
      <c r="S152"/>
      <c r="U152" s="42"/>
      <c r="V152" s="7"/>
      <c r="W152"/>
      <c r="Y152" s="42"/>
      <c r="Z152" s="7"/>
      <c r="AA152"/>
      <c r="AC152" s="42"/>
      <c r="AD152" s="7"/>
      <c r="AE152"/>
    </row>
    <row r="153" spans="7:31" x14ac:dyDescent="0.35">
      <c r="G153" s="39"/>
      <c r="H153" s="37"/>
      <c r="I153" s="42">
        <v>14</v>
      </c>
      <c r="J153" s="7">
        <v>45152</v>
      </c>
      <c r="K153" s="1" t="s">
        <v>1615</v>
      </c>
      <c r="L153" s="1">
        <v>5950</v>
      </c>
      <c r="M153" s="42"/>
      <c r="N153" s="7"/>
      <c r="O153"/>
      <c r="Q153" s="42"/>
      <c r="R153" s="7"/>
      <c r="S153"/>
      <c r="U153" s="42"/>
      <c r="V153" s="7"/>
      <c r="W153"/>
      <c r="Y153" s="42"/>
      <c r="Z153" s="7"/>
      <c r="AA153"/>
      <c r="AC153" s="42"/>
      <c r="AD153" s="7"/>
      <c r="AE153"/>
    </row>
    <row r="154" spans="7:31" x14ac:dyDescent="0.35">
      <c r="G154" s="39"/>
      <c r="H154" s="37"/>
      <c r="I154" s="42">
        <v>19</v>
      </c>
      <c r="J154" s="7">
        <v>45133</v>
      </c>
      <c r="K154" s="1" t="s">
        <v>1616</v>
      </c>
      <c r="L154" s="1">
        <v>445</v>
      </c>
      <c r="M154" s="42"/>
      <c r="N154" s="7"/>
      <c r="O154"/>
      <c r="Q154" s="42"/>
      <c r="R154" s="7"/>
      <c r="S154"/>
      <c r="U154" s="42"/>
      <c r="V154" s="7"/>
      <c r="W154"/>
      <c r="Y154" s="42"/>
      <c r="Z154" s="7"/>
      <c r="AA154"/>
      <c r="AC154" s="42"/>
      <c r="AD154" s="7"/>
      <c r="AE154"/>
    </row>
    <row r="155" spans="7:31" x14ac:dyDescent="0.35">
      <c r="G155" s="39"/>
      <c r="H155" s="37"/>
      <c r="I155" s="42">
        <v>15</v>
      </c>
      <c r="J155" s="7">
        <v>45132</v>
      </c>
      <c r="K155" s="1" t="s">
        <v>1606</v>
      </c>
      <c r="L155" s="1">
        <v>57</v>
      </c>
      <c r="M155" s="42"/>
      <c r="N155" s="7"/>
      <c r="O155"/>
      <c r="Q155" s="42"/>
      <c r="R155" s="7"/>
      <c r="S155"/>
      <c r="U155" s="42"/>
      <c r="V155" s="7"/>
      <c r="W155"/>
      <c r="Y155" s="42"/>
      <c r="Z155" s="7"/>
      <c r="AA155"/>
      <c r="AC155" s="42"/>
      <c r="AD155" s="7"/>
      <c r="AE155"/>
    </row>
    <row r="156" spans="7:31" x14ac:dyDescent="0.35">
      <c r="G156" s="39"/>
      <c r="H156" s="37"/>
      <c r="I156" s="42">
        <v>20</v>
      </c>
      <c r="J156" s="7">
        <v>45125</v>
      </c>
      <c r="K156" s="1" t="s">
        <v>1617</v>
      </c>
      <c r="L156" s="1">
        <v>495.77</v>
      </c>
      <c r="M156" s="42"/>
      <c r="N156" s="7"/>
      <c r="O156"/>
      <c r="Q156" s="42"/>
      <c r="R156" s="7"/>
      <c r="S156"/>
      <c r="U156" s="42"/>
      <c r="V156" s="7"/>
      <c r="W156"/>
      <c r="Y156" s="42"/>
      <c r="Z156" s="7"/>
      <c r="AA156"/>
      <c r="AC156" s="42"/>
      <c r="AD156" s="7"/>
      <c r="AE156"/>
    </row>
    <row r="157" spans="7:31" x14ac:dyDescent="0.35">
      <c r="G157" s="39"/>
      <c r="H157" s="37"/>
      <c r="I157" s="42">
        <v>14</v>
      </c>
      <c r="J157" s="7">
        <v>45133</v>
      </c>
      <c r="K157" s="1" t="s">
        <v>1618</v>
      </c>
      <c r="L157" s="1">
        <v>10.58</v>
      </c>
      <c r="M157" s="42"/>
      <c r="N157" s="7"/>
      <c r="O157"/>
      <c r="Q157" s="42"/>
      <c r="R157" s="7"/>
      <c r="S157"/>
      <c r="U157" s="42"/>
      <c r="V157" s="7"/>
      <c r="W157"/>
      <c r="Y157" s="42"/>
      <c r="Z157" s="7"/>
      <c r="AA157"/>
      <c r="AC157" s="42"/>
      <c r="AD157" s="7"/>
      <c r="AE157"/>
    </row>
    <row r="158" spans="7:31" x14ac:dyDescent="0.35">
      <c r="G158" s="39"/>
      <c r="H158" s="37"/>
      <c r="I158" s="42">
        <v>15</v>
      </c>
      <c r="J158" s="7">
        <v>45133</v>
      </c>
      <c r="K158" s="1" t="s">
        <v>1619</v>
      </c>
      <c r="L158" s="1">
        <v>44.28</v>
      </c>
      <c r="M158" s="42"/>
      <c r="N158" s="7"/>
      <c r="O158"/>
      <c r="Q158" s="42"/>
      <c r="R158" s="7"/>
      <c r="S158"/>
      <c r="U158" s="42"/>
      <c r="V158" s="7"/>
      <c r="W158"/>
      <c r="Y158" s="42"/>
      <c r="Z158" s="7"/>
      <c r="AA158"/>
      <c r="AC158" s="42"/>
      <c r="AD158" s="7"/>
      <c r="AE158"/>
    </row>
    <row r="159" spans="7:31" x14ac:dyDescent="0.35">
      <c r="G159" s="39"/>
      <c r="H159" s="37"/>
      <c r="I159" s="42">
        <v>16</v>
      </c>
      <c r="J159" s="7">
        <v>45083</v>
      </c>
      <c r="K159" s="1" t="s">
        <v>1620</v>
      </c>
      <c r="L159" s="1">
        <v>0.83</v>
      </c>
      <c r="M159" s="42"/>
      <c r="N159" s="7"/>
      <c r="O159"/>
      <c r="Q159" s="42"/>
      <c r="R159" s="7"/>
      <c r="S159"/>
      <c r="U159" s="42"/>
      <c r="V159" s="7"/>
      <c r="W159"/>
      <c r="Y159" s="42"/>
      <c r="Z159" s="7"/>
      <c r="AA159"/>
      <c r="AC159" s="42"/>
      <c r="AD159" s="7"/>
      <c r="AE159"/>
    </row>
    <row r="160" spans="7:31" x14ac:dyDescent="0.35">
      <c r="G160" s="39"/>
      <c r="H160" s="37"/>
      <c r="I160" s="42">
        <v>16</v>
      </c>
      <c r="J160" s="7">
        <v>45083</v>
      </c>
      <c r="K160" s="1" t="s">
        <v>1516</v>
      </c>
      <c r="L160" s="1">
        <v>24.46</v>
      </c>
      <c r="M160" s="42"/>
      <c r="N160" s="7"/>
      <c r="O160"/>
      <c r="Q160" s="42"/>
      <c r="R160" s="7"/>
      <c r="S160"/>
      <c r="U160" s="42"/>
      <c r="V160" s="7"/>
      <c r="W160"/>
      <c r="Y160" s="42"/>
      <c r="Z160" s="7"/>
      <c r="AA160"/>
      <c r="AC160" s="42"/>
      <c r="AD160" s="7"/>
      <c r="AE160"/>
    </row>
    <row r="161" spans="7:31" x14ac:dyDescent="0.35">
      <c r="G161" s="39"/>
      <c r="H161" s="37"/>
      <c r="I161" s="42">
        <v>15</v>
      </c>
      <c r="J161" s="7">
        <v>45083</v>
      </c>
      <c r="K161" s="1" t="s">
        <v>1447</v>
      </c>
      <c r="L161" s="1">
        <v>12.52</v>
      </c>
      <c r="M161" s="42"/>
      <c r="N161" s="7"/>
      <c r="O161"/>
      <c r="Q161" s="42"/>
      <c r="R161" s="7"/>
      <c r="S161"/>
      <c r="U161" s="42"/>
      <c r="V161" s="7"/>
      <c r="W161"/>
      <c r="Y161" s="42"/>
      <c r="Z161" s="7"/>
      <c r="AA161"/>
      <c r="AC161" s="42"/>
      <c r="AD161" s="7"/>
      <c r="AE161"/>
    </row>
    <row r="162" spans="7:31" x14ac:dyDescent="0.35">
      <c r="G162" s="39"/>
      <c r="H162" s="37"/>
      <c r="I162" s="42">
        <v>16</v>
      </c>
      <c r="J162" s="7">
        <v>45086</v>
      </c>
      <c r="K162" s="1" t="s">
        <v>1595</v>
      </c>
      <c r="L162" s="1">
        <v>28.32</v>
      </c>
      <c r="M162" s="42"/>
      <c r="N162" s="7"/>
      <c r="O162"/>
      <c r="Q162" s="42"/>
      <c r="R162" s="7"/>
      <c r="S162"/>
      <c r="U162" s="42"/>
      <c r="V162" s="7"/>
      <c r="W162"/>
      <c r="Y162" s="42"/>
      <c r="Z162" s="7"/>
      <c r="AA162"/>
      <c r="AC162" s="42"/>
      <c r="AD162" s="7"/>
      <c r="AE162"/>
    </row>
    <row r="163" spans="7:31" x14ac:dyDescent="0.35">
      <c r="G163" s="39"/>
      <c r="H163" s="37"/>
      <c r="I163" s="42">
        <v>16</v>
      </c>
      <c r="J163" s="7">
        <v>45085</v>
      </c>
      <c r="K163" s="1" t="s">
        <v>1620</v>
      </c>
      <c r="L163" s="1">
        <v>5.81</v>
      </c>
      <c r="M163" s="42"/>
      <c r="N163" s="7"/>
      <c r="O163"/>
      <c r="Q163" s="42"/>
      <c r="R163" s="7"/>
      <c r="S163"/>
      <c r="U163" s="42"/>
      <c r="V163" s="7"/>
      <c r="W163"/>
      <c r="Y163" s="42"/>
      <c r="Z163" s="7"/>
      <c r="AA163"/>
      <c r="AC163" s="42"/>
      <c r="AD163" s="7"/>
      <c r="AE163"/>
    </row>
    <row r="164" spans="7:31" x14ac:dyDescent="0.35">
      <c r="G164" s="39"/>
      <c r="H164" s="37"/>
      <c r="I164" s="42">
        <v>14</v>
      </c>
      <c r="J164" s="7">
        <v>45090</v>
      </c>
      <c r="K164" s="1" t="s">
        <v>1621</v>
      </c>
      <c r="L164" s="1">
        <v>24.16</v>
      </c>
      <c r="M164" s="42"/>
      <c r="N164" s="7"/>
      <c r="O164"/>
      <c r="Q164" s="42"/>
      <c r="R164" s="7"/>
      <c r="S164"/>
      <c r="U164" s="42"/>
      <c r="V164" s="7"/>
      <c r="W164"/>
      <c r="Y164" s="42"/>
      <c r="Z164" s="7"/>
      <c r="AA164"/>
      <c r="AC164" s="42"/>
      <c r="AD164" s="7"/>
      <c r="AE164"/>
    </row>
    <row r="165" spans="7:31" x14ac:dyDescent="0.35">
      <c r="G165" s="39"/>
      <c r="H165" s="37"/>
      <c r="I165" s="42">
        <v>16</v>
      </c>
      <c r="J165" s="7">
        <v>45097</v>
      </c>
      <c r="K165" s="1" t="s">
        <v>1587</v>
      </c>
      <c r="L165" s="1">
        <v>18.16</v>
      </c>
      <c r="M165" s="42"/>
      <c r="N165" s="7"/>
      <c r="O165"/>
      <c r="Q165" s="42"/>
      <c r="R165" s="7"/>
      <c r="S165"/>
      <c r="U165" s="42"/>
      <c r="V165" s="7"/>
      <c r="W165"/>
      <c r="Y165" s="42"/>
      <c r="Z165" s="7"/>
      <c r="AA165"/>
      <c r="AC165" s="42"/>
      <c r="AD165" s="7"/>
      <c r="AE165"/>
    </row>
    <row r="166" spans="7:31" x14ac:dyDescent="0.35">
      <c r="G166" s="39"/>
      <c r="H166" s="37"/>
      <c r="I166" s="42">
        <v>20</v>
      </c>
      <c r="J166" s="7">
        <v>45097</v>
      </c>
      <c r="K166" s="1" t="s">
        <v>1622</v>
      </c>
      <c r="L166" s="1">
        <v>7.07</v>
      </c>
      <c r="M166" s="42"/>
      <c r="N166" s="7"/>
      <c r="O166"/>
      <c r="Q166" s="42"/>
      <c r="R166" s="7"/>
      <c r="S166"/>
      <c r="U166" s="42"/>
      <c r="V166" s="7"/>
      <c r="W166"/>
      <c r="Y166" s="42"/>
      <c r="Z166" s="7"/>
      <c r="AA166"/>
      <c r="AC166" s="42"/>
      <c r="AD166" s="7"/>
      <c r="AE166"/>
    </row>
    <row r="167" spans="7:31" x14ac:dyDescent="0.35">
      <c r="G167" s="39"/>
      <c r="H167" s="37"/>
      <c r="I167" s="42">
        <v>14</v>
      </c>
      <c r="J167" s="7">
        <v>45103</v>
      </c>
      <c r="K167" s="1" t="s">
        <v>1623</v>
      </c>
      <c r="L167" s="1">
        <v>131.85</v>
      </c>
      <c r="M167" s="42"/>
      <c r="N167" s="7"/>
      <c r="O167"/>
      <c r="Q167" s="42"/>
      <c r="R167" s="7"/>
      <c r="S167"/>
      <c r="U167" s="42"/>
      <c r="V167" s="7"/>
      <c r="W167"/>
      <c r="Y167" s="42"/>
      <c r="Z167" s="7"/>
      <c r="AA167"/>
      <c r="AC167" s="42"/>
      <c r="AD167" s="7"/>
      <c r="AE167"/>
    </row>
    <row r="168" spans="7:31" x14ac:dyDescent="0.35">
      <c r="G168" s="39"/>
      <c r="H168" s="37"/>
      <c r="I168" s="42">
        <v>15</v>
      </c>
      <c r="J168" s="7">
        <v>45103</v>
      </c>
      <c r="K168" s="1" t="s">
        <v>1624</v>
      </c>
      <c r="L168" s="1">
        <v>375.2</v>
      </c>
      <c r="M168" s="42"/>
      <c r="N168" s="7"/>
      <c r="O168"/>
      <c r="Q168" s="42"/>
      <c r="R168" s="7"/>
      <c r="S168"/>
      <c r="U168" s="42"/>
      <c r="V168" s="7"/>
      <c r="W168"/>
      <c r="Y168" s="42"/>
      <c r="Z168" s="7"/>
      <c r="AA168"/>
      <c r="AC168" s="42"/>
      <c r="AD168" s="7"/>
      <c r="AE168"/>
    </row>
    <row r="169" spans="7:31" x14ac:dyDescent="0.35">
      <c r="G169" s="39"/>
      <c r="H169" s="37"/>
      <c r="I169" s="42">
        <v>7</v>
      </c>
      <c r="J169" s="7">
        <v>45142</v>
      </c>
      <c r="K169" s="1" t="s">
        <v>1465</v>
      </c>
      <c r="L169" s="1">
        <v>19.98</v>
      </c>
      <c r="M169" s="42"/>
      <c r="N169" s="7" t="s">
        <v>1625</v>
      </c>
      <c r="O169"/>
      <c r="Q169" s="42"/>
      <c r="R169" s="7"/>
      <c r="S169"/>
      <c r="U169" s="42"/>
      <c r="V169" s="7"/>
      <c r="W169"/>
      <c r="Y169" s="42"/>
      <c r="Z169" s="7"/>
      <c r="AA169"/>
      <c r="AC169" s="42"/>
      <c r="AD169" s="7"/>
      <c r="AE169"/>
    </row>
    <row r="170" spans="7:31" x14ac:dyDescent="0.35">
      <c r="G170" s="39"/>
      <c r="H170" s="37"/>
      <c r="I170" s="42">
        <v>14</v>
      </c>
      <c r="J170" s="7">
        <v>45142</v>
      </c>
      <c r="K170" s="1" t="s">
        <v>1626</v>
      </c>
      <c r="L170" s="1">
        <v>84.97</v>
      </c>
      <c r="M170" s="42"/>
      <c r="N170" s="7"/>
      <c r="O170"/>
      <c r="Q170" s="42"/>
      <c r="R170" s="7"/>
      <c r="S170"/>
      <c r="U170" s="42"/>
      <c r="V170" s="7"/>
      <c r="W170"/>
      <c r="Y170" s="42"/>
      <c r="Z170" s="7"/>
      <c r="AA170"/>
      <c r="AC170" s="42"/>
      <c r="AD170" s="7"/>
      <c r="AE170"/>
    </row>
    <row r="171" spans="7:31" x14ac:dyDescent="0.35">
      <c r="G171" s="39"/>
      <c r="H171" s="37"/>
      <c r="I171" s="42">
        <v>8</v>
      </c>
      <c r="J171" s="7">
        <v>45142</v>
      </c>
      <c r="K171" s="1" t="s">
        <v>1558</v>
      </c>
      <c r="L171" s="1">
        <v>16.48</v>
      </c>
      <c r="M171" s="42"/>
      <c r="N171" s="7"/>
      <c r="O171"/>
      <c r="Q171" s="42"/>
      <c r="R171" s="7"/>
      <c r="S171"/>
      <c r="U171" s="42"/>
      <c r="V171" s="7"/>
      <c r="W171"/>
      <c r="Y171" s="42"/>
      <c r="Z171" s="7"/>
      <c r="AA171"/>
      <c r="AC171" s="42"/>
      <c r="AD171" s="7"/>
      <c r="AE171"/>
    </row>
    <row r="172" spans="7:31" x14ac:dyDescent="0.35">
      <c r="G172" s="39"/>
      <c r="H172" s="37"/>
      <c r="I172" s="42">
        <v>16</v>
      </c>
      <c r="J172" s="7">
        <v>45142</v>
      </c>
      <c r="K172" s="1" t="s">
        <v>1627</v>
      </c>
      <c r="L172" s="1">
        <v>4.4000000000000004</v>
      </c>
      <c r="M172" s="42"/>
      <c r="N172" s="7"/>
      <c r="O172"/>
      <c r="Q172" s="42"/>
      <c r="R172" s="7"/>
      <c r="S172"/>
      <c r="U172" s="42"/>
      <c r="V172" s="7"/>
      <c r="W172"/>
      <c r="Y172" s="42"/>
      <c r="Z172" s="7"/>
      <c r="AA172"/>
      <c r="AC172" s="42"/>
      <c r="AD172" s="7"/>
      <c r="AE172"/>
    </row>
    <row r="173" spans="7:31" x14ac:dyDescent="0.35">
      <c r="G173" s="39"/>
      <c r="H173" s="37"/>
      <c r="I173" s="42">
        <v>16</v>
      </c>
      <c r="J173" s="7">
        <v>45142</v>
      </c>
      <c r="K173" s="1" t="s">
        <v>1628</v>
      </c>
      <c r="L173" s="1">
        <v>44.97</v>
      </c>
      <c r="M173" s="42"/>
      <c r="N173" s="7"/>
      <c r="O173"/>
      <c r="Q173" s="42"/>
      <c r="R173" s="7"/>
      <c r="S173"/>
      <c r="U173" s="42"/>
      <c r="V173" s="7"/>
      <c r="W173"/>
      <c r="Y173" s="42"/>
      <c r="Z173" s="7"/>
      <c r="AA173"/>
      <c r="AC173" s="42"/>
      <c r="AD173" s="7"/>
      <c r="AE173"/>
    </row>
    <row r="174" spans="7:31" x14ac:dyDescent="0.35">
      <c r="G174" s="39"/>
      <c r="H174" s="37"/>
      <c r="I174" s="42">
        <v>7</v>
      </c>
      <c r="J174" s="7">
        <v>45145</v>
      </c>
      <c r="K174" s="1" t="s">
        <v>1515</v>
      </c>
      <c r="L174" s="1">
        <v>6.66</v>
      </c>
      <c r="M174" s="42"/>
      <c r="N174" s="7"/>
      <c r="O174"/>
      <c r="Q174" s="42"/>
      <c r="R174" s="7"/>
      <c r="S174"/>
      <c r="U174" s="42"/>
      <c r="V174" s="7"/>
      <c r="W174"/>
      <c r="Y174" s="42"/>
      <c r="Z174" s="7"/>
      <c r="AA174"/>
      <c r="AC174" s="42"/>
      <c r="AD174" s="7"/>
      <c r="AE174"/>
    </row>
    <row r="175" spans="7:31" x14ac:dyDescent="0.35">
      <c r="G175" s="39"/>
      <c r="H175" s="37"/>
      <c r="I175" s="42">
        <v>7</v>
      </c>
      <c r="J175" s="7">
        <v>45145</v>
      </c>
      <c r="K175" s="1" t="s">
        <v>1510</v>
      </c>
      <c r="L175" s="1">
        <f>3.33*15</f>
        <v>49.95</v>
      </c>
      <c r="M175" s="42"/>
      <c r="N175" s="7"/>
      <c r="O175"/>
      <c r="Q175" s="42"/>
      <c r="R175" s="7"/>
      <c r="S175"/>
      <c r="U175" s="42"/>
      <c r="V175" s="7"/>
      <c r="W175"/>
      <c r="Y175" s="42"/>
      <c r="Z175" s="7"/>
      <c r="AA175"/>
      <c r="AC175" s="42"/>
      <c r="AD175" s="7"/>
      <c r="AE175"/>
    </row>
    <row r="176" spans="7:31" x14ac:dyDescent="0.35">
      <c r="G176" s="39"/>
      <c r="H176" s="37"/>
      <c r="I176" s="42">
        <v>14</v>
      </c>
      <c r="J176" s="7">
        <v>45139</v>
      </c>
      <c r="K176" s="1" t="s">
        <v>1607</v>
      </c>
      <c r="L176" s="1">
        <v>30</v>
      </c>
      <c r="M176" s="42"/>
      <c r="N176" s="7"/>
      <c r="O176"/>
      <c r="Q176" s="42"/>
      <c r="R176" s="7"/>
      <c r="S176"/>
      <c r="U176" s="42"/>
      <c r="V176" s="7"/>
      <c r="W176"/>
      <c r="Y176" s="42"/>
      <c r="Z176" s="7"/>
      <c r="AA176"/>
      <c r="AC176" s="42"/>
      <c r="AD176" s="7"/>
      <c r="AE176"/>
    </row>
    <row r="177" spans="7:31" x14ac:dyDescent="0.35">
      <c r="G177" s="39"/>
      <c r="H177" s="37"/>
      <c r="I177" s="42">
        <v>14</v>
      </c>
      <c r="J177" s="7">
        <v>45111</v>
      </c>
      <c r="K177" s="1" t="s">
        <v>1629</v>
      </c>
      <c r="L177" s="1">
        <v>1490</v>
      </c>
      <c r="M177" s="42"/>
      <c r="N177" s="7"/>
      <c r="O177"/>
      <c r="Q177" s="42"/>
      <c r="R177" s="7"/>
      <c r="S177"/>
      <c r="U177" s="42"/>
      <c r="V177" s="7"/>
      <c r="W177"/>
      <c r="Y177" s="42"/>
      <c r="Z177" s="7"/>
      <c r="AA177"/>
      <c r="AC177" s="42"/>
      <c r="AD177" s="7"/>
      <c r="AE177"/>
    </row>
    <row r="178" spans="7:31" x14ac:dyDescent="0.35">
      <c r="G178" s="39"/>
      <c r="H178" s="37"/>
      <c r="I178" s="42">
        <v>14</v>
      </c>
      <c r="J178" s="7">
        <v>45152</v>
      </c>
      <c r="K178" s="1" t="s">
        <v>1630</v>
      </c>
      <c r="L178" s="1">
        <v>112</v>
      </c>
      <c r="M178" s="42"/>
      <c r="N178" s="7"/>
      <c r="O178"/>
      <c r="Q178" s="42"/>
      <c r="R178" s="7"/>
      <c r="S178"/>
      <c r="U178" s="42"/>
      <c r="V178" s="7"/>
      <c r="W178"/>
      <c r="Y178" s="42"/>
      <c r="Z178" s="7"/>
      <c r="AA178"/>
      <c r="AC178" s="42"/>
      <c r="AD178" s="7"/>
      <c r="AE178"/>
    </row>
    <row r="179" spans="7:31" x14ac:dyDescent="0.35">
      <c r="G179" s="39"/>
      <c r="H179" s="37"/>
      <c r="I179" s="42">
        <v>6</v>
      </c>
      <c r="J179" s="7">
        <v>45139</v>
      </c>
      <c r="K179" t="s">
        <v>1631</v>
      </c>
      <c r="L179" s="1">
        <v>930.39</v>
      </c>
      <c r="M179" s="42"/>
      <c r="N179" s="7"/>
      <c r="O179"/>
      <c r="Q179" s="42"/>
      <c r="R179" s="7"/>
      <c r="S179"/>
      <c r="U179" s="42"/>
      <c r="V179" s="7"/>
      <c r="W179"/>
      <c r="Y179" s="42"/>
      <c r="Z179" s="7"/>
      <c r="AA179"/>
      <c r="AC179" s="42"/>
      <c r="AD179" s="7"/>
      <c r="AE179"/>
    </row>
    <row r="180" spans="7:31" x14ac:dyDescent="0.35">
      <c r="G180" s="39"/>
      <c r="H180" s="37"/>
      <c r="I180" s="42">
        <v>6</v>
      </c>
      <c r="J180" s="7">
        <v>45108</v>
      </c>
      <c r="K180" t="s">
        <v>1632</v>
      </c>
      <c r="L180" s="1">
        <v>930.39</v>
      </c>
      <c r="M180" s="42"/>
      <c r="N180" s="7"/>
      <c r="O180"/>
      <c r="Q180" s="42"/>
      <c r="R180" s="7"/>
      <c r="S180"/>
      <c r="U180" s="42"/>
      <c r="V180" s="7"/>
      <c r="W180"/>
      <c r="Y180" s="42"/>
      <c r="Z180" s="7"/>
      <c r="AA180"/>
      <c r="AC180" s="42"/>
      <c r="AD180" s="7"/>
      <c r="AE180"/>
    </row>
    <row r="181" spans="7:31" x14ac:dyDescent="0.35">
      <c r="G181" s="39"/>
      <c r="H181" s="37"/>
      <c r="I181" s="42">
        <v>9</v>
      </c>
      <c r="J181" s="7">
        <v>45147</v>
      </c>
      <c r="K181" s="1" t="s">
        <v>1633</v>
      </c>
      <c r="L181" s="1">
        <v>700</v>
      </c>
      <c r="M181" s="42"/>
      <c r="N181" s="7"/>
      <c r="O181"/>
      <c r="Q181" s="42"/>
      <c r="R181" s="7"/>
      <c r="S181"/>
      <c r="U181" s="42"/>
      <c r="V181" s="7"/>
      <c r="W181"/>
      <c r="Y181" s="42"/>
      <c r="Z181" s="7"/>
      <c r="AA181"/>
      <c r="AC181" s="42"/>
      <c r="AD181" s="7"/>
      <c r="AE181"/>
    </row>
    <row r="182" spans="7:31" x14ac:dyDescent="0.35">
      <c r="G182" s="39"/>
      <c r="H182" s="37"/>
      <c r="I182" s="42">
        <v>14</v>
      </c>
      <c r="J182" s="7">
        <v>45117</v>
      </c>
      <c r="K182" s="1" t="s">
        <v>1635</v>
      </c>
      <c r="L182" s="1">
        <v>101.57</v>
      </c>
      <c r="M182" s="42"/>
      <c r="N182" s="7"/>
      <c r="O182"/>
      <c r="Q182" s="42"/>
      <c r="R182" s="7"/>
      <c r="S182"/>
      <c r="U182" s="42"/>
      <c r="V182" s="7"/>
      <c r="W182"/>
      <c r="Y182" s="42"/>
      <c r="Z182" s="7"/>
      <c r="AA182"/>
      <c r="AC182" s="42"/>
      <c r="AD182" s="7"/>
      <c r="AE182"/>
    </row>
    <row r="183" spans="7:31" x14ac:dyDescent="0.35">
      <c r="G183" s="39"/>
      <c r="H183" s="37"/>
      <c r="I183" s="42">
        <v>15</v>
      </c>
      <c r="J183" s="7">
        <v>45117</v>
      </c>
      <c r="K183" s="1" t="s">
        <v>1636</v>
      </c>
      <c r="L183" s="1">
        <v>48.71</v>
      </c>
      <c r="M183" s="42"/>
      <c r="N183" s="7"/>
      <c r="O183"/>
      <c r="Q183" s="42"/>
      <c r="R183" s="7"/>
      <c r="S183"/>
      <c r="U183" s="42"/>
      <c r="V183" s="7"/>
      <c r="W183"/>
      <c r="Y183" s="42"/>
      <c r="Z183" s="7"/>
      <c r="AA183"/>
      <c r="AC183" s="42"/>
      <c r="AD183" s="7"/>
      <c r="AE183"/>
    </row>
    <row r="184" spans="7:31" x14ac:dyDescent="0.35">
      <c r="G184" s="39"/>
      <c r="H184" s="37"/>
      <c r="I184" s="42">
        <v>14</v>
      </c>
      <c r="J184" s="7">
        <v>45118</v>
      </c>
      <c r="K184" s="1" t="s">
        <v>1637</v>
      </c>
      <c r="L184" s="1">
        <v>37.78</v>
      </c>
      <c r="M184" s="42"/>
      <c r="N184" s="7"/>
      <c r="O184"/>
      <c r="Q184" s="42"/>
      <c r="R184" s="7"/>
      <c r="S184"/>
      <c r="U184" s="42"/>
      <c r="V184" s="7"/>
      <c r="W184"/>
      <c r="Y184" s="42"/>
      <c r="Z184" s="7"/>
      <c r="AA184"/>
      <c r="AC184" s="42"/>
      <c r="AD184" s="7"/>
      <c r="AE184"/>
    </row>
    <row r="185" spans="7:31" x14ac:dyDescent="0.35">
      <c r="G185" s="39"/>
      <c r="H185" s="37"/>
      <c r="I185" s="42">
        <v>14</v>
      </c>
      <c r="J185" s="7">
        <v>45124</v>
      </c>
      <c r="K185" s="1" t="s">
        <v>1638</v>
      </c>
      <c r="L185" s="1">
        <v>14.16</v>
      </c>
      <c r="M185" s="42"/>
      <c r="N185" s="7"/>
      <c r="O185"/>
      <c r="Q185" s="42"/>
      <c r="R185" s="7"/>
      <c r="S185"/>
      <c r="U185" s="42"/>
      <c r="V185" s="7"/>
      <c r="W185"/>
      <c r="Y185" s="42"/>
      <c r="Z185" s="7"/>
      <c r="AA185"/>
      <c r="AC185" s="42"/>
      <c r="AD185" s="7"/>
      <c r="AE185"/>
    </row>
    <row r="186" spans="7:31" x14ac:dyDescent="0.35">
      <c r="G186" s="39"/>
      <c r="H186" s="37"/>
      <c r="I186" s="42">
        <v>14</v>
      </c>
      <c r="J186" s="7">
        <v>45124</v>
      </c>
      <c r="K186" s="1" t="s">
        <v>1639</v>
      </c>
      <c r="L186" s="1">
        <v>111.24</v>
      </c>
      <c r="M186" s="42"/>
      <c r="N186" s="7"/>
      <c r="O186"/>
      <c r="Q186" s="42"/>
      <c r="R186" s="7"/>
      <c r="S186"/>
      <c r="U186" s="42"/>
      <c r="V186" s="7"/>
      <c r="W186"/>
      <c r="Y186" s="42"/>
      <c r="Z186" s="7"/>
      <c r="AA186"/>
      <c r="AC186" s="42"/>
      <c r="AD186" s="7"/>
      <c r="AE186"/>
    </row>
    <row r="187" spans="7:31" x14ac:dyDescent="0.35">
      <c r="G187" s="39"/>
      <c r="H187" s="37"/>
      <c r="I187" s="42">
        <v>14</v>
      </c>
      <c r="J187" s="7">
        <v>45138</v>
      </c>
      <c r="K187" s="1" t="s">
        <v>1640</v>
      </c>
      <c r="L187" s="1">
        <v>23.12</v>
      </c>
      <c r="M187" s="42"/>
      <c r="N187" s="7"/>
      <c r="O187"/>
      <c r="Q187" s="42"/>
      <c r="R187" s="7"/>
      <c r="S187"/>
      <c r="U187" s="42"/>
      <c r="V187" s="7"/>
      <c r="W187"/>
      <c r="Y187" s="42"/>
      <c r="Z187" s="7"/>
      <c r="AA187"/>
      <c r="AC187" s="42"/>
      <c r="AD187" s="7"/>
      <c r="AE187"/>
    </row>
    <row r="188" spans="7:31" x14ac:dyDescent="0.35">
      <c r="G188" s="39"/>
      <c r="H188" s="37"/>
      <c r="I188" s="42">
        <v>15</v>
      </c>
      <c r="J188" s="7">
        <v>45138</v>
      </c>
      <c r="K188" s="1" t="s">
        <v>1636</v>
      </c>
      <c r="L188" s="1">
        <v>49.98</v>
      </c>
      <c r="M188" s="42"/>
      <c r="N188" s="7"/>
      <c r="O188"/>
      <c r="Q188" s="42"/>
      <c r="R188" s="7"/>
      <c r="S188"/>
      <c r="U188" s="42"/>
      <c r="V188" s="7"/>
      <c r="W188"/>
      <c r="Y188" s="42"/>
      <c r="Z188" s="7"/>
      <c r="AA188"/>
      <c r="AC188" s="42"/>
      <c r="AD188" s="7"/>
      <c r="AE188"/>
    </row>
    <row r="189" spans="7:31" x14ac:dyDescent="0.35">
      <c r="G189" s="39"/>
      <c r="H189" s="37"/>
      <c r="I189" s="42">
        <v>15</v>
      </c>
      <c r="J189" s="7">
        <v>45155</v>
      </c>
      <c r="K189" s="1" t="s">
        <v>1641</v>
      </c>
      <c r="L189" s="1">
        <v>607.28</v>
      </c>
      <c r="M189" s="42"/>
      <c r="N189" s="7"/>
      <c r="O189"/>
      <c r="Q189" s="42"/>
      <c r="R189" s="7"/>
      <c r="S189"/>
      <c r="U189" s="42"/>
      <c r="V189" s="7"/>
      <c r="W189"/>
      <c r="Y189" s="42"/>
      <c r="Z189" s="7"/>
      <c r="AA189"/>
      <c r="AC189" s="42"/>
      <c r="AD189" s="7"/>
      <c r="AE189"/>
    </row>
    <row r="190" spans="7:31" x14ac:dyDescent="0.35">
      <c r="G190" s="39"/>
      <c r="H190" s="37"/>
      <c r="I190" s="42">
        <v>19</v>
      </c>
      <c r="J190" s="7">
        <v>45161</v>
      </c>
      <c r="K190" s="1" t="s">
        <v>1642</v>
      </c>
      <c r="L190" s="1">
        <v>420</v>
      </c>
      <c r="M190" s="42"/>
      <c r="N190" s="7"/>
      <c r="O190"/>
      <c r="Q190" s="42"/>
      <c r="R190" s="7"/>
      <c r="S190"/>
      <c r="U190" s="42"/>
      <c r="V190" s="7"/>
      <c r="W190"/>
      <c r="Y190" s="42"/>
      <c r="Z190" s="7"/>
      <c r="AA190"/>
      <c r="AC190" s="42"/>
      <c r="AD190" s="7"/>
      <c r="AE190"/>
    </row>
    <row r="191" spans="7:31" x14ac:dyDescent="0.35">
      <c r="G191" s="39"/>
      <c r="H191" s="37"/>
      <c r="I191" s="42">
        <v>14</v>
      </c>
      <c r="J191" s="7">
        <v>45155</v>
      </c>
      <c r="K191" s="1" t="s">
        <v>1607</v>
      </c>
      <c r="L191" s="1">
        <v>374.31</v>
      </c>
      <c r="M191" s="42"/>
      <c r="N191" s="7"/>
      <c r="O191"/>
      <c r="Q191" s="42"/>
      <c r="R191" s="7"/>
      <c r="S191"/>
      <c r="U191" s="42"/>
      <c r="V191" s="7"/>
      <c r="W191"/>
      <c r="Y191" s="42"/>
      <c r="Z191" s="7"/>
      <c r="AA191"/>
      <c r="AC191" s="42"/>
      <c r="AD191" s="7"/>
      <c r="AE191"/>
    </row>
    <row r="192" spans="7:31" x14ac:dyDescent="0.35">
      <c r="G192" s="39"/>
      <c r="H192" s="37"/>
      <c r="K192"/>
      <c r="M192" s="42"/>
      <c r="N192" s="7"/>
      <c r="O192"/>
      <c r="Q192" s="42"/>
      <c r="R192" s="7"/>
      <c r="S192"/>
      <c r="U192" s="42"/>
      <c r="V192" s="7"/>
      <c r="W192"/>
      <c r="Y192" s="42"/>
      <c r="Z192" s="7"/>
      <c r="AA192"/>
      <c r="AC192" s="42"/>
      <c r="AD192" s="7"/>
      <c r="AE192"/>
    </row>
    <row r="193" spans="7:31" x14ac:dyDescent="0.35">
      <c r="G193" s="39"/>
      <c r="H193" s="37"/>
      <c r="K193"/>
      <c r="M193" s="42"/>
      <c r="N193" s="7"/>
      <c r="O193"/>
      <c r="Q193" s="42"/>
      <c r="R193" s="7"/>
      <c r="S193"/>
      <c r="U193" s="42"/>
      <c r="V193" s="7"/>
      <c r="W193"/>
      <c r="Y193" s="42"/>
      <c r="Z193" s="7"/>
      <c r="AA193"/>
      <c r="AC193" s="42"/>
      <c r="AD193" s="7"/>
      <c r="AE193"/>
    </row>
    <row r="194" spans="7:31" x14ac:dyDescent="0.35">
      <c r="G194" s="39"/>
      <c r="H194" s="37"/>
      <c r="K194"/>
      <c r="M194" s="42"/>
      <c r="N194" s="7"/>
      <c r="O194"/>
      <c r="Q194" s="42"/>
      <c r="R194" s="7"/>
      <c r="S194"/>
      <c r="U194" s="42"/>
      <c r="V194" s="7"/>
      <c r="W194"/>
      <c r="Y194" s="42"/>
      <c r="Z194" s="7"/>
      <c r="AA194"/>
      <c r="AC194" s="42"/>
      <c r="AD194" s="7"/>
      <c r="AE194"/>
    </row>
    <row r="195" spans="7:31" x14ac:dyDescent="0.35">
      <c r="G195" s="39"/>
      <c r="H195" s="37"/>
      <c r="K195"/>
      <c r="M195" s="42"/>
      <c r="N195" s="7"/>
      <c r="O195"/>
      <c r="Q195" s="42"/>
      <c r="R195" s="7"/>
      <c r="S195"/>
      <c r="U195" s="42"/>
      <c r="V195" s="7"/>
      <c r="W195"/>
      <c r="Y195" s="42"/>
      <c r="Z195" s="7"/>
      <c r="AA195"/>
      <c r="AC195" s="42"/>
      <c r="AD195" s="7"/>
      <c r="AE195"/>
    </row>
    <row r="196" spans="7:31" x14ac:dyDescent="0.35">
      <c r="G196" s="39"/>
      <c r="H196" s="37"/>
      <c r="K196"/>
      <c r="M196" s="42"/>
      <c r="N196" s="7"/>
      <c r="O196"/>
      <c r="Q196" s="42"/>
      <c r="R196" s="7"/>
      <c r="S196"/>
      <c r="U196" s="42"/>
      <c r="V196" s="7"/>
      <c r="W196"/>
      <c r="Y196" s="42"/>
      <c r="Z196" s="7"/>
      <c r="AA196"/>
      <c r="AC196" s="42"/>
      <c r="AD196" s="7"/>
      <c r="AE196"/>
    </row>
    <row r="197" spans="7:31" x14ac:dyDescent="0.35">
      <c r="G197" s="39"/>
      <c r="H197" s="37"/>
      <c r="K197"/>
      <c r="M197" s="42"/>
      <c r="N197" s="7"/>
      <c r="O197"/>
      <c r="Q197" s="42"/>
      <c r="R197" s="7"/>
      <c r="S197"/>
      <c r="U197" s="42"/>
      <c r="V197" s="7"/>
      <c r="W197"/>
      <c r="Y197" s="42"/>
      <c r="Z197" s="7"/>
      <c r="AA197"/>
      <c r="AC197" s="42"/>
      <c r="AD197" s="7"/>
      <c r="AE197"/>
    </row>
    <row r="198" spans="7:31" x14ac:dyDescent="0.35">
      <c r="G198" s="39"/>
      <c r="H198" s="37"/>
      <c r="K198"/>
      <c r="M198" s="42"/>
      <c r="N198" s="7"/>
      <c r="O198"/>
      <c r="Q198" s="42"/>
      <c r="R198" s="7"/>
      <c r="S198"/>
      <c r="U198" s="42"/>
      <c r="V198" s="7"/>
      <c r="W198"/>
      <c r="Y198" s="42"/>
      <c r="Z198" s="7"/>
      <c r="AA198"/>
      <c r="AC198" s="42"/>
      <c r="AD198" s="7"/>
      <c r="AE198"/>
    </row>
    <row r="199" spans="7:31" x14ac:dyDescent="0.35">
      <c r="G199" s="39"/>
      <c r="H199" s="37"/>
      <c r="K199"/>
      <c r="M199" s="42"/>
      <c r="N199" s="7"/>
      <c r="O199"/>
      <c r="Q199" s="42"/>
      <c r="R199" s="7"/>
      <c r="S199"/>
      <c r="U199" s="42"/>
      <c r="V199" s="7"/>
      <c r="W199"/>
      <c r="Y199" s="42"/>
      <c r="Z199" s="7"/>
      <c r="AA199"/>
      <c r="AC199" s="42"/>
      <c r="AD199" s="7"/>
      <c r="AE199"/>
    </row>
    <row r="200" spans="7:31" x14ac:dyDescent="0.35">
      <c r="G200" s="39"/>
      <c r="H200" s="37"/>
      <c r="K200"/>
      <c r="M200" s="42"/>
      <c r="N200" s="7"/>
      <c r="O200"/>
      <c r="Q200" s="42"/>
      <c r="R200" s="7"/>
      <c r="S200"/>
      <c r="U200" s="42"/>
      <c r="V200" s="7"/>
      <c r="W200"/>
      <c r="Y200" s="42"/>
      <c r="Z200" s="7"/>
      <c r="AA200"/>
      <c r="AC200" s="42"/>
      <c r="AD200" s="7"/>
      <c r="AE200"/>
    </row>
    <row r="201" spans="7:31" x14ac:dyDescent="0.35">
      <c r="G201" s="39"/>
      <c r="H201" s="37"/>
      <c r="K201"/>
      <c r="M201" s="42"/>
      <c r="N201" s="7"/>
      <c r="O201"/>
      <c r="Q201" s="42"/>
      <c r="R201" s="7"/>
      <c r="S201"/>
      <c r="U201" s="42"/>
      <c r="V201" s="7"/>
      <c r="W201"/>
      <c r="Y201" s="42"/>
      <c r="Z201" s="7"/>
      <c r="AA201"/>
      <c r="AC201" s="42"/>
      <c r="AD201" s="7"/>
      <c r="AE201"/>
    </row>
    <row r="202" spans="7:31" x14ac:dyDescent="0.35">
      <c r="G202" s="39"/>
      <c r="H202" s="37"/>
      <c r="K202"/>
      <c r="M202" s="42"/>
      <c r="N202" s="7"/>
      <c r="O202"/>
      <c r="Q202" s="42"/>
      <c r="R202" s="7"/>
      <c r="S202"/>
      <c r="U202" s="42"/>
      <c r="V202" s="7"/>
      <c r="W202"/>
      <c r="Y202" s="42"/>
      <c r="Z202" s="7"/>
      <c r="AA202"/>
      <c r="AC202" s="42"/>
      <c r="AD202" s="7"/>
      <c r="AE202"/>
    </row>
    <row r="203" spans="7:31" x14ac:dyDescent="0.35">
      <c r="G203" s="39"/>
      <c r="H203" s="37"/>
      <c r="K203"/>
      <c r="M203" s="42"/>
      <c r="N203" s="7"/>
      <c r="O203"/>
      <c r="Q203" s="42"/>
      <c r="R203" s="7"/>
      <c r="S203"/>
      <c r="U203" s="42"/>
      <c r="V203" s="7"/>
      <c r="W203"/>
      <c r="Y203" s="42"/>
      <c r="Z203" s="7"/>
      <c r="AA203"/>
      <c r="AC203" s="42"/>
      <c r="AD203" s="7"/>
      <c r="AE203"/>
    </row>
    <row r="204" spans="7:31" x14ac:dyDescent="0.35">
      <c r="G204" s="39"/>
      <c r="H204" s="37"/>
      <c r="K204"/>
      <c r="M204" s="42"/>
      <c r="N204" s="7"/>
      <c r="O204"/>
      <c r="Q204" s="42"/>
      <c r="R204" s="7"/>
      <c r="S204"/>
      <c r="U204" s="42"/>
      <c r="V204" s="7"/>
      <c r="W204"/>
      <c r="Y204" s="42"/>
      <c r="Z204" s="7"/>
      <c r="AA204"/>
      <c r="AC204" s="42"/>
      <c r="AD204" s="7"/>
      <c r="AE204"/>
    </row>
    <row r="205" spans="7:31" x14ac:dyDescent="0.35">
      <c r="G205" s="39"/>
      <c r="H205" s="37"/>
      <c r="K205"/>
      <c r="M205" s="42"/>
      <c r="N205" s="7"/>
      <c r="O205"/>
      <c r="Q205" s="42"/>
      <c r="R205" s="7"/>
      <c r="S205"/>
      <c r="U205" s="42"/>
      <c r="V205" s="7"/>
      <c r="W205"/>
      <c r="Y205" s="42"/>
      <c r="Z205" s="7"/>
      <c r="AA205"/>
      <c r="AC205" s="42"/>
      <c r="AD205" s="7"/>
      <c r="AE205"/>
    </row>
    <row r="206" spans="7:31" x14ac:dyDescent="0.35">
      <c r="G206" s="39"/>
      <c r="H206" s="37"/>
      <c r="K206"/>
      <c r="M206" s="42"/>
      <c r="N206" s="7"/>
      <c r="O206"/>
      <c r="Q206" s="42"/>
      <c r="R206" s="7"/>
      <c r="S206"/>
      <c r="U206" s="42"/>
      <c r="V206" s="7"/>
      <c r="W206"/>
      <c r="Y206" s="42"/>
      <c r="Z206" s="7"/>
      <c r="AA206"/>
      <c r="AC206" s="42"/>
      <c r="AD206" s="7"/>
      <c r="AE206"/>
    </row>
    <row r="207" spans="7:31" x14ac:dyDescent="0.35">
      <c r="G207" s="39"/>
      <c r="H207" s="37"/>
      <c r="K207"/>
      <c r="M207" s="42"/>
      <c r="N207" s="7"/>
      <c r="O207"/>
      <c r="Q207" s="42"/>
      <c r="R207" s="7"/>
      <c r="S207"/>
      <c r="U207" s="42"/>
      <c r="V207" s="7"/>
      <c r="W207"/>
      <c r="Y207" s="42"/>
      <c r="Z207" s="7"/>
      <c r="AA207"/>
      <c r="AC207" s="42"/>
      <c r="AD207" s="7"/>
      <c r="AE207"/>
    </row>
    <row r="208" spans="7:31" x14ac:dyDescent="0.35">
      <c r="G208" s="39"/>
      <c r="H208" s="37"/>
      <c r="K208"/>
      <c r="M208" s="42"/>
      <c r="N208" s="7"/>
      <c r="O208"/>
      <c r="Q208" s="42"/>
      <c r="R208" s="7"/>
      <c r="S208"/>
      <c r="U208" s="42"/>
      <c r="V208" s="7"/>
      <c r="W208"/>
      <c r="Y208" s="42"/>
      <c r="Z208" s="7"/>
      <c r="AA208"/>
      <c r="AC208" s="42"/>
      <c r="AD208" s="7"/>
      <c r="AE208"/>
    </row>
    <row r="209" spans="7:31" x14ac:dyDescent="0.35">
      <c r="G209" s="39"/>
      <c r="H209" s="37"/>
      <c r="K209"/>
      <c r="M209" s="42"/>
      <c r="N209" s="7"/>
      <c r="O209"/>
      <c r="Q209" s="42"/>
      <c r="R209" s="7"/>
      <c r="S209"/>
      <c r="U209" s="42"/>
      <c r="V209" s="7"/>
      <c r="W209"/>
      <c r="Y209" s="42"/>
      <c r="Z209" s="7"/>
      <c r="AA209"/>
      <c r="AC209" s="42"/>
      <c r="AD209" s="7"/>
      <c r="AE209"/>
    </row>
    <row r="210" spans="7:31" x14ac:dyDescent="0.35">
      <c r="G210" s="39"/>
      <c r="H210" s="37"/>
      <c r="K210"/>
      <c r="M210" s="42"/>
      <c r="N210" s="7"/>
      <c r="O210"/>
      <c r="Q210" s="42"/>
      <c r="R210" s="7"/>
      <c r="S210"/>
      <c r="U210" s="42"/>
      <c r="V210" s="7"/>
      <c r="W210"/>
      <c r="Y210" s="42"/>
      <c r="Z210" s="7"/>
      <c r="AA210"/>
      <c r="AC210" s="42"/>
      <c r="AD210" s="7"/>
      <c r="AE210"/>
    </row>
    <row r="211" spans="7:31" x14ac:dyDescent="0.35">
      <c r="G211" s="39"/>
      <c r="H211" s="37"/>
      <c r="K211"/>
      <c r="M211" s="42"/>
      <c r="N211" s="7"/>
      <c r="O211"/>
      <c r="Q211" s="42"/>
      <c r="R211" s="7"/>
      <c r="S211"/>
      <c r="U211" s="42"/>
      <c r="V211" s="7"/>
      <c r="W211"/>
      <c r="Y211" s="42"/>
      <c r="Z211" s="7"/>
      <c r="AA211"/>
      <c r="AC211" s="42"/>
      <c r="AD211" s="7"/>
      <c r="AE211"/>
    </row>
    <row r="212" spans="7:31" x14ac:dyDescent="0.35">
      <c r="G212" s="39"/>
      <c r="H212" s="37"/>
      <c r="K212"/>
      <c r="M212" s="42"/>
      <c r="N212" s="7"/>
      <c r="O212"/>
      <c r="Q212" s="42"/>
      <c r="R212" s="7"/>
      <c r="S212"/>
      <c r="U212" s="42"/>
      <c r="V212" s="7"/>
      <c r="W212"/>
      <c r="Y212" s="42"/>
      <c r="Z212" s="7"/>
      <c r="AA212"/>
      <c r="AC212" s="42"/>
      <c r="AD212" s="7"/>
      <c r="AE212"/>
    </row>
    <row r="213" spans="7:31" x14ac:dyDescent="0.35">
      <c r="G213" s="39"/>
      <c r="H213" s="37"/>
      <c r="K213"/>
      <c r="M213" s="42"/>
      <c r="N213" s="7"/>
      <c r="O213"/>
      <c r="Q213" s="42"/>
      <c r="R213" s="7"/>
      <c r="S213"/>
      <c r="U213" s="42"/>
      <c r="V213" s="7"/>
      <c r="W213"/>
      <c r="Y213" s="42"/>
      <c r="Z213" s="7"/>
      <c r="AA213"/>
      <c r="AC213" s="42"/>
      <c r="AD213" s="7"/>
      <c r="AE213"/>
    </row>
    <row r="214" spans="7:31" x14ac:dyDescent="0.35">
      <c r="G214" s="39"/>
      <c r="H214" s="37"/>
      <c r="K214"/>
      <c r="M214" s="42"/>
      <c r="N214" s="7"/>
      <c r="O214"/>
      <c r="Q214" s="42"/>
      <c r="R214" s="7"/>
      <c r="S214"/>
      <c r="U214" s="42"/>
      <c r="V214" s="7"/>
      <c r="W214"/>
      <c r="Y214" s="42"/>
      <c r="Z214" s="7"/>
      <c r="AA214"/>
      <c r="AC214" s="42"/>
      <c r="AD214" s="7"/>
      <c r="AE214"/>
    </row>
    <row r="215" spans="7:31" x14ac:dyDescent="0.35">
      <c r="G215" s="39"/>
      <c r="H215" s="37"/>
      <c r="K215"/>
      <c r="M215" s="42"/>
      <c r="N215" s="7"/>
      <c r="O215"/>
      <c r="Q215" s="42"/>
      <c r="R215" s="7"/>
      <c r="S215"/>
      <c r="U215" s="42"/>
      <c r="V215" s="7"/>
      <c r="W215"/>
      <c r="Y215" s="42"/>
      <c r="Z215" s="7"/>
      <c r="AA215"/>
      <c r="AC215" s="42"/>
      <c r="AD215" s="7"/>
      <c r="AE215"/>
    </row>
    <row r="216" spans="7:31" x14ac:dyDescent="0.35">
      <c r="G216" s="39"/>
      <c r="H216" s="37"/>
      <c r="K216"/>
      <c r="M216" s="42"/>
      <c r="N216" s="7"/>
      <c r="O216"/>
      <c r="Q216" s="42"/>
      <c r="R216" s="7"/>
      <c r="S216"/>
      <c r="U216" s="42"/>
      <c r="V216" s="7"/>
      <c r="W216"/>
      <c r="Y216" s="42"/>
      <c r="Z216" s="7"/>
      <c r="AA216"/>
      <c r="AC216" s="42"/>
      <c r="AD216" s="7"/>
      <c r="AE216"/>
    </row>
    <row r="217" spans="7:31" x14ac:dyDescent="0.35">
      <c r="G217" s="39"/>
      <c r="H217" s="37"/>
      <c r="K217"/>
      <c r="M217" s="42"/>
      <c r="N217" s="7"/>
      <c r="O217"/>
      <c r="Q217" s="42"/>
      <c r="R217" s="7"/>
      <c r="S217"/>
      <c r="U217" s="42"/>
      <c r="V217" s="7"/>
      <c r="W217"/>
      <c r="Y217" s="42"/>
      <c r="Z217" s="7"/>
      <c r="AA217"/>
      <c r="AC217" s="42"/>
      <c r="AD217" s="7"/>
      <c r="AE217"/>
    </row>
    <row r="218" spans="7:31" x14ac:dyDescent="0.35">
      <c r="G218" s="39"/>
      <c r="H218" s="37"/>
      <c r="K218"/>
      <c r="M218" s="42"/>
      <c r="N218" s="7"/>
      <c r="O218"/>
      <c r="Q218" s="42"/>
      <c r="R218" s="7"/>
      <c r="S218"/>
      <c r="U218" s="42"/>
      <c r="V218" s="7"/>
      <c r="W218"/>
      <c r="Y218" s="42"/>
      <c r="Z218" s="7"/>
      <c r="AA218"/>
      <c r="AC218" s="42"/>
      <c r="AD218" s="7"/>
      <c r="AE218"/>
    </row>
    <row r="219" spans="7:31" x14ac:dyDescent="0.35">
      <c r="G219" s="39"/>
      <c r="H219" s="37"/>
      <c r="K219"/>
      <c r="M219" s="42"/>
      <c r="N219" s="7"/>
      <c r="O219"/>
      <c r="Q219" s="42"/>
      <c r="R219" s="7"/>
      <c r="S219"/>
      <c r="U219" s="42"/>
      <c r="V219" s="7"/>
      <c r="W219"/>
      <c r="Y219" s="42"/>
      <c r="Z219" s="7"/>
      <c r="AA219"/>
      <c r="AC219" s="42"/>
      <c r="AD219" s="7"/>
      <c r="AE219"/>
    </row>
    <row r="220" spans="7:31" x14ac:dyDescent="0.35">
      <c r="G220" s="39"/>
      <c r="H220" s="37"/>
      <c r="K220"/>
      <c r="M220" s="42"/>
      <c r="N220" s="7"/>
      <c r="O220"/>
      <c r="Q220" s="42"/>
      <c r="R220" s="7"/>
      <c r="S220"/>
      <c r="U220" s="42"/>
      <c r="V220" s="7"/>
      <c r="W220"/>
      <c r="Y220" s="42"/>
      <c r="Z220" s="7"/>
      <c r="AA220"/>
      <c r="AC220" s="42"/>
      <c r="AD220" s="7"/>
      <c r="AE220"/>
    </row>
    <row r="221" spans="7:31" x14ac:dyDescent="0.35">
      <c r="G221" s="39"/>
      <c r="H221" s="37"/>
      <c r="K221"/>
      <c r="M221" s="42"/>
      <c r="N221" s="7"/>
      <c r="O221"/>
      <c r="Q221" s="42"/>
      <c r="R221" s="7"/>
      <c r="S221"/>
      <c r="U221" s="42"/>
      <c r="V221" s="7"/>
      <c r="W221"/>
      <c r="Y221" s="42"/>
      <c r="Z221" s="7"/>
      <c r="AA221"/>
      <c r="AC221" s="42"/>
      <c r="AD221" s="7"/>
      <c r="AE221"/>
    </row>
    <row r="222" spans="7:31" x14ac:dyDescent="0.35">
      <c r="G222" s="39"/>
      <c r="H222" s="37"/>
      <c r="K222"/>
      <c r="M222" s="42"/>
      <c r="N222" s="7"/>
      <c r="O222"/>
      <c r="Q222" s="42"/>
      <c r="R222" s="7"/>
      <c r="S222"/>
      <c r="U222" s="42"/>
      <c r="V222" s="7"/>
      <c r="W222"/>
      <c r="Y222" s="42"/>
      <c r="Z222" s="7"/>
      <c r="AA222"/>
      <c r="AC222" s="42"/>
      <c r="AD222" s="7"/>
      <c r="AE222"/>
    </row>
    <row r="223" spans="7:31" x14ac:dyDescent="0.35">
      <c r="G223" s="39"/>
      <c r="H223" s="37"/>
      <c r="K223"/>
      <c r="M223" s="42"/>
      <c r="N223" s="7"/>
      <c r="O223"/>
      <c r="Q223" s="42"/>
      <c r="R223" s="7"/>
      <c r="S223"/>
      <c r="U223" s="42"/>
      <c r="V223" s="7"/>
      <c r="W223"/>
      <c r="Y223" s="42"/>
      <c r="Z223" s="7"/>
      <c r="AA223"/>
      <c r="AC223" s="42"/>
      <c r="AD223" s="7"/>
      <c r="AE223"/>
    </row>
    <row r="224" spans="7:31" x14ac:dyDescent="0.35">
      <c r="G224" s="39"/>
      <c r="H224" s="37"/>
      <c r="K224"/>
      <c r="M224" s="42"/>
      <c r="N224" s="7"/>
      <c r="O224"/>
      <c r="Q224" s="42"/>
      <c r="R224" s="7"/>
      <c r="S224"/>
      <c r="U224" s="42"/>
      <c r="V224" s="7"/>
      <c r="W224"/>
      <c r="Y224" s="42"/>
      <c r="Z224" s="7"/>
      <c r="AA224"/>
      <c r="AC224" s="42"/>
      <c r="AD224" s="7"/>
      <c r="AE224"/>
    </row>
    <row r="225" spans="7:31" x14ac:dyDescent="0.35">
      <c r="G225" s="39"/>
      <c r="H225" s="37"/>
      <c r="K225"/>
      <c r="M225" s="42"/>
      <c r="N225" s="7"/>
      <c r="O225"/>
      <c r="Q225" s="42"/>
      <c r="R225" s="7"/>
      <c r="S225"/>
      <c r="U225" s="42"/>
      <c r="V225" s="7"/>
      <c r="W225"/>
      <c r="Y225" s="42"/>
      <c r="Z225" s="7"/>
      <c r="AA225"/>
      <c r="AC225" s="42"/>
      <c r="AD225" s="7"/>
      <c r="AE225"/>
    </row>
    <row r="226" spans="7:31" x14ac:dyDescent="0.35">
      <c r="G226" s="39"/>
      <c r="H226" s="37"/>
      <c r="K226"/>
      <c r="M226" s="42"/>
      <c r="N226" s="7"/>
      <c r="O226"/>
      <c r="Q226" s="42"/>
      <c r="R226" s="7"/>
      <c r="S226"/>
      <c r="U226" s="42"/>
      <c r="V226" s="7"/>
      <c r="W226"/>
      <c r="Y226" s="42"/>
      <c r="Z226" s="7"/>
      <c r="AA226"/>
      <c r="AC226" s="42"/>
      <c r="AD226" s="7"/>
      <c r="AE226"/>
    </row>
    <row r="227" spans="7:31" x14ac:dyDescent="0.35">
      <c r="G227" s="39"/>
      <c r="H227" s="37"/>
      <c r="K227"/>
      <c r="M227" s="42"/>
      <c r="N227" s="7"/>
      <c r="O227"/>
      <c r="Q227" s="42"/>
      <c r="R227" s="7"/>
      <c r="S227"/>
      <c r="U227" s="42"/>
      <c r="V227" s="7"/>
      <c r="W227"/>
      <c r="Y227" s="42"/>
      <c r="Z227" s="7"/>
      <c r="AA227"/>
      <c r="AC227" s="42"/>
      <c r="AD227" s="7"/>
      <c r="AE227"/>
    </row>
    <row r="228" spans="7:31" x14ac:dyDescent="0.35">
      <c r="G228" s="39"/>
      <c r="H228" s="37"/>
      <c r="K228"/>
      <c r="M228" s="42"/>
      <c r="N228" s="7"/>
      <c r="O228"/>
      <c r="Q228" s="42"/>
      <c r="R228" s="7"/>
      <c r="S228"/>
      <c r="U228" s="42"/>
      <c r="V228" s="7"/>
      <c r="W228"/>
      <c r="Y228" s="42"/>
      <c r="Z228" s="7"/>
      <c r="AA228"/>
      <c r="AC228" s="42"/>
      <c r="AD228" s="7"/>
      <c r="AE228"/>
    </row>
    <row r="229" spans="7:31" x14ac:dyDescent="0.35">
      <c r="G229" s="39"/>
      <c r="H229" s="37"/>
      <c r="K229"/>
      <c r="M229" s="42"/>
      <c r="N229" s="7"/>
      <c r="O229"/>
      <c r="Q229" s="42"/>
      <c r="R229" s="7"/>
      <c r="S229"/>
      <c r="U229" s="42"/>
      <c r="V229" s="7"/>
      <c r="W229"/>
      <c r="Y229" s="42"/>
      <c r="Z229" s="7"/>
      <c r="AA229"/>
      <c r="AC229" s="42"/>
      <c r="AD229" s="7"/>
      <c r="AE229"/>
    </row>
    <row r="230" spans="7:31" x14ac:dyDescent="0.35">
      <c r="G230" s="39"/>
      <c r="H230" s="37"/>
      <c r="K230"/>
      <c r="M230" s="42"/>
      <c r="N230" s="7"/>
      <c r="O230"/>
      <c r="Q230" s="42"/>
      <c r="R230" s="7"/>
      <c r="S230"/>
      <c r="U230" s="42"/>
      <c r="V230" s="7"/>
      <c r="W230"/>
      <c r="Y230" s="42"/>
      <c r="Z230" s="7"/>
      <c r="AA230"/>
      <c r="AC230" s="42"/>
      <c r="AD230" s="7"/>
      <c r="AE230"/>
    </row>
    <row r="231" spans="7:31" x14ac:dyDescent="0.35">
      <c r="G231" s="39"/>
      <c r="H231" s="37"/>
      <c r="K231"/>
      <c r="M231" s="42"/>
      <c r="N231" s="7"/>
      <c r="O231"/>
      <c r="Q231" s="42"/>
      <c r="R231" s="7"/>
      <c r="S231"/>
      <c r="U231" s="42"/>
      <c r="V231" s="7"/>
      <c r="W231"/>
      <c r="Y231" s="42"/>
      <c r="Z231" s="7"/>
      <c r="AA231"/>
      <c r="AC231" s="42"/>
      <c r="AD231" s="7"/>
      <c r="AE231"/>
    </row>
    <row r="232" spans="7:31" x14ac:dyDescent="0.35">
      <c r="G232" s="39"/>
      <c r="H232" s="37"/>
      <c r="K232"/>
      <c r="M232" s="42"/>
      <c r="N232" s="7"/>
      <c r="O232"/>
      <c r="Q232" s="42"/>
      <c r="R232" s="7"/>
      <c r="S232"/>
      <c r="U232" s="42"/>
      <c r="V232" s="7"/>
      <c r="W232"/>
      <c r="Y232" s="42"/>
      <c r="Z232" s="7"/>
      <c r="AA232"/>
      <c r="AC232" s="42"/>
      <c r="AD232" s="7"/>
      <c r="AE232"/>
    </row>
    <row r="233" spans="7:31" x14ac:dyDescent="0.35">
      <c r="G233" s="39"/>
      <c r="H233" s="37"/>
      <c r="K233"/>
      <c r="M233" s="42"/>
      <c r="N233" s="7"/>
      <c r="O233"/>
      <c r="Q233" s="42"/>
      <c r="R233" s="7"/>
      <c r="S233"/>
      <c r="U233" s="42"/>
      <c r="V233" s="7"/>
      <c r="W233"/>
      <c r="Y233" s="42"/>
      <c r="Z233" s="7"/>
      <c r="AA233"/>
      <c r="AC233" s="42"/>
      <c r="AD233" s="7"/>
      <c r="AE233"/>
    </row>
    <row r="234" spans="7:31" x14ac:dyDescent="0.35">
      <c r="G234" s="39"/>
      <c r="H234" s="37"/>
      <c r="K234"/>
      <c r="M234" s="42"/>
      <c r="N234" s="7"/>
      <c r="O234"/>
      <c r="Q234" s="42"/>
      <c r="R234" s="7"/>
      <c r="S234"/>
      <c r="U234" s="42"/>
      <c r="V234" s="7"/>
      <c r="W234"/>
      <c r="Y234" s="42"/>
      <c r="Z234" s="7"/>
      <c r="AA234"/>
      <c r="AC234" s="42"/>
      <c r="AD234" s="7"/>
      <c r="AE234"/>
    </row>
    <row r="235" spans="7:31" x14ac:dyDescent="0.35">
      <c r="G235" s="39"/>
      <c r="H235" s="37"/>
      <c r="K235"/>
      <c r="M235" s="42"/>
      <c r="N235" s="7"/>
      <c r="O235"/>
      <c r="Q235" s="42"/>
      <c r="R235" s="7"/>
      <c r="S235"/>
      <c r="U235" s="42"/>
      <c r="V235" s="7"/>
      <c r="W235"/>
      <c r="Y235" s="42"/>
      <c r="Z235" s="7"/>
      <c r="AA235"/>
      <c r="AC235" s="42"/>
      <c r="AD235" s="7"/>
      <c r="AE235"/>
    </row>
    <row r="236" spans="7:31" x14ac:dyDescent="0.35">
      <c r="G236" s="39"/>
      <c r="H236" s="37"/>
      <c r="K236"/>
      <c r="M236" s="42"/>
      <c r="N236" s="7"/>
      <c r="O236"/>
      <c r="Q236" s="42"/>
      <c r="R236" s="7"/>
      <c r="S236"/>
      <c r="U236" s="42"/>
      <c r="V236" s="7"/>
      <c r="W236"/>
      <c r="Y236" s="42"/>
      <c r="Z236" s="7"/>
      <c r="AA236"/>
      <c r="AC236" s="42"/>
      <c r="AD236" s="7"/>
      <c r="AE236"/>
    </row>
    <row r="237" spans="7:31" x14ac:dyDescent="0.35">
      <c r="G237" s="39"/>
      <c r="H237" s="37"/>
      <c r="K237"/>
      <c r="M237" s="42"/>
      <c r="N237" s="7"/>
      <c r="O237"/>
      <c r="Q237" s="42"/>
      <c r="R237" s="7"/>
      <c r="S237"/>
      <c r="U237" s="42"/>
      <c r="V237" s="7"/>
      <c r="W237"/>
      <c r="Y237" s="42"/>
      <c r="Z237" s="7"/>
      <c r="AA237"/>
      <c r="AC237" s="42"/>
      <c r="AD237" s="7"/>
      <c r="AE237"/>
    </row>
    <row r="238" spans="7:31" x14ac:dyDescent="0.35">
      <c r="G238" s="39"/>
      <c r="H238" s="37"/>
      <c r="K238"/>
      <c r="M238" s="42"/>
      <c r="N238" s="7"/>
      <c r="O238"/>
      <c r="Q238" s="42"/>
      <c r="R238" s="7"/>
      <c r="S238"/>
      <c r="U238" s="42"/>
      <c r="V238" s="7"/>
      <c r="W238"/>
      <c r="Y238" s="42"/>
      <c r="Z238" s="7"/>
      <c r="AA238"/>
      <c r="AC238" s="42"/>
      <c r="AD238" s="7"/>
      <c r="AE238"/>
    </row>
    <row r="239" spans="7:31" x14ac:dyDescent="0.35">
      <c r="G239" s="39"/>
      <c r="H239" s="37"/>
      <c r="K239"/>
      <c r="M239" s="42"/>
      <c r="N239" s="7"/>
      <c r="O239"/>
      <c r="Q239" s="42"/>
      <c r="R239" s="7"/>
      <c r="S239"/>
      <c r="U239" s="42"/>
      <c r="V239" s="7"/>
      <c r="W239"/>
      <c r="Y239" s="42"/>
      <c r="Z239" s="7"/>
      <c r="AA239"/>
      <c r="AC239" s="42"/>
      <c r="AD239" s="7"/>
      <c r="AE239"/>
    </row>
    <row r="240" spans="7:31" x14ac:dyDescent="0.35">
      <c r="G240" s="39"/>
      <c r="H240" s="37"/>
      <c r="K240"/>
      <c r="M240" s="42"/>
      <c r="N240" s="7"/>
      <c r="O240"/>
      <c r="Q240" s="42"/>
      <c r="R240" s="7"/>
      <c r="S240"/>
      <c r="U240" s="42"/>
      <c r="V240" s="7"/>
      <c r="W240"/>
      <c r="Y240" s="42"/>
      <c r="Z240" s="7"/>
      <c r="AA240"/>
      <c r="AC240" s="42"/>
      <c r="AD240" s="7"/>
      <c r="AE240"/>
    </row>
    <row r="241" spans="7:31" x14ac:dyDescent="0.35">
      <c r="G241" s="39"/>
      <c r="H241" s="37"/>
      <c r="K241"/>
      <c r="M241" s="42"/>
      <c r="N241" s="7"/>
      <c r="O241"/>
      <c r="Q241" s="42"/>
      <c r="R241" s="7"/>
      <c r="S241"/>
      <c r="U241" s="42"/>
      <c r="V241" s="7"/>
      <c r="W241"/>
      <c r="Y241" s="42"/>
      <c r="Z241" s="7"/>
      <c r="AA241"/>
      <c r="AC241" s="42"/>
      <c r="AD241" s="7"/>
      <c r="AE241"/>
    </row>
    <row r="242" spans="7:31" x14ac:dyDescent="0.35">
      <c r="G242" s="39"/>
      <c r="H242" s="37"/>
      <c r="K242"/>
      <c r="M242" s="42"/>
      <c r="N242" s="7"/>
      <c r="O242"/>
      <c r="Q242" s="42"/>
      <c r="R242" s="7"/>
      <c r="S242"/>
      <c r="U242" s="42"/>
      <c r="V242" s="7"/>
      <c r="W242"/>
      <c r="Y242" s="42"/>
      <c r="Z242" s="7"/>
      <c r="AA242"/>
      <c r="AC242" s="42"/>
      <c r="AD242" s="7"/>
      <c r="AE242"/>
    </row>
    <row r="243" spans="7:31" x14ac:dyDescent="0.35">
      <c r="G243" s="39"/>
      <c r="H243" s="37"/>
      <c r="K243"/>
      <c r="M243" s="42"/>
      <c r="N243" s="7"/>
      <c r="O243"/>
      <c r="Q243" s="42"/>
      <c r="R243" s="7"/>
      <c r="S243"/>
      <c r="U243" s="42"/>
      <c r="V243" s="7"/>
      <c r="W243"/>
      <c r="Y243" s="42"/>
      <c r="Z243" s="7"/>
      <c r="AA243"/>
      <c r="AC243" s="42"/>
      <c r="AD243" s="7"/>
      <c r="AE243"/>
    </row>
    <row r="244" spans="7:31" x14ac:dyDescent="0.35">
      <c r="G244" s="39"/>
      <c r="H244" s="37"/>
      <c r="K244"/>
      <c r="M244" s="42"/>
      <c r="N244" s="7"/>
      <c r="O244"/>
      <c r="Q244" s="42"/>
      <c r="R244" s="7"/>
      <c r="S244"/>
      <c r="U244" s="42"/>
      <c r="V244" s="7"/>
      <c r="W244"/>
      <c r="Y244" s="42"/>
      <c r="Z244" s="7"/>
      <c r="AA244"/>
      <c r="AC244" s="42"/>
      <c r="AD244" s="7"/>
      <c r="AE244"/>
    </row>
    <row r="245" spans="7:31" x14ac:dyDescent="0.35">
      <c r="G245" s="39"/>
      <c r="H245" s="37"/>
      <c r="K245"/>
      <c r="M245" s="42"/>
      <c r="N245" s="7"/>
      <c r="O245"/>
      <c r="Q245" s="42"/>
      <c r="R245" s="7"/>
      <c r="S245"/>
      <c r="U245" s="42"/>
      <c r="V245" s="7"/>
      <c r="W245"/>
      <c r="Y245" s="42"/>
      <c r="Z245" s="7"/>
      <c r="AA245"/>
      <c r="AC245" s="42"/>
      <c r="AD245" s="7"/>
      <c r="AE245"/>
    </row>
    <row r="246" spans="7:31" x14ac:dyDescent="0.35">
      <c r="G246" s="39"/>
      <c r="H246" s="37"/>
      <c r="K246"/>
      <c r="M246" s="42"/>
      <c r="N246" s="7"/>
      <c r="O246"/>
      <c r="Q246" s="42"/>
      <c r="R246" s="7"/>
      <c r="S246"/>
      <c r="U246" s="42"/>
      <c r="V246" s="7"/>
      <c r="W246"/>
      <c r="Y246" s="42"/>
      <c r="Z246" s="7"/>
      <c r="AA246"/>
      <c r="AC246" s="42"/>
      <c r="AD246" s="7"/>
      <c r="AE246"/>
    </row>
    <row r="247" spans="7:31" x14ac:dyDescent="0.35">
      <c r="G247" s="39"/>
      <c r="H247" s="37"/>
      <c r="K247"/>
      <c r="M247" s="42"/>
      <c r="N247" s="7"/>
      <c r="O247"/>
      <c r="Q247" s="42"/>
      <c r="R247" s="7"/>
      <c r="S247"/>
      <c r="U247" s="42"/>
      <c r="V247" s="7"/>
      <c r="W247"/>
      <c r="Y247" s="42"/>
      <c r="Z247" s="7"/>
      <c r="AA247"/>
      <c r="AC247" s="42"/>
      <c r="AD247" s="7"/>
      <c r="AE247"/>
    </row>
    <row r="248" spans="7:31" x14ac:dyDescent="0.35">
      <c r="G248" s="39"/>
      <c r="H248" s="37"/>
      <c r="K248"/>
      <c r="M248" s="42"/>
      <c r="N248" s="7"/>
      <c r="O248"/>
      <c r="Q248" s="42"/>
      <c r="R248" s="7"/>
      <c r="S248"/>
      <c r="U248" s="42"/>
      <c r="V248" s="7"/>
      <c r="W248"/>
      <c r="Y248" s="42"/>
      <c r="Z248" s="7"/>
      <c r="AA248"/>
      <c r="AC248" s="42"/>
      <c r="AD248" s="7"/>
      <c r="AE248"/>
    </row>
    <row r="249" spans="7:31" x14ac:dyDescent="0.35">
      <c r="G249" s="39"/>
      <c r="H249" s="37"/>
      <c r="K249"/>
      <c r="M249" s="42"/>
      <c r="N249" s="7"/>
      <c r="O249"/>
      <c r="Q249" s="42"/>
      <c r="R249" s="7"/>
      <c r="S249"/>
      <c r="U249" s="42"/>
      <c r="V249" s="7"/>
      <c r="W249"/>
      <c r="Y249" s="42"/>
      <c r="Z249" s="7"/>
      <c r="AA249"/>
      <c r="AC249" s="42"/>
      <c r="AD249" s="7"/>
      <c r="AE249"/>
    </row>
    <row r="250" spans="7:31" x14ac:dyDescent="0.35">
      <c r="G250" s="39"/>
      <c r="H250" s="37"/>
      <c r="K250"/>
      <c r="M250" s="42"/>
      <c r="N250" s="7"/>
      <c r="O250"/>
      <c r="Q250" s="42"/>
      <c r="R250" s="7"/>
      <c r="S250"/>
      <c r="U250" s="42"/>
      <c r="V250" s="7"/>
      <c r="W250"/>
      <c r="Y250" s="42"/>
      <c r="Z250" s="7"/>
      <c r="AA250"/>
      <c r="AC250" s="42"/>
      <c r="AD250" s="7"/>
      <c r="AE250"/>
    </row>
    <row r="251" spans="7:31" x14ac:dyDescent="0.35">
      <c r="G251" s="39"/>
      <c r="H251" s="37"/>
      <c r="K251"/>
      <c r="M251" s="42"/>
      <c r="N251" s="7"/>
      <c r="O251"/>
      <c r="Q251" s="42"/>
      <c r="R251" s="7"/>
      <c r="S251"/>
      <c r="U251" s="42"/>
      <c r="V251" s="7"/>
      <c r="W251"/>
      <c r="Y251" s="42"/>
      <c r="Z251" s="7"/>
      <c r="AA251"/>
      <c r="AC251" s="42"/>
      <c r="AD251" s="7"/>
      <c r="AE251"/>
    </row>
    <row r="252" spans="7:31" x14ac:dyDescent="0.35">
      <c r="G252" s="39"/>
      <c r="H252" s="37"/>
      <c r="K252"/>
      <c r="M252" s="42"/>
      <c r="N252" s="7"/>
      <c r="O252"/>
      <c r="Q252" s="42"/>
      <c r="R252" s="7"/>
      <c r="S252"/>
      <c r="U252" s="42"/>
      <c r="V252" s="7"/>
      <c r="W252"/>
      <c r="Y252" s="42"/>
      <c r="Z252" s="7"/>
      <c r="AA252"/>
      <c r="AC252" s="42"/>
      <c r="AD252" s="7"/>
      <c r="AE252"/>
    </row>
    <row r="253" spans="7:31" x14ac:dyDescent="0.35">
      <c r="G253" s="39"/>
      <c r="H253" s="37"/>
      <c r="K253"/>
      <c r="M253" s="42"/>
      <c r="N253" s="7"/>
      <c r="O253"/>
      <c r="Q253" s="42"/>
      <c r="R253" s="7"/>
      <c r="S253"/>
      <c r="U253" s="42"/>
      <c r="V253" s="7"/>
      <c r="W253"/>
      <c r="Y253" s="42"/>
      <c r="Z253" s="7"/>
      <c r="AA253"/>
      <c r="AC253" s="42"/>
      <c r="AD253" s="7"/>
      <c r="AE253"/>
    </row>
    <row r="254" spans="7:31" x14ac:dyDescent="0.35">
      <c r="G254" s="39"/>
      <c r="H254" s="37"/>
      <c r="K254"/>
      <c r="M254" s="42"/>
      <c r="N254" s="7"/>
      <c r="O254"/>
      <c r="Q254" s="42"/>
      <c r="R254" s="7"/>
      <c r="S254"/>
      <c r="U254" s="42"/>
      <c r="V254" s="7"/>
      <c r="W254"/>
      <c r="Y254" s="42"/>
      <c r="Z254" s="7"/>
      <c r="AA254"/>
      <c r="AC254" s="42"/>
      <c r="AD254" s="7"/>
      <c r="AE254"/>
    </row>
    <row r="255" spans="7:31" x14ac:dyDescent="0.35">
      <c r="G255" s="39"/>
      <c r="H255" s="37"/>
      <c r="K255"/>
      <c r="M255" s="42"/>
      <c r="N255" s="7"/>
      <c r="O255"/>
      <c r="Q255" s="42"/>
      <c r="R255" s="7"/>
      <c r="S255"/>
      <c r="U255" s="42"/>
      <c r="V255" s="7"/>
      <c r="W255"/>
      <c r="Y255" s="42"/>
      <c r="Z255" s="7"/>
      <c r="AA255"/>
      <c r="AC255" s="42"/>
      <c r="AD255" s="7"/>
      <c r="AE255"/>
    </row>
    <row r="256" spans="7:31" x14ac:dyDescent="0.35">
      <c r="G256" s="39"/>
      <c r="H256" s="37"/>
      <c r="K256"/>
      <c r="M256" s="42"/>
      <c r="N256" s="7"/>
      <c r="O256"/>
      <c r="Q256" s="42"/>
      <c r="R256" s="7"/>
      <c r="S256"/>
      <c r="U256" s="42"/>
      <c r="V256" s="7"/>
      <c r="W256"/>
      <c r="Y256" s="42"/>
      <c r="Z256" s="7"/>
      <c r="AA256"/>
      <c r="AC256" s="42"/>
      <c r="AD256" s="7"/>
      <c r="AE256"/>
    </row>
    <row r="257" spans="7:31" x14ac:dyDescent="0.35">
      <c r="G257" s="39"/>
      <c r="H257" s="37"/>
      <c r="K257"/>
      <c r="M257" s="42"/>
      <c r="N257" s="7"/>
      <c r="O257"/>
      <c r="Q257" s="42"/>
      <c r="R257" s="7"/>
      <c r="S257"/>
      <c r="U257" s="42"/>
      <c r="V257" s="7"/>
      <c r="W257"/>
      <c r="Y257" s="42"/>
      <c r="Z257" s="7"/>
      <c r="AA257"/>
      <c r="AC257" s="42"/>
      <c r="AD257" s="7"/>
      <c r="AE257"/>
    </row>
    <row r="258" spans="7:31" x14ac:dyDescent="0.35">
      <c r="G258" s="39"/>
      <c r="H258" s="37"/>
      <c r="K258"/>
      <c r="M258" s="42"/>
      <c r="N258" s="7"/>
      <c r="O258"/>
      <c r="Q258" s="42"/>
      <c r="R258" s="7"/>
      <c r="S258"/>
      <c r="U258" s="42"/>
      <c r="V258" s="7"/>
      <c r="W258"/>
      <c r="Y258" s="42"/>
      <c r="Z258" s="7"/>
      <c r="AA258"/>
      <c r="AC258" s="42"/>
      <c r="AD258" s="7"/>
      <c r="AE258"/>
    </row>
    <row r="259" spans="7:31" x14ac:dyDescent="0.35">
      <c r="G259" s="39"/>
      <c r="H259" s="37"/>
      <c r="K259"/>
      <c r="M259" s="42"/>
      <c r="N259" s="7"/>
      <c r="O259"/>
      <c r="Q259" s="42"/>
      <c r="R259" s="7"/>
      <c r="S259"/>
      <c r="U259" s="42"/>
      <c r="V259" s="7"/>
      <c r="W259"/>
      <c r="Y259" s="42"/>
      <c r="Z259" s="7"/>
      <c r="AA259"/>
      <c r="AC259" s="42"/>
      <c r="AD259" s="7"/>
      <c r="AE259"/>
    </row>
    <row r="260" spans="7:31" x14ac:dyDescent="0.35">
      <c r="G260" s="39"/>
      <c r="H260" s="37"/>
      <c r="K260"/>
      <c r="M260" s="42"/>
      <c r="N260" s="7"/>
      <c r="O260"/>
      <c r="Q260" s="42"/>
      <c r="R260" s="7"/>
      <c r="S260"/>
      <c r="U260" s="42"/>
      <c r="V260" s="7"/>
      <c r="W260"/>
      <c r="Y260" s="42"/>
      <c r="Z260" s="7"/>
      <c r="AA260"/>
      <c r="AC260" s="42"/>
      <c r="AD260" s="7"/>
      <c r="AE260"/>
    </row>
    <row r="261" spans="7:31" x14ac:dyDescent="0.35">
      <c r="G261" s="39"/>
      <c r="H261" s="37"/>
      <c r="K261"/>
      <c r="M261" s="42"/>
      <c r="N261" s="7"/>
      <c r="O261"/>
      <c r="Q261" s="42"/>
      <c r="R261" s="7"/>
      <c r="S261"/>
      <c r="U261" s="42"/>
      <c r="V261" s="7"/>
      <c r="W261"/>
      <c r="Y261" s="42"/>
      <c r="Z261" s="7"/>
      <c r="AA261"/>
      <c r="AC261" s="42"/>
      <c r="AD261" s="7"/>
      <c r="AE261"/>
    </row>
    <row r="262" spans="7:31" x14ac:dyDescent="0.35">
      <c r="G262" s="39"/>
      <c r="H262" s="37"/>
      <c r="K262"/>
      <c r="M262" s="42"/>
      <c r="N262" s="7"/>
      <c r="O262"/>
      <c r="Q262" s="42"/>
      <c r="R262" s="7"/>
      <c r="S262"/>
      <c r="U262" s="42"/>
      <c r="V262" s="7"/>
      <c r="W262"/>
      <c r="Y262" s="42"/>
      <c r="Z262" s="7"/>
      <c r="AA262"/>
      <c r="AC262" s="42"/>
      <c r="AD262" s="7"/>
      <c r="AE262"/>
    </row>
    <row r="263" spans="7:31" x14ac:dyDescent="0.35">
      <c r="G263" s="39"/>
      <c r="H263" s="37"/>
      <c r="K263"/>
      <c r="M263" s="42"/>
      <c r="N263" s="7"/>
      <c r="O263"/>
      <c r="Q263" s="42"/>
      <c r="R263" s="7"/>
      <c r="S263"/>
      <c r="U263" s="42"/>
      <c r="V263" s="7"/>
      <c r="W263"/>
      <c r="Y263" s="42"/>
      <c r="Z263" s="7"/>
      <c r="AA263"/>
      <c r="AC263" s="42"/>
      <c r="AD263" s="7"/>
      <c r="AE263"/>
    </row>
    <row r="264" spans="7:31" x14ac:dyDescent="0.35">
      <c r="G264" s="39"/>
      <c r="H264" s="37"/>
      <c r="K264"/>
      <c r="M264" s="42"/>
      <c r="N264" s="7"/>
      <c r="O264"/>
      <c r="Q264" s="42"/>
      <c r="R264" s="7"/>
      <c r="S264"/>
      <c r="U264" s="42"/>
      <c r="V264" s="7"/>
      <c r="W264"/>
      <c r="Y264" s="42"/>
      <c r="Z264" s="7"/>
      <c r="AA264"/>
      <c r="AC264" s="42"/>
      <c r="AD264" s="7"/>
      <c r="AE264"/>
    </row>
    <row r="265" spans="7:31" x14ac:dyDescent="0.35">
      <c r="G265" s="39"/>
      <c r="H265" s="37"/>
      <c r="K265"/>
      <c r="M265" s="42"/>
      <c r="N265" s="7"/>
      <c r="O265"/>
      <c r="Q265" s="42"/>
      <c r="R265" s="7"/>
      <c r="S265"/>
      <c r="U265" s="42"/>
      <c r="V265" s="7"/>
      <c r="W265"/>
      <c r="Y265" s="42"/>
      <c r="Z265" s="7"/>
      <c r="AA265"/>
      <c r="AC265" s="42"/>
      <c r="AD265" s="7"/>
      <c r="AE265"/>
    </row>
    <row r="266" spans="7:31" x14ac:dyDescent="0.35">
      <c r="G266" s="39"/>
      <c r="H266" s="37"/>
      <c r="K266"/>
      <c r="M266" s="42"/>
      <c r="N266" s="7"/>
      <c r="O266"/>
      <c r="Q266" s="42"/>
      <c r="R266" s="7"/>
      <c r="S266"/>
      <c r="U266" s="42"/>
      <c r="V266" s="7"/>
      <c r="W266"/>
      <c r="Y266" s="42"/>
      <c r="Z266" s="7"/>
      <c r="AA266"/>
      <c r="AC266" s="42"/>
      <c r="AD266" s="7"/>
      <c r="AE266"/>
    </row>
    <row r="267" spans="7:31" x14ac:dyDescent="0.35">
      <c r="G267" s="39"/>
      <c r="H267" s="37"/>
      <c r="K267"/>
      <c r="M267" s="42"/>
      <c r="N267" s="7"/>
      <c r="O267"/>
      <c r="Q267" s="42"/>
      <c r="R267" s="7"/>
      <c r="S267"/>
      <c r="U267" s="42"/>
      <c r="V267" s="7"/>
      <c r="W267"/>
      <c r="Y267" s="42"/>
      <c r="Z267" s="7"/>
      <c r="AA267"/>
      <c r="AC267" s="42"/>
      <c r="AD267" s="7"/>
      <c r="AE267"/>
    </row>
    <row r="268" spans="7:31" x14ac:dyDescent="0.35">
      <c r="G268" s="39"/>
      <c r="H268" s="37"/>
      <c r="K268"/>
      <c r="M268" s="42"/>
      <c r="N268" s="7"/>
      <c r="O268"/>
      <c r="Q268" s="42"/>
      <c r="R268" s="7"/>
      <c r="S268"/>
      <c r="U268" s="42"/>
      <c r="V268" s="7"/>
      <c r="W268"/>
      <c r="Y268" s="42"/>
      <c r="Z268" s="7"/>
      <c r="AA268"/>
      <c r="AC268" s="42"/>
      <c r="AD268" s="7"/>
      <c r="AE268"/>
    </row>
    <row r="269" spans="7:31" x14ac:dyDescent="0.35">
      <c r="G269" s="39"/>
      <c r="H269" s="37"/>
      <c r="K269"/>
      <c r="M269" s="42"/>
      <c r="N269" s="7"/>
      <c r="O269"/>
      <c r="Q269" s="42"/>
      <c r="R269" s="7"/>
      <c r="S269"/>
      <c r="U269" s="42"/>
      <c r="V269" s="7"/>
      <c r="W269"/>
      <c r="Y269" s="42"/>
      <c r="Z269" s="7"/>
      <c r="AA269"/>
      <c r="AC269" s="42"/>
      <c r="AD269" s="7"/>
      <c r="AE269"/>
    </row>
    <row r="270" spans="7:31" x14ac:dyDescent="0.35">
      <c r="G270" s="39"/>
      <c r="H270" s="37"/>
      <c r="K270"/>
      <c r="M270" s="42"/>
      <c r="N270" s="7"/>
      <c r="O270"/>
      <c r="Q270" s="42"/>
      <c r="R270" s="7"/>
      <c r="S270"/>
      <c r="U270" s="42"/>
      <c r="V270" s="7"/>
      <c r="W270"/>
      <c r="Y270" s="42"/>
      <c r="Z270" s="7"/>
      <c r="AA270"/>
      <c r="AC270" s="42"/>
      <c r="AD270" s="7"/>
      <c r="AE270"/>
    </row>
    <row r="271" spans="7:31" x14ac:dyDescent="0.35">
      <c r="G271" s="39"/>
      <c r="H271" s="37"/>
      <c r="K271"/>
      <c r="M271" s="42"/>
      <c r="N271" s="7"/>
      <c r="O271"/>
      <c r="Q271" s="42"/>
      <c r="R271" s="7"/>
      <c r="S271"/>
      <c r="U271" s="42"/>
      <c r="V271" s="7"/>
      <c r="W271"/>
      <c r="Y271" s="42"/>
      <c r="Z271" s="7"/>
      <c r="AA271"/>
      <c r="AC271" s="42"/>
      <c r="AD271" s="7"/>
      <c r="AE271"/>
    </row>
    <row r="272" spans="7:31" x14ac:dyDescent="0.35">
      <c r="G272" s="39"/>
      <c r="H272" s="37"/>
      <c r="K272"/>
      <c r="M272" s="42"/>
      <c r="N272" s="7"/>
      <c r="O272"/>
      <c r="Q272" s="42"/>
      <c r="R272" s="7"/>
      <c r="S272"/>
      <c r="U272" s="42"/>
      <c r="V272" s="7"/>
      <c r="W272"/>
      <c r="Y272" s="42"/>
      <c r="Z272" s="7"/>
      <c r="AA272"/>
      <c r="AC272" s="42"/>
      <c r="AD272" s="7"/>
      <c r="AE272"/>
    </row>
    <row r="273" spans="7:31" x14ac:dyDescent="0.35">
      <c r="G273" s="39"/>
      <c r="H273" s="37"/>
      <c r="K273"/>
      <c r="M273" s="42"/>
      <c r="N273" s="7"/>
      <c r="O273"/>
      <c r="Q273" s="42"/>
      <c r="R273" s="7"/>
      <c r="S273"/>
      <c r="U273" s="42"/>
      <c r="V273" s="7"/>
      <c r="W273"/>
      <c r="Y273" s="42"/>
      <c r="Z273" s="7"/>
      <c r="AA273"/>
      <c r="AC273" s="42"/>
      <c r="AD273" s="7"/>
      <c r="AE273"/>
    </row>
    <row r="274" spans="7:31" x14ac:dyDescent="0.35">
      <c r="G274" s="39"/>
      <c r="H274" s="37"/>
      <c r="K274"/>
      <c r="M274" s="42"/>
      <c r="N274" s="7"/>
      <c r="O274"/>
      <c r="Q274" s="42"/>
      <c r="R274" s="7"/>
      <c r="S274"/>
      <c r="U274" s="42"/>
      <c r="V274" s="7"/>
      <c r="W274"/>
      <c r="Y274" s="42"/>
      <c r="Z274" s="7"/>
      <c r="AA274"/>
      <c r="AC274" s="42"/>
      <c r="AD274" s="7"/>
      <c r="AE274"/>
    </row>
    <row r="275" spans="7:31" x14ac:dyDescent="0.35">
      <c r="G275" s="39"/>
      <c r="H275" s="37"/>
      <c r="K275"/>
      <c r="M275" s="42"/>
      <c r="N275" s="7"/>
      <c r="O275"/>
      <c r="Q275" s="42"/>
      <c r="R275" s="7"/>
      <c r="S275"/>
      <c r="U275" s="42"/>
      <c r="V275" s="7"/>
      <c r="W275"/>
      <c r="Y275" s="42"/>
      <c r="Z275" s="7"/>
      <c r="AA275"/>
      <c r="AC275" s="42"/>
      <c r="AD275" s="7"/>
      <c r="AE275"/>
    </row>
    <row r="276" spans="7:31" x14ac:dyDescent="0.35">
      <c r="G276" s="39"/>
      <c r="H276" s="37"/>
      <c r="K276"/>
      <c r="M276" s="42"/>
      <c r="N276" s="7"/>
      <c r="O276"/>
      <c r="Q276" s="42"/>
      <c r="R276" s="7"/>
      <c r="S276"/>
      <c r="U276" s="42"/>
      <c r="V276" s="7"/>
      <c r="W276"/>
      <c r="Y276" s="42"/>
      <c r="Z276" s="7"/>
      <c r="AA276"/>
      <c r="AC276" s="42"/>
      <c r="AD276" s="7"/>
      <c r="AE276"/>
    </row>
    <row r="277" spans="7:31" x14ac:dyDescent="0.35">
      <c r="G277" s="39"/>
      <c r="H277" s="37"/>
      <c r="K277"/>
      <c r="M277" s="42"/>
      <c r="N277" s="7"/>
      <c r="O277"/>
      <c r="Q277" s="42"/>
      <c r="R277" s="7"/>
      <c r="S277"/>
      <c r="U277" s="42"/>
      <c r="V277" s="7"/>
      <c r="W277"/>
      <c r="Y277" s="42"/>
      <c r="Z277" s="7"/>
      <c r="AA277"/>
      <c r="AC277" s="42"/>
      <c r="AD277" s="7"/>
      <c r="AE277"/>
    </row>
    <row r="278" spans="7:31" x14ac:dyDescent="0.35">
      <c r="G278" s="39"/>
      <c r="H278" s="37"/>
      <c r="K278"/>
      <c r="M278" s="42"/>
      <c r="N278" s="7"/>
      <c r="O278"/>
      <c r="Q278" s="42"/>
      <c r="R278" s="7"/>
      <c r="S278"/>
      <c r="U278" s="42"/>
      <c r="V278" s="7"/>
      <c r="W278"/>
      <c r="Y278" s="42"/>
      <c r="Z278" s="7"/>
      <c r="AA278"/>
      <c r="AC278" s="42"/>
      <c r="AD278" s="7"/>
      <c r="AE278"/>
    </row>
    <row r="279" spans="7:31" x14ac:dyDescent="0.35">
      <c r="G279" s="39"/>
      <c r="H279" s="37"/>
      <c r="K279"/>
      <c r="M279" s="42"/>
      <c r="N279" s="7"/>
      <c r="O279"/>
      <c r="Q279" s="42"/>
      <c r="R279" s="7"/>
      <c r="S279"/>
      <c r="U279" s="42"/>
      <c r="V279" s="7"/>
      <c r="W279"/>
      <c r="Y279" s="42"/>
      <c r="Z279" s="7"/>
      <c r="AA279"/>
      <c r="AC279" s="42"/>
      <c r="AD279" s="7"/>
      <c r="AE279"/>
    </row>
    <row r="280" spans="7:31" x14ac:dyDescent="0.35">
      <c r="G280" s="39"/>
      <c r="H280" s="37"/>
      <c r="K280"/>
      <c r="M280" s="42"/>
      <c r="N280" s="7"/>
      <c r="O280"/>
      <c r="Q280" s="42"/>
      <c r="R280" s="7"/>
      <c r="S280"/>
      <c r="U280" s="42"/>
      <c r="V280" s="7"/>
      <c r="W280"/>
      <c r="Y280" s="42"/>
      <c r="Z280" s="7"/>
      <c r="AA280"/>
      <c r="AC280" s="42"/>
      <c r="AD280" s="7"/>
      <c r="AE280"/>
    </row>
    <row r="281" spans="7:31" x14ac:dyDescent="0.35">
      <c r="G281" s="39"/>
      <c r="H281" s="37"/>
      <c r="K281"/>
      <c r="M281" s="42"/>
      <c r="N281" s="7"/>
      <c r="O281"/>
      <c r="Q281" s="42"/>
      <c r="R281" s="7"/>
      <c r="S281"/>
      <c r="U281" s="42"/>
      <c r="V281" s="7"/>
      <c r="W281"/>
      <c r="Y281" s="42"/>
      <c r="Z281" s="7"/>
      <c r="AA281"/>
      <c r="AC281" s="42"/>
      <c r="AD281" s="7"/>
      <c r="AE281"/>
    </row>
    <row r="282" spans="7:31" x14ac:dyDescent="0.35">
      <c r="G282" s="39"/>
      <c r="H282" s="37"/>
      <c r="K282"/>
      <c r="M282" s="42"/>
      <c r="N282" s="7"/>
      <c r="O282"/>
      <c r="Q282" s="42"/>
      <c r="R282" s="7"/>
      <c r="S282"/>
      <c r="U282" s="42"/>
      <c r="V282" s="7"/>
      <c r="W282"/>
      <c r="Y282" s="42"/>
      <c r="Z282" s="7"/>
      <c r="AA282"/>
      <c r="AC282" s="42"/>
      <c r="AD282" s="7"/>
      <c r="AE282"/>
    </row>
    <row r="283" spans="7:31" x14ac:dyDescent="0.35">
      <c r="G283" s="39"/>
      <c r="H283" s="37"/>
      <c r="K283"/>
      <c r="M283" s="42"/>
      <c r="N283" s="7"/>
      <c r="O283"/>
      <c r="Q283" s="42"/>
      <c r="R283" s="7"/>
      <c r="S283"/>
      <c r="U283" s="42"/>
      <c r="V283" s="7"/>
      <c r="W283"/>
      <c r="Y283" s="42"/>
      <c r="Z283" s="7"/>
      <c r="AA283"/>
      <c r="AC283" s="42"/>
      <c r="AD283" s="7"/>
      <c r="AE283"/>
    </row>
    <row r="284" spans="7:31" x14ac:dyDescent="0.35">
      <c r="G284" s="39"/>
      <c r="H284" s="37"/>
      <c r="K284"/>
      <c r="M284" s="42"/>
      <c r="N284" s="7"/>
      <c r="O284"/>
      <c r="Q284" s="42"/>
      <c r="R284" s="7"/>
      <c r="S284"/>
      <c r="U284" s="42"/>
      <c r="V284" s="7"/>
      <c r="W284"/>
      <c r="Y284" s="42"/>
      <c r="Z284" s="7"/>
      <c r="AA284"/>
      <c r="AC284" s="42"/>
      <c r="AD284" s="7"/>
      <c r="AE284"/>
    </row>
    <row r="285" spans="7:31" x14ac:dyDescent="0.35">
      <c r="G285" s="39"/>
      <c r="H285" s="37"/>
      <c r="K285"/>
      <c r="M285" s="42"/>
      <c r="N285" s="7"/>
      <c r="O285"/>
      <c r="Q285" s="42"/>
      <c r="R285" s="7"/>
      <c r="S285"/>
      <c r="U285" s="42"/>
      <c r="V285" s="7"/>
      <c r="W285"/>
      <c r="Y285" s="42"/>
      <c r="Z285" s="7"/>
      <c r="AA285"/>
      <c r="AC285" s="42"/>
      <c r="AD285" s="7"/>
      <c r="AE285"/>
    </row>
    <row r="286" spans="7:31" x14ac:dyDescent="0.35">
      <c r="G286" s="39"/>
      <c r="H286" s="37"/>
      <c r="K286"/>
      <c r="M286" s="42"/>
      <c r="N286" s="7"/>
      <c r="O286"/>
      <c r="Q286" s="42"/>
      <c r="R286" s="7"/>
      <c r="S286"/>
      <c r="U286" s="42"/>
      <c r="V286" s="7"/>
      <c r="W286"/>
      <c r="Y286" s="42"/>
      <c r="Z286" s="7"/>
      <c r="AA286"/>
      <c r="AC286" s="42"/>
      <c r="AD286" s="7"/>
      <c r="AE286"/>
    </row>
    <row r="287" spans="7:31" x14ac:dyDescent="0.35">
      <c r="G287" s="39"/>
      <c r="H287" s="37"/>
      <c r="K287"/>
      <c r="M287" s="42"/>
      <c r="N287" s="7"/>
      <c r="O287"/>
      <c r="Q287" s="42"/>
      <c r="R287" s="7"/>
      <c r="S287"/>
      <c r="U287" s="42"/>
      <c r="V287" s="7"/>
      <c r="W287"/>
      <c r="Y287" s="42"/>
      <c r="Z287" s="7"/>
      <c r="AA287"/>
      <c r="AC287" s="42"/>
      <c r="AD287" s="7"/>
      <c r="AE287"/>
    </row>
    <row r="288" spans="7:31" x14ac:dyDescent="0.35">
      <c r="G288" s="39"/>
      <c r="H288" s="37"/>
      <c r="K288"/>
      <c r="M288" s="42"/>
      <c r="N288" s="7"/>
      <c r="O288"/>
      <c r="Q288" s="42"/>
      <c r="R288" s="7"/>
      <c r="S288"/>
      <c r="U288" s="42"/>
      <c r="V288" s="7"/>
      <c r="W288"/>
      <c r="Y288" s="42"/>
      <c r="Z288" s="7"/>
      <c r="AA288"/>
      <c r="AC288" s="42"/>
      <c r="AD288" s="7"/>
      <c r="AE288"/>
    </row>
    <row r="289" spans="7:31" x14ac:dyDescent="0.35">
      <c r="G289" s="39"/>
      <c r="H289" s="37"/>
      <c r="K289"/>
      <c r="M289" s="42"/>
      <c r="N289" s="7"/>
      <c r="O289"/>
      <c r="Q289" s="42"/>
      <c r="R289" s="7"/>
      <c r="S289"/>
      <c r="U289" s="42"/>
      <c r="V289" s="7"/>
      <c r="W289"/>
      <c r="Y289" s="42"/>
      <c r="Z289" s="7"/>
      <c r="AA289"/>
      <c r="AC289" s="42"/>
      <c r="AD289" s="7"/>
      <c r="AE289"/>
    </row>
    <row r="290" spans="7:31" x14ac:dyDescent="0.35">
      <c r="G290" s="39"/>
      <c r="H290" s="37"/>
      <c r="K290"/>
      <c r="M290" s="42"/>
      <c r="N290" s="7"/>
      <c r="O290"/>
      <c r="Q290" s="42"/>
      <c r="R290" s="7"/>
      <c r="S290"/>
      <c r="U290" s="42"/>
      <c r="V290" s="7"/>
      <c r="W290"/>
      <c r="Y290" s="42"/>
      <c r="Z290" s="7"/>
      <c r="AA290"/>
      <c r="AC290" s="42"/>
      <c r="AD290" s="7"/>
      <c r="AE290"/>
    </row>
    <row r="291" spans="7:31" x14ac:dyDescent="0.35">
      <c r="G291" s="39"/>
      <c r="H291" s="37"/>
      <c r="K291"/>
      <c r="M291" s="42"/>
      <c r="N291" s="7"/>
      <c r="O291"/>
      <c r="Q291" s="42"/>
      <c r="R291" s="7"/>
      <c r="S291"/>
      <c r="U291" s="42"/>
      <c r="V291" s="7"/>
      <c r="W291"/>
      <c r="Y291" s="42"/>
      <c r="Z291" s="7"/>
      <c r="AA291"/>
      <c r="AC291" s="42"/>
      <c r="AD291" s="7"/>
      <c r="AE291"/>
    </row>
    <row r="292" spans="7:31" x14ac:dyDescent="0.35">
      <c r="G292" s="39"/>
      <c r="H292" s="37"/>
      <c r="K292"/>
      <c r="M292" s="42"/>
      <c r="N292" s="7"/>
      <c r="O292"/>
      <c r="Q292" s="42"/>
      <c r="R292" s="7"/>
      <c r="S292"/>
      <c r="U292" s="42"/>
      <c r="V292" s="7"/>
      <c r="W292"/>
      <c r="Y292" s="42"/>
      <c r="Z292" s="7"/>
      <c r="AA292"/>
      <c r="AC292" s="42"/>
      <c r="AD292" s="7"/>
      <c r="AE292"/>
    </row>
    <row r="293" spans="7:31" x14ac:dyDescent="0.35">
      <c r="G293" s="39"/>
      <c r="H293" s="37"/>
      <c r="K293"/>
      <c r="M293" s="42"/>
      <c r="N293" s="7"/>
      <c r="O293"/>
      <c r="Q293" s="42"/>
      <c r="R293" s="7"/>
      <c r="S293"/>
      <c r="U293" s="42"/>
      <c r="V293" s="7"/>
      <c r="W293"/>
      <c r="Y293" s="42"/>
      <c r="Z293" s="7"/>
      <c r="AA293"/>
      <c r="AC293" s="42"/>
      <c r="AD293" s="7"/>
      <c r="AE293"/>
    </row>
    <row r="294" spans="7:31" x14ac:dyDescent="0.35">
      <c r="G294" s="39"/>
      <c r="H294" s="37"/>
      <c r="K294"/>
      <c r="M294" s="42"/>
      <c r="N294" s="7"/>
      <c r="O294"/>
      <c r="Q294" s="42"/>
      <c r="R294" s="7"/>
      <c r="S294"/>
      <c r="U294" s="42"/>
      <c r="V294" s="7"/>
      <c r="W294"/>
      <c r="Y294" s="42"/>
      <c r="Z294" s="7"/>
      <c r="AA294"/>
      <c r="AC294" s="42"/>
      <c r="AD294" s="7"/>
      <c r="AE294"/>
    </row>
    <row r="295" spans="7:31" x14ac:dyDescent="0.35">
      <c r="G295" s="39"/>
      <c r="H295" s="37"/>
      <c r="K295"/>
      <c r="M295" s="42"/>
      <c r="N295" s="7"/>
      <c r="O295"/>
      <c r="Q295" s="42"/>
      <c r="R295" s="7"/>
      <c r="S295"/>
      <c r="U295" s="42"/>
      <c r="V295" s="7"/>
      <c r="W295"/>
      <c r="Y295" s="42"/>
      <c r="Z295" s="7"/>
      <c r="AA295"/>
      <c r="AC295" s="42"/>
      <c r="AD295" s="7"/>
      <c r="AE295"/>
    </row>
    <row r="296" spans="7:31" x14ac:dyDescent="0.35">
      <c r="G296" s="39"/>
      <c r="H296" s="37"/>
      <c r="K296"/>
      <c r="M296" s="42"/>
      <c r="N296" s="7"/>
      <c r="O296"/>
      <c r="Q296" s="42"/>
      <c r="R296" s="7"/>
      <c r="S296"/>
      <c r="U296" s="42"/>
      <c r="V296" s="7"/>
      <c r="W296"/>
      <c r="Y296" s="42"/>
      <c r="Z296" s="7"/>
      <c r="AA296"/>
      <c r="AC296" s="42"/>
      <c r="AD296" s="7"/>
      <c r="AE296"/>
    </row>
    <row r="297" spans="7:31" x14ac:dyDescent="0.35">
      <c r="G297" s="39"/>
      <c r="H297" s="37"/>
      <c r="K297"/>
      <c r="M297" s="42"/>
      <c r="N297" s="7"/>
      <c r="O297"/>
      <c r="Q297" s="42"/>
      <c r="R297" s="7"/>
      <c r="S297"/>
      <c r="U297" s="42"/>
      <c r="V297" s="7"/>
      <c r="W297"/>
      <c r="Y297" s="42"/>
      <c r="Z297" s="7"/>
      <c r="AA297"/>
      <c r="AC297" s="42"/>
      <c r="AD297" s="7"/>
      <c r="AE297"/>
    </row>
    <row r="298" spans="7:31" x14ac:dyDescent="0.35">
      <c r="G298" s="39"/>
      <c r="H298" s="37"/>
      <c r="K298"/>
      <c r="M298" s="42"/>
      <c r="N298" s="7"/>
      <c r="O298"/>
      <c r="Q298" s="42"/>
      <c r="R298" s="7"/>
      <c r="S298"/>
      <c r="U298" s="42"/>
      <c r="V298" s="7"/>
      <c r="W298"/>
      <c r="Y298" s="42"/>
      <c r="Z298" s="7"/>
      <c r="AA298"/>
      <c r="AC298" s="42"/>
      <c r="AD298" s="7"/>
      <c r="AE298"/>
    </row>
    <row r="299" spans="7:31" x14ac:dyDescent="0.35">
      <c r="G299" s="39"/>
      <c r="H299" s="37"/>
      <c r="K299"/>
      <c r="M299" s="42"/>
      <c r="N299" s="7"/>
      <c r="O299"/>
      <c r="Q299" s="42"/>
      <c r="R299" s="7"/>
      <c r="S299"/>
      <c r="U299" s="42"/>
      <c r="V299" s="7"/>
      <c r="W299"/>
      <c r="Y299" s="42"/>
      <c r="Z299" s="7"/>
      <c r="AA299"/>
      <c r="AC299" s="42"/>
      <c r="AD299" s="7"/>
      <c r="AE299"/>
    </row>
    <row r="300" spans="7:31" x14ac:dyDescent="0.35">
      <c r="G300" s="39"/>
      <c r="H300" s="37"/>
      <c r="K300"/>
      <c r="M300" s="42"/>
      <c r="N300" s="7"/>
      <c r="O300"/>
      <c r="Q300" s="42"/>
      <c r="R300" s="7"/>
      <c r="S300"/>
      <c r="U300" s="42"/>
      <c r="V300" s="7"/>
      <c r="W300"/>
      <c r="Y300" s="42"/>
      <c r="Z300" s="7"/>
      <c r="AA300"/>
      <c r="AC300" s="42"/>
      <c r="AD300" s="7"/>
      <c r="AE300"/>
    </row>
    <row r="301" spans="7:31" x14ac:dyDescent="0.35">
      <c r="G301" s="39"/>
      <c r="H301" s="37"/>
      <c r="K301"/>
      <c r="M301" s="42"/>
      <c r="N301" s="7"/>
      <c r="O301"/>
      <c r="Q301" s="42"/>
      <c r="R301" s="7"/>
      <c r="S301"/>
      <c r="U301" s="42"/>
      <c r="V301" s="7"/>
      <c r="W301"/>
      <c r="Y301" s="42"/>
      <c r="Z301" s="7"/>
      <c r="AA301"/>
      <c r="AC301" s="42"/>
      <c r="AD301" s="7"/>
      <c r="AE301"/>
    </row>
    <row r="302" spans="7:31" x14ac:dyDescent="0.35">
      <c r="G302" s="39"/>
      <c r="H302" s="37"/>
      <c r="K302"/>
      <c r="M302" s="42"/>
      <c r="N302" s="7"/>
      <c r="O302"/>
      <c r="Q302" s="42"/>
      <c r="R302" s="7"/>
      <c r="S302"/>
      <c r="U302" s="42"/>
      <c r="V302" s="7"/>
      <c r="W302"/>
      <c r="Y302" s="42"/>
      <c r="Z302" s="7"/>
      <c r="AA302"/>
      <c r="AC302" s="42"/>
      <c r="AD302" s="7"/>
      <c r="AE302"/>
    </row>
    <row r="303" spans="7:31" x14ac:dyDescent="0.35">
      <c r="G303" s="39"/>
      <c r="H303" s="37"/>
      <c r="K303"/>
      <c r="M303" s="42"/>
      <c r="N303" s="7"/>
      <c r="O303"/>
      <c r="Q303" s="42"/>
      <c r="R303" s="7"/>
      <c r="S303"/>
      <c r="U303" s="42"/>
      <c r="V303" s="7"/>
      <c r="W303"/>
      <c r="Y303" s="42"/>
      <c r="Z303" s="7"/>
      <c r="AA303"/>
      <c r="AC303" s="42"/>
      <c r="AD303" s="7"/>
      <c r="AE303"/>
    </row>
    <row r="304" spans="7:31" x14ac:dyDescent="0.35">
      <c r="G304" s="39"/>
      <c r="H304" s="37"/>
      <c r="K304"/>
      <c r="M304" s="42"/>
      <c r="N304" s="7"/>
      <c r="O304"/>
      <c r="Q304" s="42"/>
      <c r="R304" s="7"/>
      <c r="S304"/>
      <c r="U304" s="42"/>
      <c r="V304" s="7"/>
      <c r="W304"/>
      <c r="Y304" s="42"/>
      <c r="Z304" s="7"/>
      <c r="AA304"/>
      <c r="AC304" s="42"/>
      <c r="AD304" s="7"/>
      <c r="AE304"/>
    </row>
    <row r="305" spans="7:31" x14ac:dyDescent="0.35">
      <c r="G305" s="39"/>
      <c r="H305" s="37"/>
      <c r="K305"/>
      <c r="M305" s="42"/>
      <c r="N305" s="7"/>
      <c r="O305"/>
      <c r="Q305" s="42"/>
      <c r="R305" s="7"/>
      <c r="S305"/>
      <c r="U305" s="42"/>
      <c r="V305" s="7"/>
      <c r="W305"/>
      <c r="Y305" s="42"/>
      <c r="Z305" s="7"/>
      <c r="AA305"/>
      <c r="AC305" s="42"/>
      <c r="AD305" s="7"/>
      <c r="AE305"/>
    </row>
    <row r="306" spans="7:31" x14ac:dyDescent="0.35">
      <c r="G306" s="39"/>
      <c r="H306" s="37"/>
      <c r="K306"/>
      <c r="M306" s="42"/>
      <c r="N306" s="7"/>
      <c r="O306"/>
      <c r="Q306" s="42"/>
      <c r="R306" s="7"/>
      <c r="S306"/>
      <c r="U306" s="42"/>
      <c r="V306" s="7"/>
      <c r="W306"/>
      <c r="Y306" s="42"/>
      <c r="Z306" s="7"/>
      <c r="AA306"/>
      <c r="AC306" s="42"/>
      <c r="AD306" s="7"/>
      <c r="AE306"/>
    </row>
    <row r="307" spans="7:31" x14ac:dyDescent="0.35">
      <c r="G307" s="39"/>
      <c r="H307" s="37"/>
      <c r="K307"/>
      <c r="M307" s="42"/>
      <c r="N307" s="7"/>
      <c r="O307"/>
      <c r="Q307" s="42"/>
      <c r="R307" s="7"/>
      <c r="S307"/>
      <c r="U307" s="42"/>
      <c r="V307" s="7"/>
      <c r="W307"/>
      <c r="Y307" s="42"/>
      <c r="Z307" s="7"/>
      <c r="AA307"/>
      <c r="AC307" s="42"/>
      <c r="AD307" s="7"/>
      <c r="AE307"/>
    </row>
    <row r="308" spans="7:31" x14ac:dyDescent="0.35">
      <c r="G308" s="39"/>
      <c r="H308" s="37"/>
      <c r="K308"/>
      <c r="M308" s="42"/>
      <c r="N308" s="7"/>
      <c r="O308"/>
      <c r="Q308" s="42"/>
      <c r="R308" s="7"/>
      <c r="S308"/>
      <c r="U308" s="42"/>
      <c r="V308" s="7"/>
      <c r="W308"/>
      <c r="Y308" s="42"/>
      <c r="Z308" s="7"/>
      <c r="AA308"/>
      <c r="AC308" s="42"/>
      <c r="AD308" s="7"/>
      <c r="AE308"/>
    </row>
    <row r="309" spans="7:31" x14ac:dyDescent="0.35">
      <c r="G309" s="39"/>
      <c r="H309" s="37"/>
      <c r="K309"/>
      <c r="M309" s="42"/>
      <c r="N309" s="7"/>
      <c r="O309"/>
      <c r="Q309" s="42"/>
      <c r="R309" s="7"/>
      <c r="S309"/>
      <c r="U309" s="42"/>
      <c r="V309" s="7"/>
      <c r="W309"/>
      <c r="Y309" s="42"/>
      <c r="Z309" s="7"/>
      <c r="AA309"/>
      <c r="AC309" s="42"/>
      <c r="AD309" s="7"/>
      <c r="AE309"/>
    </row>
    <row r="310" spans="7:31" x14ac:dyDescent="0.35">
      <c r="G310" s="39"/>
      <c r="H310" s="37"/>
      <c r="K310"/>
      <c r="M310" s="42"/>
      <c r="N310" s="7"/>
      <c r="O310"/>
      <c r="Q310" s="42"/>
      <c r="R310" s="7"/>
      <c r="S310"/>
      <c r="U310" s="42"/>
      <c r="V310" s="7"/>
      <c r="W310"/>
      <c r="Y310" s="42"/>
      <c r="Z310" s="7"/>
      <c r="AA310"/>
      <c r="AC310" s="42"/>
      <c r="AD310" s="7"/>
      <c r="AE310"/>
    </row>
    <row r="311" spans="7:31" x14ac:dyDescent="0.35">
      <c r="G311" s="39"/>
      <c r="H311" s="37"/>
      <c r="K311"/>
      <c r="M311" s="42"/>
      <c r="N311" s="7"/>
      <c r="O311"/>
      <c r="Q311" s="42"/>
      <c r="R311" s="7"/>
      <c r="S311"/>
      <c r="U311" s="42"/>
      <c r="V311" s="7"/>
      <c r="W311"/>
      <c r="Y311" s="42"/>
      <c r="Z311" s="7"/>
      <c r="AA311"/>
      <c r="AC311" s="42"/>
      <c r="AD311" s="7"/>
      <c r="AE311"/>
    </row>
    <row r="312" spans="7:31" x14ac:dyDescent="0.35">
      <c r="G312" s="39"/>
      <c r="H312" s="37"/>
      <c r="K312"/>
      <c r="M312" s="42"/>
      <c r="N312" s="7"/>
      <c r="O312"/>
      <c r="Q312" s="42"/>
      <c r="R312" s="7"/>
      <c r="S312"/>
      <c r="U312" s="42"/>
      <c r="V312" s="7"/>
      <c r="W312"/>
      <c r="Y312" s="42"/>
      <c r="Z312" s="7"/>
      <c r="AA312"/>
      <c r="AC312" s="42"/>
      <c r="AD312" s="7"/>
      <c r="AE312"/>
    </row>
    <row r="313" spans="7:31" x14ac:dyDescent="0.35">
      <c r="G313" s="39"/>
      <c r="H313" s="37"/>
      <c r="K313"/>
      <c r="M313" s="42"/>
      <c r="N313" s="7"/>
      <c r="O313"/>
      <c r="Q313" s="42"/>
      <c r="R313" s="7"/>
      <c r="S313"/>
      <c r="U313" s="42"/>
      <c r="V313" s="7"/>
      <c r="W313"/>
      <c r="Y313" s="42"/>
      <c r="Z313" s="7"/>
      <c r="AA313"/>
      <c r="AC313" s="42"/>
      <c r="AD313" s="7"/>
      <c r="AE313"/>
    </row>
    <row r="314" spans="7:31" x14ac:dyDescent="0.35">
      <c r="G314" s="39"/>
      <c r="H314" s="37"/>
      <c r="K314"/>
      <c r="M314" s="42"/>
      <c r="N314" s="7"/>
      <c r="O314"/>
      <c r="Q314" s="42"/>
      <c r="R314" s="7"/>
      <c r="S314"/>
      <c r="U314" s="42"/>
      <c r="V314" s="7"/>
      <c r="W314"/>
      <c r="Y314" s="42"/>
      <c r="Z314" s="7"/>
      <c r="AA314"/>
      <c r="AC314" s="42"/>
      <c r="AD314" s="7"/>
      <c r="AE314"/>
    </row>
    <row r="315" spans="7:31" x14ac:dyDescent="0.35">
      <c r="G315" s="39"/>
      <c r="H315" s="37"/>
      <c r="K315"/>
      <c r="M315" s="42"/>
      <c r="N315" s="7"/>
      <c r="O315"/>
      <c r="Q315" s="42"/>
      <c r="R315" s="7"/>
      <c r="S315"/>
      <c r="U315" s="42"/>
      <c r="V315" s="7"/>
      <c r="W315"/>
      <c r="Y315" s="42"/>
      <c r="Z315" s="7"/>
      <c r="AA315"/>
      <c r="AC315" s="42"/>
      <c r="AD315" s="7"/>
      <c r="AE315"/>
    </row>
    <row r="316" spans="7:31" x14ac:dyDescent="0.35">
      <c r="G316" s="39"/>
      <c r="H316" s="37"/>
      <c r="K316"/>
      <c r="M316" s="42"/>
      <c r="N316" s="7"/>
      <c r="O316"/>
      <c r="Q316" s="42"/>
      <c r="R316" s="7"/>
      <c r="S316"/>
      <c r="U316" s="42"/>
      <c r="V316" s="7"/>
      <c r="W316"/>
      <c r="Y316" s="42"/>
      <c r="Z316" s="7"/>
      <c r="AA316"/>
      <c r="AC316" s="42"/>
      <c r="AD316" s="7"/>
      <c r="AE316"/>
    </row>
    <row r="317" spans="7:31" x14ac:dyDescent="0.35">
      <c r="G317" s="39"/>
      <c r="H317" s="37"/>
      <c r="K317"/>
      <c r="M317" s="42"/>
      <c r="N317" s="7"/>
      <c r="O317"/>
      <c r="Q317" s="42"/>
      <c r="R317" s="7"/>
      <c r="S317"/>
      <c r="U317" s="42"/>
      <c r="V317" s="7"/>
      <c r="W317"/>
      <c r="Y317" s="42"/>
      <c r="Z317" s="7"/>
      <c r="AA317"/>
      <c r="AC317" s="42"/>
      <c r="AD317" s="7"/>
      <c r="AE317"/>
    </row>
    <row r="318" spans="7:31" x14ac:dyDescent="0.35">
      <c r="G318" s="39"/>
      <c r="H318" s="37"/>
      <c r="K318"/>
      <c r="M318" s="42"/>
      <c r="N318" s="7"/>
      <c r="O318"/>
      <c r="Q318" s="42"/>
      <c r="R318" s="7"/>
      <c r="S318"/>
      <c r="U318" s="42"/>
      <c r="V318" s="7"/>
      <c r="W318"/>
      <c r="Y318" s="42"/>
      <c r="Z318" s="7"/>
      <c r="AA318"/>
      <c r="AC318" s="42"/>
      <c r="AD318" s="7"/>
      <c r="AE318"/>
    </row>
    <row r="319" spans="7:31" x14ac:dyDescent="0.35">
      <c r="G319" s="39"/>
      <c r="H319" s="37"/>
      <c r="K319"/>
      <c r="M319" s="42"/>
      <c r="N319" s="7"/>
      <c r="O319"/>
      <c r="Q319" s="42"/>
      <c r="R319" s="7"/>
      <c r="S319"/>
      <c r="U319" s="42"/>
      <c r="V319" s="7"/>
      <c r="W319"/>
      <c r="Y319" s="42"/>
      <c r="Z319" s="7"/>
      <c r="AA319"/>
      <c r="AC319" s="42"/>
      <c r="AD319" s="7"/>
      <c r="AE319"/>
    </row>
    <row r="320" spans="7:31" x14ac:dyDescent="0.35">
      <c r="G320" s="39"/>
      <c r="H320" s="37"/>
      <c r="K320"/>
      <c r="M320" s="42"/>
      <c r="N320" s="7"/>
      <c r="O320"/>
      <c r="Q320" s="42"/>
      <c r="R320" s="7"/>
      <c r="S320"/>
      <c r="U320" s="42"/>
      <c r="V320" s="7"/>
      <c r="W320"/>
      <c r="Y320" s="42"/>
      <c r="Z320" s="7"/>
      <c r="AA320"/>
      <c r="AC320" s="42"/>
      <c r="AD320" s="7"/>
      <c r="AE320"/>
    </row>
    <row r="321" spans="7:31" x14ac:dyDescent="0.35">
      <c r="G321" s="39"/>
      <c r="H321" s="37"/>
      <c r="K321"/>
      <c r="M321" s="42"/>
      <c r="N321" s="7"/>
      <c r="O321"/>
      <c r="Q321" s="42"/>
      <c r="R321" s="7"/>
      <c r="S321"/>
      <c r="U321" s="42"/>
      <c r="V321" s="7"/>
      <c r="W321"/>
      <c r="Y321" s="42"/>
      <c r="Z321" s="7"/>
      <c r="AA321"/>
      <c r="AC321" s="42"/>
      <c r="AD321" s="7"/>
      <c r="AE321"/>
    </row>
    <row r="322" spans="7:31" x14ac:dyDescent="0.35">
      <c r="G322" s="39"/>
      <c r="H322" s="37"/>
      <c r="K322"/>
      <c r="M322" s="42"/>
      <c r="N322" s="7"/>
      <c r="O322"/>
      <c r="Q322" s="42"/>
      <c r="R322" s="7"/>
      <c r="S322"/>
      <c r="U322" s="42"/>
      <c r="V322" s="7"/>
      <c r="W322"/>
      <c r="Y322" s="42"/>
      <c r="Z322" s="7"/>
      <c r="AA322"/>
      <c r="AC322" s="42"/>
      <c r="AD322" s="7"/>
      <c r="AE322"/>
    </row>
    <row r="323" spans="7:31" x14ac:dyDescent="0.35">
      <c r="G323" s="39"/>
      <c r="H323" s="37"/>
      <c r="K323"/>
      <c r="M323" s="42"/>
      <c r="N323" s="7"/>
      <c r="O323"/>
      <c r="Q323" s="42"/>
      <c r="R323" s="7"/>
      <c r="S323"/>
      <c r="U323" s="42"/>
      <c r="V323" s="7"/>
      <c r="W323"/>
      <c r="Y323" s="42"/>
      <c r="Z323" s="7"/>
      <c r="AA323"/>
      <c r="AC323" s="42"/>
      <c r="AD323" s="7"/>
      <c r="AE323"/>
    </row>
    <row r="324" spans="7:31" x14ac:dyDescent="0.35">
      <c r="G324" s="39"/>
      <c r="H324" s="37"/>
      <c r="K324"/>
      <c r="M324" s="42"/>
      <c r="N324" s="7"/>
      <c r="O324"/>
      <c r="Q324" s="42"/>
      <c r="R324" s="7"/>
      <c r="S324"/>
      <c r="U324" s="42"/>
      <c r="V324" s="7"/>
      <c r="W324"/>
      <c r="Y324" s="42"/>
      <c r="Z324" s="7"/>
      <c r="AA324"/>
      <c r="AC324" s="42"/>
      <c r="AD324" s="7"/>
      <c r="AE324"/>
    </row>
    <row r="325" spans="7:31" x14ac:dyDescent="0.35">
      <c r="G325" s="39"/>
      <c r="H325" s="37"/>
      <c r="K325"/>
      <c r="M325" s="42"/>
      <c r="N325" s="7"/>
      <c r="O325"/>
      <c r="Q325" s="42"/>
      <c r="R325" s="7"/>
      <c r="S325"/>
      <c r="U325" s="42"/>
      <c r="V325" s="7"/>
      <c r="W325"/>
      <c r="Y325" s="42"/>
      <c r="Z325" s="7"/>
      <c r="AA325"/>
      <c r="AC325" s="42"/>
      <c r="AD325" s="7"/>
      <c r="AE325"/>
    </row>
    <row r="326" spans="7:31" x14ac:dyDescent="0.35">
      <c r="G326" s="39"/>
      <c r="H326" s="37"/>
      <c r="K326"/>
      <c r="M326" s="42"/>
      <c r="N326" s="7"/>
      <c r="O326"/>
      <c r="Q326" s="42"/>
      <c r="R326" s="7"/>
      <c r="S326"/>
      <c r="U326" s="42"/>
      <c r="V326" s="7"/>
      <c r="W326"/>
      <c r="Y326" s="42"/>
      <c r="Z326" s="7"/>
      <c r="AA326"/>
      <c r="AC326" s="42"/>
      <c r="AD326" s="7"/>
      <c r="AE326"/>
    </row>
    <row r="327" spans="7:31" x14ac:dyDescent="0.35">
      <c r="G327" s="39"/>
      <c r="H327" s="37"/>
      <c r="K327"/>
      <c r="M327" s="42"/>
      <c r="N327" s="7"/>
      <c r="O327"/>
      <c r="Q327" s="42"/>
      <c r="R327" s="7"/>
      <c r="S327"/>
      <c r="U327" s="42"/>
      <c r="V327" s="7"/>
      <c r="W327"/>
      <c r="Y327" s="42"/>
      <c r="Z327" s="7"/>
      <c r="AA327"/>
      <c r="AC327" s="42"/>
      <c r="AD327" s="7"/>
      <c r="AE327"/>
    </row>
    <row r="328" spans="7:31" x14ac:dyDescent="0.35">
      <c r="G328" s="39"/>
      <c r="H328" s="37"/>
      <c r="K328"/>
      <c r="M328" s="42"/>
      <c r="N328" s="7"/>
      <c r="O328"/>
      <c r="Q328" s="42"/>
      <c r="R328" s="7"/>
      <c r="S328"/>
      <c r="U328" s="42"/>
      <c r="V328" s="7"/>
      <c r="W328"/>
      <c r="Y328" s="42"/>
      <c r="Z328" s="7"/>
      <c r="AA328"/>
      <c r="AC328" s="42"/>
      <c r="AD328" s="7"/>
      <c r="AE328"/>
    </row>
    <row r="329" spans="7:31" x14ac:dyDescent="0.35">
      <c r="G329" s="39"/>
      <c r="H329" s="37"/>
      <c r="K329"/>
      <c r="M329" s="42"/>
      <c r="N329" s="7"/>
      <c r="O329"/>
      <c r="Q329" s="42"/>
      <c r="R329" s="7"/>
      <c r="S329"/>
      <c r="U329" s="42"/>
      <c r="V329" s="7"/>
      <c r="W329"/>
      <c r="Y329" s="42"/>
      <c r="Z329" s="7"/>
      <c r="AA329"/>
      <c r="AC329" s="42"/>
      <c r="AD329" s="7"/>
      <c r="AE329"/>
    </row>
    <row r="330" spans="7:31" x14ac:dyDescent="0.35">
      <c r="G330" s="39"/>
      <c r="H330" s="37"/>
      <c r="K330"/>
      <c r="M330" s="42"/>
      <c r="N330" s="7"/>
      <c r="O330"/>
      <c r="Q330" s="42"/>
      <c r="R330" s="7"/>
      <c r="S330"/>
      <c r="U330" s="42"/>
      <c r="V330" s="7"/>
      <c r="W330"/>
      <c r="Y330" s="42"/>
      <c r="Z330" s="7"/>
      <c r="AA330"/>
      <c r="AC330" s="42"/>
      <c r="AD330" s="7"/>
      <c r="AE330"/>
    </row>
    <row r="331" spans="7:31" x14ac:dyDescent="0.35">
      <c r="G331" s="39"/>
      <c r="H331" s="37"/>
      <c r="K331"/>
      <c r="M331" s="42"/>
      <c r="N331" s="7"/>
      <c r="O331"/>
      <c r="Q331" s="42"/>
      <c r="R331" s="7"/>
      <c r="S331"/>
      <c r="U331" s="42"/>
      <c r="V331" s="7"/>
      <c r="W331"/>
      <c r="Y331" s="42"/>
      <c r="Z331" s="7"/>
      <c r="AA331"/>
      <c r="AC331" s="42"/>
      <c r="AD331" s="7"/>
      <c r="AE331"/>
    </row>
    <row r="332" spans="7:31" x14ac:dyDescent="0.35">
      <c r="G332" s="39"/>
      <c r="H332" s="37"/>
      <c r="K332"/>
      <c r="M332" s="42"/>
      <c r="N332" s="7"/>
      <c r="O332"/>
      <c r="Q332" s="42"/>
      <c r="R332" s="7"/>
      <c r="S332"/>
      <c r="U332" s="42"/>
      <c r="V332" s="7"/>
      <c r="W332"/>
      <c r="Y332" s="42"/>
      <c r="Z332" s="7"/>
      <c r="AA332"/>
      <c r="AC332" s="42"/>
      <c r="AD332" s="7"/>
      <c r="AE332"/>
    </row>
    <row r="333" spans="7:31" x14ac:dyDescent="0.35">
      <c r="G333" s="39"/>
      <c r="H333" s="37"/>
      <c r="K333"/>
      <c r="M333" s="42"/>
      <c r="N333" s="7"/>
      <c r="O333"/>
      <c r="Q333" s="42"/>
      <c r="R333" s="7"/>
      <c r="S333"/>
      <c r="U333" s="42"/>
      <c r="V333" s="7"/>
      <c r="W333"/>
      <c r="Y333" s="42"/>
      <c r="Z333" s="7"/>
      <c r="AA333"/>
      <c r="AC333" s="42"/>
      <c r="AD333" s="7"/>
      <c r="AE333"/>
    </row>
    <row r="334" spans="7:31" x14ac:dyDescent="0.35">
      <c r="G334" s="39"/>
      <c r="H334" s="37"/>
      <c r="K334"/>
      <c r="M334" s="42"/>
      <c r="N334" s="7"/>
      <c r="O334"/>
      <c r="Q334" s="42"/>
      <c r="R334" s="7"/>
      <c r="S334"/>
      <c r="U334" s="42"/>
      <c r="V334" s="7"/>
      <c r="W334"/>
      <c r="Y334" s="42"/>
      <c r="Z334" s="7"/>
      <c r="AA334"/>
      <c r="AC334" s="42"/>
      <c r="AD334" s="7"/>
      <c r="AE334"/>
    </row>
    <row r="335" spans="7:31" x14ac:dyDescent="0.35">
      <c r="G335" s="39"/>
      <c r="H335" s="37"/>
      <c r="K335"/>
      <c r="M335" s="42"/>
      <c r="N335" s="7"/>
      <c r="O335"/>
      <c r="Q335" s="42"/>
      <c r="R335" s="7"/>
      <c r="S335"/>
      <c r="U335" s="42"/>
      <c r="V335" s="7"/>
      <c r="W335"/>
      <c r="Y335" s="42"/>
      <c r="Z335" s="7"/>
      <c r="AA335"/>
      <c r="AC335" s="42"/>
      <c r="AD335" s="7"/>
      <c r="AE335"/>
    </row>
    <row r="336" spans="7:31" x14ac:dyDescent="0.35">
      <c r="G336" s="39"/>
      <c r="H336" s="37"/>
      <c r="K336"/>
      <c r="M336" s="42"/>
      <c r="N336" s="7"/>
      <c r="O336"/>
      <c r="Q336" s="42"/>
      <c r="R336" s="7"/>
      <c r="S336"/>
      <c r="U336" s="42"/>
      <c r="V336" s="7"/>
      <c r="W336"/>
      <c r="Y336" s="42"/>
      <c r="Z336" s="7"/>
      <c r="AA336"/>
      <c r="AC336" s="42"/>
      <c r="AD336" s="7"/>
      <c r="AE336"/>
    </row>
    <row r="337" spans="7:31" x14ac:dyDescent="0.35">
      <c r="G337" s="39"/>
      <c r="H337" s="37"/>
      <c r="K337"/>
      <c r="M337" s="42"/>
      <c r="N337" s="7"/>
      <c r="O337"/>
      <c r="Q337" s="42"/>
      <c r="R337" s="7"/>
      <c r="S337"/>
      <c r="U337" s="42"/>
      <c r="V337" s="7"/>
      <c r="W337"/>
      <c r="Y337" s="42"/>
      <c r="Z337" s="7"/>
      <c r="AA337"/>
      <c r="AC337" s="42"/>
      <c r="AD337" s="7"/>
      <c r="AE337"/>
    </row>
    <row r="338" spans="7:31" x14ac:dyDescent="0.35">
      <c r="G338" s="39"/>
      <c r="H338" s="37"/>
      <c r="K338"/>
      <c r="M338" s="42"/>
      <c r="N338" s="7"/>
      <c r="O338"/>
      <c r="Q338" s="42"/>
      <c r="R338" s="7"/>
      <c r="S338"/>
      <c r="U338" s="42"/>
      <c r="V338" s="7"/>
      <c r="W338"/>
      <c r="Y338" s="42"/>
      <c r="Z338" s="7"/>
      <c r="AA338"/>
      <c r="AC338" s="42"/>
      <c r="AD338" s="7"/>
      <c r="AE338"/>
    </row>
    <row r="339" spans="7:31" x14ac:dyDescent="0.35">
      <c r="G339" s="39"/>
      <c r="H339" s="37"/>
      <c r="K339"/>
      <c r="M339" s="42"/>
      <c r="N339" s="7"/>
      <c r="O339"/>
      <c r="Q339" s="42"/>
      <c r="R339" s="7"/>
      <c r="S339"/>
      <c r="U339" s="42"/>
      <c r="V339" s="7"/>
      <c r="W339"/>
      <c r="Y339" s="42"/>
      <c r="Z339" s="7"/>
      <c r="AA339"/>
      <c r="AC339" s="42"/>
      <c r="AD339" s="7"/>
      <c r="AE339"/>
    </row>
    <row r="340" spans="7:31" x14ac:dyDescent="0.35">
      <c r="G340" s="39"/>
      <c r="H340" s="37"/>
      <c r="K340"/>
      <c r="M340" s="42"/>
      <c r="N340" s="7"/>
      <c r="O340"/>
      <c r="Q340" s="42"/>
      <c r="R340" s="7"/>
      <c r="S340"/>
      <c r="U340" s="42"/>
      <c r="V340" s="7"/>
      <c r="W340"/>
      <c r="Y340" s="42"/>
      <c r="Z340" s="7"/>
      <c r="AA340"/>
      <c r="AC340" s="42"/>
      <c r="AD340" s="7"/>
      <c r="AE340"/>
    </row>
    <row r="341" spans="7:31" x14ac:dyDescent="0.35">
      <c r="G341" s="39"/>
      <c r="H341" s="37"/>
      <c r="K341"/>
      <c r="M341" s="42"/>
      <c r="N341" s="7"/>
      <c r="O341"/>
      <c r="Q341" s="42"/>
      <c r="R341" s="7"/>
      <c r="S341"/>
      <c r="U341" s="42"/>
      <c r="V341" s="7"/>
      <c r="W341"/>
      <c r="Y341" s="42"/>
      <c r="Z341" s="7"/>
      <c r="AA341"/>
      <c r="AC341" s="42"/>
      <c r="AD341" s="7"/>
      <c r="AE341"/>
    </row>
    <row r="342" spans="7:31" x14ac:dyDescent="0.35">
      <c r="G342" s="39"/>
      <c r="H342" s="37"/>
      <c r="K342"/>
      <c r="M342" s="42"/>
      <c r="N342" s="7"/>
      <c r="O342"/>
      <c r="Q342" s="42"/>
      <c r="R342" s="7"/>
      <c r="S342"/>
      <c r="U342" s="42"/>
      <c r="V342" s="7"/>
      <c r="W342"/>
      <c r="Y342" s="42"/>
      <c r="Z342" s="7"/>
      <c r="AA342"/>
      <c r="AC342" s="42"/>
      <c r="AD342" s="7"/>
      <c r="AE342"/>
    </row>
    <row r="343" spans="7:31" x14ac:dyDescent="0.35">
      <c r="G343" s="39"/>
      <c r="H343" s="37"/>
      <c r="K343"/>
      <c r="M343" s="42"/>
      <c r="N343" s="7"/>
      <c r="O343"/>
      <c r="Q343" s="42"/>
      <c r="R343" s="7"/>
      <c r="S343"/>
      <c r="U343" s="42"/>
      <c r="V343" s="7"/>
      <c r="W343"/>
      <c r="Y343" s="42"/>
      <c r="Z343" s="7"/>
      <c r="AA343"/>
      <c r="AC343" s="42"/>
      <c r="AD343" s="7"/>
      <c r="AE343"/>
    </row>
    <row r="344" spans="7:31" x14ac:dyDescent="0.35">
      <c r="G344" s="39"/>
      <c r="H344" s="37"/>
      <c r="K344"/>
      <c r="M344" s="42"/>
      <c r="N344" s="7"/>
      <c r="O344"/>
      <c r="Q344" s="42"/>
      <c r="R344" s="7"/>
      <c r="S344"/>
      <c r="U344" s="42"/>
      <c r="V344" s="7"/>
      <c r="W344"/>
      <c r="Y344" s="42"/>
      <c r="Z344" s="7"/>
      <c r="AA344"/>
      <c r="AC344" s="42"/>
      <c r="AD344" s="7"/>
      <c r="AE344"/>
    </row>
    <row r="345" spans="7:31" x14ac:dyDescent="0.35">
      <c r="G345" s="39"/>
      <c r="H345" s="37"/>
      <c r="K345"/>
      <c r="M345" s="42"/>
      <c r="N345" s="7"/>
      <c r="O345"/>
      <c r="Q345" s="42"/>
      <c r="R345" s="7"/>
      <c r="S345"/>
      <c r="U345" s="42"/>
      <c r="V345" s="7"/>
      <c r="W345"/>
      <c r="Y345" s="42"/>
      <c r="Z345" s="7"/>
      <c r="AA345"/>
      <c r="AC345" s="42"/>
      <c r="AD345" s="7"/>
      <c r="AE345"/>
    </row>
    <row r="346" spans="7:31" x14ac:dyDescent="0.35">
      <c r="G346" s="39"/>
      <c r="H346" s="37"/>
      <c r="K346"/>
      <c r="M346" s="42"/>
      <c r="N346" s="7"/>
      <c r="O346"/>
      <c r="Q346" s="42"/>
      <c r="R346" s="7"/>
      <c r="S346"/>
      <c r="U346" s="42"/>
      <c r="V346" s="7"/>
      <c r="W346"/>
      <c r="Y346" s="42"/>
      <c r="Z346" s="7"/>
      <c r="AA346"/>
      <c r="AC346" s="42"/>
      <c r="AD346" s="7"/>
      <c r="AE346"/>
    </row>
    <row r="347" spans="7:31" x14ac:dyDescent="0.35">
      <c r="G347" s="39"/>
      <c r="H347" s="37"/>
      <c r="K347"/>
      <c r="M347" s="42"/>
      <c r="N347" s="7"/>
      <c r="O347"/>
      <c r="Q347" s="42"/>
      <c r="R347" s="7"/>
      <c r="S347"/>
      <c r="U347" s="42"/>
      <c r="V347" s="7"/>
      <c r="W347"/>
      <c r="Y347" s="42"/>
      <c r="Z347" s="7"/>
      <c r="AA347"/>
      <c r="AC347" s="42"/>
      <c r="AD347" s="7"/>
      <c r="AE347"/>
    </row>
    <row r="348" spans="7:31" x14ac:dyDescent="0.35">
      <c r="G348" s="39"/>
      <c r="H348" s="37"/>
      <c r="K348"/>
      <c r="M348" s="42"/>
      <c r="N348" s="7"/>
      <c r="O348"/>
      <c r="Q348" s="42"/>
      <c r="R348" s="7"/>
      <c r="S348"/>
      <c r="U348" s="42"/>
      <c r="V348" s="7"/>
      <c r="W348"/>
      <c r="Y348" s="42"/>
      <c r="Z348" s="7"/>
      <c r="AA348"/>
      <c r="AC348" s="42"/>
      <c r="AD348" s="7"/>
      <c r="AE348"/>
    </row>
    <row r="349" spans="7:31" x14ac:dyDescent="0.35">
      <c r="G349" s="39"/>
      <c r="H349" s="37"/>
      <c r="K349"/>
      <c r="M349" s="42"/>
      <c r="N349" s="7"/>
      <c r="O349"/>
      <c r="Q349" s="42"/>
      <c r="R349" s="7"/>
      <c r="S349"/>
      <c r="U349" s="42"/>
      <c r="V349" s="7"/>
      <c r="W349"/>
      <c r="Y349" s="42"/>
      <c r="Z349" s="7"/>
      <c r="AA349"/>
      <c r="AC349" s="42"/>
      <c r="AD349" s="7"/>
      <c r="AE349"/>
    </row>
    <row r="350" spans="7:31" x14ac:dyDescent="0.35">
      <c r="G350" s="39"/>
      <c r="H350" s="37"/>
      <c r="K350"/>
      <c r="M350" s="42"/>
      <c r="N350" s="7"/>
      <c r="O350"/>
      <c r="Q350" s="42"/>
      <c r="R350" s="7"/>
      <c r="S350"/>
      <c r="U350" s="42"/>
      <c r="V350" s="7"/>
      <c r="W350"/>
      <c r="Y350" s="42"/>
      <c r="Z350" s="7"/>
      <c r="AA350"/>
      <c r="AC350" s="42"/>
      <c r="AD350" s="7"/>
      <c r="AE350"/>
    </row>
    <row r="351" spans="7:31" x14ac:dyDescent="0.35">
      <c r="G351" s="39"/>
      <c r="H351" s="37"/>
      <c r="K351"/>
      <c r="M351" s="42"/>
      <c r="N351" s="7"/>
      <c r="O351"/>
      <c r="Q351" s="42"/>
      <c r="R351" s="7"/>
      <c r="S351"/>
      <c r="U351" s="42"/>
      <c r="V351" s="7"/>
      <c r="W351"/>
      <c r="Y351" s="42"/>
      <c r="Z351" s="7"/>
      <c r="AA351"/>
      <c r="AC351" s="42"/>
      <c r="AD351" s="7"/>
      <c r="AE351"/>
    </row>
    <row r="352" spans="7:31" x14ac:dyDescent="0.35">
      <c r="G352" s="39"/>
      <c r="H352" s="37"/>
      <c r="K352"/>
      <c r="M352" s="42"/>
      <c r="N352" s="7"/>
      <c r="O352"/>
      <c r="Q352" s="42"/>
      <c r="R352" s="7"/>
      <c r="S352"/>
      <c r="U352" s="42"/>
      <c r="V352" s="7"/>
      <c r="W352"/>
      <c r="Y352" s="42"/>
      <c r="Z352" s="7"/>
      <c r="AA352"/>
      <c r="AC352" s="42"/>
      <c r="AD352" s="7"/>
      <c r="AE352"/>
    </row>
    <row r="353" spans="7:31" x14ac:dyDescent="0.35">
      <c r="G353" s="39"/>
      <c r="H353" s="37"/>
      <c r="K353"/>
      <c r="M353" s="42"/>
      <c r="N353" s="7"/>
      <c r="O353"/>
      <c r="Q353" s="42"/>
      <c r="R353" s="7"/>
      <c r="S353"/>
      <c r="U353" s="42"/>
      <c r="V353" s="7"/>
      <c r="W353"/>
      <c r="Y353" s="42"/>
      <c r="Z353" s="7"/>
      <c r="AA353"/>
      <c r="AC353" s="42"/>
      <c r="AD353" s="7"/>
      <c r="AE353"/>
    </row>
    <row r="354" spans="7:31" x14ac:dyDescent="0.35">
      <c r="G354" s="39"/>
      <c r="H354" s="37"/>
      <c r="K354"/>
      <c r="M354" s="42"/>
      <c r="N354" s="7"/>
      <c r="O354"/>
      <c r="Q354" s="42"/>
      <c r="R354" s="7"/>
      <c r="S354"/>
      <c r="U354" s="42"/>
      <c r="V354" s="7"/>
      <c r="W354"/>
      <c r="Y354" s="42"/>
      <c r="Z354" s="7"/>
      <c r="AA354"/>
      <c r="AC354" s="42"/>
      <c r="AD354" s="7"/>
      <c r="AE354"/>
    </row>
    <row r="355" spans="7:31" x14ac:dyDescent="0.35">
      <c r="G355" s="39"/>
      <c r="H355" s="37"/>
      <c r="K355"/>
      <c r="M355" s="42"/>
      <c r="N355" s="7"/>
      <c r="O355"/>
      <c r="Q355" s="42"/>
      <c r="R355" s="7"/>
      <c r="S355"/>
      <c r="U355" s="42"/>
      <c r="V355" s="7"/>
      <c r="W355"/>
      <c r="Y355" s="42"/>
      <c r="Z355" s="7"/>
      <c r="AA355"/>
      <c r="AC355" s="42"/>
      <c r="AD355" s="7"/>
      <c r="AE355"/>
    </row>
    <row r="356" spans="7:31" x14ac:dyDescent="0.35">
      <c r="G356" s="39"/>
      <c r="H356" s="37"/>
      <c r="K356"/>
      <c r="M356" s="42"/>
      <c r="N356" s="7"/>
      <c r="O356"/>
      <c r="Q356" s="42"/>
      <c r="R356" s="7"/>
      <c r="S356"/>
      <c r="U356" s="42"/>
      <c r="V356" s="7"/>
      <c r="W356"/>
      <c r="Y356" s="42"/>
      <c r="Z356" s="7"/>
      <c r="AA356"/>
      <c r="AC356" s="42"/>
      <c r="AD356" s="7"/>
      <c r="AE356"/>
    </row>
    <row r="357" spans="7:31" x14ac:dyDescent="0.35">
      <c r="G357" s="39"/>
      <c r="H357" s="37"/>
      <c r="K357"/>
      <c r="M357" s="42"/>
      <c r="N357" s="7"/>
      <c r="O357"/>
      <c r="Q357" s="42"/>
      <c r="R357" s="7"/>
      <c r="S357"/>
      <c r="U357" s="42"/>
      <c r="V357" s="7"/>
      <c r="W357"/>
      <c r="Y357" s="42"/>
      <c r="Z357" s="7"/>
      <c r="AA357"/>
      <c r="AC357" s="42"/>
      <c r="AD357" s="7"/>
      <c r="AE357"/>
    </row>
    <row r="358" spans="7:31" x14ac:dyDescent="0.35">
      <c r="G358" s="39"/>
      <c r="H358" s="37"/>
      <c r="K358"/>
      <c r="M358" s="42"/>
      <c r="N358" s="7"/>
      <c r="O358"/>
      <c r="Q358" s="42"/>
      <c r="R358" s="7"/>
      <c r="S358"/>
      <c r="U358" s="42"/>
      <c r="V358" s="7"/>
      <c r="W358"/>
      <c r="Y358" s="42"/>
      <c r="Z358" s="7"/>
      <c r="AA358"/>
      <c r="AC358" s="42"/>
      <c r="AD358" s="7"/>
      <c r="AE358"/>
    </row>
    <row r="359" spans="7:31" x14ac:dyDescent="0.35">
      <c r="G359" s="39"/>
      <c r="H359" s="37"/>
      <c r="K359"/>
      <c r="M359" s="42"/>
      <c r="N359" s="7"/>
      <c r="O359"/>
      <c r="Q359" s="42"/>
      <c r="R359" s="7"/>
      <c r="S359"/>
      <c r="U359" s="42"/>
      <c r="V359" s="7"/>
      <c r="W359"/>
      <c r="Y359" s="42"/>
      <c r="Z359" s="7"/>
      <c r="AA359"/>
      <c r="AC359" s="42"/>
      <c r="AD359" s="7"/>
      <c r="AE359"/>
    </row>
    <row r="360" spans="7:31" x14ac:dyDescent="0.35">
      <c r="G360" s="39"/>
      <c r="H360" s="37"/>
      <c r="K360"/>
      <c r="M360" s="42"/>
      <c r="N360" s="7"/>
      <c r="O360"/>
      <c r="Q360" s="42"/>
      <c r="R360" s="7"/>
      <c r="S360"/>
      <c r="U360" s="42"/>
      <c r="V360" s="7"/>
      <c r="W360"/>
      <c r="Y360" s="42"/>
      <c r="Z360" s="7"/>
      <c r="AA360"/>
      <c r="AC360" s="42"/>
      <c r="AD360" s="7"/>
      <c r="AE360"/>
    </row>
    <row r="361" spans="7:31" x14ac:dyDescent="0.35">
      <c r="G361" s="39"/>
      <c r="H361" s="37"/>
      <c r="K361"/>
      <c r="M361" s="42"/>
      <c r="N361" s="7"/>
      <c r="O361"/>
      <c r="Q361" s="42"/>
      <c r="R361" s="7"/>
      <c r="S361"/>
      <c r="U361" s="42"/>
      <c r="V361" s="7"/>
      <c r="W361"/>
      <c r="Y361" s="42"/>
      <c r="Z361" s="7"/>
      <c r="AA361"/>
      <c r="AC361" s="42"/>
      <c r="AD361" s="7"/>
      <c r="AE361"/>
    </row>
    <row r="362" spans="7:31" x14ac:dyDescent="0.35">
      <c r="G362" s="39"/>
      <c r="H362" s="37"/>
      <c r="K362"/>
      <c r="M362" s="42"/>
      <c r="N362" s="7"/>
      <c r="O362"/>
      <c r="Q362" s="42"/>
      <c r="R362" s="7"/>
      <c r="S362"/>
      <c r="U362" s="42"/>
      <c r="V362" s="7"/>
      <c r="W362"/>
      <c r="Y362" s="42"/>
      <c r="Z362" s="7"/>
      <c r="AA362"/>
      <c r="AC362" s="42"/>
      <c r="AD362" s="7"/>
      <c r="AE362"/>
    </row>
    <row r="363" spans="7:31" x14ac:dyDescent="0.35">
      <c r="G363" s="39"/>
      <c r="H363" s="37"/>
      <c r="K363"/>
      <c r="M363" s="42"/>
      <c r="N363" s="7"/>
      <c r="O363"/>
      <c r="Q363" s="42"/>
      <c r="R363" s="7"/>
      <c r="S363"/>
      <c r="U363" s="42"/>
      <c r="V363" s="7"/>
      <c r="W363"/>
      <c r="Y363" s="42"/>
      <c r="Z363" s="7"/>
      <c r="AA363"/>
      <c r="AC363" s="42"/>
      <c r="AD363" s="7"/>
      <c r="AE363"/>
    </row>
    <row r="364" spans="7:31" x14ac:dyDescent="0.35">
      <c r="G364" s="39"/>
      <c r="H364" s="37"/>
      <c r="K364"/>
      <c r="M364" s="42"/>
      <c r="N364" s="7"/>
      <c r="O364"/>
      <c r="Q364" s="42"/>
      <c r="R364" s="7"/>
      <c r="S364"/>
      <c r="U364" s="42"/>
      <c r="V364" s="7"/>
      <c r="W364"/>
      <c r="Y364" s="42"/>
      <c r="Z364" s="7"/>
      <c r="AA364"/>
      <c r="AC364" s="42"/>
      <c r="AD364" s="7"/>
      <c r="AE364"/>
    </row>
    <row r="365" spans="7:31" x14ac:dyDescent="0.35">
      <c r="G365" s="39"/>
      <c r="H365" s="37"/>
      <c r="K365"/>
      <c r="M365" s="42"/>
      <c r="N365" s="7"/>
      <c r="O365"/>
      <c r="Q365" s="42"/>
      <c r="R365" s="7"/>
      <c r="S365"/>
      <c r="U365" s="42"/>
      <c r="V365" s="7"/>
      <c r="W365"/>
      <c r="Y365" s="42"/>
      <c r="Z365" s="7"/>
      <c r="AA365"/>
      <c r="AC365" s="42"/>
      <c r="AD365" s="7"/>
      <c r="AE365"/>
    </row>
    <row r="366" spans="7:31" x14ac:dyDescent="0.35">
      <c r="G366" s="39"/>
      <c r="H366" s="37"/>
      <c r="K366"/>
      <c r="M366" s="42"/>
      <c r="N366" s="7"/>
      <c r="O366"/>
      <c r="Q366" s="42"/>
      <c r="R366" s="7"/>
      <c r="S366"/>
      <c r="U366" s="42"/>
      <c r="V366" s="7"/>
      <c r="W366"/>
      <c r="Y366" s="42"/>
      <c r="Z366" s="7"/>
      <c r="AA366"/>
      <c r="AC366" s="42"/>
      <c r="AD366" s="7"/>
      <c r="AE366"/>
    </row>
    <row r="367" spans="7:31" x14ac:dyDescent="0.35">
      <c r="G367" s="39"/>
      <c r="H367" s="37"/>
      <c r="K367"/>
      <c r="M367" s="42"/>
      <c r="N367" s="7"/>
      <c r="O367"/>
      <c r="Q367" s="42"/>
      <c r="R367" s="7"/>
      <c r="S367"/>
      <c r="U367" s="42"/>
      <c r="V367" s="7"/>
      <c r="W367"/>
      <c r="Y367" s="42"/>
      <c r="Z367" s="7"/>
      <c r="AA367"/>
      <c r="AC367" s="42"/>
      <c r="AD367" s="7"/>
      <c r="AE367"/>
    </row>
    <row r="368" spans="7:31" x14ac:dyDescent="0.35">
      <c r="G368" s="39"/>
      <c r="H368" s="37"/>
      <c r="K368"/>
      <c r="M368" s="42"/>
      <c r="N368" s="7"/>
      <c r="O368"/>
      <c r="Q368" s="42"/>
      <c r="R368" s="7"/>
      <c r="S368"/>
      <c r="U368" s="42"/>
      <c r="V368" s="7"/>
      <c r="W368"/>
      <c r="Y368" s="42"/>
      <c r="Z368" s="7"/>
      <c r="AA368"/>
      <c r="AC368" s="42"/>
      <c r="AD368" s="7"/>
      <c r="AE368"/>
    </row>
    <row r="369" spans="7:31" x14ac:dyDescent="0.35">
      <c r="G369" s="39"/>
      <c r="H369" s="37"/>
      <c r="K369"/>
      <c r="M369" s="42"/>
      <c r="N369" s="7"/>
      <c r="O369"/>
      <c r="Q369" s="42"/>
      <c r="R369" s="7"/>
      <c r="S369"/>
      <c r="U369" s="42"/>
      <c r="V369" s="7"/>
      <c r="W369"/>
      <c r="Y369" s="42"/>
      <c r="Z369" s="7"/>
      <c r="AA369"/>
      <c r="AC369" s="42"/>
      <c r="AD369" s="7"/>
      <c r="AE369"/>
    </row>
    <row r="370" spans="7:31" x14ac:dyDescent="0.35">
      <c r="G370" s="39"/>
      <c r="H370" s="37"/>
      <c r="K370"/>
      <c r="M370" s="42"/>
      <c r="N370" s="7"/>
      <c r="O370"/>
      <c r="Q370" s="42"/>
      <c r="R370" s="7"/>
      <c r="S370"/>
      <c r="U370" s="42"/>
      <c r="V370" s="7"/>
      <c r="W370"/>
      <c r="Y370" s="42"/>
      <c r="Z370" s="7"/>
      <c r="AA370"/>
      <c r="AC370" s="42"/>
      <c r="AD370" s="7"/>
      <c r="AE370"/>
    </row>
    <row r="371" spans="7:31" x14ac:dyDescent="0.35">
      <c r="G371" s="39"/>
      <c r="H371" s="37"/>
      <c r="K371"/>
      <c r="M371" s="42"/>
      <c r="N371" s="7"/>
      <c r="O371"/>
      <c r="Q371" s="42"/>
      <c r="R371" s="7"/>
      <c r="S371"/>
      <c r="U371" s="42"/>
      <c r="V371" s="7"/>
      <c r="W371"/>
      <c r="Y371" s="42"/>
      <c r="Z371" s="7"/>
      <c r="AA371"/>
      <c r="AC371" s="42"/>
      <c r="AD371" s="7"/>
      <c r="AE371"/>
    </row>
    <row r="372" spans="7:31" x14ac:dyDescent="0.35">
      <c r="G372" s="39"/>
      <c r="H372" s="37"/>
      <c r="K372"/>
      <c r="M372" s="42"/>
      <c r="N372" s="7"/>
      <c r="O372"/>
      <c r="Q372" s="42"/>
      <c r="R372" s="7"/>
      <c r="S372"/>
      <c r="U372" s="42"/>
      <c r="V372" s="7"/>
      <c r="W372"/>
      <c r="Y372" s="42"/>
      <c r="Z372" s="7"/>
      <c r="AA372"/>
      <c r="AC372" s="42"/>
      <c r="AD372" s="7"/>
      <c r="AE372"/>
    </row>
    <row r="373" spans="7:31" x14ac:dyDescent="0.35">
      <c r="G373" s="39"/>
      <c r="H373" s="37"/>
      <c r="K373"/>
      <c r="M373" s="42"/>
      <c r="N373" s="7"/>
      <c r="O373"/>
      <c r="Q373" s="42"/>
      <c r="R373" s="7"/>
      <c r="S373"/>
      <c r="U373" s="42"/>
      <c r="V373" s="7"/>
      <c r="W373"/>
      <c r="Y373" s="42"/>
      <c r="Z373" s="7"/>
      <c r="AA373"/>
      <c r="AC373" s="42"/>
      <c r="AD373" s="7"/>
      <c r="AE373"/>
    </row>
    <row r="374" spans="7:31" x14ac:dyDescent="0.35">
      <c r="G374" s="39"/>
      <c r="H374" s="37"/>
      <c r="K374"/>
      <c r="M374" s="42"/>
      <c r="N374" s="7"/>
      <c r="O374"/>
      <c r="Q374" s="42"/>
      <c r="R374" s="7"/>
      <c r="S374"/>
      <c r="U374" s="42"/>
      <c r="V374" s="7"/>
      <c r="W374"/>
      <c r="Y374" s="42"/>
      <c r="Z374" s="7"/>
      <c r="AA374"/>
      <c r="AC374" s="42"/>
      <c r="AD374" s="7"/>
      <c r="AE374"/>
    </row>
    <row r="375" spans="7:31" x14ac:dyDescent="0.35">
      <c r="G375" s="39"/>
      <c r="H375" s="37"/>
      <c r="K375"/>
      <c r="M375" s="42"/>
      <c r="N375" s="7"/>
      <c r="O375"/>
      <c r="Q375" s="42"/>
      <c r="R375" s="7"/>
      <c r="S375"/>
      <c r="U375" s="42"/>
      <c r="V375" s="7"/>
      <c r="W375"/>
      <c r="Y375" s="42"/>
      <c r="Z375" s="7"/>
      <c r="AA375"/>
      <c r="AC375" s="42"/>
      <c r="AD375" s="7"/>
      <c r="AE375"/>
    </row>
    <row r="376" spans="7:31" x14ac:dyDescent="0.35">
      <c r="G376" s="39"/>
      <c r="H376" s="37"/>
      <c r="K376"/>
      <c r="M376" s="42"/>
      <c r="N376" s="7"/>
      <c r="O376"/>
      <c r="Q376" s="42"/>
      <c r="R376" s="7"/>
      <c r="S376"/>
      <c r="U376" s="42"/>
      <c r="V376" s="7"/>
      <c r="W376"/>
      <c r="Y376" s="42"/>
      <c r="Z376" s="7"/>
      <c r="AA376"/>
      <c r="AC376" s="42"/>
      <c r="AD376" s="7"/>
      <c r="AE376"/>
    </row>
    <row r="377" spans="7:31" x14ac:dyDescent="0.35">
      <c r="G377" s="39"/>
      <c r="H377" s="37"/>
      <c r="K377"/>
      <c r="M377" s="42"/>
      <c r="N377" s="7"/>
      <c r="O377"/>
      <c r="Q377" s="42"/>
      <c r="R377" s="7"/>
      <c r="S377"/>
      <c r="U377" s="42"/>
      <c r="V377" s="7"/>
      <c r="W377"/>
      <c r="Y377" s="42"/>
      <c r="Z377" s="7"/>
      <c r="AA377"/>
      <c r="AC377" s="42"/>
      <c r="AD377" s="7"/>
      <c r="AE377"/>
    </row>
    <row r="378" spans="7:31" x14ac:dyDescent="0.35">
      <c r="G378" s="39"/>
      <c r="H378" s="37"/>
      <c r="K378"/>
      <c r="M378" s="42"/>
      <c r="N378" s="7"/>
      <c r="O378"/>
      <c r="Q378" s="42"/>
      <c r="R378" s="7"/>
      <c r="S378"/>
      <c r="U378" s="42"/>
      <c r="V378" s="7"/>
      <c r="W378"/>
      <c r="Y378" s="42"/>
      <c r="Z378" s="7"/>
      <c r="AA378"/>
      <c r="AC378" s="42"/>
      <c r="AD378" s="7"/>
      <c r="AE378"/>
    </row>
    <row r="379" spans="7:31" x14ac:dyDescent="0.35">
      <c r="G379" s="39"/>
      <c r="H379" s="37"/>
      <c r="K379"/>
      <c r="M379" s="42"/>
      <c r="N379" s="7"/>
      <c r="O379"/>
      <c r="Q379" s="42"/>
      <c r="R379" s="7"/>
      <c r="S379"/>
      <c r="U379" s="42"/>
      <c r="V379" s="7"/>
      <c r="W379"/>
      <c r="Y379" s="42"/>
      <c r="Z379" s="7"/>
      <c r="AA379"/>
      <c r="AC379" s="42"/>
      <c r="AD379" s="7"/>
      <c r="AE379"/>
    </row>
    <row r="380" spans="7:31" x14ac:dyDescent="0.35">
      <c r="G380" s="39"/>
      <c r="H380" s="37"/>
      <c r="K380"/>
      <c r="M380" s="42"/>
      <c r="N380" s="7"/>
      <c r="O380"/>
      <c r="Q380" s="42"/>
      <c r="R380" s="7"/>
      <c r="S380"/>
      <c r="U380" s="42"/>
      <c r="V380" s="7"/>
      <c r="W380"/>
      <c r="Y380" s="42"/>
      <c r="Z380" s="7"/>
      <c r="AA380"/>
      <c r="AC380" s="42"/>
      <c r="AD380" s="7"/>
      <c r="AE380"/>
    </row>
    <row r="381" spans="7:31" x14ac:dyDescent="0.35">
      <c r="G381" s="39"/>
      <c r="H381" s="37"/>
      <c r="K381"/>
      <c r="M381" s="42"/>
      <c r="N381" s="7"/>
      <c r="O381"/>
      <c r="Q381" s="42"/>
      <c r="R381" s="7"/>
      <c r="S381"/>
      <c r="U381" s="42"/>
      <c r="V381" s="7"/>
      <c r="W381"/>
      <c r="Y381" s="42"/>
      <c r="Z381" s="7"/>
      <c r="AA381"/>
      <c r="AC381" s="42"/>
      <c r="AD381" s="7"/>
      <c r="AE381"/>
    </row>
    <row r="382" spans="7:31" x14ac:dyDescent="0.35">
      <c r="G382" s="39"/>
      <c r="H382" s="37"/>
      <c r="K382"/>
      <c r="M382" s="42"/>
      <c r="N382" s="7"/>
      <c r="O382"/>
      <c r="Q382" s="42"/>
      <c r="R382" s="7"/>
      <c r="S382"/>
      <c r="U382" s="42"/>
      <c r="V382" s="7"/>
      <c r="W382"/>
      <c r="Y382" s="42"/>
      <c r="Z382" s="7"/>
      <c r="AA382"/>
      <c r="AC382" s="42"/>
      <c r="AD382" s="7"/>
      <c r="AE382"/>
    </row>
    <row r="383" spans="7:31" x14ac:dyDescent="0.35">
      <c r="G383" s="39"/>
      <c r="H383" s="37"/>
      <c r="K383"/>
      <c r="M383" s="42"/>
      <c r="N383" s="7"/>
      <c r="O383"/>
      <c r="Q383" s="42"/>
      <c r="R383" s="7"/>
      <c r="S383"/>
      <c r="U383" s="42"/>
      <c r="V383" s="7"/>
      <c r="W383"/>
      <c r="Y383" s="42"/>
      <c r="Z383" s="7"/>
      <c r="AA383"/>
      <c r="AC383" s="42"/>
      <c r="AD383" s="7"/>
      <c r="AE383"/>
    </row>
    <row r="384" spans="7:31" x14ac:dyDescent="0.35">
      <c r="G384" s="39"/>
      <c r="H384" s="37"/>
      <c r="K384"/>
      <c r="M384" s="42"/>
      <c r="N384" s="7"/>
      <c r="O384"/>
      <c r="Q384" s="42"/>
      <c r="R384" s="7"/>
      <c r="S384"/>
      <c r="U384" s="42"/>
      <c r="V384" s="7"/>
      <c r="W384"/>
      <c r="Y384" s="42"/>
      <c r="Z384" s="7"/>
      <c r="AA384"/>
      <c r="AC384" s="42"/>
      <c r="AD384" s="7"/>
      <c r="AE384"/>
    </row>
    <row r="385" spans="7:31" x14ac:dyDescent="0.35">
      <c r="G385" s="39"/>
      <c r="H385" s="37"/>
      <c r="K385"/>
      <c r="M385" s="42"/>
      <c r="N385" s="7"/>
      <c r="O385"/>
      <c r="Q385" s="42"/>
      <c r="R385" s="7"/>
      <c r="S385"/>
      <c r="U385" s="42"/>
      <c r="V385" s="7"/>
      <c r="W385"/>
      <c r="Y385" s="42"/>
      <c r="Z385" s="7"/>
      <c r="AA385"/>
      <c r="AC385" s="42"/>
      <c r="AD385" s="7"/>
      <c r="AE385"/>
    </row>
    <row r="386" spans="7:31" x14ac:dyDescent="0.35">
      <c r="G386" s="39"/>
      <c r="H386" s="37"/>
      <c r="K386"/>
      <c r="M386" s="42"/>
      <c r="N386" s="7"/>
      <c r="O386"/>
      <c r="Q386" s="42"/>
      <c r="R386" s="7"/>
      <c r="S386"/>
      <c r="U386" s="42"/>
      <c r="V386" s="7"/>
      <c r="W386"/>
      <c r="Y386" s="42"/>
      <c r="Z386" s="7"/>
      <c r="AA386"/>
      <c r="AC386" s="42"/>
      <c r="AD386" s="7"/>
      <c r="AE386"/>
    </row>
    <row r="387" spans="7:31" x14ac:dyDescent="0.35">
      <c r="G387" s="39"/>
      <c r="H387" s="37"/>
      <c r="K387"/>
      <c r="M387" s="42"/>
      <c r="N387" s="7"/>
      <c r="O387"/>
      <c r="Q387" s="42"/>
      <c r="R387" s="7"/>
      <c r="S387"/>
      <c r="U387" s="42"/>
      <c r="V387" s="7"/>
      <c r="W387"/>
      <c r="Y387" s="42"/>
      <c r="Z387" s="7"/>
      <c r="AA387"/>
      <c r="AC387" s="42"/>
      <c r="AD387" s="7"/>
      <c r="AE387"/>
    </row>
    <row r="388" spans="7:31" x14ac:dyDescent="0.35">
      <c r="G388" s="39"/>
      <c r="H388" s="37"/>
      <c r="K388"/>
      <c r="M388" s="42"/>
      <c r="N388" s="7"/>
      <c r="O388"/>
      <c r="Q388" s="42"/>
      <c r="R388" s="7"/>
      <c r="S388"/>
      <c r="U388" s="42"/>
      <c r="V388" s="7"/>
      <c r="W388"/>
      <c r="Y388" s="42"/>
      <c r="Z388" s="7"/>
      <c r="AA388"/>
      <c r="AC388" s="42"/>
      <c r="AD388" s="7"/>
      <c r="AE388"/>
    </row>
    <row r="389" spans="7:31" x14ac:dyDescent="0.35">
      <c r="G389" s="39"/>
      <c r="H389" s="37"/>
      <c r="K389"/>
      <c r="M389" s="42"/>
      <c r="N389" s="7"/>
      <c r="O389"/>
      <c r="Q389" s="42"/>
      <c r="R389" s="7"/>
      <c r="S389"/>
      <c r="U389" s="42"/>
      <c r="V389" s="7"/>
      <c r="W389"/>
      <c r="Y389" s="42"/>
      <c r="Z389" s="7"/>
      <c r="AA389"/>
      <c r="AC389" s="42"/>
      <c r="AD389" s="7"/>
      <c r="AE389"/>
    </row>
    <row r="390" spans="7:31" x14ac:dyDescent="0.35">
      <c r="G390" s="39"/>
      <c r="H390" s="37"/>
      <c r="K390"/>
      <c r="M390" s="42"/>
      <c r="N390" s="7"/>
      <c r="O390"/>
      <c r="Q390" s="42"/>
      <c r="R390" s="7"/>
      <c r="S390"/>
      <c r="U390" s="42"/>
      <c r="V390" s="7"/>
      <c r="W390"/>
      <c r="Y390" s="42"/>
      <c r="Z390" s="7"/>
      <c r="AA390"/>
      <c r="AC390" s="42"/>
      <c r="AD390" s="7"/>
      <c r="AE390"/>
    </row>
    <row r="391" spans="7:31" x14ac:dyDescent="0.35">
      <c r="G391" s="39"/>
      <c r="H391" s="37"/>
      <c r="K391"/>
      <c r="M391" s="42"/>
      <c r="N391" s="7"/>
      <c r="O391"/>
      <c r="Q391" s="42"/>
      <c r="R391" s="7"/>
      <c r="S391"/>
      <c r="U391" s="42"/>
      <c r="V391" s="7"/>
      <c r="W391"/>
      <c r="Y391" s="42"/>
      <c r="Z391" s="7"/>
      <c r="AA391"/>
      <c r="AC391" s="42"/>
      <c r="AD391" s="7"/>
      <c r="AE391"/>
    </row>
    <row r="392" spans="7:31" x14ac:dyDescent="0.35">
      <c r="G392" s="39"/>
      <c r="H392" s="37"/>
      <c r="K392"/>
      <c r="M392" s="42"/>
      <c r="N392" s="7"/>
      <c r="O392"/>
      <c r="Q392" s="42"/>
      <c r="R392" s="7"/>
      <c r="S392"/>
      <c r="U392" s="42"/>
      <c r="V392" s="7"/>
      <c r="W392"/>
      <c r="Y392" s="42"/>
      <c r="Z392" s="7"/>
      <c r="AA392"/>
      <c r="AC392" s="42"/>
      <c r="AD392" s="7"/>
      <c r="AE392"/>
    </row>
    <row r="393" spans="7:31" x14ac:dyDescent="0.35">
      <c r="G393" s="39"/>
      <c r="H393" s="37"/>
      <c r="K393"/>
      <c r="M393" s="42"/>
      <c r="N393" s="7"/>
      <c r="O393"/>
      <c r="Q393" s="42"/>
      <c r="R393" s="7"/>
      <c r="S393"/>
      <c r="U393" s="42"/>
      <c r="V393" s="7"/>
      <c r="W393"/>
      <c r="Y393" s="42"/>
      <c r="Z393" s="7"/>
      <c r="AA393"/>
      <c r="AC393" s="42"/>
      <c r="AD393" s="7"/>
      <c r="AE393"/>
    </row>
    <row r="394" spans="7:31" x14ac:dyDescent="0.35">
      <c r="G394" s="39"/>
      <c r="H394" s="37"/>
      <c r="K394"/>
      <c r="M394" s="42"/>
      <c r="N394" s="7"/>
      <c r="O394"/>
      <c r="Q394" s="42"/>
      <c r="R394" s="7"/>
      <c r="S394"/>
      <c r="U394" s="42"/>
      <c r="V394" s="7"/>
      <c r="W394"/>
      <c r="Y394" s="42"/>
      <c r="Z394" s="7"/>
      <c r="AA394"/>
      <c r="AC394" s="42"/>
      <c r="AD394" s="7"/>
      <c r="AE394"/>
    </row>
    <row r="395" spans="7:31" x14ac:dyDescent="0.35">
      <c r="G395" s="39"/>
      <c r="H395" s="37"/>
      <c r="K395"/>
      <c r="M395" s="42"/>
      <c r="N395" s="7"/>
      <c r="O395"/>
      <c r="Q395" s="42"/>
      <c r="R395" s="7"/>
      <c r="S395"/>
      <c r="U395" s="42"/>
      <c r="V395" s="7"/>
      <c r="W395"/>
      <c r="Y395" s="42"/>
      <c r="Z395" s="7"/>
      <c r="AA395"/>
      <c r="AC395" s="42"/>
      <c r="AD395" s="7"/>
      <c r="AE395"/>
    </row>
    <row r="396" spans="7:31" x14ac:dyDescent="0.35">
      <c r="G396" s="39"/>
      <c r="H396" s="37"/>
      <c r="K396"/>
      <c r="M396" s="42"/>
      <c r="N396" s="7"/>
      <c r="O396"/>
      <c r="Q396" s="42"/>
      <c r="R396" s="7"/>
      <c r="S396"/>
      <c r="U396" s="42"/>
      <c r="V396" s="7"/>
      <c r="W396"/>
      <c r="Y396" s="42"/>
      <c r="Z396" s="7"/>
      <c r="AA396"/>
      <c r="AC396" s="42"/>
      <c r="AD396" s="7"/>
      <c r="AE396"/>
    </row>
    <row r="397" spans="7:31" x14ac:dyDescent="0.35">
      <c r="G397" s="39"/>
      <c r="H397" s="37"/>
      <c r="K397"/>
      <c r="M397" s="42"/>
      <c r="N397" s="7"/>
      <c r="O397"/>
      <c r="Q397" s="42"/>
      <c r="R397" s="7"/>
      <c r="S397"/>
      <c r="U397" s="42"/>
      <c r="V397" s="7"/>
      <c r="W397"/>
      <c r="Y397" s="42"/>
      <c r="Z397" s="7"/>
      <c r="AA397"/>
      <c r="AC397" s="42"/>
      <c r="AD397" s="7"/>
      <c r="AE397"/>
    </row>
    <row r="398" spans="7:31" x14ac:dyDescent="0.35">
      <c r="G398" s="39"/>
      <c r="H398" s="37"/>
      <c r="K398"/>
      <c r="M398" s="42"/>
      <c r="N398" s="7"/>
      <c r="O398"/>
      <c r="Q398" s="42"/>
      <c r="R398" s="7"/>
      <c r="S398"/>
      <c r="U398" s="42"/>
      <c r="V398" s="7"/>
      <c r="W398"/>
      <c r="Y398" s="42"/>
      <c r="Z398" s="7"/>
      <c r="AA398"/>
      <c r="AC398" s="42"/>
      <c r="AD398" s="7"/>
      <c r="AE398"/>
    </row>
    <row r="399" spans="7:31" x14ac:dyDescent="0.35">
      <c r="G399" s="39"/>
      <c r="H399" s="37"/>
      <c r="K399"/>
      <c r="M399" s="42"/>
      <c r="N399" s="7"/>
      <c r="O399"/>
      <c r="Q399" s="42"/>
      <c r="R399" s="7"/>
      <c r="S399"/>
      <c r="U399" s="42"/>
      <c r="V399" s="7"/>
      <c r="W399"/>
      <c r="Y399" s="42"/>
      <c r="Z399" s="7"/>
      <c r="AA399"/>
      <c r="AC399" s="42"/>
      <c r="AD399" s="7"/>
      <c r="AE399"/>
    </row>
    <row r="400" spans="7:31" x14ac:dyDescent="0.35">
      <c r="G400" s="39"/>
      <c r="H400" s="37"/>
      <c r="K400"/>
      <c r="M400" s="42"/>
      <c r="N400" s="7"/>
      <c r="O400"/>
      <c r="Q400" s="42"/>
      <c r="R400" s="7"/>
      <c r="S400"/>
      <c r="U400" s="42"/>
      <c r="V400" s="7"/>
      <c r="W400"/>
      <c r="Y400" s="42"/>
      <c r="Z400" s="7"/>
      <c r="AA400"/>
      <c r="AC400" s="42"/>
      <c r="AD400" s="7"/>
      <c r="AE400"/>
    </row>
    <row r="401" spans="7:31" x14ac:dyDescent="0.35">
      <c r="G401" s="39"/>
      <c r="H401" s="37"/>
      <c r="K401"/>
      <c r="M401" s="42"/>
      <c r="N401" s="7"/>
      <c r="O401"/>
      <c r="Q401" s="42"/>
      <c r="R401" s="7"/>
      <c r="S401"/>
      <c r="U401" s="42"/>
      <c r="V401" s="7"/>
      <c r="W401"/>
      <c r="Y401" s="42"/>
      <c r="Z401" s="7"/>
      <c r="AA401"/>
      <c r="AC401" s="42"/>
      <c r="AD401" s="7"/>
      <c r="AE401"/>
    </row>
    <row r="402" spans="7:31" x14ac:dyDescent="0.35">
      <c r="G402" s="39"/>
      <c r="H402" s="37"/>
      <c r="K402"/>
      <c r="M402" s="42"/>
      <c r="N402" s="7"/>
      <c r="O402"/>
      <c r="Q402" s="42"/>
      <c r="R402" s="7"/>
      <c r="S402"/>
      <c r="U402" s="42"/>
      <c r="V402" s="7"/>
      <c r="W402"/>
      <c r="Y402" s="42"/>
      <c r="Z402" s="7"/>
      <c r="AA402"/>
      <c r="AC402" s="42"/>
      <c r="AD402" s="7"/>
      <c r="AE402"/>
    </row>
    <row r="403" spans="7:31" x14ac:dyDescent="0.35">
      <c r="G403" s="39"/>
      <c r="H403" s="37"/>
      <c r="K403"/>
      <c r="M403" s="42"/>
      <c r="N403" s="7"/>
      <c r="O403"/>
      <c r="Q403" s="42"/>
      <c r="R403" s="7"/>
      <c r="S403"/>
      <c r="U403" s="42"/>
      <c r="V403" s="7"/>
      <c r="W403"/>
      <c r="Y403" s="42"/>
      <c r="Z403" s="7"/>
      <c r="AA403"/>
      <c r="AC403" s="42"/>
      <c r="AD403" s="7"/>
      <c r="AE403"/>
    </row>
    <row r="404" spans="7:31" x14ac:dyDescent="0.35">
      <c r="G404" s="39"/>
      <c r="H404" s="37"/>
      <c r="K404"/>
      <c r="M404" s="42"/>
      <c r="N404" s="7"/>
      <c r="O404"/>
      <c r="Q404" s="42"/>
      <c r="R404" s="7"/>
      <c r="S404"/>
      <c r="U404" s="42"/>
      <c r="V404" s="7"/>
      <c r="W404"/>
      <c r="Y404" s="42"/>
      <c r="Z404" s="7"/>
      <c r="AA404"/>
      <c r="AC404" s="42"/>
      <c r="AD404" s="7"/>
      <c r="AE404"/>
    </row>
    <row r="405" spans="7:31" x14ac:dyDescent="0.35">
      <c r="G405" s="39"/>
      <c r="H405" s="37"/>
      <c r="K405"/>
      <c r="M405" s="42"/>
      <c r="N405" s="7"/>
      <c r="O405"/>
      <c r="Q405" s="42"/>
      <c r="R405" s="7"/>
      <c r="S405"/>
      <c r="U405" s="42"/>
      <c r="V405" s="7"/>
      <c r="W405"/>
      <c r="Y405" s="42"/>
      <c r="Z405" s="7"/>
      <c r="AA405"/>
      <c r="AC405" s="42"/>
      <c r="AD405" s="7"/>
      <c r="AE405"/>
    </row>
    <row r="406" spans="7:31" x14ac:dyDescent="0.35">
      <c r="G406" s="39"/>
      <c r="H406" s="37"/>
      <c r="K406"/>
      <c r="M406" s="42"/>
      <c r="N406" s="7"/>
      <c r="O406"/>
      <c r="Q406" s="42"/>
      <c r="R406" s="7"/>
      <c r="S406"/>
      <c r="U406" s="42"/>
      <c r="V406" s="7"/>
      <c r="W406"/>
      <c r="Y406" s="42"/>
      <c r="Z406" s="7"/>
      <c r="AA406"/>
      <c r="AC406" s="42"/>
      <c r="AD406" s="7"/>
      <c r="AE406"/>
    </row>
    <row r="407" spans="7:31" x14ac:dyDescent="0.35">
      <c r="G407" s="39"/>
      <c r="H407" s="37"/>
      <c r="K407"/>
      <c r="M407" s="42"/>
      <c r="N407" s="7"/>
      <c r="O407"/>
      <c r="Q407" s="42"/>
      <c r="R407" s="7"/>
      <c r="S407"/>
      <c r="U407" s="42"/>
      <c r="V407" s="7"/>
      <c r="W407"/>
      <c r="Y407" s="42"/>
      <c r="Z407" s="7"/>
      <c r="AA407"/>
      <c r="AC407" s="42"/>
      <c r="AD407" s="7"/>
      <c r="AE407"/>
    </row>
    <row r="408" spans="7:31" x14ac:dyDescent="0.35">
      <c r="G408" s="39"/>
      <c r="H408" s="37"/>
      <c r="K408"/>
      <c r="M408" s="42"/>
      <c r="N408" s="7"/>
      <c r="O408"/>
      <c r="Q408" s="42"/>
      <c r="R408" s="7"/>
      <c r="S408"/>
      <c r="U408" s="42"/>
      <c r="V408" s="7"/>
      <c r="W408"/>
      <c r="Y408" s="42"/>
      <c r="Z408" s="7"/>
      <c r="AA408"/>
      <c r="AC408" s="42"/>
      <c r="AD408" s="7"/>
      <c r="AE408"/>
    </row>
    <row r="409" spans="7:31" x14ac:dyDescent="0.35">
      <c r="G409" s="39"/>
      <c r="H409" s="37"/>
      <c r="K409"/>
      <c r="M409" s="42"/>
      <c r="N409" s="7"/>
      <c r="O409"/>
      <c r="Q409" s="42"/>
      <c r="R409" s="7"/>
      <c r="S409"/>
      <c r="U409" s="42"/>
      <c r="V409" s="7"/>
      <c r="W409"/>
      <c r="Y409" s="42"/>
      <c r="Z409" s="7"/>
      <c r="AA409"/>
      <c r="AC409" s="42"/>
      <c r="AD409" s="7"/>
      <c r="AE409"/>
    </row>
    <row r="410" spans="7:31" x14ac:dyDescent="0.35">
      <c r="G410" s="39"/>
      <c r="H410" s="37"/>
      <c r="K410"/>
      <c r="M410" s="42"/>
      <c r="N410" s="7"/>
      <c r="O410"/>
      <c r="Q410" s="42"/>
      <c r="R410" s="7"/>
      <c r="S410"/>
      <c r="U410" s="42"/>
      <c r="V410" s="7"/>
      <c r="W410"/>
      <c r="Y410" s="42"/>
      <c r="Z410" s="7"/>
      <c r="AA410"/>
      <c r="AC410" s="42"/>
      <c r="AD410" s="7"/>
      <c r="AE410"/>
    </row>
    <row r="411" spans="7:31" x14ac:dyDescent="0.35">
      <c r="G411" s="39"/>
      <c r="H411" s="37"/>
      <c r="K411"/>
      <c r="M411" s="42"/>
      <c r="N411" s="7"/>
      <c r="O411"/>
      <c r="Q411" s="42"/>
      <c r="R411" s="7"/>
      <c r="S411"/>
      <c r="U411" s="42"/>
      <c r="V411" s="7"/>
      <c r="W411"/>
      <c r="Y411" s="42"/>
      <c r="Z411" s="7"/>
      <c r="AA411"/>
      <c r="AC411" s="42"/>
      <c r="AD411" s="7"/>
      <c r="AE411"/>
    </row>
    <row r="412" spans="7:31" x14ac:dyDescent="0.35">
      <c r="G412" s="39"/>
      <c r="H412" s="37"/>
      <c r="K412"/>
      <c r="M412" s="42"/>
      <c r="N412" s="7"/>
      <c r="O412"/>
      <c r="Q412" s="42"/>
      <c r="R412" s="7"/>
      <c r="S412"/>
      <c r="U412" s="42"/>
      <c r="V412" s="7"/>
      <c r="W412"/>
      <c r="Y412" s="42"/>
      <c r="Z412" s="7"/>
      <c r="AA412"/>
      <c r="AC412" s="42"/>
      <c r="AD412" s="7"/>
      <c r="AE412"/>
    </row>
    <row r="413" spans="7:31" x14ac:dyDescent="0.35">
      <c r="G413" s="39"/>
      <c r="H413" s="37"/>
      <c r="K413"/>
      <c r="M413" s="42"/>
      <c r="N413" s="7"/>
      <c r="O413"/>
      <c r="Q413" s="42"/>
      <c r="R413" s="7"/>
      <c r="S413"/>
      <c r="U413" s="42"/>
      <c r="V413" s="7"/>
      <c r="W413"/>
      <c r="Y413" s="42"/>
      <c r="Z413" s="7"/>
      <c r="AA413"/>
      <c r="AC413" s="42"/>
      <c r="AD413" s="7"/>
      <c r="AE413"/>
    </row>
    <row r="414" spans="7:31" x14ac:dyDescent="0.35">
      <c r="G414" s="39"/>
      <c r="H414" s="37"/>
      <c r="K414"/>
      <c r="M414" s="42"/>
      <c r="N414" s="7"/>
      <c r="O414"/>
      <c r="Q414" s="42"/>
      <c r="R414" s="7"/>
      <c r="S414"/>
      <c r="U414" s="42"/>
      <c r="V414" s="7"/>
      <c r="W414"/>
      <c r="Y414" s="42"/>
      <c r="Z414" s="7"/>
      <c r="AA414"/>
      <c r="AC414" s="42"/>
      <c r="AD414" s="7"/>
      <c r="AE414"/>
    </row>
    <row r="415" spans="7:31" x14ac:dyDescent="0.35">
      <c r="G415" s="39"/>
      <c r="H415" s="37"/>
      <c r="K415"/>
      <c r="M415" s="42"/>
      <c r="N415" s="7"/>
      <c r="O415"/>
      <c r="Q415" s="42"/>
      <c r="R415" s="7"/>
      <c r="S415"/>
      <c r="U415" s="42"/>
      <c r="V415" s="7"/>
      <c r="W415"/>
      <c r="Y415" s="42"/>
      <c r="Z415" s="7"/>
      <c r="AA415"/>
      <c r="AC415" s="42"/>
      <c r="AD415" s="7"/>
      <c r="AE415"/>
    </row>
    <row r="416" spans="7:31" x14ac:dyDescent="0.35">
      <c r="G416" s="39"/>
      <c r="H416" s="37"/>
      <c r="K416"/>
      <c r="M416" s="42"/>
      <c r="N416" s="7"/>
      <c r="O416"/>
      <c r="Q416" s="42"/>
      <c r="R416" s="7"/>
      <c r="S416"/>
      <c r="U416" s="42"/>
      <c r="V416" s="7"/>
      <c r="W416"/>
      <c r="Y416" s="42"/>
      <c r="Z416" s="7"/>
      <c r="AA416"/>
      <c r="AC416" s="42"/>
      <c r="AD416" s="7"/>
      <c r="AE416"/>
    </row>
    <row r="417" spans="7:31" x14ac:dyDescent="0.35">
      <c r="G417" s="39"/>
      <c r="H417" s="37"/>
      <c r="K417"/>
      <c r="M417" s="42"/>
      <c r="N417" s="7"/>
      <c r="O417"/>
      <c r="Q417" s="42"/>
      <c r="R417" s="7"/>
      <c r="S417"/>
      <c r="U417" s="42"/>
      <c r="V417" s="7"/>
      <c r="W417"/>
      <c r="Y417" s="42"/>
      <c r="Z417" s="7"/>
      <c r="AA417"/>
      <c r="AC417" s="42"/>
      <c r="AD417" s="7"/>
      <c r="AE417"/>
    </row>
    <row r="418" spans="7:31" x14ac:dyDescent="0.35">
      <c r="G418" s="39"/>
      <c r="H418" s="37"/>
      <c r="K418"/>
      <c r="M418" s="42"/>
      <c r="N418" s="7"/>
      <c r="O418"/>
      <c r="Q418" s="42"/>
      <c r="R418" s="7"/>
      <c r="S418"/>
      <c r="U418" s="42"/>
      <c r="V418" s="7"/>
      <c r="W418"/>
      <c r="Y418" s="42"/>
      <c r="Z418" s="7"/>
      <c r="AA418"/>
      <c r="AC418" s="42"/>
      <c r="AD418" s="7"/>
      <c r="AE418"/>
    </row>
    <row r="419" spans="7:31" x14ac:dyDescent="0.35">
      <c r="G419" s="39"/>
      <c r="H419" s="37"/>
      <c r="K419"/>
      <c r="M419" s="42"/>
      <c r="N419" s="7"/>
      <c r="O419"/>
      <c r="Q419" s="42"/>
      <c r="R419" s="7"/>
      <c r="S419"/>
      <c r="U419" s="42"/>
      <c r="V419" s="7"/>
      <c r="W419"/>
      <c r="Y419" s="42"/>
      <c r="Z419" s="7"/>
      <c r="AA419"/>
      <c r="AC419" s="42"/>
      <c r="AD419" s="7"/>
      <c r="AE419"/>
    </row>
    <row r="420" spans="7:31" x14ac:dyDescent="0.35">
      <c r="G420" s="39"/>
      <c r="H420" s="37"/>
      <c r="K420"/>
      <c r="M420" s="42"/>
      <c r="N420" s="7"/>
      <c r="O420"/>
      <c r="Q420" s="42"/>
      <c r="R420" s="7"/>
      <c r="S420"/>
      <c r="U420" s="42"/>
      <c r="V420" s="7"/>
      <c r="W420"/>
      <c r="Y420" s="42"/>
      <c r="Z420" s="7"/>
      <c r="AA420"/>
      <c r="AC420" s="42"/>
      <c r="AD420" s="7"/>
      <c r="AE420"/>
    </row>
    <row r="421" spans="7:31" x14ac:dyDescent="0.35">
      <c r="G421" s="39"/>
      <c r="H421" s="37"/>
      <c r="K421"/>
      <c r="M421" s="42"/>
      <c r="N421" s="7"/>
      <c r="O421"/>
      <c r="Q421" s="42"/>
      <c r="R421" s="7"/>
      <c r="S421"/>
      <c r="U421" s="42"/>
      <c r="V421" s="7"/>
      <c r="W421"/>
      <c r="Y421" s="42"/>
      <c r="Z421" s="7"/>
      <c r="AA421"/>
      <c r="AC421" s="42"/>
      <c r="AD421" s="7"/>
      <c r="AE421"/>
    </row>
    <row r="422" spans="7:31" x14ac:dyDescent="0.35">
      <c r="G422" s="39"/>
      <c r="H422" s="37"/>
      <c r="K422"/>
      <c r="M422" s="42"/>
      <c r="N422" s="7"/>
      <c r="O422"/>
      <c r="Q422" s="42"/>
      <c r="R422" s="7"/>
      <c r="S422"/>
      <c r="U422" s="42"/>
      <c r="V422" s="7"/>
      <c r="W422"/>
      <c r="Y422" s="42"/>
      <c r="Z422" s="7"/>
      <c r="AA422"/>
      <c r="AC422" s="42"/>
      <c r="AD422" s="7"/>
      <c r="AE422"/>
    </row>
    <row r="423" spans="7:31" x14ac:dyDescent="0.35">
      <c r="G423" s="39"/>
      <c r="H423" s="37"/>
      <c r="K423"/>
      <c r="M423" s="42"/>
      <c r="N423" s="7"/>
      <c r="O423"/>
      <c r="Q423" s="42"/>
      <c r="R423" s="7"/>
      <c r="S423"/>
      <c r="U423" s="42"/>
      <c r="V423" s="7"/>
      <c r="W423"/>
      <c r="Y423" s="42"/>
      <c r="Z423" s="7"/>
      <c r="AA423"/>
      <c r="AC423" s="42"/>
      <c r="AD423" s="7"/>
      <c r="AE423"/>
    </row>
    <row r="424" spans="7:31" x14ac:dyDescent="0.35">
      <c r="G424" s="39"/>
      <c r="H424" s="37"/>
      <c r="K424"/>
      <c r="M424" s="42"/>
      <c r="N424" s="7"/>
      <c r="O424"/>
      <c r="Q424" s="42"/>
      <c r="R424" s="7"/>
      <c r="S424"/>
      <c r="U424" s="42"/>
      <c r="V424" s="7"/>
      <c r="W424"/>
      <c r="Y424" s="42"/>
      <c r="Z424" s="7"/>
      <c r="AA424"/>
      <c r="AC424" s="42"/>
      <c r="AD424" s="7"/>
      <c r="AE424"/>
    </row>
    <row r="425" spans="7:31" x14ac:dyDescent="0.35">
      <c r="G425" s="39"/>
      <c r="H425" s="37"/>
      <c r="K425"/>
      <c r="M425" s="42"/>
      <c r="N425" s="7"/>
      <c r="O425"/>
      <c r="Q425" s="42"/>
      <c r="R425" s="7"/>
      <c r="S425"/>
      <c r="U425" s="42"/>
      <c r="V425" s="7"/>
      <c r="W425"/>
      <c r="Y425" s="42"/>
      <c r="Z425" s="7"/>
      <c r="AA425"/>
      <c r="AC425" s="42"/>
      <c r="AD425" s="7"/>
      <c r="AE425"/>
    </row>
    <row r="426" spans="7:31" x14ac:dyDescent="0.35">
      <c r="G426" s="39"/>
      <c r="H426" s="37"/>
      <c r="K426"/>
      <c r="M426" s="42"/>
      <c r="N426" s="7"/>
      <c r="O426"/>
      <c r="Q426" s="42"/>
      <c r="R426" s="7"/>
      <c r="S426"/>
      <c r="U426" s="42"/>
      <c r="V426" s="7"/>
      <c r="W426"/>
      <c r="Y426" s="42"/>
      <c r="Z426" s="7"/>
      <c r="AA426"/>
      <c r="AC426" s="42"/>
      <c r="AD426" s="7"/>
      <c r="AE426"/>
    </row>
    <row r="427" spans="7:31" x14ac:dyDescent="0.35">
      <c r="G427" s="39"/>
      <c r="H427" s="37"/>
      <c r="K427"/>
      <c r="M427" s="42"/>
      <c r="N427" s="7"/>
      <c r="O427"/>
      <c r="Q427" s="42"/>
      <c r="R427" s="7"/>
      <c r="S427"/>
      <c r="U427" s="42"/>
      <c r="V427" s="7"/>
      <c r="W427"/>
      <c r="Y427" s="42"/>
      <c r="Z427" s="7"/>
      <c r="AA427"/>
      <c r="AC427" s="42"/>
      <c r="AD427" s="7"/>
      <c r="AE427"/>
    </row>
    <row r="428" spans="7:31" x14ac:dyDescent="0.35">
      <c r="G428" s="39"/>
      <c r="H428" s="37"/>
      <c r="K428"/>
      <c r="M428" s="42"/>
      <c r="N428" s="7"/>
      <c r="O428"/>
      <c r="Q428" s="42"/>
      <c r="R428" s="7"/>
      <c r="S428"/>
      <c r="U428" s="42"/>
      <c r="V428" s="7"/>
      <c r="W428"/>
      <c r="Y428" s="42"/>
      <c r="Z428" s="7"/>
      <c r="AA428"/>
      <c r="AC428" s="42"/>
      <c r="AD428" s="7"/>
      <c r="AE428"/>
    </row>
    <row r="429" spans="7:31" x14ac:dyDescent="0.35">
      <c r="G429" s="39"/>
      <c r="H429" s="37"/>
      <c r="K429"/>
      <c r="M429" s="42"/>
      <c r="N429" s="7"/>
      <c r="O429"/>
      <c r="Q429" s="42"/>
      <c r="R429" s="7"/>
      <c r="S429"/>
      <c r="U429" s="42"/>
      <c r="V429" s="7"/>
      <c r="W429"/>
      <c r="Y429" s="42"/>
      <c r="Z429" s="7"/>
      <c r="AA429"/>
      <c r="AC429" s="42"/>
      <c r="AD429" s="7"/>
      <c r="AE429"/>
    </row>
    <row r="430" spans="7:31" x14ac:dyDescent="0.35">
      <c r="G430" s="39"/>
      <c r="H430" s="37"/>
      <c r="K430"/>
      <c r="M430" s="42"/>
      <c r="N430" s="7"/>
      <c r="O430"/>
      <c r="Q430" s="42"/>
      <c r="R430" s="7"/>
      <c r="S430"/>
      <c r="U430" s="42"/>
      <c r="V430" s="7"/>
      <c r="W430"/>
      <c r="Y430" s="42"/>
      <c r="Z430" s="7"/>
      <c r="AA430"/>
      <c r="AC430" s="42"/>
      <c r="AD430" s="7"/>
      <c r="AE430"/>
    </row>
    <row r="431" spans="7:31" x14ac:dyDescent="0.35">
      <c r="G431" s="39"/>
      <c r="H431" s="37"/>
      <c r="K431"/>
      <c r="M431" s="42"/>
      <c r="N431" s="7"/>
      <c r="O431"/>
      <c r="Q431" s="42"/>
      <c r="R431" s="7"/>
      <c r="S431"/>
      <c r="U431" s="42"/>
      <c r="V431" s="7"/>
      <c r="W431"/>
      <c r="Y431" s="42"/>
      <c r="Z431" s="7"/>
      <c r="AA431"/>
      <c r="AC431" s="42"/>
      <c r="AD431" s="7"/>
      <c r="AE431"/>
    </row>
    <row r="432" spans="7:31" x14ac:dyDescent="0.35">
      <c r="G432" s="39"/>
      <c r="H432" s="37"/>
      <c r="K432"/>
      <c r="M432" s="42"/>
      <c r="N432" s="7"/>
      <c r="O432"/>
      <c r="Q432" s="42"/>
      <c r="R432" s="7"/>
      <c r="S432"/>
      <c r="U432" s="42"/>
      <c r="V432" s="7"/>
      <c r="W432"/>
      <c r="Y432" s="42"/>
      <c r="Z432" s="7"/>
      <c r="AA432"/>
      <c r="AC432" s="42"/>
      <c r="AD432" s="7"/>
      <c r="AE432"/>
    </row>
    <row r="433" spans="7:31" x14ac:dyDescent="0.35">
      <c r="G433" s="39"/>
      <c r="H433" s="37"/>
      <c r="K433"/>
      <c r="M433" s="42"/>
      <c r="N433" s="7"/>
      <c r="O433"/>
      <c r="Q433" s="42"/>
      <c r="R433" s="7"/>
      <c r="S433"/>
      <c r="U433" s="42"/>
      <c r="V433" s="7"/>
      <c r="W433"/>
      <c r="Y433" s="42"/>
      <c r="Z433" s="7"/>
      <c r="AA433"/>
      <c r="AC433" s="42"/>
      <c r="AD433" s="7"/>
      <c r="AE433"/>
    </row>
    <row r="434" spans="7:31" x14ac:dyDescent="0.35">
      <c r="G434" s="39"/>
      <c r="H434" s="37"/>
      <c r="K434"/>
      <c r="M434" s="42"/>
      <c r="N434" s="7"/>
      <c r="O434"/>
      <c r="Q434" s="42"/>
      <c r="R434" s="7"/>
      <c r="S434"/>
      <c r="U434" s="42"/>
      <c r="V434" s="7"/>
      <c r="W434"/>
      <c r="Y434" s="42"/>
      <c r="Z434" s="7"/>
      <c r="AA434"/>
      <c r="AC434" s="42"/>
      <c r="AD434" s="7"/>
      <c r="AE434"/>
    </row>
    <row r="435" spans="7:31" x14ac:dyDescent="0.35">
      <c r="G435" s="39"/>
      <c r="H435" s="37"/>
      <c r="K435"/>
      <c r="M435" s="42"/>
      <c r="N435" s="7"/>
      <c r="O435"/>
      <c r="Q435" s="42"/>
      <c r="R435" s="7"/>
      <c r="S435"/>
      <c r="U435" s="42"/>
      <c r="V435" s="7"/>
      <c r="W435"/>
      <c r="Y435" s="42"/>
      <c r="Z435" s="7"/>
      <c r="AA435"/>
      <c r="AC435" s="42"/>
      <c r="AD435" s="7"/>
      <c r="AE435"/>
    </row>
    <row r="436" spans="7:31" x14ac:dyDescent="0.35">
      <c r="G436" s="39"/>
      <c r="H436" s="37"/>
      <c r="K436"/>
      <c r="M436" s="42"/>
      <c r="N436" s="7"/>
      <c r="O436"/>
      <c r="Q436" s="42"/>
      <c r="R436" s="7"/>
      <c r="S436"/>
      <c r="U436" s="42"/>
      <c r="V436" s="7"/>
      <c r="W436"/>
      <c r="Y436" s="42"/>
      <c r="Z436" s="7"/>
      <c r="AA436"/>
      <c r="AC436" s="42"/>
      <c r="AD436" s="7"/>
      <c r="AE436"/>
    </row>
    <row r="437" spans="7:31" x14ac:dyDescent="0.35">
      <c r="G437" s="39"/>
      <c r="H437" s="37"/>
      <c r="K437"/>
      <c r="M437" s="42"/>
      <c r="N437" s="7"/>
      <c r="O437"/>
      <c r="Q437" s="42"/>
      <c r="R437" s="7"/>
      <c r="S437"/>
      <c r="U437" s="42"/>
      <c r="V437" s="7"/>
      <c r="W437"/>
      <c r="Y437" s="42"/>
      <c r="Z437" s="7"/>
      <c r="AA437"/>
      <c r="AC437" s="42"/>
      <c r="AD437" s="7"/>
      <c r="AE437"/>
    </row>
    <row r="438" spans="7:31" x14ac:dyDescent="0.35">
      <c r="G438" s="39"/>
      <c r="H438" s="37"/>
      <c r="K438"/>
      <c r="M438" s="42"/>
      <c r="N438" s="7"/>
      <c r="O438"/>
      <c r="Q438" s="42"/>
      <c r="R438" s="7"/>
      <c r="S438"/>
      <c r="U438" s="42"/>
      <c r="V438" s="7"/>
      <c r="W438"/>
      <c r="Y438" s="42"/>
      <c r="Z438" s="7"/>
      <c r="AA438"/>
      <c r="AC438" s="42"/>
      <c r="AD438" s="7"/>
      <c r="AE438"/>
    </row>
    <row r="439" spans="7:31" x14ac:dyDescent="0.35">
      <c r="G439" s="39"/>
      <c r="H439" s="37"/>
      <c r="K439"/>
      <c r="M439" s="42"/>
      <c r="N439" s="7"/>
      <c r="O439"/>
      <c r="Q439" s="42"/>
      <c r="R439" s="7"/>
      <c r="S439"/>
      <c r="U439" s="42"/>
      <c r="V439" s="7"/>
      <c r="W439"/>
      <c r="Y439" s="42"/>
      <c r="Z439" s="7"/>
      <c r="AA439"/>
      <c r="AC439" s="42"/>
      <c r="AD439" s="7"/>
      <c r="AE439"/>
    </row>
    <row r="440" spans="7:31" x14ac:dyDescent="0.35">
      <c r="G440" s="39"/>
      <c r="H440" s="37"/>
      <c r="K440"/>
      <c r="M440" s="42"/>
      <c r="N440" s="7"/>
      <c r="O440"/>
      <c r="Q440" s="42"/>
      <c r="R440" s="7"/>
      <c r="S440"/>
      <c r="U440" s="42"/>
      <c r="V440" s="7"/>
      <c r="W440"/>
      <c r="Y440" s="42"/>
      <c r="Z440" s="7"/>
      <c r="AA440"/>
      <c r="AC440" s="42"/>
      <c r="AD440" s="7"/>
      <c r="AE440"/>
    </row>
    <row r="441" spans="7:31" x14ac:dyDescent="0.35">
      <c r="G441" s="39"/>
      <c r="H441" s="37"/>
      <c r="K441"/>
      <c r="M441" s="42"/>
      <c r="N441" s="7"/>
      <c r="O441"/>
      <c r="Q441" s="42"/>
      <c r="R441" s="7"/>
      <c r="S441"/>
      <c r="U441" s="42"/>
      <c r="V441" s="7"/>
      <c r="W441"/>
      <c r="Y441" s="42"/>
      <c r="Z441" s="7"/>
      <c r="AA441"/>
      <c r="AC441" s="42"/>
      <c r="AD441" s="7"/>
      <c r="AE441"/>
    </row>
    <row r="442" spans="7:31" x14ac:dyDescent="0.35">
      <c r="G442" s="39"/>
      <c r="H442" s="37"/>
      <c r="K442"/>
      <c r="M442" s="42"/>
      <c r="N442" s="7"/>
      <c r="O442"/>
      <c r="Q442" s="42"/>
      <c r="R442" s="7"/>
      <c r="S442"/>
      <c r="U442" s="42"/>
      <c r="V442" s="7"/>
      <c r="W442"/>
      <c r="Y442" s="42"/>
      <c r="Z442" s="7"/>
      <c r="AA442"/>
      <c r="AC442" s="42"/>
      <c r="AD442" s="7"/>
      <c r="AE442"/>
    </row>
    <row r="443" spans="7:31" x14ac:dyDescent="0.35">
      <c r="G443" s="39"/>
      <c r="H443" s="37"/>
      <c r="K443"/>
      <c r="M443" s="42"/>
      <c r="N443" s="7"/>
      <c r="O443"/>
      <c r="Q443" s="42"/>
      <c r="R443" s="7"/>
      <c r="S443"/>
      <c r="U443" s="42"/>
      <c r="V443" s="7"/>
      <c r="W443"/>
      <c r="Y443" s="42"/>
      <c r="Z443" s="7"/>
      <c r="AA443"/>
      <c r="AC443" s="42"/>
      <c r="AD443" s="7"/>
      <c r="AE443"/>
    </row>
    <row r="444" spans="7:31" x14ac:dyDescent="0.35">
      <c r="G444" s="39"/>
      <c r="H444" s="37"/>
      <c r="K444"/>
      <c r="M444" s="42"/>
      <c r="N444" s="7"/>
      <c r="O444"/>
      <c r="Q444" s="42"/>
      <c r="R444" s="7"/>
      <c r="S444"/>
      <c r="U444" s="42"/>
      <c r="V444" s="7"/>
      <c r="W444"/>
      <c r="Y444" s="42"/>
      <c r="Z444" s="7"/>
      <c r="AA444"/>
      <c r="AC444" s="42"/>
      <c r="AD444" s="7"/>
      <c r="AE444"/>
    </row>
    <row r="445" spans="7:31" x14ac:dyDescent="0.35">
      <c r="G445" s="39"/>
      <c r="H445" s="37"/>
      <c r="K445"/>
      <c r="M445" s="42"/>
      <c r="N445" s="7"/>
      <c r="O445"/>
      <c r="Q445" s="42"/>
      <c r="R445" s="7"/>
      <c r="S445"/>
      <c r="U445" s="42"/>
      <c r="V445" s="7"/>
      <c r="W445"/>
      <c r="Y445" s="42"/>
      <c r="Z445" s="7"/>
      <c r="AA445"/>
      <c r="AC445" s="42"/>
      <c r="AD445" s="7"/>
      <c r="AE445"/>
    </row>
    <row r="446" spans="7:31" x14ac:dyDescent="0.35">
      <c r="G446" s="39"/>
      <c r="H446" s="37"/>
      <c r="K446"/>
      <c r="M446" s="42"/>
      <c r="N446" s="7"/>
      <c r="O446"/>
      <c r="Q446" s="42"/>
      <c r="R446" s="7"/>
      <c r="S446"/>
      <c r="U446" s="42"/>
      <c r="V446" s="7"/>
      <c r="W446"/>
      <c r="Y446" s="42"/>
      <c r="Z446" s="7"/>
      <c r="AA446"/>
      <c r="AC446" s="42"/>
      <c r="AD446" s="7"/>
      <c r="AE446"/>
    </row>
    <row r="447" spans="7:31" x14ac:dyDescent="0.35">
      <c r="G447" s="39"/>
      <c r="H447" s="37"/>
      <c r="K447"/>
      <c r="M447" s="42"/>
      <c r="N447" s="7"/>
      <c r="O447"/>
      <c r="Q447" s="42"/>
      <c r="R447" s="7"/>
      <c r="S447"/>
      <c r="U447" s="42"/>
      <c r="V447" s="7"/>
      <c r="W447"/>
      <c r="Y447" s="42"/>
      <c r="Z447" s="7"/>
      <c r="AA447"/>
      <c r="AC447" s="42"/>
      <c r="AD447" s="7"/>
      <c r="AE447"/>
    </row>
    <row r="448" spans="7:31" x14ac:dyDescent="0.35">
      <c r="G448" s="39"/>
      <c r="H448" s="37"/>
      <c r="K448"/>
      <c r="M448" s="42"/>
      <c r="N448" s="7"/>
      <c r="O448"/>
      <c r="Q448" s="42"/>
      <c r="R448" s="7"/>
      <c r="S448"/>
      <c r="U448" s="42"/>
      <c r="V448" s="7"/>
      <c r="W448"/>
      <c r="Y448" s="42"/>
      <c r="Z448" s="7"/>
      <c r="AA448"/>
      <c r="AC448" s="42"/>
      <c r="AD448" s="7"/>
      <c r="AE448"/>
    </row>
    <row r="449" spans="7:31" x14ac:dyDescent="0.35">
      <c r="G449" s="39"/>
      <c r="H449" s="37"/>
      <c r="K449"/>
      <c r="M449" s="42"/>
      <c r="N449" s="7"/>
      <c r="O449"/>
      <c r="Q449" s="42"/>
      <c r="R449" s="7"/>
      <c r="S449"/>
      <c r="U449" s="42"/>
      <c r="V449" s="7"/>
      <c r="W449"/>
      <c r="Y449" s="42"/>
      <c r="Z449" s="7"/>
      <c r="AA449"/>
      <c r="AC449" s="42"/>
      <c r="AD449" s="7"/>
      <c r="AE449"/>
    </row>
    <row r="450" spans="7:31" x14ac:dyDescent="0.35">
      <c r="G450" s="39"/>
      <c r="H450" s="37"/>
      <c r="K450"/>
      <c r="M450" s="42"/>
      <c r="N450" s="7"/>
      <c r="O450"/>
      <c r="Q450" s="42"/>
      <c r="R450" s="7"/>
      <c r="S450"/>
      <c r="U450" s="42"/>
      <c r="V450" s="7"/>
      <c r="W450"/>
      <c r="Y450" s="42"/>
      <c r="Z450" s="7"/>
      <c r="AA450"/>
      <c r="AC450" s="42"/>
      <c r="AD450" s="7"/>
      <c r="AE450"/>
    </row>
    <row r="451" spans="7:31" x14ac:dyDescent="0.35">
      <c r="G451" s="39"/>
      <c r="H451" s="37"/>
      <c r="K451"/>
      <c r="M451" s="42"/>
      <c r="N451" s="7"/>
      <c r="O451"/>
      <c r="Q451" s="42"/>
      <c r="R451" s="7"/>
      <c r="S451"/>
      <c r="U451" s="42"/>
      <c r="V451" s="7"/>
      <c r="W451"/>
      <c r="Y451" s="42"/>
      <c r="Z451" s="7"/>
      <c r="AA451"/>
      <c r="AC451" s="42"/>
      <c r="AD451" s="7"/>
      <c r="AE451"/>
    </row>
    <row r="452" spans="7:31" x14ac:dyDescent="0.35">
      <c r="G452" s="39"/>
      <c r="H452" s="37"/>
      <c r="K452"/>
      <c r="M452" s="42"/>
      <c r="N452" s="7"/>
      <c r="O452"/>
      <c r="Q452" s="42"/>
      <c r="R452" s="7"/>
      <c r="S452"/>
      <c r="U452" s="42"/>
      <c r="V452" s="7"/>
      <c r="W452"/>
      <c r="Y452" s="42"/>
      <c r="Z452" s="7"/>
      <c r="AA452"/>
      <c r="AC452" s="42"/>
      <c r="AD452" s="7"/>
      <c r="AE452"/>
    </row>
    <row r="453" spans="7:31" x14ac:dyDescent="0.35">
      <c r="G453" s="39"/>
      <c r="H453" s="37"/>
      <c r="K453"/>
      <c r="M453" s="42"/>
      <c r="N453" s="7"/>
      <c r="O453"/>
      <c r="Q453" s="42"/>
      <c r="R453" s="7"/>
      <c r="S453"/>
      <c r="U453" s="42"/>
      <c r="V453" s="7"/>
      <c r="W453"/>
      <c r="Y453" s="42"/>
      <c r="Z453" s="7"/>
      <c r="AA453"/>
      <c r="AC453" s="42"/>
      <c r="AD453" s="7"/>
      <c r="AE453"/>
    </row>
    <row r="454" spans="7:31" x14ac:dyDescent="0.35">
      <c r="G454" s="39"/>
      <c r="H454" s="37"/>
      <c r="K454"/>
      <c r="M454" s="42"/>
      <c r="N454" s="7"/>
      <c r="O454"/>
      <c r="Q454" s="42"/>
      <c r="R454" s="7"/>
      <c r="S454"/>
      <c r="U454" s="42"/>
      <c r="V454" s="7"/>
      <c r="W454"/>
      <c r="Y454" s="42"/>
      <c r="Z454" s="7"/>
      <c r="AA454"/>
      <c r="AC454" s="42"/>
      <c r="AD454" s="7"/>
      <c r="AE454"/>
    </row>
    <row r="455" spans="7:31" x14ac:dyDescent="0.35">
      <c r="G455" s="39"/>
      <c r="H455" s="37"/>
      <c r="K455"/>
      <c r="M455" s="42"/>
      <c r="N455" s="7"/>
      <c r="O455"/>
      <c r="Q455" s="42"/>
      <c r="R455" s="7"/>
      <c r="S455"/>
      <c r="U455" s="42"/>
      <c r="V455" s="7"/>
      <c r="W455"/>
      <c r="Y455" s="42"/>
      <c r="Z455" s="7"/>
      <c r="AA455"/>
      <c r="AC455" s="42"/>
      <c r="AD455" s="7"/>
      <c r="AE455"/>
    </row>
    <row r="456" spans="7:31" x14ac:dyDescent="0.35">
      <c r="G456" s="39"/>
      <c r="H456" s="37"/>
      <c r="K456"/>
      <c r="M456" s="42"/>
      <c r="N456" s="7"/>
      <c r="O456"/>
      <c r="Q456" s="42"/>
      <c r="R456" s="7"/>
      <c r="S456"/>
      <c r="U456" s="42"/>
      <c r="V456" s="7"/>
      <c r="W456"/>
      <c r="Y456" s="42"/>
      <c r="Z456" s="7"/>
      <c r="AA456"/>
      <c r="AC456" s="42"/>
      <c r="AD456" s="7"/>
      <c r="AE456"/>
    </row>
    <row r="457" spans="7:31" x14ac:dyDescent="0.35">
      <c r="G457" s="39"/>
      <c r="H457" s="37"/>
      <c r="K457"/>
      <c r="M457" s="42"/>
      <c r="N457" s="7"/>
      <c r="O457"/>
      <c r="Q457" s="42"/>
      <c r="R457" s="7"/>
      <c r="S457"/>
      <c r="U457" s="42"/>
      <c r="V457" s="7"/>
      <c r="W457"/>
      <c r="Y457" s="42"/>
      <c r="Z457" s="7"/>
      <c r="AA457"/>
      <c r="AC457" s="42"/>
      <c r="AD457" s="7"/>
      <c r="AE457"/>
    </row>
    <row r="458" spans="7:31" x14ac:dyDescent="0.35">
      <c r="G458" s="39"/>
      <c r="H458" s="37"/>
      <c r="K458"/>
      <c r="M458" s="42"/>
      <c r="N458" s="7"/>
      <c r="O458"/>
      <c r="Q458" s="42"/>
      <c r="R458" s="7"/>
      <c r="S458"/>
      <c r="U458" s="42"/>
      <c r="V458" s="7"/>
      <c r="W458"/>
      <c r="Y458" s="42"/>
      <c r="Z458" s="7"/>
      <c r="AA458"/>
      <c r="AC458" s="42"/>
      <c r="AD458" s="7"/>
      <c r="AE458"/>
    </row>
    <row r="459" spans="7:31" x14ac:dyDescent="0.35">
      <c r="G459" s="39"/>
      <c r="H459" s="37"/>
      <c r="K459"/>
      <c r="M459" s="42"/>
      <c r="N459" s="7"/>
      <c r="O459"/>
      <c r="Q459" s="42"/>
      <c r="R459" s="7"/>
      <c r="S459"/>
      <c r="U459" s="42"/>
      <c r="V459" s="7"/>
      <c r="W459"/>
      <c r="Y459" s="42"/>
      <c r="Z459" s="7"/>
      <c r="AA459"/>
      <c r="AC459" s="42"/>
      <c r="AD459" s="7"/>
      <c r="AE459"/>
    </row>
    <row r="460" spans="7:31" x14ac:dyDescent="0.35">
      <c r="G460" s="39"/>
      <c r="H460" s="37"/>
      <c r="K460"/>
      <c r="M460" s="42"/>
      <c r="N460" s="7"/>
      <c r="O460"/>
      <c r="Q460" s="42"/>
      <c r="R460" s="7"/>
      <c r="S460"/>
      <c r="U460" s="42"/>
      <c r="V460" s="7"/>
      <c r="W460"/>
      <c r="Y460" s="42"/>
      <c r="Z460" s="7"/>
      <c r="AA460"/>
      <c r="AC460" s="42"/>
      <c r="AD460" s="7"/>
      <c r="AE460"/>
    </row>
    <row r="461" spans="7:31" x14ac:dyDescent="0.35">
      <c r="G461" s="39"/>
      <c r="H461" s="37"/>
      <c r="K461"/>
      <c r="M461" s="42"/>
      <c r="N461" s="7"/>
      <c r="O461"/>
      <c r="Q461" s="42"/>
      <c r="R461" s="7"/>
      <c r="S461"/>
      <c r="U461" s="42"/>
      <c r="V461" s="7"/>
      <c r="W461"/>
      <c r="Y461" s="42"/>
      <c r="Z461" s="7"/>
      <c r="AA461"/>
      <c r="AC461" s="42"/>
      <c r="AD461" s="7"/>
      <c r="AE461"/>
    </row>
    <row r="462" spans="7:31" x14ac:dyDescent="0.35">
      <c r="G462" s="39"/>
      <c r="H462" s="37"/>
      <c r="K462"/>
      <c r="M462" s="42"/>
      <c r="N462" s="7"/>
      <c r="O462"/>
      <c r="Q462" s="42"/>
      <c r="R462" s="7"/>
      <c r="S462"/>
      <c r="U462" s="42"/>
      <c r="V462" s="7"/>
      <c r="W462"/>
      <c r="Y462" s="42"/>
      <c r="Z462" s="7"/>
      <c r="AA462"/>
      <c r="AC462" s="42"/>
      <c r="AD462" s="7"/>
      <c r="AE462"/>
    </row>
    <row r="463" spans="7:31" x14ac:dyDescent="0.35">
      <c r="G463" s="39"/>
      <c r="H463" s="37"/>
      <c r="K463"/>
      <c r="M463" s="42"/>
      <c r="N463" s="7"/>
      <c r="O463"/>
      <c r="Q463" s="42"/>
      <c r="R463" s="7"/>
      <c r="S463"/>
      <c r="U463" s="42"/>
      <c r="V463" s="7"/>
      <c r="W463"/>
      <c r="Y463" s="42"/>
      <c r="Z463" s="7"/>
      <c r="AA463"/>
      <c r="AC463" s="42"/>
      <c r="AD463" s="7"/>
      <c r="AE463"/>
    </row>
    <row r="464" spans="7:31" x14ac:dyDescent="0.35">
      <c r="G464" s="39"/>
      <c r="H464" s="37"/>
      <c r="K464"/>
      <c r="M464" s="42"/>
      <c r="N464" s="7"/>
      <c r="O464"/>
      <c r="Q464" s="42"/>
      <c r="R464" s="7"/>
      <c r="S464"/>
      <c r="U464" s="42"/>
      <c r="V464" s="7"/>
      <c r="W464"/>
      <c r="Y464" s="42"/>
      <c r="Z464" s="7"/>
      <c r="AA464"/>
      <c r="AC464" s="42"/>
      <c r="AD464" s="7"/>
      <c r="AE464"/>
    </row>
    <row r="465" spans="7:31" x14ac:dyDescent="0.35">
      <c r="G465" s="39"/>
      <c r="H465" s="37"/>
      <c r="K465"/>
      <c r="M465" s="42"/>
      <c r="N465" s="7"/>
      <c r="O465"/>
      <c r="Q465" s="42"/>
      <c r="R465" s="7"/>
      <c r="S465"/>
      <c r="U465" s="42"/>
      <c r="V465" s="7"/>
      <c r="W465"/>
      <c r="Y465" s="42"/>
      <c r="Z465" s="7"/>
      <c r="AA465"/>
      <c r="AC465" s="42"/>
      <c r="AD465" s="7"/>
      <c r="AE465"/>
    </row>
    <row r="466" spans="7:31" x14ac:dyDescent="0.35">
      <c r="G466" s="39"/>
      <c r="H466" s="37"/>
      <c r="K466"/>
      <c r="M466" s="42"/>
      <c r="N466" s="7"/>
      <c r="O466"/>
      <c r="Q466" s="42"/>
      <c r="R466" s="7"/>
      <c r="S466"/>
      <c r="U466" s="42"/>
      <c r="V466" s="7"/>
      <c r="W466"/>
      <c r="Y466" s="42"/>
      <c r="Z466" s="7"/>
      <c r="AA466"/>
      <c r="AC466" s="42"/>
      <c r="AD466" s="7"/>
      <c r="AE466"/>
    </row>
    <row r="467" spans="7:31" x14ac:dyDescent="0.35">
      <c r="G467" s="39"/>
      <c r="H467" s="37"/>
      <c r="K467"/>
      <c r="M467" s="42"/>
      <c r="N467" s="7"/>
      <c r="O467"/>
      <c r="Q467" s="42"/>
      <c r="R467" s="7"/>
      <c r="S467"/>
      <c r="U467" s="42"/>
      <c r="V467" s="7"/>
      <c r="W467"/>
      <c r="Y467" s="42"/>
      <c r="Z467" s="7"/>
      <c r="AA467"/>
      <c r="AC467" s="42"/>
      <c r="AD467" s="7"/>
      <c r="AE467"/>
    </row>
    <row r="468" spans="7:31" x14ac:dyDescent="0.35">
      <c r="G468" s="39"/>
      <c r="H468" s="37"/>
      <c r="K468"/>
      <c r="M468" s="42"/>
      <c r="N468" s="7"/>
      <c r="O468"/>
      <c r="Q468" s="42"/>
      <c r="R468" s="7"/>
      <c r="S468"/>
      <c r="U468" s="42"/>
      <c r="V468" s="7"/>
      <c r="W468"/>
      <c r="Y468" s="42"/>
      <c r="Z468" s="7"/>
      <c r="AA468"/>
      <c r="AC468" s="42"/>
      <c r="AD468" s="7"/>
      <c r="AE468"/>
    </row>
    <row r="469" spans="7:31" x14ac:dyDescent="0.35">
      <c r="G469" s="39"/>
      <c r="H469" s="37"/>
      <c r="K469"/>
      <c r="M469" s="42"/>
      <c r="N469" s="7"/>
      <c r="O469"/>
      <c r="Q469" s="42"/>
      <c r="R469" s="7"/>
      <c r="S469"/>
      <c r="U469" s="42"/>
      <c r="V469" s="7"/>
      <c r="W469"/>
      <c r="Y469" s="42"/>
      <c r="Z469" s="7"/>
      <c r="AA469"/>
      <c r="AC469" s="42"/>
      <c r="AD469" s="7"/>
      <c r="AE469"/>
    </row>
    <row r="470" spans="7:31" x14ac:dyDescent="0.35">
      <c r="G470" s="39"/>
      <c r="H470" s="37"/>
      <c r="K470"/>
      <c r="M470" s="42"/>
      <c r="N470" s="7"/>
      <c r="O470"/>
      <c r="Q470" s="42"/>
      <c r="R470" s="7"/>
      <c r="S470"/>
      <c r="U470" s="42"/>
      <c r="V470" s="7"/>
      <c r="W470"/>
      <c r="Y470" s="42"/>
      <c r="Z470" s="7"/>
      <c r="AA470"/>
      <c r="AC470" s="42"/>
      <c r="AD470" s="7"/>
      <c r="AE470"/>
    </row>
    <row r="471" spans="7:31" x14ac:dyDescent="0.35">
      <c r="G471" s="39"/>
      <c r="H471" s="37"/>
      <c r="K471"/>
      <c r="M471" s="42"/>
      <c r="N471" s="7"/>
      <c r="O471"/>
      <c r="Q471" s="42"/>
      <c r="R471" s="7"/>
      <c r="S471"/>
      <c r="U471" s="42"/>
      <c r="V471" s="7"/>
      <c r="W471"/>
      <c r="Y471" s="42"/>
      <c r="Z471" s="7"/>
      <c r="AA471"/>
      <c r="AC471" s="42"/>
      <c r="AD471" s="7"/>
      <c r="AE471"/>
    </row>
    <row r="472" spans="7:31" x14ac:dyDescent="0.35">
      <c r="G472" s="39"/>
      <c r="H472" s="37"/>
      <c r="K472"/>
      <c r="M472" s="42"/>
      <c r="N472" s="7"/>
      <c r="O472"/>
      <c r="Q472" s="42"/>
      <c r="R472" s="7"/>
      <c r="S472"/>
      <c r="U472" s="42"/>
      <c r="V472" s="7"/>
      <c r="W472"/>
      <c r="Y472" s="42"/>
      <c r="Z472" s="7"/>
      <c r="AA472"/>
      <c r="AC472" s="42"/>
      <c r="AD472" s="7"/>
      <c r="AE472"/>
    </row>
    <row r="473" spans="7:31" x14ac:dyDescent="0.35">
      <c r="G473" s="39"/>
      <c r="H473" s="37"/>
      <c r="K473"/>
      <c r="M473" s="42"/>
      <c r="N473" s="7"/>
      <c r="O473"/>
      <c r="Q473" s="42"/>
      <c r="R473" s="7"/>
      <c r="S473"/>
      <c r="U473" s="42"/>
      <c r="V473" s="7"/>
      <c r="W473"/>
      <c r="Y473" s="42"/>
      <c r="Z473" s="7"/>
      <c r="AA473"/>
      <c r="AC473" s="42"/>
      <c r="AD473" s="7"/>
      <c r="AE473"/>
    </row>
    <row r="474" spans="7:31" x14ac:dyDescent="0.35">
      <c r="G474" s="39"/>
      <c r="H474" s="37"/>
      <c r="K474"/>
      <c r="M474" s="42"/>
      <c r="N474" s="7"/>
      <c r="O474"/>
      <c r="Q474" s="42"/>
      <c r="R474" s="7"/>
      <c r="S474"/>
      <c r="U474" s="42"/>
      <c r="V474" s="7"/>
      <c r="W474"/>
      <c r="Y474" s="42"/>
      <c r="Z474" s="7"/>
      <c r="AA474"/>
      <c r="AC474" s="42"/>
      <c r="AD474" s="7"/>
      <c r="AE474"/>
    </row>
    <row r="475" spans="7:31" x14ac:dyDescent="0.35">
      <c r="G475" s="39"/>
      <c r="H475" s="37"/>
      <c r="K475"/>
      <c r="M475" s="42"/>
      <c r="N475" s="7"/>
      <c r="O475"/>
      <c r="Q475" s="42"/>
      <c r="R475" s="7"/>
      <c r="S475"/>
      <c r="U475" s="42"/>
      <c r="V475" s="7"/>
      <c r="W475"/>
      <c r="Y475" s="42"/>
      <c r="Z475" s="7"/>
      <c r="AA475"/>
      <c r="AC475" s="42"/>
      <c r="AD475" s="7"/>
      <c r="AE475"/>
    </row>
    <row r="476" spans="7:31" x14ac:dyDescent="0.35">
      <c r="G476" s="39"/>
      <c r="H476" s="37"/>
      <c r="K476"/>
      <c r="M476" s="42"/>
      <c r="N476" s="7"/>
      <c r="O476"/>
      <c r="Q476" s="42"/>
      <c r="R476" s="7"/>
      <c r="S476"/>
      <c r="U476" s="42"/>
      <c r="V476" s="7"/>
      <c r="W476"/>
      <c r="Y476" s="42"/>
      <c r="Z476" s="7"/>
      <c r="AA476"/>
      <c r="AC476" s="42"/>
      <c r="AD476" s="7"/>
      <c r="AE476"/>
    </row>
    <row r="477" spans="7:31" x14ac:dyDescent="0.35">
      <c r="G477" s="39"/>
      <c r="H477" s="37"/>
      <c r="K477"/>
      <c r="M477" s="42"/>
      <c r="N477" s="7"/>
      <c r="O477"/>
      <c r="Q477" s="42"/>
      <c r="R477" s="7"/>
      <c r="S477"/>
      <c r="U477" s="42"/>
      <c r="V477" s="7"/>
      <c r="W477"/>
      <c r="Y477" s="42"/>
      <c r="Z477" s="7"/>
      <c r="AA477"/>
      <c r="AC477" s="42"/>
      <c r="AD477" s="7"/>
      <c r="AE477"/>
    </row>
    <row r="478" spans="7:31" x14ac:dyDescent="0.35">
      <c r="G478" s="39"/>
      <c r="H478" s="37"/>
      <c r="K478"/>
      <c r="M478" s="42"/>
      <c r="N478" s="7"/>
      <c r="O478"/>
      <c r="Q478" s="42"/>
      <c r="R478" s="7"/>
      <c r="S478"/>
      <c r="U478" s="42"/>
      <c r="V478" s="7"/>
      <c r="W478"/>
      <c r="Y478" s="42"/>
      <c r="Z478" s="7"/>
      <c r="AA478"/>
      <c r="AC478" s="42"/>
      <c r="AD478" s="7"/>
      <c r="AE478"/>
    </row>
    <row r="479" spans="7:31" x14ac:dyDescent="0.35">
      <c r="G479" s="39"/>
      <c r="H479" s="37"/>
      <c r="K479"/>
      <c r="M479" s="42"/>
      <c r="N479" s="7"/>
      <c r="O479"/>
      <c r="Q479" s="42"/>
      <c r="R479" s="7"/>
      <c r="S479"/>
      <c r="U479" s="42"/>
      <c r="V479" s="7"/>
      <c r="W479"/>
      <c r="Y479" s="42"/>
      <c r="Z479" s="7"/>
      <c r="AA479"/>
      <c r="AC479" s="42"/>
      <c r="AD479" s="7"/>
      <c r="AE479"/>
    </row>
    <row r="480" spans="7:31" x14ac:dyDescent="0.35">
      <c r="G480" s="39"/>
      <c r="H480" s="37"/>
      <c r="K480"/>
      <c r="M480" s="42"/>
      <c r="N480" s="7"/>
      <c r="O480"/>
      <c r="Q480" s="42"/>
      <c r="R480" s="7"/>
      <c r="S480"/>
      <c r="U480" s="42"/>
      <c r="V480" s="7"/>
      <c r="W480"/>
      <c r="Y480" s="42"/>
      <c r="Z480" s="7"/>
      <c r="AA480"/>
      <c r="AC480" s="42"/>
      <c r="AD480" s="7"/>
      <c r="AE480"/>
    </row>
    <row r="481" spans="7:31" x14ac:dyDescent="0.35">
      <c r="G481" s="39"/>
      <c r="H481" s="37"/>
      <c r="K481"/>
      <c r="M481" s="42"/>
      <c r="N481" s="7"/>
      <c r="O481"/>
      <c r="Q481" s="42"/>
      <c r="R481" s="7"/>
      <c r="S481"/>
      <c r="U481" s="42"/>
      <c r="V481" s="7"/>
      <c r="W481"/>
      <c r="Y481" s="42"/>
      <c r="Z481" s="7"/>
      <c r="AA481"/>
      <c r="AC481" s="42"/>
      <c r="AD481" s="7"/>
      <c r="AE481"/>
    </row>
    <row r="482" spans="7:31" x14ac:dyDescent="0.35">
      <c r="G482" s="39"/>
      <c r="H482" s="37"/>
      <c r="K482"/>
      <c r="M482" s="42"/>
      <c r="N482" s="7"/>
      <c r="O482"/>
      <c r="Q482" s="42"/>
      <c r="R482" s="7"/>
      <c r="S482"/>
      <c r="U482" s="42"/>
      <c r="V482" s="7"/>
      <c r="W482"/>
      <c r="Y482" s="42"/>
      <c r="Z482" s="7"/>
      <c r="AA482"/>
      <c r="AC482" s="42"/>
      <c r="AD482" s="7"/>
      <c r="AE482"/>
    </row>
    <row r="483" spans="7:31" x14ac:dyDescent="0.35">
      <c r="G483" s="39"/>
      <c r="H483" s="37"/>
      <c r="K483"/>
      <c r="M483" s="42"/>
      <c r="N483" s="7"/>
      <c r="O483"/>
      <c r="Q483" s="42"/>
      <c r="R483" s="7"/>
      <c r="S483"/>
      <c r="U483" s="42"/>
      <c r="V483" s="7"/>
      <c r="W483"/>
      <c r="Y483" s="42"/>
      <c r="Z483" s="7"/>
      <c r="AA483"/>
      <c r="AC483" s="42"/>
      <c r="AD483" s="7"/>
      <c r="AE483"/>
    </row>
    <row r="484" spans="7:31" x14ac:dyDescent="0.35">
      <c r="G484" s="39"/>
      <c r="H484" s="37"/>
      <c r="K484"/>
      <c r="M484" s="42"/>
      <c r="N484" s="7"/>
      <c r="O484"/>
      <c r="Q484" s="42"/>
      <c r="R484" s="7"/>
      <c r="S484"/>
      <c r="U484" s="42"/>
      <c r="V484" s="7"/>
      <c r="W484"/>
      <c r="Y484" s="42"/>
      <c r="Z484" s="7"/>
      <c r="AA484"/>
      <c r="AC484" s="42"/>
      <c r="AD484" s="7"/>
      <c r="AE484"/>
    </row>
    <row r="485" spans="7:31" x14ac:dyDescent="0.35">
      <c r="G485" s="39"/>
      <c r="H485" s="37"/>
      <c r="K485"/>
      <c r="M485" s="42"/>
      <c r="N485" s="7"/>
      <c r="O485"/>
      <c r="Q485" s="42"/>
      <c r="R485" s="7"/>
      <c r="S485"/>
      <c r="U485" s="42"/>
      <c r="V485" s="7"/>
      <c r="W485"/>
      <c r="Y485" s="42"/>
      <c r="Z485" s="7"/>
      <c r="AA485"/>
      <c r="AC485" s="42"/>
      <c r="AD485" s="7"/>
      <c r="AE485"/>
    </row>
    <row r="486" spans="7:31" x14ac:dyDescent="0.35">
      <c r="G486" s="39"/>
      <c r="H486" s="37"/>
      <c r="K486"/>
      <c r="M486" s="42"/>
      <c r="N486" s="7"/>
      <c r="O486"/>
      <c r="Q486" s="42"/>
      <c r="R486" s="7"/>
      <c r="S486"/>
      <c r="U486" s="42"/>
      <c r="V486" s="7"/>
      <c r="W486"/>
      <c r="Y486" s="42"/>
      <c r="Z486" s="7"/>
      <c r="AA486"/>
      <c r="AC486" s="42"/>
      <c r="AD486" s="7"/>
      <c r="AE486"/>
    </row>
    <row r="487" spans="7:31" x14ac:dyDescent="0.35">
      <c r="G487" s="39"/>
      <c r="H487" s="37"/>
      <c r="K487"/>
      <c r="M487" s="42"/>
      <c r="N487" s="7"/>
      <c r="O487"/>
      <c r="Q487" s="42"/>
      <c r="R487" s="7"/>
      <c r="S487"/>
      <c r="U487" s="42"/>
      <c r="V487" s="7"/>
      <c r="W487"/>
      <c r="Y487" s="42"/>
      <c r="Z487" s="7"/>
      <c r="AA487"/>
      <c r="AC487" s="42"/>
      <c r="AD487" s="7"/>
      <c r="AE487"/>
    </row>
    <row r="488" spans="7:31" x14ac:dyDescent="0.35">
      <c r="G488" s="39"/>
      <c r="H488" s="37"/>
      <c r="K488"/>
      <c r="M488" s="42"/>
      <c r="N488" s="7"/>
      <c r="O488"/>
      <c r="Q488" s="42"/>
      <c r="R488" s="7"/>
      <c r="S488"/>
      <c r="U488" s="42"/>
      <c r="V488" s="7"/>
      <c r="W488"/>
      <c r="Y488" s="42"/>
      <c r="Z488" s="7"/>
      <c r="AA488"/>
      <c r="AC488" s="42"/>
      <c r="AD488" s="7"/>
      <c r="AE488"/>
    </row>
    <row r="489" spans="7:31" x14ac:dyDescent="0.35">
      <c r="G489" s="39"/>
      <c r="H489" s="37"/>
      <c r="K489"/>
      <c r="M489" s="42"/>
      <c r="N489" s="7"/>
      <c r="O489"/>
      <c r="Q489" s="42"/>
      <c r="R489" s="7"/>
      <c r="S489"/>
      <c r="U489" s="42"/>
      <c r="V489" s="7"/>
      <c r="W489"/>
      <c r="Y489" s="42"/>
      <c r="Z489" s="7"/>
      <c r="AA489"/>
      <c r="AC489" s="42"/>
      <c r="AD489" s="7"/>
      <c r="AE489"/>
    </row>
    <row r="490" spans="7:31" x14ac:dyDescent="0.35">
      <c r="G490" s="39"/>
      <c r="H490" s="37"/>
      <c r="K490"/>
      <c r="M490" s="42"/>
      <c r="N490" s="7"/>
      <c r="O490"/>
      <c r="Q490" s="42"/>
      <c r="R490" s="7"/>
      <c r="S490"/>
      <c r="U490" s="42"/>
      <c r="V490" s="7"/>
      <c r="W490"/>
      <c r="Y490" s="42"/>
      <c r="Z490" s="7"/>
      <c r="AA490"/>
      <c r="AC490" s="42"/>
      <c r="AD490" s="7"/>
      <c r="AE490"/>
    </row>
    <row r="491" spans="7:31" x14ac:dyDescent="0.35">
      <c r="G491" s="39"/>
      <c r="H491" s="37"/>
      <c r="K491"/>
      <c r="M491" s="42"/>
      <c r="N491" s="7"/>
      <c r="O491"/>
      <c r="Q491" s="42"/>
      <c r="R491" s="7"/>
      <c r="S491"/>
      <c r="U491" s="42"/>
      <c r="V491" s="7"/>
      <c r="W491"/>
      <c r="Y491" s="42"/>
      <c r="Z491" s="7"/>
      <c r="AA491"/>
      <c r="AC491" s="42"/>
      <c r="AD491" s="7"/>
      <c r="AE491"/>
    </row>
    <row r="492" spans="7:31" x14ac:dyDescent="0.35">
      <c r="G492" s="39"/>
      <c r="H492" s="37"/>
      <c r="K492"/>
      <c r="M492" s="42"/>
      <c r="N492" s="7"/>
      <c r="O492"/>
      <c r="Q492" s="42"/>
      <c r="R492" s="7"/>
      <c r="S492"/>
      <c r="U492" s="42"/>
      <c r="V492" s="7"/>
      <c r="W492"/>
      <c r="Y492" s="42"/>
      <c r="Z492" s="7"/>
      <c r="AA492"/>
      <c r="AC492" s="42"/>
      <c r="AD492" s="7"/>
      <c r="AE492"/>
    </row>
    <row r="493" spans="7:31" x14ac:dyDescent="0.35">
      <c r="G493" s="39"/>
      <c r="H493" s="37"/>
      <c r="K493"/>
      <c r="M493" s="42"/>
      <c r="N493" s="7"/>
      <c r="O493"/>
      <c r="Q493" s="42"/>
      <c r="R493" s="7"/>
      <c r="S493"/>
      <c r="U493" s="42"/>
      <c r="V493" s="7"/>
      <c r="W493"/>
      <c r="Y493" s="42"/>
      <c r="Z493" s="7"/>
      <c r="AA493"/>
      <c r="AC493" s="42"/>
      <c r="AD493" s="7"/>
      <c r="AE493"/>
    </row>
    <row r="494" spans="7:31" x14ac:dyDescent="0.35">
      <c r="G494" s="39"/>
      <c r="H494" s="37"/>
      <c r="K494"/>
      <c r="M494" s="42"/>
      <c r="N494" s="7"/>
      <c r="O494"/>
      <c r="Q494" s="42"/>
      <c r="R494" s="7"/>
      <c r="S494"/>
      <c r="U494" s="42"/>
      <c r="V494" s="7"/>
      <c r="W494"/>
      <c r="Y494" s="42"/>
      <c r="Z494" s="7"/>
      <c r="AA494"/>
      <c r="AC494" s="42"/>
      <c r="AD494" s="7"/>
      <c r="AE494"/>
    </row>
    <row r="495" spans="7:31" x14ac:dyDescent="0.35">
      <c r="G495" s="39"/>
      <c r="H495" s="37"/>
      <c r="K495"/>
      <c r="M495" s="42"/>
      <c r="N495" s="7"/>
      <c r="O495"/>
      <c r="Q495" s="42"/>
      <c r="R495" s="7"/>
      <c r="S495"/>
      <c r="U495" s="42"/>
      <c r="V495" s="7"/>
      <c r="W495"/>
      <c r="Y495" s="42"/>
      <c r="Z495" s="7"/>
      <c r="AA495"/>
      <c r="AC495" s="42"/>
      <c r="AD495" s="7"/>
      <c r="AE495"/>
    </row>
    <row r="496" spans="7:31" x14ac:dyDescent="0.35">
      <c r="G496" s="39"/>
      <c r="H496" s="37"/>
      <c r="K496"/>
      <c r="M496" s="42"/>
      <c r="N496" s="7"/>
      <c r="O496"/>
      <c r="Q496" s="42"/>
      <c r="R496" s="7"/>
      <c r="S496"/>
      <c r="U496" s="42"/>
      <c r="V496" s="7"/>
      <c r="W496"/>
      <c r="Y496" s="42"/>
      <c r="Z496" s="7"/>
      <c r="AA496"/>
      <c r="AC496" s="42"/>
      <c r="AD496" s="7"/>
      <c r="AE496"/>
    </row>
    <row r="497" spans="7:31" x14ac:dyDescent="0.35">
      <c r="G497" s="39"/>
      <c r="H497" s="37"/>
      <c r="K497"/>
      <c r="M497" s="42"/>
      <c r="N497" s="7"/>
      <c r="O497"/>
      <c r="Q497" s="42"/>
      <c r="R497" s="7"/>
      <c r="S497"/>
      <c r="U497" s="42"/>
      <c r="V497" s="7"/>
      <c r="W497"/>
      <c r="Y497" s="42"/>
      <c r="Z497" s="7"/>
      <c r="AA497"/>
      <c r="AC497" s="42"/>
      <c r="AD497" s="7"/>
      <c r="AE497"/>
    </row>
    <row r="498" spans="7:31" x14ac:dyDescent="0.35">
      <c r="G498" s="39"/>
      <c r="H498" s="37"/>
      <c r="K498"/>
      <c r="M498" s="42"/>
      <c r="N498" s="7"/>
      <c r="O498"/>
      <c r="Q498" s="42"/>
      <c r="R498" s="7"/>
      <c r="S498"/>
      <c r="U498" s="42"/>
      <c r="V498" s="7"/>
      <c r="W498"/>
      <c r="Y498" s="42"/>
      <c r="Z498" s="7"/>
      <c r="AA498"/>
      <c r="AC498" s="42"/>
      <c r="AD498" s="7"/>
      <c r="AE498"/>
    </row>
    <row r="499" spans="7:31" x14ac:dyDescent="0.35">
      <c r="G499" s="39"/>
      <c r="H499" s="37"/>
      <c r="K499"/>
      <c r="M499" s="42"/>
      <c r="N499" s="7"/>
      <c r="O499"/>
      <c r="Q499" s="42"/>
      <c r="R499" s="7"/>
      <c r="S499"/>
      <c r="U499" s="42"/>
      <c r="V499" s="7"/>
      <c r="W499"/>
      <c r="Y499" s="42"/>
      <c r="Z499" s="7"/>
      <c r="AA499"/>
      <c r="AC499" s="42"/>
      <c r="AD499" s="7"/>
      <c r="AE499"/>
    </row>
    <row r="500" spans="7:31" x14ac:dyDescent="0.35">
      <c r="G500" s="39"/>
      <c r="H500" s="37"/>
      <c r="K500"/>
      <c r="M500" s="42"/>
      <c r="N500" s="7"/>
      <c r="O500"/>
      <c r="Q500" s="42"/>
      <c r="R500" s="7"/>
      <c r="S500"/>
      <c r="U500" s="42"/>
      <c r="V500" s="7"/>
      <c r="W500"/>
      <c r="Y500" s="42"/>
      <c r="Z500" s="7"/>
      <c r="AA500"/>
      <c r="AC500" s="42"/>
      <c r="AD500" s="7"/>
      <c r="AE500"/>
    </row>
    <row r="501" spans="7:31" x14ac:dyDescent="0.35">
      <c r="G501" s="39"/>
      <c r="H501" s="37"/>
      <c r="K501"/>
      <c r="M501" s="42"/>
      <c r="N501" s="7"/>
      <c r="O501"/>
      <c r="Q501" s="42"/>
      <c r="R501" s="7"/>
      <c r="S501"/>
      <c r="U501" s="42"/>
      <c r="V501" s="7"/>
      <c r="W501"/>
      <c r="Y501" s="42"/>
      <c r="Z501" s="7"/>
      <c r="AA501"/>
      <c r="AC501" s="42"/>
      <c r="AD501" s="7"/>
      <c r="AE501"/>
    </row>
    <row r="502" spans="7:31" x14ac:dyDescent="0.35">
      <c r="G502" s="39"/>
      <c r="H502" s="37"/>
      <c r="K502"/>
      <c r="M502" s="42"/>
      <c r="N502" s="7"/>
      <c r="O502"/>
      <c r="Q502" s="42"/>
      <c r="R502" s="7"/>
      <c r="S502"/>
      <c r="U502" s="42"/>
      <c r="V502" s="7"/>
      <c r="W502"/>
      <c r="Y502" s="42"/>
      <c r="Z502" s="7"/>
      <c r="AA502"/>
      <c r="AC502" s="42"/>
      <c r="AD502" s="7"/>
      <c r="AE502"/>
    </row>
    <row r="503" spans="7:31" x14ac:dyDescent="0.35">
      <c r="G503" s="39"/>
      <c r="H503" s="37"/>
      <c r="K503"/>
      <c r="M503" s="42"/>
      <c r="N503" s="7"/>
      <c r="O503"/>
      <c r="Q503" s="42"/>
      <c r="R503" s="7"/>
      <c r="S503"/>
      <c r="U503" s="42"/>
      <c r="V503" s="7"/>
      <c r="W503"/>
      <c r="Y503" s="42"/>
      <c r="Z503" s="7"/>
      <c r="AA503"/>
      <c r="AC503" s="42"/>
      <c r="AD503" s="7"/>
      <c r="AE503"/>
    </row>
    <row r="504" spans="7:31" x14ac:dyDescent="0.35">
      <c r="G504" s="39"/>
      <c r="H504" s="37"/>
      <c r="K504"/>
      <c r="M504" s="42"/>
      <c r="N504" s="7"/>
      <c r="O504"/>
      <c r="Q504" s="42"/>
      <c r="R504" s="7"/>
      <c r="S504"/>
      <c r="U504" s="42"/>
      <c r="V504" s="7"/>
      <c r="W504"/>
      <c r="Y504" s="42"/>
      <c r="Z504" s="7"/>
      <c r="AA504"/>
      <c r="AC504" s="42"/>
      <c r="AD504" s="7"/>
      <c r="AE504"/>
    </row>
    <row r="505" spans="7:31" x14ac:dyDescent="0.35">
      <c r="G505" s="39"/>
      <c r="H505" s="37"/>
      <c r="K505"/>
      <c r="M505" s="42"/>
      <c r="N505" s="7"/>
      <c r="O505"/>
      <c r="Q505" s="42"/>
      <c r="R505" s="7"/>
      <c r="S505"/>
      <c r="U505" s="42"/>
      <c r="V505" s="7"/>
      <c r="W505"/>
      <c r="Y505" s="42"/>
      <c r="Z505" s="7"/>
      <c r="AA505"/>
      <c r="AC505" s="42"/>
      <c r="AD505" s="7"/>
      <c r="AE505"/>
    </row>
    <row r="506" spans="7:31" x14ac:dyDescent="0.35">
      <c r="G506" s="39"/>
      <c r="H506" s="37"/>
      <c r="K506"/>
      <c r="M506" s="42"/>
      <c r="N506" s="7"/>
      <c r="O506"/>
      <c r="Q506" s="42"/>
      <c r="R506" s="7"/>
      <c r="S506"/>
      <c r="U506" s="42"/>
      <c r="V506" s="7"/>
      <c r="W506"/>
      <c r="Y506" s="42"/>
      <c r="Z506" s="7"/>
      <c r="AA506"/>
      <c r="AC506" s="42"/>
      <c r="AD506" s="7"/>
      <c r="AE506"/>
    </row>
    <row r="507" spans="7:31" x14ac:dyDescent="0.35">
      <c r="G507" s="39"/>
      <c r="H507" s="37"/>
      <c r="K507"/>
      <c r="M507" s="42"/>
      <c r="N507" s="7"/>
      <c r="O507"/>
      <c r="Q507" s="42"/>
      <c r="R507" s="7"/>
      <c r="S507"/>
      <c r="U507" s="42"/>
      <c r="V507" s="7"/>
      <c r="W507"/>
      <c r="Y507" s="42"/>
      <c r="Z507" s="7"/>
      <c r="AA507"/>
      <c r="AC507" s="42"/>
      <c r="AD507" s="7"/>
      <c r="AE507"/>
    </row>
    <row r="508" spans="7:31" x14ac:dyDescent="0.35">
      <c r="G508" s="39"/>
      <c r="H508" s="37"/>
      <c r="K508"/>
      <c r="M508" s="42"/>
      <c r="N508" s="7"/>
      <c r="O508"/>
      <c r="Q508" s="42"/>
      <c r="R508" s="7"/>
      <c r="S508"/>
      <c r="U508" s="42"/>
      <c r="V508" s="7"/>
      <c r="W508"/>
      <c r="Y508" s="42"/>
      <c r="Z508" s="7"/>
      <c r="AA508"/>
      <c r="AC508" s="42"/>
      <c r="AD508" s="7"/>
      <c r="AE508"/>
    </row>
    <row r="509" spans="7:31" x14ac:dyDescent="0.35">
      <c r="G509" s="39"/>
      <c r="H509" s="37"/>
      <c r="K509"/>
      <c r="M509" s="42"/>
      <c r="N509" s="7"/>
      <c r="O509"/>
      <c r="Q509" s="42"/>
      <c r="R509" s="7"/>
      <c r="S509"/>
      <c r="U509" s="42"/>
      <c r="V509" s="7"/>
      <c r="W509"/>
      <c r="Y509" s="42"/>
      <c r="Z509" s="7"/>
      <c r="AA509"/>
      <c r="AC509" s="42"/>
      <c r="AD509" s="7"/>
      <c r="AE509"/>
    </row>
    <row r="510" spans="7:31" x14ac:dyDescent="0.35">
      <c r="G510" s="39"/>
      <c r="H510" s="37"/>
      <c r="K510"/>
      <c r="M510" s="42"/>
      <c r="N510" s="7"/>
      <c r="O510"/>
      <c r="Q510" s="42"/>
      <c r="R510" s="7"/>
      <c r="S510"/>
      <c r="U510" s="42"/>
      <c r="V510" s="7"/>
      <c r="W510"/>
      <c r="Y510" s="42"/>
      <c r="Z510" s="7"/>
      <c r="AA510"/>
      <c r="AC510" s="42"/>
      <c r="AD510" s="7"/>
      <c r="AE510"/>
    </row>
    <row r="511" spans="7:31" x14ac:dyDescent="0.35">
      <c r="G511" s="39"/>
      <c r="H511" s="37"/>
      <c r="K511"/>
      <c r="M511" s="42"/>
      <c r="N511" s="7"/>
      <c r="O511"/>
      <c r="Q511" s="42"/>
      <c r="R511" s="7"/>
      <c r="S511"/>
      <c r="U511" s="42"/>
      <c r="V511" s="7"/>
      <c r="W511"/>
      <c r="Y511" s="42"/>
      <c r="Z511" s="7"/>
      <c r="AA511"/>
      <c r="AC511" s="42"/>
      <c r="AD511" s="7"/>
      <c r="AE511"/>
    </row>
    <row r="512" spans="7:31" x14ac:dyDescent="0.35">
      <c r="G512" s="39"/>
      <c r="H512" s="37"/>
      <c r="K512"/>
      <c r="M512" s="42"/>
      <c r="N512" s="7"/>
      <c r="O512"/>
      <c r="Q512" s="42"/>
      <c r="R512" s="7"/>
      <c r="S512"/>
      <c r="U512" s="42"/>
      <c r="V512" s="7"/>
      <c r="W512"/>
      <c r="Y512" s="42"/>
      <c r="Z512" s="7"/>
      <c r="AA512"/>
      <c r="AC512" s="42"/>
      <c r="AD512" s="7"/>
      <c r="AE512"/>
    </row>
    <row r="513" spans="7:31" x14ac:dyDescent="0.35">
      <c r="G513" s="39"/>
      <c r="H513" s="37"/>
      <c r="K513"/>
      <c r="M513" s="42"/>
      <c r="N513" s="7"/>
      <c r="O513"/>
      <c r="Q513" s="42"/>
      <c r="R513" s="7"/>
      <c r="S513"/>
      <c r="U513" s="42"/>
      <c r="V513" s="7"/>
      <c r="W513"/>
      <c r="Y513" s="42"/>
      <c r="Z513" s="7"/>
      <c r="AA513"/>
      <c r="AC513" s="42"/>
      <c r="AD513" s="7"/>
      <c r="AE513"/>
    </row>
    <row r="514" spans="7:31" x14ac:dyDescent="0.35">
      <c r="G514" s="39"/>
      <c r="H514" s="37"/>
      <c r="K514"/>
      <c r="M514" s="42"/>
      <c r="N514" s="7"/>
      <c r="O514"/>
      <c r="Q514" s="42"/>
      <c r="R514" s="7"/>
      <c r="S514"/>
      <c r="U514" s="42"/>
      <c r="V514" s="7"/>
      <c r="W514"/>
      <c r="Y514" s="42"/>
      <c r="Z514" s="7"/>
      <c r="AA514"/>
      <c r="AC514" s="42"/>
      <c r="AD514" s="7"/>
      <c r="AE514"/>
    </row>
    <row r="515" spans="7:31" x14ac:dyDescent="0.35">
      <c r="G515" s="39"/>
      <c r="H515" s="37"/>
      <c r="K515"/>
      <c r="M515" s="42"/>
      <c r="N515" s="7"/>
      <c r="O515"/>
      <c r="Q515" s="42"/>
      <c r="R515" s="7"/>
      <c r="S515"/>
      <c r="U515" s="42"/>
      <c r="V515" s="7"/>
      <c r="W515"/>
      <c r="Y515" s="42"/>
      <c r="Z515" s="7"/>
      <c r="AA515"/>
      <c r="AC515" s="42"/>
      <c r="AD515" s="7"/>
      <c r="AE515"/>
    </row>
    <row r="516" spans="7:31" x14ac:dyDescent="0.35">
      <c r="G516" s="39"/>
      <c r="H516" s="37"/>
      <c r="K516"/>
      <c r="M516" s="42"/>
      <c r="N516" s="7"/>
      <c r="O516"/>
      <c r="Q516" s="42"/>
      <c r="R516" s="7"/>
      <c r="S516"/>
      <c r="U516" s="42"/>
      <c r="V516" s="7"/>
      <c r="W516"/>
      <c r="Y516" s="42"/>
      <c r="Z516" s="7"/>
      <c r="AA516"/>
      <c r="AC516" s="42"/>
      <c r="AD516" s="7"/>
      <c r="AE516"/>
    </row>
    <row r="517" spans="7:31" x14ac:dyDescent="0.35">
      <c r="G517" s="39"/>
      <c r="H517" s="37"/>
      <c r="K517"/>
      <c r="M517" s="42"/>
      <c r="N517" s="7"/>
      <c r="O517"/>
      <c r="Q517" s="42"/>
      <c r="R517" s="7"/>
      <c r="S517"/>
      <c r="U517" s="42"/>
      <c r="V517" s="7"/>
      <c r="W517"/>
      <c r="Y517" s="42"/>
      <c r="Z517" s="7"/>
      <c r="AA517"/>
      <c r="AC517" s="42"/>
      <c r="AD517" s="7"/>
      <c r="AE517"/>
    </row>
    <row r="518" spans="7:31" x14ac:dyDescent="0.35">
      <c r="G518" s="39"/>
      <c r="H518" s="37"/>
      <c r="K518"/>
      <c r="M518" s="42"/>
      <c r="N518" s="7"/>
      <c r="O518"/>
      <c r="Q518" s="42"/>
      <c r="R518" s="7"/>
      <c r="S518"/>
      <c r="U518" s="42"/>
      <c r="V518" s="7"/>
      <c r="W518"/>
      <c r="Y518" s="42"/>
      <c r="Z518" s="7"/>
      <c r="AA518"/>
      <c r="AC518" s="42"/>
      <c r="AD518" s="7"/>
      <c r="AE518"/>
    </row>
    <row r="519" spans="7:31" x14ac:dyDescent="0.35">
      <c r="G519" s="39"/>
      <c r="H519" s="37"/>
      <c r="K519"/>
      <c r="M519" s="42"/>
      <c r="N519" s="7"/>
      <c r="O519"/>
      <c r="Q519" s="42"/>
      <c r="R519" s="7"/>
      <c r="S519"/>
      <c r="U519" s="42"/>
      <c r="V519" s="7"/>
      <c r="W519"/>
      <c r="Y519" s="42"/>
      <c r="Z519" s="7"/>
      <c r="AA519"/>
      <c r="AC519" s="42"/>
      <c r="AD519" s="7"/>
      <c r="AE519"/>
    </row>
    <row r="520" spans="7:31" x14ac:dyDescent="0.35">
      <c r="G520" s="39"/>
      <c r="H520" s="37"/>
      <c r="K520"/>
      <c r="M520" s="42"/>
      <c r="N520" s="7"/>
      <c r="O520"/>
      <c r="Q520" s="42"/>
      <c r="R520" s="7"/>
      <c r="S520"/>
      <c r="U520" s="42"/>
      <c r="V520" s="7"/>
      <c r="W520"/>
      <c r="Y520" s="42"/>
      <c r="Z520" s="7"/>
      <c r="AA520"/>
      <c r="AC520" s="42"/>
      <c r="AD520" s="7"/>
      <c r="AE520"/>
    </row>
    <row r="521" spans="7:31" x14ac:dyDescent="0.35">
      <c r="G521" s="39"/>
      <c r="H521" s="37"/>
      <c r="K521"/>
      <c r="M521" s="42"/>
      <c r="N521" s="7"/>
      <c r="O521"/>
      <c r="Q521" s="42"/>
      <c r="R521" s="7"/>
      <c r="S521"/>
      <c r="U521" s="42"/>
      <c r="V521" s="7"/>
      <c r="W521"/>
      <c r="Y521" s="42"/>
      <c r="Z521" s="7"/>
      <c r="AA521"/>
      <c r="AC521" s="42"/>
      <c r="AD521" s="7"/>
      <c r="AE521"/>
    </row>
    <row r="522" spans="7:31" x14ac:dyDescent="0.35">
      <c r="G522" s="39"/>
      <c r="H522" s="37"/>
      <c r="K522"/>
      <c r="M522" s="42"/>
      <c r="N522" s="7"/>
      <c r="O522"/>
      <c r="Q522" s="42"/>
      <c r="R522" s="7"/>
      <c r="S522"/>
      <c r="U522" s="42"/>
      <c r="V522" s="7"/>
      <c r="W522"/>
      <c r="Y522" s="42"/>
      <c r="Z522" s="7"/>
      <c r="AA522"/>
      <c r="AC522" s="42"/>
      <c r="AD522" s="7"/>
      <c r="AE522"/>
    </row>
    <row r="523" spans="7:31" x14ac:dyDescent="0.35">
      <c r="G523" s="39"/>
      <c r="H523" s="37"/>
      <c r="K523"/>
      <c r="M523" s="42"/>
      <c r="N523" s="7"/>
      <c r="O523"/>
      <c r="Q523" s="42"/>
      <c r="R523" s="7"/>
      <c r="S523"/>
      <c r="U523" s="42"/>
      <c r="V523" s="7"/>
      <c r="W523"/>
      <c r="Y523" s="42"/>
      <c r="Z523" s="7"/>
      <c r="AA523"/>
      <c r="AC523" s="42"/>
      <c r="AD523" s="7"/>
      <c r="AE523"/>
    </row>
    <row r="524" spans="7:31" x14ac:dyDescent="0.35">
      <c r="G524" s="39"/>
      <c r="H524" s="37"/>
      <c r="K524"/>
      <c r="M524" s="42"/>
      <c r="N524" s="7"/>
      <c r="O524"/>
      <c r="Q524" s="42"/>
      <c r="R524" s="7"/>
      <c r="S524"/>
      <c r="U524" s="42"/>
      <c r="V524" s="7"/>
      <c r="W524"/>
      <c r="Y524" s="42"/>
      <c r="Z524" s="7"/>
      <c r="AA524"/>
      <c r="AC524" s="42"/>
      <c r="AD524" s="7"/>
      <c r="AE524"/>
    </row>
    <row r="525" spans="7:31" x14ac:dyDescent="0.35">
      <c r="G525" s="39"/>
      <c r="H525" s="37"/>
      <c r="K525"/>
      <c r="M525" s="42"/>
      <c r="N525" s="7"/>
      <c r="O525"/>
      <c r="Q525" s="42"/>
      <c r="R525" s="7"/>
      <c r="S525"/>
      <c r="U525" s="42"/>
      <c r="V525" s="7"/>
      <c r="W525"/>
      <c r="Y525" s="42"/>
      <c r="Z525" s="7"/>
      <c r="AA525"/>
      <c r="AC525" s="42"/>
      <c r="AD525" s="7"/>
      <c r="AE525"/>
    </row>
    <row r="526" spans="7:31" x14ac:dyDescent="0.35">
      <c r="G526" s="39"/>
      <c r="H526" s="37"/>
      <c r="K526"/>
      <c r="M526" s="42"/>
      <c r="N526" s="7"/>
      <c r="O526"/>
      <c r="Q526" s="42"/>
      <c r="R526" s="7"/>
      <c r="S526"/>
      <c r="U526" s="42"/>
      <c r="V526" s="7"/>
      <c r="W526"/>
      <c r="Y526" s="42"/>
      <c r="Z526" s="7"/>
      <c r="AA526"/>
      <c r="AC526" s="42"/>
      <c r="AD526" s="7"/>
      <c r="AE526"/>
    </row>
    <row r="527" spans="7:31" x14ac:dyDescent="0.35">
      <c r="G527" s="39"/>
      <c r="H527" s="37"/>
      <c r="K527"/>
      <c r="M527" s="42"/>
      <c r="N527" s="7"/>
      <c r="O527"/>
      <c r="Q527" s="42"/>
      <c r="R527" s="7"/>
      <c r="S527"/>
      <c r="U527" s="42"/>
      <c r="V527" s="7"/>
      <c r="W527"/>
      <c r="Y527" s="42"/>
      <c r="Z527" s="7"/>
      <c r="AA527"/>
      <c r="AC527" s="42"/>
      <c r="AD527" s="7"/>
      <c r="AE527"/>
    </row>
    <row r="528" spans="7:31" x14ac:dyDescent="0.35">
      <c r="G528" s="39"/>
      <c r="H528" s="37"/>
      <c r="K528"/>
      <c r="M528" s="42"/>
      <c r="N528" s="7"/>
      <c r="O528"/>
      <c r="Q528" s="42"/>
      <c r="R528" s="7"/>
      <c r="S528"/>
      <c r="U528" s="42"/>
      <c r="V528" s="7"/>
      <c r="W528"/>
      <c r="Y528" s="42"/>
      <c r="Z528" s="7"/>
      <c r="AA528"/>
      <c r="AC528" s="42"/>
      <c r="AD528" s="7"/>
      <c r="AE528"/>
    </row>
    <row r="529" spans="7:31" x14ac:dyDescent="0.35">
      <c r="G529" s="39"/>
      <c r="H529" s="37"/>
      <c r="K529"/>
      <c r="M529" s="42"/>
      <c r="N529" s="7"/>
      <c r="O529"/>
      <c r="Q529" s="42"/>
      <c r="R529" s="7"/>
      <c r="S529"/>
      <c r="U529" s="42"/>
      <c r="V529" s="7"/>
      <c r="W529"/>
      <c r="Y529" s="42"/>
      <c r="Z529" s="7"/>
      <c r="AA529"/>
      <c r="AC529" s="42"/>
      <c r="AD529" s="7"/>
      <c r="AE529"/>
    </row>
    <row r="530" spans="7:31" x14ac:dyDescent="0.35">
      <c r="G530" s="39"/>
      <c r="H530" s="37"/>
      <c r="K530"/>
      <c r="M530" s="42"/>
      <c r="N530" s="7"/>
      <c r="O530"/>
      <c r="Q530" s="42"/>
      <c r="R530" s="7"/>
      <c r="S530"/>
      <c r="U530" s="42"/>
      <c r="V530" s="7"/>
      <c r="W530"/>
      <c r="Y530" s="42"/>
      <c r="Z530" s="7"/>
      <c r="AA530"/>
      <c r="AC530" s="42"/>
      <c r="AD530" s="7"/>
      <c r="AE530"/>
    </row>
    <row r="531" spans="7:31" x14ac:dyDescent="0.35">
      <c r="G531" s="39"/>
      <c r="H531" s="37"/>
      <c r="K531"/>
      <c r="M531" s="42"/>
      <c r="N531" s="7"/>
      <c r="O531"/>
      <c r="Q531" s="42"/>
      <c r="R531" s="7"/>
      <c r="S531"/>
      <c r="U531" s="42"/>
      <c r="V531" s="7"/>
      <c r="W531"/>
      <c r="Y531" s="42"/>
      <c r="Z531" s="7"/>
      <c r="AA531"/>
      <c r="AC531" s="42"/>
      <c r="AD531" s="7"/>
      <c r="AE531"/>
    </row>
    <row r="532" spans="7:31" x14ac:dyDescent="0.35">
      <c r="G532" s="39"/>
      <c r="H532" s="37"/>
      <c r="K532"/>
      <c r="M532" s="42"/>
      <c r="N532" s="7"/>
      <c r="O532"/>
      <c r="Q532" s="42"/>
      <c r="R532" s="7"/>
      <c r="S532"/>
      <c r="U532" s="42"/>
      <c r="V532" s="7"/>
      <c r="W532"/>
      <c r="Y532" s="42"/>
      <c r="Z532" s="7"/>
      <c r="AA532"/>
      <c r="AC532" s="42"/>
      <c r="AD532" s="7"/>
      <c r="AE532"/>
    </row>
    <row r="533" spans="7:31" x14ac:dyDescent="0.35">
      <c r="G533" s="39"/>
      <c r="H533" s="37"/>
      <c r="K533"/>
      <c r="M533" s="42"/>
      <c r="N533" s="7"/>
      <c r="O533"/>
      <c r="Q533" s="42"/>
      <c r="R533" s="7"/>
      <c r="S533"/>
      <c r="U533" s="42"/>
      <c r="V533" s="7"/>
      <c r="W533"/>
      <c r="Y533" s="42"/>
      <c r="Z533" s="7"/>
      <c r="AA533"/>
      <c r="AC533" s="42"/>
      <c r="AD533" s="7"/>
      <c r="AE533"/>
    </row>
    <row r="534" spans="7:31" x14ac:dyDescent="0.35">
      <c r="G534" s="39"/>
      <c r="H534" s="37"/>
      <c r="K534"/>
      <c r="M534" s="42"/>
      <c r="N534" s="7"/>
      <c r="O534"/>
      <c r="Q534" s="42"/>
      <c r="R534" s="7"/>
      <c r="S534"/>
      <c r="U534" s="42"/>
      <c r="V534" s="7"/>
      <c r="W534"/>
      <c r="Y534" s="42"/>
      <c r="Z534" s="7"/>
      <c r="AA534"/>
      <c r="AC534" s="42"/>
      <c r="AD534" s="7"/>
      <c r="AE534"/>
    </row>
    <row r="535" spans="7:31" x14ac:dyDescent="0.35">
      <c r="G535" s="39"/>
      <c r="H535" s="37"/>
      <c r="K535"/>
      <c r="M535" s="42"/>
      <c r="N535" s="7"/>
      <c r="O535"/>
      <c r="Q535" s="42"/>
      <c r="R535" s="7"/>
      <c r="S535"/>
      <c r="U535" s="42"/>
      <c r="V535" s="7"/>
      <c r="W535"/>
      <c r="Y535" s="42"/>
      <c r="Z535" s="7"/>
      <c r="AA535"/>
      <c r="AC535" s="42"/>
      <c r="AD535" s="7"/>
      <c r="AE535"/>
    </row>
    <row r="536" spans="7:31" x14ac:dyDescent="0.35">
      <c r="G536" s="39"/>
      <c r="H536" s="37"/>
      <c r="K536"/>
      <c r="M536" s="42"/>
      <c r="N536" s="7"/>
      <c r="O536"/>
      <c r="Q536" s="42"/>
      <c r="R536" s="7"/>
      <c r="S536"/>
      <c r="U536" s="42"/>
      <c r="V536" s="7"/>
      <c r="W536"/>
      <c r="Y536" s="42"/>
      <c r="Z536" s="7"/>
      <c r="AA536"/>
      <c r="AC536" s="42"/>
      <c r="AD536" s="7"/>
      <c r="AE536"/>
    </row>
    <row r="537" spans="7:31" x14ac:dyDescent="0.35">
      <c r="G537" s="39"/>
      <c r="H537" s="37"/>
      <c r="K537"/>
      <c r="M537" s="42"/>
      <c r="N537" s="7"/>
      <c r="O537"/>
      <c r="Q537" s="42"/>
      <c r="R537" s="7"/>
      <c r="S537"/>
      <c r="U537" s="42"/>
      <c r="V537" s="7"/>
      <c r="W537"/>
      <c r="Y537" s="42"/>
      <c r="Z537" s="7"/>
      <c r="AA537"/>
      <c r="AC537" s="42"/>
      <c r="AD537" s="7"/>
      <c r="AE537"/>
    </row>
    <row r="538" spans="7:31" x14ac:dyDescent="0.35">
      <c r="G538" s="39"/>
      <c r="H538" s="37"/>
      <c r="K538"/>
      <c r="M538" s="42"/>
      <c r="N538" s="7"/>
      <c r="O538"/>
      <c r="Q538" s="42"/>
      <c r="R538" s="7"/>
      <c r="S538"/>
      <c r="U538" s="42"/>
      <c r="V538" s="7"/>
      <c r="W538"/>
      <c r="Y538" s="42"/>
      <c r="Z538" s="7"/>
      <c r="AA538"/>
      <c r="AC538" s="42"/>
      <c r="AD538" s="7"/>
      <c r="AE538"/>
    </row>
    <row r="539" spans="7:31" x14ac:dyDescent="0.35">
      <c r="G539" s="39"/>
      <c r="H539" s="37"/>
      <c r="K539"/>
      <c r="M539" s="42"/>
      <c r="N539" s="7"/>
      <c r="O539"/>
      <c r="Q539" s="42"/>
      <c r="R539" s="7"/>
      <c r="S539"/>
      <c r="U539" s="42"/>
      <c r="V539" s="7"/>
      <c r="W539"/>
      <c r="Y539" s="42"/>
      <c r="Z539" s="7"/>
      <c r="AA539"/>
      <c r="AC539" s="42"/>
      <c r="AD539" s="7"/>
      <c r="AE539"/>
    </row>
    <row r="540" spans="7:31" x14ac:dyDescent="0.35">
      <c r="G540" s="39"/>
      <c r="H540" s="37"/>
      <c r="K540"/>
      <c r="M540" s="42"/>
      <c r="N540" s="7"/>
      <c r="O540"/>
      <c r="Q540" s="42"/>
      <c r="R540" s="7"/>
      <c r="S540"/>
      <c r="U540" s="42"/>
      <c r="V540" s="7"/>
      <c r="W540"/>
      <c r="Y540" s="42"/>
      <c r="Z540" s="7"/>
      <c r="AA540"/>
      <c r="AC540" s="42"/>
      <c r="AD540" s="7"/>
      <c r="AE540"/>
    </row>
    <row r="541" spans="7:31" x14ac:dyDescent="0.35">
      <c r="G541" s="39"/>
      <c r="H541" s="37"/>
      <c r="K541"/>
      <c r="M541" s="42"/>
      <c r="N541" s="7"/>
      <c r="O541"/>
      <c r="Q541" s="42"/>
      <c r="R541" s="7"/>
      <c r="S541"/>
      <c r="U541" s="42"/>
      <c r="V541" s="7"/>
      <c r="W541"/>
      <c r="Y541" s="42"/>
      <c r="Z541" s="7"/>
      <c r="AA541"/>
      <c r="AC541" s="42"/>
      <c r="AD541" s="7"/>
      <c r="AE541"/>
    </row>
    <row r="542" spans="7:31" x14ac:dyDescent="0.35">
      <c r="G542" s="39"/>
      <c r="H542" s="37"/>
      <c r="K542"/>
      <c r="M542" s="42"/>
      <c r="N542" s="7"/>
      <c r="O542"/>
      <c r="Q542" s="42"/>
      <c r="R542" s="7"/>
      <c r="S542"/>
      <c r="U542" s="42"/>
      <c r="V542" s="7"/>
      <c r="W542"/>
      <c r="Y542" s="42"/>
      <c r="Z542" s="7"/>
      <c r="AA542"/>
      <c r="AC542" s="42"/>
      <c r="AD542" s="7"/>
      <c r="AE542"/>
    </row>
    <row r="543" spans="7:31" x14ac:dyDescent="0.35">
      <c r="G543" s="39"/>
      <c r="H543" s="37"/>
      <c r="K543"/>
      <c r="M543" s="42"/>
      <c r="N543" s="7"/>
      <c r="O543"/>
      <c r="Q543" s="42"/>
      <c r="R543" s="7"/>
      <c r="S543"/>
      <c r="U543" s="42"/>
      <c r="V543" s="7"/>
      <c r="W543"/>
      <c r="Y543" s="42"/>
      <c r="Z543" s="7"/>
      <c r="AA543"/>
      <c r="AC543" s="42"/>
      <c r="AD543" s="7"/>
      <c r="AE543"/>
    </row>
    <row r="544" spans="7:31" x14ac:dyDescent="0.35">
      <c r="G544" s="39"/>
      <c r="H544" s="37"/>
      <c r="K544"/>
      <c r="M544" s="42"/>
      <c r="N544" s="7"/>
      <c r="O544"/>
      <c r="Q544" s="42"/>
      <c r="R544" s="7"/>
      <c r="S544"/>
      <c r="U544" s="42"/>
      <c r="V544" s="7"/>
      <c r="W544"/>
      <c r="Y544" s="42"/>
      <c r="Z544" s="7"/>
      <c r="AA544"/>
      <c r="AC544" s="42"/>
      <c r="AD544" s="7"/>
      <c r="AE544"/>
    </row>
    <row r="545" spans="7:31" x14ac:dyDescent="0.35">
      <c r="G545" s="39"/>
      <c r="H545" s="37"/>
      <c r="K545"/>
      <c r="M545" s="42"/>
      <c r="N545" s="7"/>
      <c r="O545"/>
      <c r="Q545" s="42"/>
      <c r="R545" s="7"/>
      <c r="S545"/>
      <c r="U545" s="42"/>
      <c r="V545" s="7"/>
      <c r="W545"/>
      <c r="Y545" s="42"/>
      <c r="Z545" s="7"/>
      <c r="AA545"/>
      <c r="AC545" s="42"/>
      <c r="AD545" s="7"/>
      <c r="AE545"/>
    </row>
    <row r="546" spans="7:31" x14ac:dyDescent="0.35">
      <c r="G546" s="39"/>
      <c r="H546" s="37"/>
      <c r="K546"/>
      <c r="M546" s="42"/>
      <c r="N546" s="7"/>
      <c r="O546"/>
      <c r="Q546" s="42"/>
      <c r="R546" s="7"/>
      <c r="S546"/>
      <c r="U546" s="42"/>
      <c r="V546" s="7"/>
      <c r="W546"/>
      <c r="Y546" s="42"/>
      <c r="Z546" s="7"/>
      <c r="AA546"/>
      <c r="AC546" s="42"/>
      <c r="AD546" s="7"/>
      <c r="AE546"/>
    </row>
    <row r="547" spans="7:31" x14ac:dyDescent="0.35">
      <c r="G547" s="39"/>
      <c r="H547" s="37"/>
      <c r="K547"/>
      <c r="M547" s="42"/>
      <c r="N547" s="7"/>
      <c r="O547"/>
      <c r="Q547" s="42"/>
      <c r="R547" s="7"/>
      <c r="S547"/>
      <c r="U547" s="42"/>
      <c r="V547" s="7"/>
      <c r="W547"/>
      <c r="Y547" s="42"/>
      <c r="Z547" s="7"/>
      <c r="AA547"/>
      <c r="AC547" s="42"/>
      <c r="AD547" s="7"/>
      <c r="AE547"/>
    </row>
    <row r="548" spans="7:31" x14ac:dyDescent="0.35">
      <c r="G548" s="39"/>
      <c r="H548" s="37"/>
      <c r="K548"/>
      <c r="M548" s="42"/>
      <c r="N548" s="7"/>
      <c r="O548"/>
      <c r="Q548" s="42"/>
      <c r="R548" s="7"/>
      <c r="S548"/>
      <c r="U548" s="42"/>
      <c r="V548" s="7"/>
      <c r="W548"/>
      <c r="Y548" s="42"/>
      <c r="Z548" s="7"/>
      <c r="AA548"/>
      <c r="AC548" s="42"/>
      <c r="AD548" s="7"/>
      <c r="AE548"/>
    </row>
    <row r="549" spans="7:31" x14ac:dyDescent="0.35">
      <c r="G549" s="39"/>
      <c r="H549" s="37"/>
      <c r="K549"/>
      <c r="M549" s="42"/>
      <c r="N549" s="7"/>
      <c r="O549"/>
      <c r="Q549" s="42"/>
      <c r="R549" s="7"/>
      <c r="S549"/>
      <c r="U549" s="42"/>
      <c r="V549" s="7"/>
      <c r="W549"/>
      <c r="Y549" s="42"/>
      <c r="Z549" s="7"/>
      <c r="AA549"/>
      <c r="AC549" s="42"/>
      <c r="AD549" s="7"/>
      <c r="AE549"/>
    </row>
    <row r="550" spans="7:31" x14ac:dyDescent="0.35">
      <c r="G550" s="39"/>
      <c r="H550" s="37"/>
      <c r="K550"/>
      <c r="M550" s="42"/>
      <c r="N550" s="7"/>
      <c r="O550"/>
      <c r="Q550" s="42"/>
      <c r="R550" s="7"/>
      <c r="S550"/>
      <c r="U550" s="42"/>
      <c r="V550" s="7"/>
      <c r="W550"/>
      <c r="Y550" s="42"/>
      <c r="Z550" s="7"/>
      <c r="AA550"/>
      <c r="AC550" s="42"/>
      <c r="AD550" s="7"/>
      <c r="AE550"/>
    </row>
    <row r="551" spans="7:31" x14ac:dyDescent="0.35">
      <c r="G551" s="39"/>
      <c r="H551" s="37"/>
      <c r="K551"/>
      <c r="M551" s="42"/>
      <c r="N551" s="7"/>
      <c r="O551"/>
      <c r="Q551" s="42"/>
      <c r="R551" s="7"/>
      <c r="S551"/>
      <c r="U551" s="42"/>
      <c r="V551" s="7"/>
      <c r="W551"/>
      <c r="Y551" s="42"/>
      <c r="Z551" s="7"/>
      <c r="AA551"/>
      <c r="AC551" s="42"/>
      <c r="AD551" s="7"/>
      <c r="AE551"/>
    </row>
    <row r="552" spans="7:31" x14ac:dyDescent="0.35">
      <c r="G552" s="39"/>
      <c r="H552" s="37"/>
      <c r="K552"/>
      <c r="M552" s="42"/>
      <c r="N552" s="7"/>
      <c r="O552"/>
      <c r="Q552" s="42"/>
      <c r="R552" s="7"/>
      <c r="S552"/>
      <c r="U552" s="42"/>
      <c r="V552" s="7"/>
      <c r="W552"/>
      <c r="Y552" s="42"/>
      <c r="Z552" s="7"/>
      <c r="AA552"/>
      <c r="AC552" s="42"/>
      <c r="AD552" s="7"/>
      <c r="AE552"/>
    </row>
    <row r="553" spans="7:31" x14ac:dyDescent="0.35">
      <c r="G553" s="39"/>
      <c r="H553" s="37"/>
      <c r="K553"/>
      <c r="M553" s="42"/>
      <c r="N553" s="7"/>
      <c r="O553"/>
      <c r="Q553" s="42"/>
      <c r="R553" s="7"/>
      <c r="S553"/>
      <c r="U553" s="42"/>
      <c r="V553" s="7"/>
      <c r="W553"/>
      <c r="Y553" s="42"/>
      <c r="Z553" s="7"/>
      <c r="AA553"/>
      <c r="AC553" s="42"/>
      <c r="AD553" s="7"/>
      <c r="AE553"/>
    </row>
    <row r="554" spans="7:31" x14ac:dyDescent="0.35">
      <c r="G554" s="39"/>
      <c r="H554" s="37"/>
      <c r="K554"/>
      <c r="M554" s="42"/>
      <c r="N554" s="7"/>
      <c r="O554"/>
      <c r="Q554" s="42"/>
      <c r="R554" s="7"/>
      <c r="S554"/>
      <c r="U554" s="42"/>
      <c r="V554" s="7"/>
      <c r="W554"/>
      <c r="Y554" s="42"/>
      <c r="Z554" s="7"/>
      <c r="AA554"/>
      <c r="AC554" s="42"/>
      <c r="AD554" s="7"/>
      <c r="AE554"/>
    </row>
    <row r="555" spans="7:31" x14ac:dyDescent="0.35">
      <c r="G555" s="39"/>
      <c r="H555" s="37"/>
      <c r="K555"/>
      <c r="M555" s="42"/>
      <c r="N555" s="7"/>
      <c r="O555"/>
      <c r="Q555" s="42"/>
      <c r="R555" s="7"/>
      <c r="S555"/>
      <c r="U555" s="42"/>
      <c r="V555" s="7"/>
      <c r="W555"/>
      <c r="Y555" s="42"/>
      <c r="Z555" s="7"/>
      <c r="AA555"/>
      <c r="AC555" s="42"/>
      <c r="AD555" s="7"/>
      <c r="AE555"/>
    </row>
    <row r="556" spans="7:31" x14ac:dyDescent="0.35">
      <c r="G556" s="39"/>
      <c r="H556" s="37"/>
      <c r="K556"/>
      <c r="M556" s="42"/>
      <c r="N556" s="7"/>
      <c r="O556"/>
      <c r="Q556" s="42"/>
      <c r="R556" s="7"/>
      <c r="S556"/>
      <c r="U556" s="42"/>
      <c r="V556" s="7"/>
      <c r="W556"/>
      <c r="Y556" s="42"/>
      <c r="Z556" s="7"/>
      <c r="AA556"/>
      <c r="AC556" s="42"/>
      <c r="AD556" s="7"/>
      <c r="AE556"/>
    </row>
    <row r="557" spans="7:31" x14ac:dyDescent="0.35">
      <c r="G557" s="39"/>
      <c r="H557" s="37"/>
      <c r="K557"/>
      <c r="M557" s="42"/>
      <c r="N557" s="7"/>
      <c r="O557"/>
      <c r="Q557" s="42"/>
      <c r="R557" s="7"/>
      <c r="S557"/>
      <c r="U557" s="42"/>
      <c r="V557" s="7"/>
      <c r="W557"/>
      <c r="Y557" s="42"/>
      <c r="Z557" s="7"/>
      <c r="AA557"/>
      <c r="AC557" s="42"/>
      <c r="AD557" s="7"/>
      <c r="AE557"/>
    </row>
    <row r="558" spans="7:31" x14ac:dyDescent="0.35">
      <c r="G558" s="39"/>
      <c r="H558" s="37"/>
      <c r="K558"/>
      <c r="M558" s="42"/>
      <c r="N558" s="7"/>
      <c r="O558"/>
      <c r="Q558" s="42"/>
      <c r="R558" s="7"/>
      <c r="S558"/>
      <c r="U558" s="42"/>
      <c r="V558" s="7"/>
      <c r="W558"/>
      <c r="Y558" s="42"/>
      <c r="Z558" s="7"/>
      <c r="AA558"/>
      <c r="AC558" s="42"/>
      <c r="AD558" s="7"/>
      <c r="AE558"/>
    </row>
    <row r="559" spans="7:31" x14ac:dyDescent="0.35">
      <c r="G559" s="39"/>
      <c r="H559" s="37"/>
      <c r="K559"/>
      <c r="M559" s="42"/>
      <c r="N559" s="7"/>
      <c r="O559"/>
      <c r="Q559" s="42"/>
      <c r="R559" s="7"/>
      <c r="S559"/>
      <c r="U559" s="42"/>
      <c r="V559" s="7"/>
      <c r="W559"/>
      <c r="Y559" s="42"/>
      <c r="Z559" s="7"/>
      <c r="AA559"/>
      <c r="AC559" s="42"/>
      <c r="AD559" s="7"/>
      <c r="AE559"/>
    </row>
    <row r="560" spans="7:31" x14ac:dyDescent="0.35">
      <c r="G560" s="39"/>
      <c r="H560" s="37"/>
      <c r="K560"/>
      <c r="M560" s="42"/>
      <c r="N560" s="7"/>
      <c r="O560"/>
      <c r="Q560" s="42"/>
      <c r="R560" s="7"/>
      <c r="S560"/>
      <c r="U560" s="42"/>
      <c r="V560" s="7"/>
      <c r="W560"/>
      <c r="Y560" s="42"/>
      <c r="Z560" s="7"/>
      <c r="AA560"/>
      <c r="AC560" s="42"/>
      <c r="AD560" s="7"/>
      <c r="AE560"/>
    </row>
    <row r="561" spans="7:31" x14ac:dyDescent="0.35">
      <c r="G561" s="39"/>
      <c r="H561" s="37"/>
      <c r="K561"/>
      <c r="M561" s="42"/>
      <c r="N561" s="7"/>
      <c r="O561"/>
      <c r="Q561" s="42"/>
      <c r="R561" s="7"/>
      <c r="S561"/>
      <c r="U561" s="42"/>
      <c r="V561" s="7"/>
      <c r="W561"/>
      <c r="Y561" s="42"/>
      <c r="Z561" s="7"/>
      <c r="AA561"/>
      <c r="AC561" s="42"/>
      <c r="AD561" s="7"/>
      <c r="AE561"/>
    </row>
    <row r="562" spans="7:31" x14ac:dyDescent="0.35">
      <c r="G562" s="39"/>
      <c r="H562" s="37"/>
      <c r="K562"/>
      <c r="M562" s="42"/>
      <c r="N562" s="7"/>
      <c r="O562"/>
      <c r="Q562" s="42"/>
      <c r="R562" s="7"/>
      <c r="S562"/>
      <c r="U562" s="42"/>
      <c r="V562" s="7"/>
      <c r="W562"/>
      <c r="Y562" s="42"/>
      <c r="Z562" s="7"/>
      <c r="AA562"/>
      <c r="AC562" s="42"/>
      <c r="AD562" s="7"/>
      <c r="AE562"/>
    </row>
    <row r="563" spans="7:31" x14ac:dyDescent="0.35">
      <c r="G563" s="39"/>
      <c r="H563" s="37"/>
      <c r="K563"/>
      <c r="M563" s="42"/>
      <c r="N563" s="7"/>
      <c r="O563"/>
      <c r="Q563" s="42"/>
      <c r="R563" s="7"/>
      <c r="S563"/>
      <c r="U563" s="42"/>
      <c r="V563" s="7"/>
      <c r="W563"/>
      <c r="Y563" s="42"/>
      <c r="Z563" s="7"/>
      <c r="AA563"/>
      <c r="AC563" s="42"/>
      <c r="AD563" s="7"/>
      <c r="AE563"/>
    </row>
    <row r="564" spans="7:31" x14ac:dyDescent="0.35">
      <c r="G564" s="39"/>
      <c r="H564" s="37"/>
      <c r="K564"/>
      <c r="M564" s="42"/>
      <c r="N564" s="7"/>
      <c r="O564"/>
      <c r="Q564" s="42"/>
      <c r="R564" s="7"/>
      <c r="S564"/>
      <c r="U564" s="42"/>
      <c r="V564" s="7"/>
      <c r="W564"/>
      <c r="Y564" s="42"/>
      <c r="Z564" s="7"/>
      <c r="AA564"/>
      <c r="AC564" s="42"/>
      <c r="AD564" s="7"/>
      <c r="AE564"/>
    </row>
    <row r="565" spans="7:31" x14ac:dyDescent="0.35">
      <c r="G565" s="39"/>
      <c r="H565" s="37"/>
      <c r="K565"/>
      <c r="M565" s="42"/>
      <c r="N565" s="7"/>
      <c r="O565"/>
      <c r="Q565" s="42"/>
      <c r="R565" s="7"/>
      <c r="S565"/>
      <c r="U565" s="42"/>
      <c r="V565" s="7"/>
      <c r="W565"/>
      <c r="Y565" s="42"/>
      <c r="Z565" s="7"/>
      <c r="AA565"/>
      <c r="AC565" s="42"/>
      <c r="AD565" s="7"/>
      <c r="AE565"/>
    </row>
    <row r="566" spans="7:31" x14ac:dyDescent="0.35">
      <c r="G566" s="39"/>
      <c r="H566" s="37"/>
      <c r="K566"/>
      <c r="M566" s="42"/>
      <c r="N566" s="7"/>
      <c r="O566"/>
      <c r="Q566" s="42"/>
      <c r="R566" s="7"/>
      <c r="S566"/>
      <c r="U566" s="42"/>
      <c r="V566" s="7"/>
      <c r="W566"/>
      <c r="Y566" s="42"/>
      <c r="Z566" s="7"/>
      <c r="AA566"/>
      <c r="AC566" s="42"/>
      <c r="AD566" s="7"/>
      <c r="AE566"/>
    </row>
    <row r="567" spans="7:31" x14ac:dyDescent="0.35">
      <c r="G567" s="39"/>
      <c r="H567" s="37"/>
      <c r="K567"/>
      <c r="M567" s="42"/>
      <c r="N567" s="7"/>
      <c r="O567"/>
      <c r="Q567" s="42"/>
      <c r="R567" s="7"/>
      <c r="S567"/>
      <c r="U567" s="42"/>
      <c r="V567" s="7"/>
      <c r="W567"/>
      <c r="Y567" s="42"/>
      <c r="Z567" s="7"/>
      <c r="AA567"/>
      <c r="AC567" s="42"/>
      <c r="AD567" s="7"/>
      <c r="AE567"/>
    </row>
    <row r="568" spans="7:31" x14ac:dyDescent="0.35">
      <c r="G568" s="39"/>
      <c r="H568" s="37"/>
      <c r="K568"/>
      <c r="M568" s="42"/>
      <c r="N568" s="7"/>
      <c r="O568"/>
      <c r="Q568" s="42"/>
      <c r="R568" s="7"/>
      <c r="S568"/>
      <c r="U568" s="42"/>
      <c r="V568" s="7"/>
      <c r="W568"/>
      <c r="Y568" s="42"/>
      <c r="Z568" s="7"/>
      <c r="AA568"/>
      <c r="AC568" s="42"/>
      <c r="AD568" s="7"/>
      <c r="AE568"/>
    </row>
    <row r="569" spans="7:31" x14ac:dyDescent="0.35">
      <c r="G569" s="39"/>
      <c r="H569" s="37"/>
      <c r="K569"/>
      <c r="M569" s="42"/>
      <c r="N569" s="7"/>
      <c r="O569"/>
      <c r="Q569" s="42"/>
      <c r="R569" s="7"/>
      <c r="S569"/>
      <c r="U569" s="42"/>
      <c r="V569" s="7"/>
      <c r="W569"/>
      <c r="Y569" s="42"/>
      <c r="Z569" s="7"/>
      <c r="AA569"/>
      <c r="AC569" s="42"/>
      <c r="AD569" s="7"/>
      <c r="AE569"/>
    </row>
    <row r="570" spans="7:31" x14ac:dyDescent="0.35">
      <c r="G570" s="39"/>
      <c r="H570" s="37"/>
      <c r="K570"/>
      <c r="M570" s="42"/>
      <c r="N570" s="7"/>
      <c r="O570"/>
      <c r="Q570" s="42"/>
      <c r="R570" s="7"/>
      <c r="S570"/>
      <c r="U570" s="42"/>
      <c r="V570" s="7"/>
      <c r="W570"/>
      <c r="Y570" s="42"/>
      <c r="Z570" s="7"/>
      <c r="AA570"/>
      <c r="AC570" s="42"/>
      <c r="AD570" s="7"/>
      <c r="AE570"/>
    </row>
    <row r="571" spans="7:31" x14ac:dyDescent="0.35">
      <c r="G571" s="39"/>
      <c r="H571" s="37"/>
      <c r="K571"/>
      <c r="M571" s="42"/>
      <c r="N571" s="7"/>
      <c r="O571"/>
      <c r="Q571" s="42"/>
      <c r="R571" s="7"/>
      <c r="S571"/>
      <c r="U571" s="42"/>
      <c r="V571" s="7"/>
      <c r="W571"/>
      <c r="Y571" s="42"/>
      <c r="Z571" s="7"/>
      <c r="AA571"/>
      <c r="AC571" s="42"/>
      <c r="AD571" s="7"/>
      <c r="AE571"/>
    </row>
    <row r="572" spans="7:31" x14ac:dyDescent="0.35">
      <c r="G572" s="39"/>
      <c r="H572" s="37"/>
      <c r="K572"/>
      <c r="M572" s="42"/>
      <c r="N572" s="7"/>
      <c r="O572"/>
      <c r="Q572" s="42"/>
      <c r="R572" s="7"/>
      <c r="S572"/>
      <c r="U572" s="42"/>
      <c r="V572" s="7"/>
      <c r="W572"/>
      <c r="Y572" s="42"/>
      <c r="Z572" s="7"/>
      <c r="AA572"/>
      <c r="AC572" s="42"/>
      <c r="AD572" s="7"/>
      <c r="AE572"/>
    </row>
    <row r="573" spans="7:31" x14ac:dyDescent="0.35">
      <c r="G573" s="39"/>
      <c r="H573" s="37"/>
      <c r="K573"/>
      <c r="M573" s="42"/>
      <c r="N573" s="7"/>
      <c r="O573"/>
      <c r="Q573" s="42"/>
      <c r="R573" s="7"/>
      <c r="S573"/>
      <c r="U573" s="42"/>
      <c r="V573" s="7"/>
      <c r="W573"/>
      <c r="Y573" s="42"/>
      <c r="Z573" s="7"/>
      <c r="AA573"/>
      <c r="AC573" s="42"/>
      <c r="AD573" s="7"/>
      <c r="AE573"/>
    </row>
    <row r="574" spans="7:31" x14ac:dyDescent="0.35">
      <c r="G574" s="39"/>
      <c r="H574" s="37"/>
      <c r="K574"/>
      <c r="M574" s="42"/>
      <c r="N574" s="7"/>
      <c r="O574"/>
      <c r="Q574" s="42"/>
      <c r="R574" s="7"/>
      <c r="S574"/>
      <c r="U574" s="42"/>
      <c r="V574" s="7"/>
      <c r="W574"/>
      <c r="Y574" s="42"/>
      <c r="Z574" s="7"/>
      <c r="AA574"/>
      <c r="AC574" s="42"/>
      <c r="AD574" s="7"/>
      <c r="AE574"/>
    </row>
    <row r="575" spans="7:31" x14ac:dyDescent="0.35">
      <c r="G575" s="39"/>
      <c r="H575" s="37"/>
      <c r="K575"/>
      <c r="M575" s="42"/>
      <c r="N575" s="7"/>
      <c r="O575"/>
      <c r="Q575" s="42"/>
      <c r="R575" s="7"/>
      <c r="S575"/>
      <c r="U575" s="42"/>
      <c r="V575" s="7"/>
      <c r="W575"/>
      <c r="Y575" s="42"/>
      <c r="Z575" s="7"/>
      <c r="AA575"/>
      <c r="AC575" s="42"/>
      <c r="AD575" s="7"/>
      <c r="AE575"/>
    </row>
    <row r="576" spans="7:31" x14ac:dyDescent="0.35">
      <c r="G576" s="39"/>
      <c r="H576" s="37"/>
      <c r="K576"/>
      <c r="M576" s="42"/>
      <c r="N576" s="7"/>
      <c r="O576"/>
      <c r="Q576" s="42"/>
      <c r="R576" s="7"/>
      <c r="S576"/>
      <c r="U576" s="42"/>
      <c r="V576" s="7"/>
      <c r="W576"/>
      <c r="Y576" s="42"/>
      <c r="Z576" s="7"/>
      <c r="AA576"/>
      <c r="AC576" s="42"/>
      <c r="AD576" s="7"/>
      <c r="AE576"/>
    </row>
    <row r="577" spans="7:31" x14ac:dyDescent="0.35">
      <c r="G577" s="39"/>
      <c r="H577" s="37"/>
      <c r="K577"/>
      <c r="M577" s="42"/>
      <c r="N577" s="7"/>
      <c r="O577"/>
      <c r="Q577" s="42"/>
      <c r="R577" s="7"/>
      <c r="S577"/>
      <c r="U577" s="42"/>
      <c r="V577" s="7"/>
      <c r="W577"/>
      <c r="Y577" s="42"/>
      <c r="Z577" s="7"/>
      <c r="AA577"/>
      <c r="AC577" s="42"/>
      <c r="AD577" s="7"/>
      <c r="AE577"/>
    </row>
    <row r="578" spans="7:31" x14ac:dyDescent="0.35">
      <c r="G578" s="39"/>
      <c r="H578" s="37"/>
      <c r="K578"/>
      <c r="M578" s="42"/>
      <c r="N578" s="7"/>
      <c r="O578"/>
      <c r="Q578" s="42"/>
      <c r="R578" s="7"/>
      <c r="S578"/>
      <c r="U578" s="42"/>
      <c r="V578" s="7"/>
      <c r="W578"/>
      <c r="Y578" s="42"/>
      <c r="Z578" s="7"/>
      <c r="AA578"/>
      <c r="AC578" s="42"/>
      <c r="AD578" s="7"/>
      <c r="AE578"/>
    </row>
    <row r="579" spans="7:31" x14ac:dyDescent="0.35">
      <c r="G579" s="39"/>
      <c r="H579" s="37"/>
      <c r="K579"/>
      <c r="M579" s="42"/>
      <c r="N579" s="7"/>
      <c r="O579"/>
      <c r="Q579" s="42"/>
      <c r="R579" s="7"/>
      <c r="S579"/>
      <c r="U579" s="42"/>
      <c r="V579" s="7"/>
      <c r="W579"/>
      <c r="Y579" s="42"/>
      <c r="Z579" s="7"/>
      <c r="AA579"/>
      <c r="AC579" s="42"/>
      <c r="AD579" s="7"/>
      <c r="AE579"/>
    </row>
    <row r="580" spans="7:31" x14ac:dyDescent="0.35">
      <c r="G580" s="39"/>
      <c r="H580" s="37"/>
      <c r="K580"/>
      <c r="M580" s="42"/>
      <c r="N580" s="7"/>
      <c r="O580"/>
      <c r="Q580" s="42"/>
      <c r="R580" s="7"/>
      <c r="S580"/>
      <c r="U580" s="42"/>
      <c r="V580" s="7"/>
      <c r="W580"/>
      <c r="Y580" s="42"/>
      <c r="Z580" s="7"/>
      <c r="AA580"/>
      <c r="AC580" s="42"/>
      <c r="AD580" s="7"/>
      <c r="AE580"/>
    </row>
    <row r="581" spans="7:31" x14ac:dyDescent="0.35">
      <c r="G581" s="39"/>
      <c r="H581" s="37"/>
      <c r="K581"/>
      <c r="M581" s="42"/>
      <c r="N581" s="7"/>
      <c r="O581"/>
      <c r="Q581" s="42"/>
      <c r="R581" s="7"/>
      <c r="S581"/>
      <c r="U581" s="42"/>
      <c r="V581" s="7"/>
      <c r="W581"/>
      <c r="Y581" s="42"/>
      <c r="Z581" s="7"/>
      <c r="AA581"/>
      <c r="AC581" s="42"/>
      <c r="AD581" s="7"/>
      <c r="AE581"/>
    </row>
    <row r="582" spans="7:31" x14ac:dyDescent="0.35">
      <c r="G582" s="39"/>
      <c r="H582" s="37"/>
      <c r="K582"/>
      <c r="M582" s="42"/>
      <c r="N582" s="7"/>
      <c r="O582"/>
      <c r="Q582" s="42"/>
      <c r="R582" s="7"/>
      <c r="S582"/>
      <c r="U582" s="42"/>
      <c r="V582" s="7"/>
      <c r="W582"/>
      <c r="Y582" s="42"/>
      <c r="Z582" s="7"/>
      <c r="AA582"/>
      <c r="AC582" s="42"/>
      <c r="AD582" s="7"/>
      <c r="AE582"/>
    </row>
    <row r="583" spans="7:31" x14ac:dyDescent="0.35">
      <c r="G583" s="39"/>
      <c r="H583" s="37"/>
      <c r="K583"/>
      <c r="M583" s="42"/>
      <c r="N583" s="7"/>
      <c r="O583"/>
      <c r="Q583" s="42"/>
      <c r="R583" s="7"/>
      <c r="S583"/>
      <c r="U583" s="42"/>
      <c r="V583" s="7"/>
      <c r="W583"/>
      <c r="Y583" s="42"/>
      <c r="Z583" s="7"/>
      <c r="AA583"/>
      <c r="AC583" s="42"/>
      <c r="AD583" s="7"/>
      <c r="AE583"/>
    </row>
    <row r="584" spans="7:31" x14ac:dyDescent="0.35">
      <c r="G584" s="39"/>
      <c r="H584" s="37"/>
      <c r="K584"/>
      <c r="M584" s="42"/>
      <c r="N584" s="7"/>
      <c r="O584"/>
      <c r="Q584" s="42"/>
      <c r="R584" s="7"/>
      <c r="S584"/>
      <c r="U584" s="42"/>
      <c r="V584" s="7"/>
      <c r="W584"/>
      <c r="Y584" s="42"/>
      <c r="Z584" s="7"/>
      <c r="AA584"/>
      <c r="AC584" s="42"/>
      <c r="AD584" s="7"/>
      <c r="AE584"/>
    </row>
    <row r="585" spans="7:31" x14ac:dyDescent="0.35">
      <c r="G585" s="39"/>
      <c r="H585" s="37"/>
      <c r="K585"/>
      <c r="M585" s="42"/>
      <c r="N585" s="7"/>
      <c r="O585"/>
      <c r="Q585" s="42"/>
      <c r="R585" s="7"/>
      <c r="S585"/>
      <c r="U585" s="42"/>
      <c r="V585" s="7"/>
      <c r="W585"/>
      <c r="Y585" s="42"/>
      <c r="Z585" s="7"/>
      <c r="AA585"/>
      <c r="AC585" s="42"/>
      <c r="AD585" s="7"/>
      <c r="AE585"/>
    </row>
    <row r="586" spans="7:31" x14ac:dyDescent="0.35">
      <c r="G586" s="39"/>
      <c r="H586" s="37"/>
      <c r="K586"/>
      <c r="M586" s="42"/>
      <c r="N586" s="7"/>
      <c r="O586"/>
      <c r="Q586" s="42"/>
      <c r="R586" s="7"/>
      <c r="S586"/>
      <c r="U586" s="42"/>
      <c r="V586" s="7"/>
      <c r="W586"/>
      <c r="Y586" s="42"/>
      <c r="Z586" s="7"/>
      <c r="AA586"/>
      <c r="AC586" s="42"/>
      <c r="AD586" s="7"/>
      <c r="AE586"/>
    </row>
    <row r="587" spans="7:31" x14ac:dyDescent="0.35">
      <c r="G587" s="39"/>
      <c r="H587" s="37"/>
      <c r="K587"/>
      <c r="M587" s="42"/>
      <c r="N587" s="7"/>
      <c r="O587"/>
      <c r="Q587" s="42"/>
      <c r="R587" s="7"/>
      <c r="S587"/>
      <c r="U587" s="42"/>
      <c r="V587" s="7"/>
      <c r="W587"/>
      <c r="Y587" s="42"/>
      <c r="Z587" s="7"/>
      <c r="AA587"/>
      <c r="AC587" s="42"/>
      <c r="AD587" s="7"/>
      <c r="AE587"/>
    </row>
    <row r="588" spans="7:31" x14ac:dyDescent="0.35">
      <c r="G588" s="39"/>
      <c r="H588" s="37"/>
      <c r="K588"/>
      <c r="M588" s="42"/>
      <c r="N588" s="7"/>
      <c r="O588"/>
      <c r="Q588" s="42"/>
      <c r="R588" s="7"/>
      <c r="S588"/>
      <c r="U588" s="42"/>
      <c r="V588" s="7"/>
      <c r="W588"/>
      <c r="Y588" s="42"/>
      <c r="Z588" s="7"/>
      <c r="AA588"/>
      <c r="AC588" s="42"/>
      <c r="AD588" s="7"/>
      <c r="AE588"/>
    </row>
    <row r="589" spans="7:31" x14ac:dyDescent="0.35">
      <c r="G589" s="39"/>
      <c r="H589" s="37"/>
      <c r="K589"/>
      <c r="M589" s="42"/>
      <c r="N589" s="7"/>
      <c r="O589"/>
      <c r="Q589" s="42"/>
      <c r="R589" s="7"/>
      <c r="S589"/>
      <c r="U589" s="42"/>
      <c r="V589" s="7"/>
      <c r="W589"/>
      <c r="Y589" s="42"/>
      <c r="Z589" s="7"/>
      <c r="AA589"/>
      <c r="AC589" s="42"/>
      <c r="AD589" s="7"/>
      <c r="AE589"/>
    </row>
    <row r="590" spans="7:31" x14ac:dyDescent="0.35">
      <c r="G590" s="39"/>
      <c r="H590" s="37"/>
      <c r="K590"/>
      <c r="M590" s="42"/>
      <c r="N590" s="7"/>
      <c r="O590"/>
      <c r="Q590" s="42"/>
      <c r="R590" s="7"/>
      <c r="S590"/>
      <c r="U590" s="42"/>
      <c r="V590" s="7"/>
      <c r="W590"/>
      <c r="Y590" s="42"/>
      <c r="Z590" s="7"/>
      <c r="AA590"/>
      <c r="AC590" s="42"/>
      <c r="AD590" s="7"/>
      <c r="AE590"/>
    </row>
    <row r="591" spans="7:31" x14ac:dyDescent="0.35">
      <c r="G591" s="39"/>
      <c r="H591" s="37"/>
      <c r="K591"/>
      <c r="M591" s="42"/>
      <c r="N591" s="7"/>
      <c r="O591"/>
      <c r="Q591" s="42"/>
      <c r="R591" s="7"/>
      <c r="S591"/>
      <c r="U591" s="42"/>
      <c r="V591" s="7"/>
      <c r="W591"/>
      <c r="Y591" s="42"/>
      <c r="Z591" s="7"/>
      <c r="AA591"/>
      <c r="AC591" s="42"/>
      <c r="AD591" s="7"/>
      <c r="AE591"/>
    </row>
    <row r="592" spans="7:31" x14ac:dyDescent="0.35">
      <c r="G592" s="39"/>
      <c r="H592" s="37"/>
      <c r="K592"/>
      <c r="M592" s="42"/>
      <c r="N592" s="7"/>
      <c r="O592"/>
      <c r="Q592" s="42"/>
      <c r="R592" s="7"/>
      <c r="S592"/>
      <c r="U592" s="42"/>
      <c r="V592" s="7"/>
      <c r="W592"/>
      <c r="Y592" s="42"/>
      <c r="Z592" s="7"/>
      <c r="AA592"/>
      <c r="AC592" s="42"/>
      <c r="AD592" s="7"/>
      <c r="AE592"/>
    </row>
    <row r="593" spans="7:31" x14ac:dyDescent="0.35">
      <c r="G593" s="39"/>
      <c r="H593" s="37"/>
      <c r="K593"/>
      <c r="M593" s="42"/>
      <c r="N593" s="7"/>
      <c r="O593"/>
      <c r="Q593" s="42"/>
      <c r="R593" s="7"/>
      <c r="S593"/>
      <c r="U593" s="42"/>
      <c r="V593" s="7"/>
      <c r="W593"/>
      <c r="Y593" s="42"/>
      <c r="Z593" s="7"/>
      <c r="AA593"/>
      <c r="AC593" s="42"/>
      <c r="AD593" s="7"/>
      <c r="AE593"/>
    </row>
    <row r="594" spans="7:31" x14ac:dyDescent="0.35">
      <c r="G594" s="39"/>
      <c r="H594" s="37"/>
      <c r="K594"/>
      <c r="M594" s="42"/>
      <c r="N594" s="7"/>
      <c r="O594"/>
      <c r="Q594" s="42"/>
      <c r="R594" s="7"/>
      <c r="S594"/>
      <c r="U594" s="42"/>
      <c r="V594" s="7"/>
      <c r="W594"/>
      <c r="Y594" s="42"/>
      <c r="Z594" s="7"/>
      <c r="AA594"/>
      <c r="AC594" s="42"/>
      <c r="AD594" s="7"/>
      <c r="AE594"/>
    </row>
    <row r="595" spans="7:31" x14ac:dyDescent="0.35">
      <c r="G595" s="39"/>
      <c r="H595" s="37"/>
      <c r="K595"/>
      <c r="M595" s="42"/>
      <c r="N595" s="7"/>
      <c r="O595"/>
      <c r="Q595" s="42"/>
      <c r="R595" s="7"/>
      <c r="S595"/>
      <c r="U595" s="42"/>
      <c r="V595" s="7"/>
      <c r="W595"/>
      <c r="Y595" s="42"/>
      <c r="Z595" s="7"/>
      <c r="AA595"/>
      <c r="AC595" s="42"/>
      <c r="AD595" s="7"/>
      <c r="AE595"/>
    </row>
    <row r="596" spans="7:31" x14ac:dyDescent="0.35">
      <c r="G596" s="39"/>
      <c r="H596" s="37"/>
      <c r="K596"/>
      <c r="M596" s="42"/>
      <c r="N596" s="7"/>
      <c r="O596"/>
      <c r="Q596" s="42"/>
      <c r="R596" s="7"/>
      <c r="S596"/>
      <c r="U596" s="42"/>
      <c r="V596" s="7"/>
      <c r="W596"/>
      <c r="Y596" s="42"/>
      <c r="Z596" s="7"/>
      <c r="AA596"/>
      <c r="AC596" s="42"/>
      <c r="AD596" s="7"/>
      <c r="AE596"/>
    </row>
    <row r="597" spans="7:31" x14ac:dyDescent="0.35">
      <c r="G597" s="39"/>
      <c r="H597" s="37"/>
      <c r="K597"/>
      <c r="M597" s="42"/>
      <c r="N597" s="7"/>
      <c r="O597"/>
      <c r="Q597" s="42"/>
      <c r="R597" s="7"/>
      <c r="S597"/>
      <c r="U597" s="42"/>
      <c r="V597" s="7"/>
      <c r="W597"/>
      <c r="Y597" s="42"/>
      <c r="Z597" s="7"/>
      <c r="AA597"/>
      <c r="AC597" s="42"/>
      <c r="AD597" s="7"/>
      <c r="AE597"/>
    </row>
    <row r="598" spans="7:31" x14ac:dyDescent="0.35">
      <c r="G598" s="39"/>
      <c r="H598" s="37"/>
      <c r="K598"/>
      <c r="M598" s="42"/>
      <c r="N598" s="7"/>
      <c r="O598"/>
      <c r="Q598" s="42"/>
      <c r="R598" s="7"/>
      <c r="S598"/>
      <c r="U598" s="42"/>
      <c r="V598" s="7"/>
      <c r="W598"/>
      <c r="Y598" s="42"/>
      <c r="Z598" s="7"/>
      <c r="AA598"/>
      <c r="AC598" s="42"/>
      <c r="AD598" s="7"/>
      <c r="AE598"/>
    </row>
    <row r="599" spans="7:31" x14ac:dyDescent="0.35">
      <c r="G599" s="39"/>
      <c r="H599" s="37"/>
      <c r="K599"/>
      <c r="M599" s="42"/>
      <c r="N599" s="7"/>
      <c r="O599"/>
      <c r="Q599" s="42"/>
      <c r="R599" s="7"/>
      <c r="S599"/>
      <c r="U599" s="42"/>
      <c r="V599" s="7"/>
      <c r="W599"/>
      <c r="Y599" s="42"/>
      <c r="Z599" s="7"/>
      <c r="AA599"/>
      <c r="AC599" s="42"/>
      <c r="AD599" s="7"/>
      <c r="AE599"/>
    </row>
    <row r="600" spans="7:31" x14ac:dyDescent="0.35">
      <c r="G600" s="39"/>
      <c r="H600" s="37"/>
      <c r="K600"/>
      <c r="M600" s="42"/>
      <c r="N600" s="7"/>
      <c r="O600"/>
      <c r="Q600" s="42"/>
      <c r="R600" s="7"/>
      <c r="S600"/>
      <c r="U600" s="42"/>
      <c r="V600" s="7"/>
      <c r="W600"/>
      <c r="Y600" s="42"/>
      <c r="Z600" s="7"/>
      <c r="AA600"/>
      <c r="AC600" s="42"/>
      <c r="AD600" s="7"/>
      <c r="AE600"/>
    </row>
    <row r="601" spans="7:31" x14ac:dyDescent="0.35">
      <c r="G601" s="39"/>
      <c r="H601" s="37"/>
      <c r="K601"/>
      <c r="M601" s="42"/>
      <c r="N601" s="7"/>
      <c r="O601"/>
      <c r="Q601" s="42"/>
      <c r="R601" s="7"/>
      <c r="S601"/>
      <c r="U601" s="42"/>
      <c r="V601" s="7"/>
      <c r="W601"/>
      <c r="Y601" s="42"/>
      <c r="Z601" s="7"/>
      <c r="AA601"/>
      <c r="AC601" s="42"/>
      <c r="AD601" s="7"/>
      <c r="AE601"/>
    </row>
    <row r="602" spans="7:31" x14ac:dyDescent="0.35">
      <c r="G602" s="39"/>
      <c r="H602" s="37"/>
      <c r="K602"/>
      <c r="M602" s="42"/>
      <c r="N602" s="7"/>
      <c r="O602"/>
      <c r="Q602" s="42"/>
      <c r="R602" s="7"/>
      <c r="S602"/>
      <c r="U602" s="42"/>
      <c r="V602" s="7"/>
      <c r="W602"/>
      <c r="Y602" s="42"/>
      <c r="Z602" s="7"/>
      <c r="AA602"/>
      <c r="AC602" s="42"/>
      <c r="AD602" s="7"/>
      <c r="AE602"/>
    </row>
    <row r="603" spans="7:31" x14ac:dyDescent="0.35">
      <c r="G603" s="39"/>
      <c r="H603" s="37"/>
      <c r="K603"/>
      <c r="M603" s="42"/>
      <c r="N603" s="7"/>
      <c r="O603"/>
      <c r="Q603" s="42"/>
      <c r="R603" s="7"/>
      <c r="S603"/>
      <c r="U603" s="42"/>
      <c r="V603" s="7"/>
      <c r="W603"/>
      <c r="Y603" s="42"/>
      <c r="Z603" s="7"/>
      <c r="AA603"/>
      <c r="AC603" s="42"/>
      <c r="AD603" s="7"/>
      <c r="AE603"/>
    </row>
    <row r="604" spans="7:31" x14ac:dyDescent="0.35">
      <c r="G604" s="39"/>
      <c r="H604" s="37"/>
      <c r="K604"/>
      <c r="M604" s="42"/>
      <c r="N604" s="7"/>
      <c r="O604"/>
      <c r="Q604" s="42"/>
      <c r="R604" s="7"/>
      <c r="S604"/>
      <c r="U604" s="42"/>
      <c r="V604" s="7"/>
      <c r="W604"/>
      <c r="Y604" s="42"/>
      <c r="Z604" s="7"/>
      <c r="AA604"/>
      <c r="AC604" s="42"/>
      <c r="AD604" s="7"/>
      <c r="AE604"/>
    </row>
    <row r="605" spans="7:31" x14ac:dyDescent="0.35">
      <c r="G605" s="39"/>
      <c r="H605" s="37"/>
      <c r="K605"/>
      <c r="M605" s="42"/>
      <c r="N605" s="7"/>
      <c r="O605"/>
      <c r="Q605" s="42"/>
      <c r="R605" s="7"/>
      <c r="S605"/>
      <c r="U605" s="42"/>
      <c r="V605" s="7"/>
      <c r="W605"/>
      <c r="Y605" s="42"/>
      <c r="Z605" s="7"/>
      <c r="AA605"/>
      <c r="AC605" s="42"/>
      <c r="AD605" s="7"/>
      <c r="AE605"/>
    </row>
    <row r="606" spans="7:31" x14ac:dyDescent="0.35">
      <c r="G606" s="39"/>
      <c r="H606" s="37"/>
      <c r="K606"/>
      <c r="M606" s="42"/>
      <c r="N606" s="7"/>
      <c r="O606"/>
      <c r="Q606" s="42"/>
      <c r="R606" s="7"/>
      <c r="S606"/>
      <c r="U606" s="42"/>
      <c r="V606" s="7"/>
      <c r="W606"/>
      <c r="Y606" s="42"/>
      <c r="Z606" s="7"/>
      <c r="AA606"/>
      <c r="AC606" s="42"/>
      <c r="AD606" s="7"/>
      <c r="AE606"/>
    </row>
    <row r="607" spans="7:31" x14ac:dyDescent="0.35">
      <c r="G607" s="39"/>
      <c r="H607" s="37"/>
      <c r="K607"/>
      <c r="M607" s="42"/>
      <c r="N607" s="7"/>
      <c r="O607"/>
      <c r="Q607" s="42"/>
      <c r="R607" s="7"/>
      <c r="S607"/>
      <c r="U607" s="42"/>
      <c r="V607" s="7"/>
      <c r="W607"/>
      <c r="Y607" s="42"/>
      <c r="Z607" s="7"/>
      <c r="AA607"/>
      <c r="AC607" s="42"/>
      <c r="AD607" s="7"/>
      <c r="AE607"/>
    </row>
    <row r="608" spans="7:31" x14ac:dyDescent="0.35">
      <c r="G608" s="39"/>
      <c r="H608" s="37"/>
      <c r="K608"/>
      <c r="M608" s="42"/>
      <c r="N608" s="7"/>
      <c r="O608"/>
      <c r="Q608" s="42"/>
      <c r="R608" s="7"/>
      <c r="S608"/>
      <c r="U608" s="42"/>
      <c r="V608" s="7"/>
      <c r="W608"/>
      <c r="Y608" s="42"/>
      <c r="Z608" s="7"/>
      <c r="AA608"/>
      <c r="AC608" s="42"/>
      <c r="AD608" s="7"/>
      <c r="AE608"/>
    </row>
    <row r="609" spans="7:31" x14ac:dyDescent="0.35">
      <c r="G609" s="39"/>
      <c r="H609" s="37"/>
      <c r="K609"/>
      <c r="M609" s="42"/>
      <c r="N609" s="7"/>
      <c r="O609"/>
      <c r="Q609" s="42"/>
      <c r="R609" s="7"/>
      <c r="S609"/>
      <c r="U609" s="42"/>
      <c r="V609" s="7"/>
      <c r="W609"/>
      <c r="Y609" s="42"/>
      <c r="Z609" s="7"/>
      <c r="AA609"/>
      <c r="AC609" s="42"/>
      <c r="AD609" s="7"/>
      <c r="AE609"/>
    </row>
    <row r="610" spans="7:31" x14ac:dyDescent="0.35">
      <c r="G610" s="39"/>
      <c r="H610" s="37"/>
      <c r="K610"/>
      <c r="M610" s="42"/>
      <c r="N610" s="7"/>
      <c r="O610"/>
      <c r="Q610" s="42"/>
      <c r="R610" s="7"/>
      <c r="S610"/>
      <c r="U610" s="42"/>
      <c r="V610" s="7"/>
      <c r="W610"/>
      <c r="Y610" s="42"/>
      <c r="Z610" s="7"/>
      <c r="AA610"/>
      <c r="AC610" s="42"/>
      <c r="AD610" s="7"/>
      <c r="AE610"/>
    </row>
    <row r="611" spans="7:31" x14ac:dyDescent="0.35">
      <c r="G611" s="39"/>
      <c r="H611" s="37"/>
      <c r="K611"/>
      <c r="M611" s="42"/>
      <c r="N611" s="7"/>
      <c r="O611"/>
      <c r="Q611" s="42"/>
      <c r="R611" s="7"/>
      <c r="S611"/>
      <c r="U611" s="42"/>
      <c r="V611" s="7"/>
      <c r="W611"/>
      <c r="Y611" s="42"/>
      <c r="Z611" s="7"/>
      <c r="AA611"/>
      <c r="AC611" s="42"/>
      <c r="AD611" s="7"/>
      <c r="AE611"/>
    </row>
    <row r="612" spans="7:31" x14ac:dyDescent="0.35">
      <c r="G612" s="39"/>
      <c r="H612" s="37"/>
      <c r="K612"/>
      <c r="M612" s="42"/>
      <c r="N612" s="7"/>
      <c r="O612"/>
      <c r="Q612" s="42"/>
      <c r="R612" s="7"/>
      <c r="S612"/>
      <c r="U612" s="42"/>
      <c r="V612" s="7"/>
      <c r="W612"/>
      <c r="Y612" s="42"/>
      <c r="Z612" s="7"/>
      <c r="AA612"/>
      <c r="AC612" s="42"/>
      <c r="AD612" s="7"/>
      <c r="AE612"/>
    </row>
    <row r="613" spans="7:31" x14ac:dyDescent="0.35">
      <c r="G613" s="39"/>
      <c r="H613" s="37"/>
      <c r="K613"/>
      <c r="M613" s="42"/>
      <c r="N613" s="7"/>
      <c r="O613"/>
      <c r="Q613" s="42"/>
      <c r="R613" s="7"/>
      <c r="S613"/>
      <c r="U613" s="42"/>
      <c r="V613" s="7"/>
      <c r="W613"/>
      <c r="Y613" s="42"/>
      <c r="Z613" s="7"/>
      <c r="AA613"/>
      <c r="AC613" s="42"/>
      <c r="AD613" s="7"/>
      <c r="AE613"/>
    </row>
    <row r="614" spans="7:31" x14ac:dyDescent="0.35">
      <c r="G614" s="39"/>
      <c r="H614" s="37"/>
      <c r="K614"/>
      <c r="M614" s="42"/>
      <c r="N614" s="7"/>
      <c r="O614"/>
      <c r="Q614" s="42"/>
      <c r="R614" s="7"/>
      <c r="S614"/>
      <c r="U614" s="42"/>
      <c r="V614" s="7"/>
      <c r="W614"/>
      <c r="Y614" s="42"/>
      <c r="Z614" s="7"/>
      <c r="AA614"/>
      <c r="AC614" s="42"/>
      <c r="AD614" s="7"/>
      <c r="AE614"/>
    </row>
    <row r="615" spans="7:31" x14ac:dyDescent="0.35">
      <c r="G615" s="39"/>
      <c r="H615" s="37"/>
      <c r="K615"/>
      <c r="M615" s="42"/>
      <c r="N615" s="7"/>
      <c r="O615"/>
      <c r="Q615" s="42"/>
      <c r="R615" s="7"/>
      <c r="S615"/>
      <c r="U615" s="42"/>
      <c r="V615" s="7"/>
      <c r="W615"/>
      <c r="Y615" s="42"/>
      <c r="Z615" s="7"/>
      <c r="AA615"/>
      <c r="AC615" s="42"/>
      <c r="AD615" s="7"/>
      <c r="AE615"/>
    </row>
    <row r="616" spans="7:31" x14ac:dyDescent="0.35">
      <c r="G616" s="39"/>
      <c r="H616" s="37"/>
      <c r="K616"/>
      <c r="M616" s="42"/>
      <c r="N616" s="7"/>
      <c r="O616"/>
      <c r="Q616" s="42"/>
      <c r="R616" s="7"/>
      <c r="S616"/>
      <c r="U616" s="42"/>
      <c r="V616" s="7"/>
      <c r="W616"/>
      <c r="Y616" s="42"/>
      <c r="Z616" s="7"/>
      <c r="AA616"/>
      <c r="AC616" s="42"/>
      <c r="AD616" s="7"/>
      <c r="AE616"/>
    </row>
    <row r="617" spans="7:31" x14ac:dyDescent="0.35">
      <c r="G617" s="39"/>
      <c r="H617" s="37"/>
      <c r="K617"/>
      <c r="M617" s="42"/>
      <c r="N617" s="7"/>
      <c r="O617"/>
      <c r="Q617" s="42"/>
      <c r="R617" s="7"/>
      <c r="S617"/>
      <c r="U617" s="42"/>
      <c r="V617" s="7"/>
      <c r="W617"/>
      <c r="Y617" s="42"/>
      <c r="Z617" s="7"/>
      <c r="AA617"/>
      <c r="AC617" s="42"/>
      <c r="AD617" s="7"/>
      <c r="AE617"/>
    </row>
    <row r="618" spans="7:31" x14ac:dyDescent="0.35">
      <c r="G618" s="39"/>
      <c r="H618" s="37"/>
      <c r="K618"/>
      <c r="M618" s="42"/>
      <c r="N618" s="7"/>
      <c r="O618"/>
      <c r="Q618" s="42"/>
      <c r="R618" s="7"/>
      <c r="S618"/>
      <c r="U618" s="42"/>
      <c r="V618" s="7"/>
      <c r="W618"/>
      <c r="Y618" s="42"/>
      <c r="Z618" s="7"/>
      <c r="AA618"/>
      <c r="AC618" s="42"/>
      <c r="AD618" s="7"/>
      <c r="AE618"/>
    </row>
    <row r="619" spans="7:31" x14ac:dyDescent="0.35">
      <c r="G619" s="39"/>
      <c r="H619" s="37"/>
      <c r="K619"/>
      <c r="M619" s="42"/>
      <c r="N619" s="7"/>
      <c r="O619"/>
      <c r="Q619" s="42"/>
      <c r="R619" s="7"/>
      <c r="S619"/>
      <c r="U619" s="42"/>
      <c r="V619" s="7"/>
      <c r="W619"/>
      <c r="Y619" s="42"/>
      <c r="Z619" s="7"/>
      <c r="AA619"/>
      <c r="AC619" s="42"/>
      <c r="AD619" s="7"/>
      <c r="AE619"/>
    </row>
    <row r="620" spans="7:31" x14ac:dyDescent="0.35">
      <c r="G620" s="39"/>
      <c r="H620" s="37"/>
      <c r="K620"/>
      <c r="M620" s="42"/>
      <c r="N620" s="7"/>
      <c r="O620"/>
      <c r="Q620" s="42"/>
      <c r="R620" s="7"/>
      <c r="S620"/>
      <c r="U620" s="42"/>
      <c r="V620" s="7"/>
      <c r="W620"/>
      <c r="Y620" s="42"/>
      <c r="Z620" s="7"/>
      <c r="AA620"/>
      <c r="AC620" s="42"/>
      <c r="AD620" s="7"/>
      <c r="AE620"/>
    </row>
    <row r="621" spans="7:31" x14ac:dyDescent="0.35">
      <c r="G621" s="39"/>
      <c r="H621" s="37"/>
      <c r="K621"/>
      <c r="M621" s="42"/>
      <c r="N621" s="7"/>
      <c r="O621"/>
      <c r="Q621" s="42"/>
      <c r="R621" s="7"/>
      <c r="S621"/>
      <c r="U621" s="42"/>
      <c r="V621" s="7"/>
      <c r="W621"/>
      <c r="Y621" s="42"/>
      <c r="Z621" s="7"/>
      <c r="AA621"/>
      <c r="AC621" s="42"/>
      <c r="AD621" s="7"/>
      <c r="AE621"/>
    </row>
    <row r="622" spans="7:31" x14ac:dyDescent="0.35">
      <c r="G622" s="39"/>
      <c r="H622" s="37"/>
      <c r="K622"/>
      <c r="M622" s="42"/>
      <c r="N622" s="7"/>
      <c r="O622"/>
      <c r="Q622" s="42"/>
      <c r="R622" s="7"/>
      <c r="S622"/>
      <c r="U622" s="42"/>
      <c r="V622" s="7"/>
      <c r="W622"/>
      <c r="Y622" s="42"/>
      <c r="Z622" s="7"/>
      <c r="AA622"/>
      <c r="AC622" s="42"/>
      <c r="AD622" s="7"/>
      <c r="AE622"/>
    </row>
    <row r="623" spans="7:31" x14ac:dyDescent="0.35">
      <c r="G623" s="39"/>
      <c r="H623" s="37"/>
      <c r="K623"/>
      <c r="M623" s="42"/>
      <c r="N623" s="7"/>
      <c r="O623"/>
      <c r="Q623" s="42"/>
      <c r="R623" s="7"/>
      <c r="S623"/>
      <c r="U623" s="42"/>
      <c r="V623" s="7"/>
      <c r="W623"/>
      <c r="Y623" s="42"/>
      <c r="Z623" s="7"/>
      <c r="AA623"/>
      <c r="AC623" s="42"/>
      <c r="AD623" s="7"/>
      <c r="AE623"/>
    </row>
    <row r="624" spans="7:31" x14ac:dyDescent="0.35">
      <c r="G624" s="39"/>
      <c r="H624" s="37"/>
      <c r="K624"/>
      <c r="M624" s="42"/>
      <c r="N624" s="7"/>
      <c r="O624"/>
      <c r="Q624" s="42"/>
      <c r="R624" s="7"/>
      <c r="S624"/>
      <c r="U624" s="42"/>
      <c r="V624" s="7"/>
      <c r="W624"/>
      <c r="Y624" s="42"/>
      <c r="Z624" s="7"/>
      <c r="AA624"/>
      <c r="AC624" s="42"/>
      <c r="AD624" s="7"/>
      <c r="AE624"/>
    </row>
    <row r="625" spans="7:31" x14ac:dyDescent="0.35">
      <c r="G625" s="39"/>
      <c r="H625" s="37"/>
      <c r="K625"/>
      <c r="M625" s="42"/>
      <c r="N625" s="7"/>
      <c r="O625"/>
      <c r="Q625" s="42"/>
      <c r="R625" s="7"/>
      <c r="S625"/>
      <c r="U625" s="42"/>
      <c r="V625" s="7"/>
      <c r="W625"/>
      <c r="Y625" s="42"/>
      <c r="Z625" s="7"/>
      <c r="AA625"/>
      <c r="AC625" s="42"/>
      <c r="AD625" s="7"/>
      <c r="AE625"/>
    </row>
    <row r="626" spans="7:31" x14ac:dyDescent="0.35">
      <c r="G626" s="39"/>
      <c r="H626" s="37"/>
      <c r="K626"/>
      <c r="M626" s="42"/>
      <c r="N626" s="7"/>
      <c r="O626"/>
      <c r="Q626" s="42"/>
      <c r="R626" s="7"/>
      <c r="S626"/>
      <c r="U626" s="42"/>
      <c r="V626" s="7"/>
      <c r="W626"/>
      <c r="Y626" s="42"/>
      <c r="Z626" s="7"/>
      <c r="AA626"/>
      <c r="AC626" s="42"/>
      <c r="AD626" s="7"/>
      <c r="AE626"/>
    </row>
    <row r="627" spans="7:31" x14ac:dyDescent="0.35">
      <c r="G627" s="39"/>
      <c r="H627" s="37"/>
      <c r="K627"/>
      <c r="M627" s="42"/>
      <c r="N627" s="7"/>
      <c r="O627"/>
      <c r="Q627" s="42"/>
      <c r="R627" s="7"/>
      <c r="S627"/>
      <c r="U627" s="42"/>
      <c r="V627" s="7"/>
      <c r="W627"/>
      <c r="Y627" s="42"/>
      <c r="Z627" s="7"/>
      <c r="AA627"/>
      <c r="AC627" s="42"/>
      <c r="AD627" s="7"/>
      <c r="AE627"/>
    </row>
    <row r="628" spans="7:31" x14ac:dyDescent="0.35">
      <c r="G628" s="39"/>
      <c r="H628" s="37"/>
      <c r="K628"/>
      <c r="M628" s="42"/>
      <c r="N628" s="7"/>
      <c r="O628"/>
      <c r="Q628" s="42"/>
      <c r="R628" s="7"/>
      <c r="S628"/>
      <c r="U628" s="42"/>
      <c r="V628" s="7"/>
      <c r="W628"/>
      <c r="Y628" s="42"/>
      <c r="Z628" s="7"/>
      <c r="AA628"/>
      <c r="AC628" s="42"/>
      <c r="AD628" s="7"/>
      <c r="AE628"/>
    </row>
    <row r="629" spans="7:31" x14ac:dyDescent="0.35">
      <c r="G629" s="39"/>
      <c r="H629" s="37"/>
      <c r="K629"/>
      <c r="M629" s="42"/>
      <c r="N629" s="7"/>
      <c r="O629"/>
      <c r="Q629" s="42"/>
      <c r="R629" s="7"/>
      <c r="S629"/>
      <c r="U629" s="42"/>
      <c r="V629" s="7"/>
      <c r="W629"/>
      <c r="Y629" s="42"/>
      <c r="Z629" s="7"/>
      <c r="AA629"/>
      <c r="AC629" s="42"/>
      <c r="AD629" s="7"/>
      <c r="AE629"/>
    </row>
    <row r="630" spans="7:31" x14ac:dyDescent="0.35">
      <c r="G630" s="39"/>
      <c r="H630" s="37"/>
      <c r="K630"/>
      <c r="M630" s="42"/>
      <c r="N630" s="7"/>
      <c r="O630"/>
      <c r="Q630" s="42"/>
      <c r="R630" s="7"/>
      <c r="S630"/>
      <c r="U630" s="42"/>
      <c r="V630" s="7"/>
      <c r="W630"/>
      <c r="Y630" s="42"/>
      <c r="Z630" s="7"/>
      <c r="AA630"/>
      <c r="AC630" s="42"/>
      <c r="AD630" s="7"/>
      <c r="AE630"/>
    </row>
    <row r="631" spans="7:31" x14ac:dyDescent="0.35">
      <c r="G631" s="39"/>
      <c r="H631" s="37"/>
      <c r="K631"/>
      <c r="M631" s="42"/>
      <c r="N631" s="7"/>
      <c r="O631"/>
      <c r="Q631" s="42"/>
      <c r="R631" s="7"/>
      <c r="S631"/>
      <c r="U631" s="42"/>
      <c r="V631" s="7"/>
      <c r="W631"/>
      <c r="Y631" s="42"/>
      <c r="Z631" s="7"/>
      <c r="AA631"/>
      <c r="AC631" s="42"/>
      <c r="AD631" s="7"/>
      <c r="AE631"/>
    </row>
    <row r="632" spans="7:31" x14ac:dyDescent="0.35">
      <c r="G632" s="39"/>
      <c r="H632" s="37"/>
      <c r="K632"/>
      <c r="M632" s="42"/>
      <c r="N632" s="7"/>
      <c r="O632"/>
      <c r="Q632" s="42"/>
      <c r="R632" s="7"/>
      <c r="S632"/>
      <c r="U632" s="42"/>
      <c r="V632" s="7"/>
      <c r="W632"/>
      <c r="Y632" s="42"/>
      <c r="Z632" s="7"/>
      <c r="AA632"/>
      <c r="AC632" s="42"/>
      <c r="AD632" s="7"/>
      <c r="AE632"/>
    </row>
    <row r="633" spans="7:31" x14ac:dyDescent="0.35">
      <c r="G633" s="39"/>
      <c r="H633" s="37"/>
      <c r="K633"/>
      <c r="M633" s="42"/>
      <c r="N633" s="7"/>
      <c r="O633"/>
      <c r="Q633" s="42"/>
      <c r="R633" s="7"/>
      <c r="S633"/>
      <c r="U633" s="42"/>
      <c r="V633" s="7"/>
      <c r="W633"/>
      <c r="Y633" s="42"/>
      <c r="Z633" s="7"/>
      <c r="AA633"/>
      <c r="AC633" s="42"/>
      <c r="AD633" s="7"/>
      <c r="AE633"/>
    </row>
    <row r="634" spans="7:31" x14ac:dyDescent="0.35">
      <c r="G634" s="39"/>
      <c r="H634" s="37"/>
      <c r="K634"/>
      <c r="M634" s="42"/>
      <c r="N634" s="7"/>
      <c r="O634"/>
      <c r="Q634" s="42"/>
      <c r="R634" s="7"/>
      <c r="S634"/>
      <c r="U634" s="42"/>
      <c r="V634" s="7"/>
      <c r="W634"/>
      <c r="Y634" s="42"/>
      <c r="Z634" s="7"/>
      <c r="AA634"/>
      <c r="AC634" s="42"/>
      <c r="AD634" s="7"/>
      <c r="AE634"/>
    </row>
    <row r="635" spans="7:31" x14ac:dyDescent="0.35">
      <c r="G635" s="39"/>
      <c r="H635" s="37"/>
      <c r="K635"/>
      <c r="M635" s="42"/>
      <c r="N635" s="7"/>
      <c r="O635"/>
      <c r="Q635" s="42"/>
      <c r="R635" s="7"/>
      <c r="S635"/>
      <c r="U635" s="42"/>
      <c r="V635" s="7"/>
      <c r="W635"/>
      <c r="Y635" s="42"/>
      <c r="Z635" s="7"/>
      <c r="AA635"/>
      <c r="AC635" s="42"/>
      <c r="AD635" s="7"/>
      <c r="AE635"/>
    </row>
    <row r="636" spans="7:31" x14ac:dyDescent="0.35">
      <c r="G636" s="39"/>
      <c r="H636" s="37"/>
      <c r="K636"/>
      <c r="M636" s="42"/>
      <c r="N636" s="7"/>
      <c r="O636"/>
      <c r="Q636" s="42"/>
      <c r="R636" s="7"/>
      <c r="S636"/>
      <c r="U636" s="42"/>
      <c r="V636" s="7"/>
      <c r="W636"/>
      <c r="Y636" s="42"/>
      <c r="Z636" s="7"/>
      <c r="AA636"/>
      <c r="AC636" s="42"/>
      <c r="AD636" s="7"/>
      <c r="AE636"/>
    </row>
    <row r="637" spans="7:31" x14ac:dyDescent="0.35">
      <c r="G637" s="39"/>
      <c r="H637" s="37"/>
      <c r="K637"/>
      <c r="M637" s="42"/>
      <c r="N637" s="7"/>
      <c r="O637"/>
      <c r="Q637" s="42"/>
      <c r="R637" s="7"/>
      <c r="S637"/>
      <c r="U637" s="42"/>
      <c r="V637" s="7"/>
      <c r="W637"/>
      <c r="Y637" s="42"/>
      <c r="Z637" s="7"/>
      <c r="AA637"/>
      <c r="AC637" s="42"/>
      <c r="AD637" s="7"/>
      <c r="AE637"/>
    </row>
    <row r="638" spans="7:31" x14ac:dyDescent="0.35">
      <c r="G638" s="39"/>
      <c r="H638" s="37"/>
      <c r="K638"/>
      <c r="M638" s="42"/>
      <c r="N638" s="7"/>
      <c r="O638"/>
      <c r="Q638" s="42"/>
      <c r="R638" s="7"/>
      <c r="S638"/>
      <c r="U638" s="42"/>
      <c r="V638" s="7"/>
      <c r="W638"/>
      <c r="Y638" s="42"/>
      <c r="Z638" s="7"/>
      <c r="AA638"/>
      <c r="AC638" s="42"/>
      <c r="AD638" s="7"/>
      <c r="AE638"/>
    </row>
    <row r="639" spans="7:31" x14ac:dyDescent="0.35">
      <c r="G639" s="39"/>
      <c r="H639" s="37"/>
      <c r="K639"/>
      <c r="M639" s="42"/>
      <c r="N639" s="7"/>
      <c r="O639"/>
      <c r="Q639" s="42"/>
      <c r="R639" s="7"/>
      <c r="S639"/>
      <c r="U639" s="42"/>
      <c r="V639" s="7"/>
      <c r="W639"/>
      <c r="Y639" s="42"/>
      <c r="Z639" s="7"/>
      <c r="AA639"/>
      <c r="AC639" s="42"/>
      <c r="AD639" s="7"/>
      <c r="AE639"/>
    </row>
    <row r="640" spans="7:31" x14ac:dyDescent="0.35">
      <c r="G640" s="39"/>
      <c r="H640" s="37"/>
      <c r="K640"/>
      <c r="M640" s="42"/>
      <c r="N640" s="7"/>
      <c r="O640"/>
      <c r="Q640" s="42"/>
      <c r="R640" s="7"/>
      <c r="S640"/>
      <c r="U640" s="42"/>
      <c r="V640" s="7"/>
      <c r="W640"/>
      <c r="Y640" s="42"/>
      <c r="Z640" s="7"/>
      <c r="AA640"/>
      <c r="AC640" s="42"/>
      <c r="AD640" s="7"/>
      <c r="AE640"/>
    </row>
    <row r="641" spans="7:31" x14ac:dyDescent="0.35">
      <c r="G641" s="39"/>
      <c r="H641" s="37"/>
      <c r="K641"/>
      <c r="M641" s="42"/>
      <c r="N641" s="7"/>
      <c r="O641"/>
      <c r="Q641" s="42"/>
      <c r="R641" s="7"/>
      <c r="S641"/>
      <c r="U641" s="42"/>
      <c r="V641" s="7"/>
      <c r="W641"/>
      <c r="Y641" s="42"/>
      <c r="Z641" s="7"/>
      <c r="AA641"/>
      <c r="AC641" s="42"/>
      <c r="AD641" s="7"/>
      <c r="AE641"/>
    </row>
    <row r="642" spans="7:31" x14ac:dyDescent="0.35">
      <c r="G642" s="39"/>
      <c r="H642" s="37"/>
      <c r="K642"/>
      <c r="M642" s="42"/>
      <c r="N642" s="7"/>
      <c r="O642"/>
      <c r="Q642" s="42"/>
      <c r="R642" s="7"/>
      <c r="S642"/>
      <c r="U642" s="42"/>
      <c r="V642" s="7"/>
      <c r="W642"/>
      <c r="Y642" s="42"/>
      <c r="Z642" s="7"/>
      <c r="AA642"/>
      <c r="AC642" s="42"/>
      <c r="AD642" s="7"/>
      <c r="AE642"/>
    </row>
    <row r="643" spans="7:31" x14ac:dyDescent="0.35">
      <c r="G643" s="39"/>
      <c r="H643" s="37"/>
      <c r="K643"/>
      <c r="M643" s="42"/>
      <c r="N643" s="7"/>
      <c r="O643"/>
      <c r="Q643" s="42"/>
      <c r="R643" s="7"/>
      <c r="S643"/>
      <c r="U643" s="42"/>
      <c r="V643" s="7"/>
      <c r="W643"/>
      <c r="Y643" s="42"/>
      <c r="Z643" s="7"/>
      <c r="AA643"/>
      <c r="AC643" s="42"/>
      <c r="AD643" s="7"/>
      <c r="AE643"/>
    </row>
    <row r="644" spans="7:31" x14ac:dyDescent="0.35">
      <c r="G644" s="39"/>
      <c r="H644" s="37"/>
      <c r="K644"/>
      <c r="M644" s="42"/>
      <c r="N644" s="7"/>
      <c r="O644"/>
      <c r="Q644" s="42"/>
      <c r="R644" s="7"/>
      <c r="S644"/>
      <c r="U644" s="42"/>
      <c r="V644" s="7"/>
      <c r="W644"/>
      <c r="Y644" s="42"/>
      <c r="Z644" s="7"/>
      <c r="AA644"/>
      <c r="AC644" s="42"/>
      <c r="AD644" s="7"/>
      <c r="AE644"/>
    </row>
    <row r="645" spans="7:31" x14ac:dyDescent="0.35">
      <c r="G645" s="39"/>
      <c r="H645" s="37"/>
      <c r="K645"/>
      <c r="M645" s="42"/>
      <c r="N645" s="7"/>
      <c r="O645"/>
      <c r="Q645" s="42"/>
      <c r="R645" s="7"/>
      <c r="S645"/>
      <c r="U645" s="42"/>
      <c r="V645" s="7"/>
      <c r="W645"/>
      <c r="Y645" s="42"/>
      <c r="Z645" s="7"/>
      <c r="AA645"/>
      <c r="AC645" s="42"/>
      <c r="AD645" s="7"/>
      <c r="AE645"/>
    </row>
    <row r="646" spans="7:31" x14ac:dyDescent="0.35">
      <c r="G646" s="39"/>
      <c r="H646" s="37"/>
      <c r="K646"/>
      <c r="M646" s="42"/>
      <c r="N646" s="7"/>
      <c r="O646"/>
      <c r="Q646" s="42"/>
      <c r="R646" s="7"/>
      <c r="S646"/>
      <c r="U646" s="42"/>
      <c r="V646" s="7"/>
      <c r="W646"/>
      <c r="Y646" s="42"/>
      <c r="Z646" s="7"/>
      <c r="AA646"/>
      <c r="AC646" s="42"/>
      <c r="AD646" s="7"/>
      <c r="AE646"/>
    </row>
    <row r="647" spans="7:31" x14ac:dyDescent="0.35">
      <c r="G647" s="39"/>
      <c r="H647" s="37"/>
      <c r="K647"/>
      <c r="M647" s="42"/>
      <c r="N647" s="7"/>
      <c r="O647"/>
      <c r="Q647" s="42"/>
      <c r="R647" s="7"/>
      <c r="S647"/>
      <c r="U647" s="42"/>
      <c r="V647" s="7"/>
      <c r="W647"/>
      <c r="Y647" s="42"/>
      <c r="Z647" s="7"/>
      <c r="AA647"/>
      <c r="AC647" s="42"/>
      <c r="AD647" s="7"/>
      <c r="AE647"/>
    </row>
    <row r="648" spans="7:31" x14ac:dyDescent="0.35">
      <c r="G648" s="39"/>
      <c r="H648" s="37"/>
      <c r="K648"/>
      <c r="M648" s="42"/>
      <c r="N648" s="7"/>
      <c r="O648"/>
      <c r="Q648" s="42"/>
      <c r="R648" s="7"/>
      <c r="S648"/>
      <c r="U648" s="42"/>
      <c r="V648" s="7"/>
      <c r="W648"/>
      <c r="Y648" s="42"/>
      <c r="Z648" s="7"/>
      <c r="AA648"/>
      <c r="AC648" s="42"/>
      <c r="AD648" s="7"/>
      <c r="AE648"/>
    </row>
    <row r="649" spans="7:31" x14ac:dyDescent="0.35">
      <c r="G649" s="39"/>
      <c r="H649" s="37"/>
      <c r="K649"/>
      <c r="M649" s="42"/>
      <c r="N649" s="7"/>
      <c r="O649"/>
      <c r="Q649" s="42"/>
      <c r="R649" s="7"/>
      <c r="S649"/>
      <c r="U649" s="42"/>
      <c r="V649" s="7"/>
      <c r="W649"/>
      <c r="Y649" s="42"/>
      <c r="Z649" s="7"/>
      <c r="AA649"/>
      <c r="AC649" s="42"/>
      <c r="AD649" s="7"/>
      <c r="AE649"/>
    </row>
    <row r="650" spans="7:31" x14ac:dyDescent="0.35">
      <c r="G650" s="39"/>
      <c r="H650" s="37"/>
      <c r="K650"/>
      <c r="M650" s="42"/>
      <c r="N650" s="7"/>
      <c r="O650"/>
      <c r="Q650" s="42"/>
      <c r="R650" s="7"/>
      <c r="S650"/>
      <c r="U650" s="42"/>
      <c r="V650" s="7"/>
      <c r="W650"/>
      <c r="Y650" s="42"/>
      <c r="Z650" s="7"/>
      <c r="AA650"/>
      <c r="AC650" s="42"/>
      <c r="AD650" s="7"/>
      <c r="AE650"/>
    </row>
    <row r="651" spans="7:31" x14ac:dyDescent="0.35">
      <c r="G651" s="39"/>
      <c r="H651" s="37"/>
      <c r="K651"/>
      <c r="M651" s="42"/>
      <c r="N651" s="7"/>
      <c r="O651"/>
      <c r="Q651" s="42"/>
      <c r="R651" s="7"/>
      <c r="S651"/>
      <c r="U651" s="42"/>
      <c r="V651" s="7"/>
      <c r="W651"/>
      <c r="Y651" s="42"/>
      <c r="Z651" s="7"/>
      <c r="AA651"/>
      <c r="AC651" s="42"/>
      <c r="AD651" s="7"/>
      <c r="AE651"/>
    </row>
    <row r="652" spans="7:31" x14ac:dyDescent="0.35">
      <c r="G652" s="39"/>
      <c r="H652" s="37"/>
      <c r="K652"/>
      <c r="M652" s="42"/>
      <c r="N652" s="7"/>
      <c r="O652"/>
      <c r="Q652" s="42"/>
      <c r="R652" s="7"/>
      <c r="S652"/>
      <c r="U652" s="42"/>
      <c r="V652" s="7"/>
      <c r="W652"/>
      <c r="Y652" s="42"/>
      <c r="Z652" s="7"/>
      <c r="AA652"/>
      <c r="AC652" s="42"/>
      <c r="AD652" s="7"/>
      <c r="AE652"/>
    </row>
    <row r="653" spans="7:31" x14ac:dyDescent="0.35">
      <c r="G653" s="39"/>
      <c r="H653" s="37"/>
      <c r="K653"/>
      <c r="M653" s="42"/>
      <c r="N653" s="7"/>
      <c r="O653"/>
      <c r="Q653" s="42"/>
      <c r="R653" s="7"/>
      <c r="S653"/>
      <c r="U653" s="42"/>
      <c r="V653" s="7"/>
      <c r="W653"/>
      <c r="Y653" s="42"/>
      <c r="Z653" s="7"/>
      <c r="AA653"/>
      <c r="AC653" s="42"/>
      <c r="AD653" s="7"/>
      <c r="AE653"/>
    </row>
    <row r="654" spans="7:31" x14ac:dyDescent="0.35">
      <c r="G654" s="39"/>
      <c r="H654" s="37"/>
      <c r="K654"/>
      <c r="M654" s="42"/>
      <c r="N654" s="7"/>
      <c r="O654"/>
      <c r="Q654" s="42"/>
      <c r="R654" s="7"/>
      <c r="S654"/>
      <c r="U654" s="42"/>
      <c r="V654" s="7"/>
      <c r="W654"/>
      <c r="Y654" s="42"/>
      <c r="Z654" s="7"/>
      <c r="AA654"/>
      <c r="AC654" s="42"/>
      <c r="AD654" s="7"/>
      <c r="AE654"/>
    </row>
    <row r="655" spans="7:31" x14ac:dyDescent="0.35">
      <c r="G655" s="39"/>
      <c r="H655" s="37"/>
      <c r="K655"/>
      <c r="M655" s="42"/>
      <c r="N655" s="7"/>
      <c r="O655"/>
      <c r="Q655" s="42"/>
      <c r="R655" s="7"/>
      <c r="S655"/>
      <c r="U655" s="42"/>
      <c r="V655" s="7"/>
      <c r="W655"/>
      <c r="Y655" s="42"/>
      <c r="Z655" s="7"/>
      <c r="AA655"/>
      <c r="AC655" s="42"/>
      <c r="AD655" s="7"/>
      <c r="AE655"/>
    </row>
    <row r="656" spans="7:31" x14ac:dyDescent="0.35">
      <c r="G656" s="39"/>
      <c r="H656" s="37"/>
      <c r="K656"/>
      <c r="M656" s="42"/>
      <c r="N656" s="7"/>
      <c r="O656"/>
      <c r="Q656" s="42"/>
      <c r="R656" s="7"/>
      <c r="S656"/>
      <c r="U656" s="42"/>
      <c r="V656" s="7"/>
      <c r="W656"/>
      <c r="Y656" s="42"/>
      <c r="Z656" s="7"/>
      <c r="AA656"/>
      <c r="AC656" s="42"/>
      <c r="AD656" s="7"/>
      <c r="AE656"/>
    </row>
    <row r="657" spans="7:31" x14ac:dyDescent="0.35">
      <c r="G657" s="39"/>
      <c r="H657" s="37"/>
      <c r="K657"/>
      <c r="M657" s="42"/>
      <c r="N657" s="7"/>
      <c r="O657"/>
      <c r="Q657" s="42"/>
      <c r="R657" s="7"/>
      <c r="S657"/>
      <c r="U657" s="42"/>
      <c r="V657" s="7"/>
      <c r="W657"/>
      <c r="Y657" s="42"/>
      <c r="Z657" s="7"/>
      <c r="AA657"/>
      <c r="AC657" s="42"/>
      <c r="AD657" s="7"/>
      <c r="AE657"/>
    </row>
    <row r="658" spans="7:31" x14ac:dyDescent="0.35">
      <c r="G658" s="39"/>
      <c r="H658" s="37"/>
      <c r="K658"/>
      <c r="M658" s="42"/>
      <c r="N658" s="7"/>
      <c r="O658"/>
      <c r="Q658" s="42"/>
      <c r="R658" s="7"/>
      <c r="S658"/>
      <c r="U658" s="42"/>
      <c r="V658" s="7"/>
      <c r="W658"/>
      <c r="Y658" s="42"/>
      <c r="Z658" s="7"/>
      <c r="AA658"/>
      <c r="AC658" s="42"/>
      <c r="AD658" s="7"/>
      <c r="AE658"/>
    </row>
    <row r="659" spans="7:31" x14ac:dyDescent="0.35">
      <c r="G659" s="39"/>
      <c r="H659" s="37"/>
      <c r="K659"/>
      <c r="M659" s="42"/>
      <c r="N659" s="7"/>
      <c r="O659"/>
      <c r="Q659" s="42"/>
      <c r="R659" s="7"/>
      <c r="S659"/>
      <c r="U659" s="42"/>
      <c r="V659" s="7"/>
      <c r="W659"/>
      <c r="Y659" s="42"/>
      <c r="Z659" s="7"/>
      <c r="AA659"/>
      <c r="AC659" s="42"/>
      <c r="AD659" s="7"/>
      <c r="AE659"/>
    </row>
    <row r="660" spans="7:31" x14ac:dyDescent="0.35">
      <c r="G660" s="39"/>
      <c r="H660" s="37"/>
      <c r="K660"/>
      <c r="M660" s="42"/>
      <c r="N660" s="7"/>
      <c r="O660"/>
      <c r="Q660" s="42"/>
      <c r="R660" s="7"/>
      <c r="S660"/>
      <c r="U660" s="42"/>
      <c r="V660" s="7"/>
      <c r="W660"/>
      <c r="Y660" s="42"/>
      <c r="Z660" s="7"/>
      <c r="AA660"/>
      <c r="AC660" s="42"/>
      <c r="AD660" s="7"/>
      <c r="AE660"/>
    </row>
    <row r="661" spans="7:31" x14ac:dyDescent="0.35">
      <c r="G661" s="39"/>
      <c r="H661" s="37"/>
      <c r="K661"/>
      <c r="M661" s="42"/>
      <c r="N661" s="7"/>
      <c r="O661"/>
      <c r="Q661" s="42"/>
      <c r="R661" s="7"/>
      <c r="S661"/>
      <c r="U661" s="42"/>
      <c r="V661" s="7"/>
      <c r="W661"/>
      <c r="Y661" s="42"/>
      <c r="Z661" s="7"/>
      <c r="AA661"/>
      <c r="AC661" s="42"/>
      <c r="AD661" s="7"/>
      <c r="AE661"/>
    </row>
    <row r="662" spans="7:31" x14ac:dyDescent="0.35">
      <c r="G662" s="39"/>
      <c r="H662" s="37"/>
      <c r="K662"/>
      <c r="M662" s="42"/>
      <c r="N662" s="7"/>
      <c r="O662"/>
      <c r="Q662" s="42"/>
      <c r="R662" s="7"/>
      <c r="S662"/>
      <c r="U662" s="42"/>
      <c r="V662" s="7"/>
      <c r="W662"/>
      <c r="Y662" s="42"/>
      <c r="Z662" s="7"/>
      <c r="AA662"/>
      <c r="AC662" s="42"/>
      <c r="AD662" s="7"/>
      <c r="AE662"/>
    </row>
    <row r="663" spans="7:31" x14ac:dyDescent="0.35">
      <c r="G663" s="39"/>
      <c r="H663" s="37"/>
      <c r="K663"/>
      <c r="M663" s="42"/>
      <c r="N663" s="7"/>
      <c r="O663"/>
      <c r="Q663" s="42"/>
      <c r="R663" s="7"/>
      <c r="S663"/>
      <c r="U663" s="42"/>
      <c r="V663" s="7"/>
      <c r="W663"/>
      <c r="Y663" s="42"/>
      <c r="Z663" s="7"/>
      <c r="AA663"/>
      <c r="AC663" s="42"/>
      <c r="AD663" s="7"/>
      <c r="AE663"/>
    </row>
    <row r="664" spans="7:31" x14ac:dyDescent="0.35">
      <c r="G664" s="39"/>
      <c r="H664" s="37"/>
      <c r="K664"/>
      <c r="M664" s="42"/>
      <c r="N664" s="7"/>
      <c r="O664"/>
      <c r="Q664" s="42"/>
      <c r="R664" s="7"/>
      <c r="S664"/>
      <c r="U664" s="42"/>
      <c r="V664" s="7"/>
      <c r="W664"/>
      <c r="Y664" s="42"/>
      <c r="Z664" s="7"/>
      <c r="AA664"/>
      <c r="AC664" s="42"/>
      <c r="AD664" s="7"/>
      <c r="AE664"/>
    </row>
    <row r="665" spans="7:31" x14ac:dyDescent="0.35">
      <c r="G665" s="39"/>
      <c r="H665" s="37"/>
      <c r="K665"/>
      <c r="M665" s="42"/>
      <c r="N665" s="7"/>
      <c r="O665"/>
      <c r="Q665" s="42"/>
      <c r="R665" s="7"/>
      <c r="S665"/>
      <c r="U665" s="42"/>
      <c r="V665" s="7"/>
      <c r="W665"/>
      <c r="Y665" s="42"/>
      <c r="Z665" s="7"/>
      <c r="AA665"/>
      <c r="AC665" s="42"/>
      <c r="AD665" s="7"/>
      <c r="AE665"/>
    </row>
    <row r="666" spans="7:31" x14ac:dyDescent="0.35">
      <c r="G666" s="39"/>
      <c r="H666" s="37"/>
      <c r="K666"/>
      <c r="M666" s="42"/>
      <c r="N666" s="7"/>
      <c r="O666"/>
      <c r="Q666" s="42"/>
      <c r="R666" s="7"/>
      <c r="S666"/>
      <c r="U666" s="42"/>
      <c r="V666" s="7"/>
      <c r="W666"/>
      <c r="Y666" s="42"/>
      <c r="Z666" s="7"/>
      <c r="AA666"/>
      <c r="AC666" s="42"/>
      <c r="AD666" s="7"/>
      <c r="AE666"/>
    </row>
    <row r="667" spans="7:31" x14ac:dyDescent="0.35">
      <c r="G667" s="39"/>
      <c r="H667" s="37"/>
      <c r="K667"/>
      <c r="M667" s="42"/>
      <c r="N667" s="7"/>
      <c r="O667"/>
      <c r="Q667" s="42"/>
      <c r="R667" s="7"/>
      <c r="S667"/>
      <c r="U667" s="42"/>
      <c r="V667" s="7"/>
      <c r="W667"/>
      <c r="Y667" s="42"/>
      <c r="Z667" s="7"/>
      <c r="AA667"/>
      <c r="AC667" s="42"/>
      <c r="AD667" s="7"/>
      <c r="AE667"/>
    </row>
    <row r="668" spans="7:31" x14ac:dyDescent="0.35">
      <c r="G668" s="39"/>
      <c r="H668" s="37"/>
      <c r="K668"/>
      <c r="M668" s="42"/>
      <c r="N668" s="7"/>
      <c r="O668"/>
      <c r="Q668" s="42"/>
      <c r="R668" s="7"/>
      <c r="S668"/>
      <c r="U668" s="42"/>
      <c r="V668" s="7"/>
      <c r="W668"/>
      <c r="Y668" s="42"/>
      <c r="Z668" s="7"/>
      <c r="AA668"/>
      <c r="AC668" s="42"/>
      <c r="AD668" s="7"/>
      <c r="AE668"/>
    </row>
    <row r="669" spans="7:31" x14ac:dyDescent="0.35">
      <c r="G669" s="39"/>
      <c r="H669" s="37"/>
      <c r="K669"/>
      <c r="M669" s="42"/>
      <c r="N669" s="7"/>
      <c r="O669"/>
      <c r="Q669" s="42"/>
      <c r="R669" s="7"/>
      <c r="S669"/>
      <c r="U669" s="42"/>
      <c r="V669" s="7"/>
      <c r="W669"/>
      <c r="Y669" s="42"/>
      <c r="Z669" s="7"/>
      <c r="AA669"/>
      <c r="AC669" s="42"/>
      <c r="AD669" s="7"/>
      <c r="AE669"/>
    </row>
    <row r="670" spans="7:31" x14ac:dyDescent="0.35">
      <c r="G670" s="39"/>
      <c r="H670" s="37"/>
      <c r="K670"/>
      <c r="M670" s="42"/>
      <c r="N670" s="7"/>
      <c r="O670"/>
      <c r="Q670" s="42"/>
      <c r="R670" s="7"/>
      <c r="S670"/>
      <c r="U670" s="42"/>
      <c r="V670" s="7"/>
      <c r="W670"/>
      <c r="Y670" s="42"/>
      <c r="Z670" s="7"/>
      <c r="AA670"/>
      <c r="AC670" s="42"/>
      <c r="AD670" s="7"/>
      <c r="AE670"/>
    </row>
    <row r="671" spans="7:31" x14ac:dyDescent="0.35">
      <c r="G671" s="39"/>
      <c r="H671" s="37"/>
      <c r="K671"/>
      <c r="M671" s="42"/>
      <c r="N671" s="7"/>
      <c r="O671"/>
      <c r="Q671" s="42"/>
      <c r="R671" s="7"/>
      <c r="S671"/>
      <c r="U671" s="42"/>
      <c r="V671" s="7"/>
      <c r="W671"/>
      <c r="Y671" s="42"/>
      <c r="Z671" s="7"/>
      <c r="AA671"/>
      <c r="AC671" s="42"/>
      <c r="AD671" s="7"/>
      <c r="AE671"/>
    </row>
    <row r="672" spans="7:31" x14ac:dyDescent="0.35">
      <c r="G672" s="39"/>
      <c r="H672" s="37"/>
      <c r="K672"/>
      <c r="M672" s="42"/>
      <c r="N672" s="7"/>
      <c r="O672"/>
      <c r="Q672" s="42"/>
      <c r="R672" s="7"/>
      <c r="S672"/>
      <c r="U672" s="42"/>
      <c r="V672" s="7"/>
      <c r="W672"/>
      <c r="Y672" s="42"/>
      <c r="Z672" s="7"/>
      <c r="AA672"/>
      <c r="AC672" s="42"/>
      <c r="AD672" s="7"/>
      <c r="AE672"/>
    </row>
    <row r="673" spans="7:31" x14ac:dyDescent="0.35">
      <c r="G673" s="39"/>
      <c r="H673" s="37"/>
      <c r="K673"/>
      <c r="M673" s="42"/>
      <c r="N673" s="7"/>
      <c r="O673"/>
      <c r="Q673" s="42"/>
      <c r="R673" s="7"/>
      <c r="S673"/>
      <c r="U673" s="42"/>
      <c r="V673" s="7"/>
      <c r="W673"/>
      <c r="Y673" s="42"/>
      <c r="Z673" s="7"/>
      <c r="AA673"/>
      <c r="AC673" s="42"/>
      <c r="AD673" s="7"/>
      <c r="AE673"/>
    </row>
    <row r="674" spans="7:31" x14ac:dyDescent="0.35">
      <c r="G674" s="39"/>
      <c r="H674" s="37"/>
      <c r="K674"/>
      <c r="M674" s="42"/>
      <c r="N674" s="7"/>
      <c r="O674"/>
      <c r="Q674" s="42"/>
      <c r="R674" s="7"/>
      <c r="S674"/>
      <c r="U674" s="42"/>
      <c r="V674" s="7"/>
      <c r="W674"/>
      <c r="Y674" s="42"/>
      <c r="Z674" s="7"/>
      <c r="AA674"/>
      <c r="AC674" s="42"/>
      <c r="AD674" s="7"/>
      <c r="AE674"/>
    </row>
    <row r="675" spans="7:31" x14ac:dyDescent="0.35">
      <c r="G675" s="39"/>
      <c r="H675" s="37"/>
      <c r="K675"/>
      <c r="M675" s="42"/>
      <c r="N675" s="7"/>
      <c r="O675"/>
      <c r="Q675" s="42"/>
      <c r="R675" s="7"/>
      <c r="S675"/>
      <c r="U675" s="42"/>
      <c r="V675" s="7"/>
      <c r="W675"/>
      <c r="Y675" s="42"/>
      <c r="Z675" s="7"/>
      <c r="AA675"/>
      <c r="AC675" s="42"/>
      <c r="AD675" s="7"/>
      <c r="AE675"/>
    </row>
    <row r="676" spans="7:31" x14ac:dyDescent="0.35">
      <c r="G676" s="39"/>
      <c r="H676" s="37"/>
      <c r="K676"/>
      <c r="M676" s="42"/>
      <c r="N676" s="7"/>
      <c r="O676"/>
      <c r="Q676" s="42"/>
      <c r="R676" s="7"/>
      <c r="S676"/>
      <c r="U676" s="42"/>
      <c r="V676" s="7"/>
      <c r="W676"/>
      <c r="Y676" s="42"/>
      <c r="Z676" s="7"/>
      <c r="AA676"/>
      <c r="AC676" s="42"/>
      <c r="AD676" s="7"/>
      <c r="AE676"/>
    </row>
    <row r="677" spans="7:31" x14ac:dyDescent="0.35">
      <c r="G677" s="39"/>
      <c r="H677" s="37"/>
      <c r="K677"/>
      <c r="M677" s="42"/>
      <c r="N677" s="7"/>
      <c r="O677"/>
      <c r="Q677" s="42"/>
      <c r="R677" s="7"/>
      <c r="S677"/>
      <c r="U677" s="42"/>
      <c r="V677" s="7"/>
      <c r="W677"/>
      <c r="Y677" s="42"/>
      <c r="Z677" s="7"/>
      <c r="AA677"/>
      <c r="AC677" s="42"/>
      <c r="AD677" s="7"/>
      <c r="AE677"/>
    </row>
    <row r="678" spans="7:31" x14ac:dyDescent="0.35">
      <c r="G678" s="39"/>
      <c r="H678" s="37"/>
      <c r="K678"/>
      <c r="M678" s="42"/>
      <c r="N678" s="7"/>
      <c r="O678"/>
      <c r="Q678" s="42"/>
      <c r="R678" s="7"/>
      <c r="S678"/>
      <c r="U678" s="42"/>
      <c r="V678" s="7"/>
      <c r="W678"/>
      <c r="Y678" s="42"/>
      <c r="Z678" s="7"/>
      <c r="AA678"/>
      <c r="AC678" s="42"/>
      <c r="AD678" s="7"/>
      <c r="AE678"/>
    </row>
    <row r="679" spans="7:31" x14ac:dyDescent="0.35">
      <c r="G679" s="39"/>
      <c r="H679" s="37"/>
      <c r="K679"/>
      <c r="M679" s="42"/>
      <c r="N679" s="7"/>
      <c r="O679"/>
      <c r="Q679" s="42"/>
      <c r="R679" s="7"/>
      <c r="S679"/>
      <c r="U679" s="42"/>
      <c r="V679" s="7"/>
      <c r="W679"/>
      <c r="Y679" s="42"/>
      <c r="Z679" s="7"/>
      <c r="AA679"/>
      <c r="AC679" s="42"/>
      <c r="AD679" s="7"/>
      <c r="AE679"/>
    </row>
    <row r="680" spans="7:31" x14ac:dyDescent="0.35">
      <c r="G680" s="39"/>
      <c r="H680" s="37"/>
      <c r="K680"/>
      <c r="M680" s="42"/>
      <c r="N680" s="7"/>
      <c r="O680"/>
      <c r="Q680" s="42"/>
      <c r="R680" s="7"/>
      <c r="S680"/>
      <c r="U680" s="42"/>
      <c r="V680" s="7"/>
      <c r="W680"/>
      <c r="Y680" s="42"/>
      <c r="Z680" s="7"/>
      <c r="AA680"/>
      <c r="AC680" s="42"/>
      <c r="AD680" s="7"/>
      <c r="AE680"/>
    </row>
    <row r="681" spans="7:31" x14ac:dyDescent="0.35">
      <c r="G681" s="39"/>
      <c r="H681" s="37"/>
      <c r="K681"/>
      <c r="M681" s="42"/>
      <c r="N681" s="7"/>
      <c r="O681"/>
      <c r="Q681" s="42"/>
      <c r="R681" s="7"/>
      <c r="S681"/>
      <c r="U681" s="42"/>
      <c r="V681" s="7"/>
      <c r="W681"/>
      <c r="Y681" s="42"/>
      <c r="Z681" s="7"/>
      <c r="AA681"/>
      <c r="AC681" s="42"/>
      <c r="AD681" s="7"/>
      <c r="AE681"/>
    </row>
    <row r="682" spans="7:31" x14ac:dyDescent="0.35">
      <c r="G682" s="39"/>
      <c r="H682" s="37"/>
      <c r="K682"/>
      <c r="M682" s="42"/>
      <c r="N682" s="7"/>
      <c r="O682"/>
      <c r="Q682" s="42"/>
      <c r="R682" s="7"/>
      <c r="S682"/>
      <c r="U682" s="42"/>
      <c r="V682" s="7"/>
      <c r="W682"/>
      <c r="Y682" s="42"/>
      <c r="Z682" s="7"/>
      <c r="AA682"/>
      <c r="AC682" s="42"/>
      <c r="AD682" s="7"/>
      <c r="AE682"/>
    </row>
    <row r="683" spans="7:31" x14ac:dyDescent="0.35">
      <c r="G683" s="39"/>
      <c r="H683" s="37"/>
      <c r="K683"/>
      <c r="M683" s="42"/>
      <c r="N683" s="7"/>
      <c r="O683"/>
      <c r="Q683" s="42"/>
      <c r="R683" s="7"/>
      <c r="S683"/>
      <c r="U683" s="42"/>
      <c r="V683" s="7"/>
      <c r="W683"/>
      <c r="Y683" s="42"/>
      <c r="Z683" s="7"/>
      <c r="AA683"/>
      <c r="AC683" s="42"/>
      <c r="AD683" s="7"/>
      <c r="AE683"/>
    </row>
    <row r="684" spans="7:31" x14ac:dyDescent="0.35">
      <c r="G684" s="39"/>
      <c r="H684" s="37"/>
      <c r="K684"/>
      <c r="M684" s="42"/>
      <c r="N684" s="7"/>
      <c r="O684"/>
      <c r="Q684" s="42"/>
      <c r="R684" s="7"/>
      <c r="S684"/>
      <c r="U684" s="42"/>
      <c r="V684" s="7"/>
      <c r="W684"/>
      <c r="Y684" s="42"/>
      <c r="Z684" s="7"/>
      <c r="AA684"/>
      <c r="AC684" s="42"/>
      <c r="AD684" s="7"/>
      <c r="AE684"/>
    </row>
    <row r="685" spans="7:31" x14ac:dyDescent="0.35">
      <c r="G685" s="39"/>
      <c r="H685" s="37"/>
      <c r="K685"/>
      <c r="M685" s="42"/>
      <c r="N685" s="7"/>
      <c r="O685"/>
      <c r="Q685" s="42"/>
      <c r="R685" s="7"/>
      <c r="S685"/>
      <c r="U685" s="42"/>
      <c r="V685" s="7"/>
      <c r="W685"/>
      <c r="Y685" s="42"/>
      <c r="Z685" s="7"/>
      <c r="AA685"/>
      <c r="AC685" s="42"/>
      <c r="AD685" s="7"/>
      <c r="AE685"/>
    </row>
    <row r="686" spans="7:31" x14ac:dyDescent="0.35">
      <c r="G686" s="39"/>
      <c r="H686" s="37"/>
      <c r="K686"/>
      <c r="M686" s="42"/>
      <c r="N686" s="7"/>
      <c r="O686"/>
      <c r="Q686" s="42"/>
      <c r="R686" s="7"/>
      <c r="S686"/>
      <c r="U686" s="42"/>
      <c r="V686" s="7"/>
      <c r="W686"/>
      <c r="Y686" s="42"/>
      <c r="Z686" s="7"/>
      <c r="AA686"/>
      <c r="AC686" s="42"/>
      <c r="AD686" s="7"/>
      <c r="AE686"/>
    </row>
    <row r="687" spans="7:31" x14ac:dyDescent="0.35">
      <c r="G687" s="39"/>
      <c r="H687" s="37"/>
      <c r="K687"/>
      <c r="M687" s="42"/>
      <c r="N687" s="7"/>
      <c r="O687"/>
      <c r="Q687" s="42"/>
      <c r="R687" s="7"/>
      <c r="S687"/>
      <c r="U687" s="42"/>
      <c r="V687" s="7"/>
      <c r="W687"/>
      <c r="Y687" s="42"/>
      <c r="Z687" s="7"/>
      <c r="AA687"/>
      <c r="AC687" s="42"/>
      <c r="AD687" s="7"/>
      <c r="AE687"/>
    </row>
    <row r="688" spans="7:31" x14ac:dyDescent="0.35">
      <c r="G688" s="39"/>
      <c r="H688" s="37"/>
      <c r="K688"/>
      <c r="M688" s="42"/>
      <c r="N688" s="7"/>
      <c r="O688"/>
      <c r="Q688" s="42"/>
      <c r="R688" s="7"/>
      <c r="S688"/>
      <c r="U688" s="42"/>
      <c r="V688" s="7"/>
      <c r="W688"/>
      <c r="Y688" s="42"/>
      <c r="Z688" s="7"/>
      <c r="AA688"/>
      <c r="AC688" s="42"/>
      <c r="AD688" s="7"/>
      <c r="AE688"/>
    </row>
    <row r="689" spans="7:31" x14ac:dyDescent="0.35">
      <c r="G689" s="39"/>
      <c r="H689" s="37"/>
      <c r="K689"/>
      <c r="M689" s="42"/>
      <c r="N689" s="7"/>
      <c r="O689"/>
      <c r="Q689" s="42"/>
      <c r="R689" s="7"/>
      <c r="S689"/>
      <c r="U689" s="42"/>
      <c r="V689" s="7"/>
      <c r="W689"/>
      <c r="Y689" s="42"/>
      <c r="Z689" s="7"/>
      <c r="AA689"/>
      <c r="AC689" s="42"/>
      <c r="AD689" s="7"/>
      <c r="AE689"/>
    </row>
    <row r="690" spans="7:31" x14ac:dyDescent="0.35">
      <c r="G690" s="39"/>
      <c r="H690" s="37"/>
      <c r="K690"/>
      <c r="M690" s="42"/>
      <c r="N690" s="7"/>
      <c r="O690"/>
      <c r="Q690" s="42"/>
      <c r="R690" s="7"/>
      <c r="S690"/>
      <c r="U690" s="42"/>
      <c r="V690" s="7"/>
      <c r="W690"/>
      <c r="Y690" s="42"/>
      <c r="Z690" s="7"/>
      <c r="AA690"/>
      <c r="AC690" s="42"/>
      <c r="AD690" s="7"/>
      <c r="AE690"/>
    </row>
    <row r="691" spans="7:31" x14ac:dyDescent="0.35">
      <c r="G691" s="39"/>
      <c r="H691" s="37"/>
      <c r="K691"/>
      <c r="M691" s="42"/>
      <c r="N691" s="7"/>
      <c r="O691"/>
      <c r="Q691" s="42"/>
      <c r="R691" s="7"/>
      <c r="S691"/>
      <c r="U691" s="42"/>
      <c r="V691" s="7"/>
      <c r="W691"/>
      <c r="Y691" s="42"/>
      <c r="Z691" s="7"/>
      <c r="AA691"/>
      <c r="AC691" s="42"/>
      <c r="AD691" s="7"/>
      <c r="AE691"/>
    </row>
    <row r="692" spans="7:31" x14ac:dyDescent="0.35">
      <c r="G692" s="39"/>
      <c r="H692" s="37"/>
      <c r="K692"/>
      <c r="M692" s="42"/>
      <c r="N692" s="7"/>
      <c r="O692"/>
      <c r="Q692" s="42"/>
      <c r="R692" s="7"/>
      <c r="S692"/>
      <c r="U692" s="42"/>
      <c r="V692" s="7"/>
      <c r="W692"/>
      <c r="Y692" s="42"/>
      <c r="Z692" s="7"/>
      <c r="AA692"/>
      <c r="AC692" s="42"/>
      <c r="AD692" s="7"/>
      <c r="AE692"/>
    </row>
    <row r="693" spans="7:31" x14ac:dyDescent="0.35">
      <c r="G693" s="39"/>
      <c r="H693" s="37"/>
      <c r="K693"/>
      <c r="M693" s="42"/>
      <c r="N693" s="7"/>
      <c r="O693"/>
      <c r="Q693" s="42"/>
      <c r="R693" s="7"/>
      <c r="S693"/>
      <c r="U693" s="42"/>
      <c r="V693" s="7"/>
      <c r="W693"/>
      <c r="Y693" s="42"/>
      <c r="Z693" s="7"/>
      <c r="AA693"/>
      <c r="AC693" s="42"/>
      <c r="AD693" s="7"/>
      <c r="AE693"/>
    </row>
    <row r="694" spans="7:31" x14ac:dyDescent="0.35">
      <c r="G694" s="39"/>
      <c r="H694" s="37"/>
      <c r="K694"/>
      <c r="M694" s="42"/>
      <c r="N694" s="7"/>
      <c r="O694"/>
      <c r="Q694" s="42"/>
      <c r="R694" s="7"/>
      <c r="S694"/>
      <c r="U694" s="42"/>
      <c r="V694" s="7"/>
      <c r="W694"/>
      <c r="Y694" s="42"/>
      <c r="Z694" s="7"/>
      <c r="AA694"/>
      <c r="AC694" s="42"/>
      <c r="AD694" s="7"/>
      <c r="AE694"/>
    </row>
    <row r="695" spans="7:31" x14ac:dyDescent="0.35">
      <c r="G695" s="39"/>
      <c r="H695" s="37"/>
      <c r="K695"/>
      <c r="M695" s="42"/>
      <c r="N695" s="7"/>
      <c r="O695"/>
      <c r="Q695" s="42"/>
      <c r="R695" s="7"/>
      <c r="S695"/>
      <c r="U695" s="42"/>
      <c r="V695" s="7"/>
      <c r="W695"/>
      <c r="Y695" s="42"/>
      <c r="Z695" s="7"/>
      <c r="AA695"/>
      <c r="AC695" s="42"/>
      <c r="AD695" s="7"/>
      <c r="AE695"/>
    </row>
    <row r="696" spans="7:31" x14ac:dyDescent="0.35">
      <c r="G696" s="39"/>
      <c r="H696" s="37"/>
      <c r="K696"/>
      <c r="M696" s="42"/>
      <c r="N696" s="7"/>
      <c r="O696"/>
      <c r="Q696" s="42"/>
      <c r="R696" s="7"/>
      <c r="S696"/>
      <c r="U696" s="42"/>
      <c r="V696" s="7"/>
      <c r="W696"/>
      <c r="Y696" s="42"/>
      <c r="Z696" s="7"/>
      <c r="AA696"/>
      <c r="AC696" s="42"/>
      <c r="AD696" s="7"/>
      <c r="AE696"/>
    </row>
    <row r="697" spans="7:31" x14ac:dyDescent="0.35">
      <c r="G697" s="39"/>
      <c r="H697" s="37"/>
      <c r="K697"/>
      <c r="M697" s="42"/>
      <c r="N697" s="7"/>
      <c r="O697"/>
      <c r="Q697" s="42"/>
      <c r="R697" s="7"/>
      <c r="S697"/>
      <c r="U697" s="42"/>
      <c r="V697" s="7"/>
      <c r="W697"/>
      <c r="Y697" s="42"/>
      <c r="Z697" s="7"/>
      <c r="AA697"/>
      <c r="AC697" s="42"/>
      <c r="AD697" s="7"/>
      <c r="AE697"/>
    </row>
    <row r="698" spans="7:31" x14ac:dyDescent="0.35">
      <c r="G698" s="39"/>
      <c r="H698" s="37"/>
      <c r="K698"/>
      <c r="M698" s="42"/>
      <c r="N698" s="7"/>
      <c r="O698"/>
      <c r="Q698" s="42"/>
      <c r="R698" s="7"/>
      <c r="S698"/>
      <c r="U698" s="42"/>
      <c r="V698" s="7"/>
      <c r="W698"/>
      <c r="Y698" s="42"/>
      <c r="Z698" s="7"/>
      <c r="AA698"/>
      <c r="AC698" s="42"/>
      <c r="AD698" s="7"/>
      <c r="AE698"/>
    </row>
    <row r="699" spans="7:31" x14ac:dyDescent="0.35">
      <c r="G699" s="39"/>
      <c r="H699" s="37"/>
      <c r="K699"/>
      <c r="M699" s="42"/>
      <c r="N699" s="7"/>
      <c r="O699"/>
      <c r="Q699" s="42"/>
      <c r="R699" s="7"/>
      <c r="S699"/>
      <c r="U699" s="42"/>
      <c r="V699" s="7"/>
      <c r="W699"/>
      <c r="Y699" s="42"/>
      <c r="Z699" s="7"/>
      <c r="AA699"/>
      <c r="AC699" s="42"/>
      <c r="AD699" s="7"/>
      <c r="AE699"/>
    </row>
    <row r="700" spans="7:31" x14ac:dyDescent="0.35">
      <c r="G700" s="39"/>
      <c r="H700" s="37"/>
      <c r="K700"/>
      <c r="M700" s="42"/>
      <c r="N700" s="7"/>
      <c r="O700"/>
      <c r="Q700" s="42"/>
      <c r="R700" s="7"/>
      <c r="S700"/>
      <c r="U700" s="42"/>
      <c r="V700" s="7"/>
      <c r="W700"/>
      <c r="Y700" s="42"/>
      <c r="Z700" s="7"/>
      <c r="AA700"/>
      <c r="AC700" s="42"/>
      <c r="AD700" s="7"/>
      <c r="AE700"/>
    </row>
    <row r="701" spans="7:31" x14ac:dyDescent="0.35">
      <c r="G701" s="39"/>
      <c r="H701" s="37"/>
      <c r="K701"/>
      <c r="M701" s="42"/>
      <c r="N701" s="7"/>
      <c r="O701"/>
      <c r="Q701" s="42"/>
      <c r="R701" s="7"/>
      <c r="S701"/>
      <c r="U701" s="42"/>
      <c r="V701" s="7"/>
      <c r="W701"/>
      <c r="Y701" s="42"/>
      <c r="Z701" s="7"/>
      <c r="AA701"/>
      <c r="AC701" s="42"/>
      <c r="AD701" s="7"/>
      <c r="AE701"/>
    </row>
    <row r="702" spans="7:31" x14ac:dyDescent="0.35">
      <c r="G702" s="39"/>
      <c r="H702" s="37"/>
      <c r="K702"/>
      <c r="M702" s="42"/>
      <c r="N702" s="7"/>
      <c r="O702"/>
      <c r="Q702" s="42"/>
      <c r="R702" s="7"/>
      <c r="S702"/>
      <c r="U702" s="42"/>
      <c r="V702" s="7"/>
      <c r="W702"/>
      <c r="Y702" s="42"/>
      <c r="Z702" s="7"/>
      <c r="AA702"/>
      <c r="AC702" s="42"/>
      <c r="AD702" s="7"/>
      <c r="AE702"/>
    </row>
    <row r="703" spans="7:31" x14ac:dyDescent="0.35">
      <c r="G703" s="39"/>
      <c r="H703" s="37"/>
      <c r="K703"/>
      <c r="M703" s="42"/>
      <c r="N703" s="7"/>
      <c r="O703"/>
      <c r="Q703" s="42"/>
      <c r="R703" s="7"/>
      <c r="S703"/>
      <c r="U703" s="42"/>
      <c r="V703" s="7"/>
      <c r="W703"/>
      <c r="Y703" s="42"/>
      <c r="Z703" s="7"/>
      <c r="AA703"/>
      <c r="AC703" s="42"/>
      <c r="AD703" s="7"/>
      <c r="AE703"/>
    </row>
    <row r="704" spans="7:31" x14ac:dyDescent="0.35">
      <c r="G704" s="39"/>
      <c r="H704" s="37"/>
      <c r="K704"/>
      <c r="M704" s="42"/>
      <c r="N704" s="7"/>
      <c r="O704"/>
      <c r="Q704" s="42"/>
      <c r="R704" s="7"/>
      <c r="S704"/>
      <c r="U704" s="42"/>
      <c r="V704" s="7"/>
      <c r="W704"/>
      <c r="Y704" s="42"/>
      <c r="Z704" s="7"/>
      <c r="AA704"/>
      <c r="AC704" s="42"/>
      <c r="AD704" s="7"/>
      <c r="AE704"/>
    </row>
    <row r="705" spans="7:31" x14ac:dyDescent="0.35">
      <c r="G705" s="39"/>
      <c r="H705" s="37"/>
      <c r="K705"/>
      <c r="M705" s="42"/>
      <c r="N705" s="7"/>
      <c r="O705"/>
      <c r="Q705" s="42"/>
      <c r="R705" s="7"/>
      <c r="S705"/>
      <c r="U705" s="42"/>
      <c r="V705" s="7"/>
      <c r="W705"/>
      <c r="Y705" s="42"/>
      <c r="Z705" s="7"/>
      <c r="AA705"/>
      <c r="AC705" s="42"/>
      <c r="AD705" s="7"/>
      <c r="AE705"/>
    </row>
    <row r="706" spans="7:31" x14ac:dyDescent="0.35">
      <c r="G706" s="39"/>
      <c r="H706" s="37"/>
      <c r="K706"/>
      <c r="M706" s="42"/>
      <c r="N706" s="7"/>
      <c r="O706"/>
      <c r="Q706" s="42"/>
      <c r="R706" s="7"/>
      <c r="S706"/>
      <c r="U706" s="42"/>
      <c r="V706" s="7"/>
      <c r="W706"/>
      <c r="Y706" s="42"/>
      <c r="Z706" s="7"/>
      <c r="AA706"/>
      <c r="AC706" s="42"/>
      <c r="AD706" s="7"/>
      <c r="AE706"/>
    </row>
    <row r="707" spans="7:31" x14ac:dyDescent="0.35">
      <c r="G707" s="39"/>
      <c r="H707" s="37"/>
      <c r="K707"/>
      <c r="M707" s="42"/>
      <c r="N707" s="7"/>
      <c r="O707"/>
      <c r="Q707" s="42"/>
      <c r="R707" s="7"/>
      <c r="S707"/>
      <c r="U707" s="42"/>
      <c r="V707" s="7"/>
      <c r="W707"/>
      <c r="Y707" s="42"/>
      <c r="Z707" s="7"/>
      <c r="AA707"/>
      <c r="AC707" s="42"/>
      <c r="AD707" s="7"/>
      <c r="AE707"/>
    </row>
    <row r="708" spans="7:31" x14ac:dyDescent="0.35">
      <c r="G708" s="39"/>
      <c r="H708" s="37"/>
      <c r="K708"/>
      <c r="M708" s="42"/>
      <c r="N708" s="7"/>
      <c r="O708"/>
      <c r="Q708" s="42"/>
      <c r="R708" s="7"/>
      <c r="S708"/>
      <c r="U708" s="42"/>
      <c r="V708" s="7"/>
      <c r="W708"/>
      <c r="Y708" s="42"/>
      <c r="Z708" s="7"/>
      <c r="AA708"/>
      <c r="AC708" s="42"/>
      <c r="AD708" s="7"/>
      <c r="AE708"/>
    </row>
    <row r="709" spans="7:31" x14ac:dyDescent="0.35">
      <c r="G709" s="39"/>
      <c r="H709" s="37"/>
      <c r="K709"/>
      <c r="M709" s="42"/>
      <c r="N709" s="7"/>
      <c r="O709"/>
      <c r="Q709" s="42"/>
      <c r="R709" s="7"/>
      <c r="S709"/>
      <c r="U709" s="42"/>
      <c r="V709" s="7"/>
      <c r="W709"/>
      <c r="Y709" s="42"/>
      <c r="Z709" s="7"/>
      <c r="AA709"/>
      <c r="AC709" s="42"/>
      <c r="AD709" s="7"/>
      <c r="AE709"/>
    </row>
    <row r="710" spans="7:31" x14ac:dyDescent="0.35">
      <c r="G710" s="39"/>
      <c r="H710" s="37"/>
      <c r="K710"/>
      <c r="M710" s="42"/>
      <c r="N710" s="7"/>
      <c r="O710"/>
      <c r="Q710" s="42"/>
      <c r="R710" s="7"/>
      <c r="S710"/>
      <c r="U710" s="42"/>
      <c r="V710" s="7"/>
      <c r="W710"/>
      <c r="Y710" s="42"/>
      <c r="Z710" s="7"/>
      <c r="AA710"/>
      <c r="AC710" s="42"/>
      <c r="AD710" s="7"/>
      <c r="AE710"/>
    </row>
    <row r="711" spans="7:31" x14ac:dyDescent="0.35">
      <c r="G711" s="39"/>
      <c r="H711" s="37"/>
      <c r="K711"/>
      <c r="M711" s="42"/>
      <c r="N711" s="7"/>
      <c r="O711"/>
      <c r="Q711" s="42"/>
      <c r="R711" s="7"/>
      <c r="S711"/>
      <c r="U711" s="42"/>
      <c r="V711" s="7"/>
      <c r="W711"/>
      <c r="Y711" s="42"/>
      <c r="Z711" s="7"/>
      <c r="AA711"/>
      <c r="AC711" s="42"/>
      <c r="AD711" s="7"/>
      <c r="AE711"/>
    </row>
    <row r="712" spans="7:31" x14ac:dyDescent="0.35">
      <c r="G712" s="39"/>
      <c r="H712" s="37"/>
      <c r="K712"/>
      <c r="M712" s="42"/>
      <c r="N712" s="7"/>
      <c r="O712"/>
      <c r="Q712" s="42"/>
      <c r="R712" s="7"/>
      <c r="S712"/>
      <c r="U712" s="42"/>
      <c r="V712" s="7"/>
      <c r="W712"/>
      <c r="Y712" s="42"/>
      <c r="Z712" s="7"/>
      <c r="AA712"/>
      <c r="AC712" s="42"/>
      <c r="AD712" s="7"/>
      <c r="AE712"/>
    </row>
    <row r="713" spans="7:31" x14ac:dyDescent="0.35">
      <c r="G713" s="39"/>
      <c r="H713" s="37"/>
      <c r="K713"/>
      <c r="M713" s="42"/>
      <c r="N713" s="7"/>
      <c r="O713"/>
      <c r="Q713" s="42"/>
      <c r="R713" s="7"/>
      <c r="S713"/>
      <c r="U713" s="42"/>
      <c r="V713" s="7"/>
      <c r="W713"/>
      <c r="Y713" s="42"/>
      <c r="Z713" s="7"/>
      <c r="AA713"/>
      <c r="AC713" s="42"/>
      <c r="AD713" s="7"/>
      <c r="AE713"/>
    </row>
    <row r="714" spans="7:31" x14ac:dyDescent="0.35">
      <c r="G714" s="39"/>
      <c r="H714" s="37"/>
      <c r="K714"/>
      <c r="M714" s="42"/>
      <c r="N714" s="7"/>
      <c r="O714"/>
      <c r="Q714" s="42"/>
      <c r="R714" s="7"/>
      <c r="S714"/>
      <c r="U714" s="42"/>
      <c r="V714" s="7"/>
      <c r="W714"/>
      <c r="Y714" s="42"/>
      <c r="Z714" s="7"/>
      <c r="AA714"/>
      <c r="AC714" s="42"/>
      <c r="AD714" s="7"/>
      <c r="AE714"/>
    </row>
    <row r="715" spans="7:31" x14ac:dyDescent="0.35">
      <c r="G715" s="39"/>
      <c r="H715" s="37"/>
      <c r="K715"/>
      <c r="M715" s="42"/>
      <c r="N715" s="7"/>
      <c r="O715"/>
      <c r="Q715" s="42"/>
      <c r="R715" s="7"/>
      <c r="S715"/>
      <c r="U715" s="42"/>
      <c r="V715" s="7"/>
      <c r="W715"/>
      <c r="Y715" s="42"/>
      <c r="Z715" s="7"/>
      <c r="AA715"/>
      <c r="AC715" s="42"/>
      <c r="AD715" s="7"/>
      <c r="AE715"/>
    </row>
    <row r="716" spans="7:31" x14ac:dyDescent="0.35">
      <c r="G716" s="39"/>
      <c r="H716" s="37"/>
      <c r="K716"/>
      <c r="M716" s="42"/>
      <c r="N716" s="7"/>
      <c r="O716"/>
      <c r="Q716" s="42"/>
      <c r="R716" s="7"/>
      <c r="S716"/>
      <c r="U716" s="42"/>
      <c r="V716" s="7"/>
      <c r="W716"/>
      <c r="Y716" s="42"/>
      <c r="Z716" s="7"/>
      <c r="AA716"/>
      <c r="AC716" s="42"/>
      <c r="AD716" s="7"/>
      <c r="AE716"/>
    </row>
    <row r="717" spans="7:31" x14ac:dyDescent="0.35">
      <c r="G717" s="39"/>
      <c r="H717" s="37"/>
      <c r="K717"/>
      <c r="M717" s="42"/>
      <c r="N717" s="7"/>
      <c r="O717"/>
      <c r="Q717" s="42"/>
      <c r="R717" s="7"/>
      <c r="S717"/>
      <c r="U717" s="42"/>
      <c r="V717" s="7"/>
      <c r="W717"/>
      <c r="Y717" s="42"/>
      <c r="Z717" s="7"/>
      <c r="AA717"/>
      <c r="AC717" s="42"/>
      <c r="AD717" s="7"/>
      <c r="AE717"/>
    </row>
    <row r="718" spans="7:31" x14ac:dyDescent="0.35">
      <c r="G718" s="39"/>
      <c r="H718" s="37"/>
      <c r="K718"/>
      <c r="M718" s="42"/>
      <c r="N718" s="7"/>
      <c r="O718"/>
      <c r="Q718" s="42"/>
      <c r="R718" s="7"/>
      <c r="S718"/>
      <c r="U718" s="42"/>
      <c r="V718" s="7"/>
      <c r="W718"/>
      <c r="Y718" s="42"/>
      <c r="Z718" s="7"/>
      <c r="AA718"/>
      <c r="AC718" s="42"/>
      <c r="AD718" s="7"/>
      <c r="AE718"/>
    </row>
    <row r="719" spans="7:31" x14ac:dyDescent="0.35">
      <c r="G719" s="39"/>
      <c r="H719" s="37"/>
      <c r="K719"/>
      <c r="M719" s="42"/>
      <c r="N719" s="7"/>
      <c r="O719"/>
      <c r="Q719" s="42"/>
      <c r="R719" s="7"/>
      <c r="S719"/>
      <c r="U719" s="42"/>
      <c r="V719" s="7"/>
      <c r="W719"/>
      <c r="Y719" s="42"/>
      <c r="Z719" s="7"/>
      <c r="AA719"/>
      <c r="AC719" s="42"/>
      <c r="AD719" s="7"/>
      <c r="AE719"/>
    </row>
    <row r="720" spans="7:31" x14ac:dyDescent="0.35">
      <c r="G720" s="39"/>
      <c r="H720" s="37"/>
      <c r="K720"/>
      <c r="M720" s="42"/>
      <c r="N720" s="7"/>
      <c r="O720"/>
      <c r="Q720" s="42"/>
      <c r="R720" s="7"/>
      <c r="S720"/>
      <c r="U720" s="42"/>
      <c r="V720" s="7"/>
      <c r="W720"/>
      <c r="Y720" s="42"/>
      <c r="Z720" s="7"/>
      <c r="AA720"/>
      <c r="AC720" s="42"/>
      <c r="AD720" s="7"/>
      <c r="AE720"/>
    </row>
    <row r="721" spans="7:31" x14ac:dyDescent="0.35">
      <c r="G721" s="39"/>
      <c r="H721" s="37"/>
      <c r="K721"/>
      <c r="M721" s="42"/>
      <c r="N721" s="7"/>
      <c r="O721"/>
      <c r="Q721" s="42"/>
      <c r="R721" s="7"/>
      <c r="S721"/>
      <c r="U721" s="42"/>
      <c r="V721" s="7"/>
      <c r="W721"/>
      <c r="Y721" s="42"/>
      <c r="Z721" s="7"/>
      <c r="AA721"/>
      <c r="AC721" s="42"/>
      <c r="AD721" s="7"/>
      <c r="AE721"/>
    </row>
    <row r="722" spans="7:31" x14ac:dyDescent="0.35">
      <c r="G722" s="39"/>
      <c r="H722" s="37"/>
      <c r="K722"/>
      <c r="M722" s="42"/>
      <c r="N722" s="7"/>
      <c r="O722"/>
      <c r="Q722" s="42"/>
      <c r="R722" s="7"/>
      <c r="S722"/>
      <c r="U722" s="42"/>
      <c r="V722" s="7"/>
      <c r="W722"/>
      <c r="Y722" s="42"/>
      <c r="Z722" s="7"/>
      <c r="AA722"/>
      <c r="AC722" s="42"/>
      <c r="AD722" s="7"/>
      <c r="AE722"/>
    </row>
    <row r="723" spans="7:31" x14ac:dyDescent="0.35">
      <c r="G723" s="39"/>
      <c r="H723" s="37"/>
      <c r="K723"/>
      <c r="M723" s="42"/>
      <c r="N723" s="7"/>
      <c r="O723"/>
      <c r="Q723" s="42"/>
      <c r="R723" s="7"/>
      <c r="S723"/>
      <c r="U723" s="42"/>
      <c r="V723" s="7"/>
      <c r="W723"/>
      <c r="Y723" s="42"/>
      <c r="Z723" s="7"/>
      <c r="AA723"/>
      <c r="AC723" s="42"/>
      <c r="AD723" s="7"/>
      <c r="AE723"/>
    </row>
    <row r="724" spans="7:31" x14ac:dyDescent="0.35">
      <c r="G724" s="39"/>
      <c r="H724" s="37"/>
      <c r="K724"/>
      <c r="M724" s="42"/>
      <c r="N724" s="7"/>
      <c r="O724"/>
      <c r="Q724" s="42"/>
      <c r="R724" s="7"/>
      <c r="S724"/>
      <c r="U724" s="42"/>
      <c r="V724" s="7"/>
      <c r="W724"/>
      <c r="Y724" s="42"/>
      <c r="Z724" s="7"/>
      <c r="AA724"/>
      <c r="AC724" s="42"/>
      <c r="AD724" s="7"/>
      <c r="AE724"/>
    </row>
    <row r="725" spans="7:31" x14ac:dyDescent="0.35">
      <c r="G725" s="39"/>
      <c r="H725" s="37"/>
      <c r="K725"/>
      <c r="M725" s="42"/>
      <c r="N725" s="7"/>
      <c r="O725"/>
      <c r="Q725" s="42"/>
      <c r="R725" s="7"/>
      <c r="S725"/>
      <c r="U725" s="42"/>
      <c r="V725" s="7"/>
      <c r="W725"/>
      <c r="Y725" s="42"/>
      <c r="Z725" s="7"/>
      <c r="AA725"/>
      <c r="AC725" s="42"/>
      <c r="AD725" s="7"/>
      <c r="AE725"/>
    </row>
    <row r="726" spans="7:31" x14ac:dyDescent="0.35">
      <c r="G726" s="39"/>
      <c r="H726" s="37"/>
      <c r="K726"/>
      <c r="M726" s="42"/>
      <c r="N726" s="7"/>
      <c r="O726"/>
      <c r="Q726" s="42"/>
      <c r="R726" s="7"/>
      <c r="S726"/>
      <c r="U726" s="42"/>
      <c r="V726" s="7"/>
      <c r="W726"/>
      <c r="Y726" s="42"/>
      <c r="Z726" s="7"/>
      <c r="AA726"/>
      <c r="AC726" s="42"/>
      <c r="AD726" s="7"/>
      <c r="AE726"/>
    </row>
    <row r="727" spans="7:31" x14ac:dyDescent="0.35">
      <c r="G727" s="39"/>
      <c r="H727" s="37"/>
      <c r="K727"/>
      <c r="M727" s="42"/>
      <c r="N727" s="7"/>
      <c r="O727"/>
      <c r="Q727" s="42"/>
      <c r="R727" s="7"/>
      <c r="S727"/>
      <c r="U727" s="42"/>
      <c r="V727" s="7"/>
      <c r="W727"/>
      <c r="Y727" s="42"/>
      <c r="Z727" s="7"/>
      <c r="AA727"/>
      <c r="AC727" s="42"/>
      <c r="AD727" s="7"/>
      <c r="AE727"/>
    </row>
    <row r="728" spans="7:31" x14ac:dyDescent="0.35">
      <c r="G728" s="39"/>
      <c r="H728" s="37"/>
      <c r="K728"/>
      <c r="M728" s="42"/>
      <c r="N728" s="7"/>
      <c r="O728"/>
      <c r="Q728" s="42"/>
      <c r="R728" s="7"/>
      <c r="S728"/>
      <c r="U728" s="42"/>
      <c r="V728" s="7"/>
      <c r="W728"/>
      <c r="Y728" s="42"/>
      <c r="Z728" s="7"/>
      <c r="AA728"/>
      <c r="AC728" s="42"/>
      <c r="AD728" s="7"/>
      <c r="AE728"/>
    </row>
    <row r="729" spans="7:31" x14ac:dyDescent="0.35">
      <c r="G729" s="39"/>
      <c r="H729" s="37"/>
      <c r="K729"/>
      <c r="M729" s="42"/>
      <c r="N729" s="7"/>
      <c r="O729"/>
      <c r="Q729" s="42"/>
      <c r="R729" s="7"/>
      <c r="S729"/>
      <c r="U729" s="42"/>
      <c r="V729" s="7"/>
      <c r="W729"/>
      <c r="Y729" s="42"/>
      <c r="Z729" s="7"/>
      <c r="AA729"/>
      <c r="AC729" s="42"/>
      <c r="AD729" s="7"/>
      <c r="AE729"/>
    </row>
    <row r="730" spans="7:31" x14ac:dyDescent="0.35">
      <c r="G730" s="39"/>
      <c r="H730" s="37"/>
      <c r="K730"/>
      <c r="M730" s="42"/>
      <c r="N730" s="7"/>
      <c r="O730"/>
      <c r="Q730" s="42"/>
      <c r="R730" s="7"/>
      <c r="S730"/>
      <c r="U730" s="42"/>
      <c r="V730" s="7"/>
      <c r="W730"/>
      <c r="Y730" s="42"/>
      <c r="Z730" s="7"/>
      <c r="AA730"/>
      <c r="AC730" s="42"/>
      <c r="AD730" s="7"/>
      <c r="AE730"/>
    </row>
    <row r="731" spans="7:31" x14ac:dyDescent="0.35">
      <c r="G731" s="39"/>
      <c r="H731" s="37"/>
      <c r="K731"/>
      <c r="M731" s="42"/>
      <c r="N731" s="7"/>
      <c r="O731"/>
      <c r="Q731" s="42"/>
      <c r="R731" s="7"/>
      <c r="S731"/>
      <c r="U731" s="42"/>
      <c r="V731" s="7"/>
      <c r="W731"/>
      <c r="Y731" s="42"/>
      <c r="Z731" s="7"/>
      <c r="AA731"/>
      <c r="AC731" s="42"/>
      <c r="AD731" s="7"/>
      <c r="AE731"/>
    </row>
    <row r="732" spans="7:31" x14ac:dyDescent="0.35">
      <c r="G732" s="39"/>
      <c r="H732" s="37"/>
      <c r="K732"/>
      <c r="M732" s="42"/>
      <c r="N732" s="7"/>
      <c r="O732"/>
      <c r="Q732" s="42"/>
      <c r="R732" s="7"/>
      <c r="S732"/>
      <c r="U732" s="42"/>
      <c r="V732" s="7"/>
      <c r="W732"/>
      <c r="Y732" s="42"/>
      <c r="Z732" s="7"/>
      <c r="AA732"/>
      <c r="AC732" s="42"/>
      <c r="AD732" s="7"/>
      <c r="AE732"/>
    </row>
    <row r="733" spans="7:31" x14ac:dyDescent="0.35">
      <c r="G733" s="39"/>
      <c r="H733" s="37"/>
      <c r="K733"/>
      <c r="M733" s="42"/>
      <c r="N733" s="7"/>
      <c r="O733"/>
      <c r="Q733" s="42"/>
      <c r="R733" s="7"/>
      <c r="S733"/>
      <c r="U733" s="42"/>
      <c r="V733" s="7"/>
      <c r="W733"/>
      <c r="Y733" s="42"/>
      <c r="Z733" s="7"/>
      <c r="AA733"/>
      <c r="AC733" s="42"/>
      <c r="AD733" s="7"/>
      <c r="AE733"/>
    </row>
    <row r="734" spans="7:31" x14ac:dyDescent="0.35">
      <c r="G734" s="39"/>
      <c r="H734" s="37"/>
      <c r="K734"/>
      <c r="M734" s="42"/>
      <c r="N734" s="7"/>
      <c r="O734"/>
      <c r="Q734" s="42"/>
      <c r="R734" s="7"/>
      <c r="S734"/>
      <c r="U734" s="42"/>
      <c r="V734" s="7"/>
      <c r="W734"/>
      <c r="Y734" s="42"/>
      <c r="Z734" s="7"/>
      <c r="AA734"/>
      <c r="AC734" s="42"/>
      <c r="AD734" s="7"/>
      <c r="AE734"/>
    </row>
    <row r="735" spans="7:31" x14ac:dyDescent="0.35">
      <c r="G735" s="39"/>
      <c r="H735" s="37"/>
      <c r="K735"/>
      <c r="M735" s="42"/>
      <c r="N735" s="7"/>
      <c r="O735"/>
      <c r="Q735" s="42"/>
      <c r="R735" s="7"/>
      <c r="S735"/>
      <c r="U735" s="42"/>
      <c r="V735" s="7"/>
      <c r="W735"/>
      <c r="Y735" s="42"/>
      <c r="Z735" s="7"/>
      <c r="AA735"/>
      <c r="AC735" s="42"/>
      <c r="AD735" s="7"/>
      <c r="AE735"/>
    </row>
    <row r="736" spans="7:31" x14ac:dyDescent="0.35">
      <c r="G736" s="39"/>
      <c r="H736" s="37"/>
      <c r="K736"/>
      <c r="M736" s="42"/>
      <c r="N736" s="7"/>
      <c r="O736"/>
      <c r="Q736" s="42"/>
      <c r="R736" s="7"/>
      <c r="S736"/>
      <c r="U736" s="42"/>
      <c r="V736" s="7"/>
      <c r="W736"/>
      <c r="Y736" s="42"/>
      <c r="Z736" s="7"/>
      <c r="AA736"/>
      <c r="AC736" s="42"/>
      <c r="AD736" s="7"/>
      <c r="AE736"/>
    </row>
    <row r="737" spans="7:31" x14ac:dyDescent="0.35">
      <c r="G737" s="39"/>
      <c r="H737" s="37"/>
      <c r="K737"/>
      <c r="M737" s="42"/>
      <c r="N737" s="7"/>
      <c r="O737"/>
      <c r="Q737" s="42"/>
      <c r="R737" s="7"/>
      <c r="S737"/>
      <c r="U737" s="42"/>
      <c r="V737" s="7"/>
      <c r="W737"/>
      <c r="Y737" s="42"/>
      <c r="Z737" s="7"/>
      <c r="AA737"/>
      <c r="AC737" s="42"/>
      <c r="AD737" s="7"/>
      <c r="AE737"/>
    </row>
    <row r="738" spans="7:31" x14ac:dyDescent="0.35">
      <c r="G738" s="39"/>
      <c r="H738" s="37"/>
      <c r="K738"/>
      <c r="M738" s="42"/>
      <c r="N738" s="7"/>
      <c r="O738"/>
      <c r="Q738" s="42"/>
      <c r="R738" s="7"/>
      <c r="S738"/>
      <c r="U738" s="42"/>
      <c r="V738" s="7"/>
      <c r="W738"/>
      <c r="Y738" s="42"/>
      <c r="Z738" s="7"/>
      <c r="AA738"/>
      <c r="AC738" s="42"/>
      <c r="AD738" s="7"/>
      <c r="AE738"/>
    </row>
    <row r="739" spans="7:31" x14ac:dyDescent="0.35">
      <c r="G739" s="39"/>
      <c r="H739" s="37"/>
      <c r="K739"/>
      <c r="M739" s="42"/>
      <c r="N739" s="7"/>
      <c r="O739"/>
      <c r="Q739" s="42"/>
      <c r="R739" s="7"/>
      <c r="S739"/>
      <c r="U739" s="42"/>
      <c r="V739" s="7"/>
      <c r="W739"/>
      <c r="Y739" s="42"/>
      <c r="Z739" s="7"/>
      <c r="AA739"/>
      <c r="AC739" s="42"/>
      <c r="AD739" s="7"/>
      <c r="AE739"/>
    </row>
    <row r="740" spans="7:31" x14ac:dyDescent="0.35">
      <c r="G740" s="39"/>
      <c r="H740" s="37"/>
      <c r="K740"/>
      <c r="M740" s="42"/>
      <c r="N740" s="7"/>
      <c r="O740"/>
      <c r="Q740" s="42"/>
      <c r="R740" s="7"/>
      <c r="S740"/>
      <c r="U740" s="42"/>
      <c r="V740" s="7"/>
      <c r="W740"/>
      <c r="Y740" s="42"/>
      <c r="Z740" s="7"/>
      <c r="AA740"/>
      <c r="AC740" s="42"/>
      <c r="AD740" s="7"/>
      <c r="AE740"/>
    </row>
    <row r="741" spans="7:31" x14ac:dyDescent="0.35">
      <c r="G741" s="39"/>
      <c r="H741" s="37"/>
      <c r="K741"/>
      <c r="M741" s="42"/>
      <c r="N741" s="7"/>
      <c r="O741"/>
      <c r="Q741" s="42"/>
      <c r="R741" s="7"/>
      <c r="S741"/>
      <c r="U741" s="42"/>
      <c r="V741" s="7"/>
      <c r="W741"/>
      <c r="Y741" s="42"/>
      <c r="Z741" s="7"/>
      <c r="AA741"/>
      <c r="AC741" s="42"/>
      <c r="AD741" s="7"/>
      <c r="AE741"/>
    </row>
    <row r="742" spans="7:31" x14ac:dyDescent="0.35">
      <c r="G742" s="39"/>
      <c r="H742" s="37"/>
      <c r="K742"/>
      <c r="M742" s="42"/>
      <c r="N742" s="7"/>
      <c r="O742"/>
      <c r="Q742" s="42"/>
      <c r="R742" s="7"/>
      <c r="S742"/>
      <c r="U742" s="42"/>
      <c r="V742" s="7"/>
      <c r="W742"/>
      <c r="Y742" s="42"/>
      <c r="Z742" s="7"/>
      <c r="AA742"/>
      <c r="AC742" s="42"/>
      <c r="AD742" s="7"/>
      <c r="AE742"/>
    </row>
    <row r="743" spans="7:31" x14ac:dyDescent="0.35">
      <c r="G743" s="39"/>
      <c r="H743" s="37"/>
      <c r="K743"/>
      <c r="M743" s="42"/>
      <c r="N743" s="7"/>
      <c r="O743"/>
      <c r="Q743" s="42"/>
      <c r="R743" s="7"/>
      <c r="S743"/>
      <c r="U743" s="42"/>
      <c r="V743" s="7"/>
      <c r="W743"/>
      <c r="Y743" s="42"/>
      <c r="Z743" s="7"/>
      <c r="AA743"/>
      <c r="AC743" s="42"/>
      <c r="AD743" s="7"/>
      <c r="AE743"/>
    </row>
    <row r="744" spans="7:31" x14ac:dyDescent="0.35">
      <c r="G744" s="39"/>
      <c r="H744" s="37"/>
      <c r="K744"/>
      <c r="M744" s="42"/>
      <c r="N744" s="7"/>
      <c r="O744"/>
      <c r="Q744" s="42"/>
      <c r="R744" s="7"/>
      <c r="S744"/>
      <c r="U744" s="42"/>
      <c r="V744" s="7"/>
      <c r="W744"/>
      <c r="Y744" s="42"/>
      <c r="Z744" s="7"/>
      <c r="AA744"/>
      <c r="AC744" s="42"/>
      <c r="AD744" s="7"/>
      <c r="AE744"/>
    </row>
    <row r="745" spans="7:31" x14ac:dyDescent="0.35">
      <c r="G745" s="39"/>
      <c r="H745" s="37"/>
      <c r="K745"/>
      <c r="M745" s="42"/>
      <c r="N745" s="7"/>
      <c r="O745"/>
      <c r="Q745" s="42"/>
      <c r="R745" s="7"/>
      <c r="S745"/>
      <c r="U745" s="42"/>
      <c r="V745" s="7"/>
      <c r="W745"/>
      <c r="Y745" s="42"/>
      <c r="Z745" s="7"/>
      <c r="AA745"/>
      <c r="AC745" s="42"/>
      <c r="AD745" s="7"/>
      <c r="AE745"/>
    </row>
    <row r="746" spans="7:31" x14ac:dyDescent="0.35">
      <c r="G746" s="39"/>
      <c r="H746" s="37"/>
      <c r="K746"/>
      <c r="M746" s="42"/>
      <c r="N746" s="7"/>
      <c r="O746"/>
      <c r="Q746" s="42"/>
      <c r="R746" s="7"/>
      <c r="S746"/>
      <c r="U746" s="42"/>
      <c r="V746" s="7"/>
      <c r="W746"/>
      <c r="Y746" s="42"/>
      <c r="Z746" s="7"/>
      <c r="AA746"/>
      <c r="AC746" s="42"/>
      <c r="AD746" s="7"/>
      <c r="AE746"/>
    </row>
    <row r="747" spans="7:31" x14ac:dyDescent="0.35">
      <c r="G747" s="39"/>
      <c r="H747" s="37"/>
      <c r="K747"/>
      <c r="M747" s="42"/>
      <c r="N747" s="7"/>
      <c r="O747"/>
      <c r="Q747" s="42"/>
      <c r="R747" s="7"/>
      <c r="S747"/>
      <c r="U747" s="42"/>
      <c r="V747" s="7"/>
      <c r="W747"/>
      <c r="Y747" s="42"/>
      <c r="Z747" s="7"/>
      <c r="AA747"/>
      <c r="AC747" s="42"/>
      <c r="AD747" s="7"/>
      <c r="AE747"/>
    </row>
    <row r="748" spans="7:31" x14ac:dyDescent="0.35">
      <c r="G748" s="39"/>
      <c r="H748" s="37"/>
      <c r="K748"/>
      <c r="M748" s="42"/>
      <c r="N748" s="7"/>
      <c r="O748"/>
      <c r="Q748" s="42"/>
      <c r="R748" s="7"/>
      <c r="S748"/>
      <c r="U748" s="42"/>
      <c r="V748" s="7"/>
      <c r="W748"/>
      <c r="Y748" s="42"/>
      <c r="Z748" s="7"/>
      <c r="AA748"/>
      <c r="AC748" s="42"/>
      <c r="AD748" s="7"/>
      <c r="AE748"/>
    </row>
    <row r="749" spans="7:31" x14ac:dyDescent="0.35">
      <c r="G749" s="39"/>
      <c r="H749" s="37"/>
      <c r="K749"/>
      <c r="M749" s="42"/>
      <c r="N749" s="7"/>
      <c r="O749"/>
      <c r="Q749" s="42"/>
      <c r="R749" s="7"/>
      <c r="S749"/>
      <c r="U749" s="42"/>
      <c r="V749" s="7"/>
      <c r="W749"/>
      <c r="Y749" s="42"/>
      <c r="Z749" s="7"/>
      <c r="AA749"/>
      <c r="AC749" s="42"/>
      <c r="AD749" s="7"/>
      <c r="AE749"/>
    </row>
    <row r="750" spans="7:31" x14ac:dyDescent="0.35">
      <c r="G750" s="39"/>
      <c r="H750" s="37"/>
      <c r="K750"/>
      <c r="M750" s="42"/>
      <c r="N750" s="7"/>
      <c r="O750"/>
      <c r="Q750" s="42"/>
      <c r="R750" s="7"/>
      <c r="S750"/>
      <c r="U750" s="42"/>
      <c r="V750" s="7"/>
      <c r="W750"/>
      <c r="Y750" s="42"/>
      <c r="Z750" s="7"/>
      <c r="AA750"/>
      <c r="AC750" s="42"/>
      <c r="AD750" s="7"/>
      <c r="AE750"/>
    </row>
    <row r="751" spans="7:31" x14ac:dyDescent="0.35">
      <c r="G751" s="39"/>
      <c r="H751" s="37"/>
      <c r="K751"/>
      <c r="M751" s="42"/>
      <c r="N751" s="7"/>
      <c r="O751"/>
      <c r="Q751" s="42"/>
      <c r="R751" s="7"/>
      <c r="S751"/>
      <c r="U751" s="42"/>
      <c r="V751" s="7"/>
      <c r="W751"/>
      <c r="Y751" s="42"/>
      <c r="Z751" s="7"/>
      <c r="AA751"/>
      <c r="AC751" s="42"/>
      <c r="AD751" s="7"/>
      <c r="AE751"/>
    </row>
    <row r="752" spans="7:31" x14ac:dyDescent="0.35">
      <c r="G752" s="39"/>
      <c r="H752" s="37"/>
      <c r="K752"/>
      <c r="M752" s="42"/>
      <c r="N752" s="7"/>
      <c r="O752"/>
      <c r="Q752" s="42"/>
      <c r="R752" s="7"/>
      <c r="S752"/>
      <c r="U752" s="42"/>
      <c r="V752" s="7"/>
      <c r="W752"/>
      <c r="Y752" s="42"/>
      <c r="Z752" s="7"/>
      <c r="AA752"/>
      <c r="AC752" s="42"/>
      <c r="AD752" s="7"/>
      <c r="AE752"/>
    </row>
    <row r="753" spans="7:31" x14ac:dyDescent="0.35">
      <c r="G753" s="39"/>
      <c r="H753" s="37"/>
      <c r="K753"/>
      <c r="M753" s="42"/>
      <c r="N753" s="7"/>
      <c r="O753"/>
      <c r="Q753" s="42"/>
      <c r="R753" s="7"/>
      <c r="S753"/>
      <c r="U753" s="42"/>
      <c r="V753" s="7"/>
      <c r="W753"/>
      <c r="Y753" s="42"/>
      <c r="Z753" s="7"/>
      <c r="AA753"/>
      <c r="AC753" s="42"/>
      <c r="AD753" s="7"/>
      <c r="AE753"/>
    </row>
    <row r="754" spans="7:31" x14ac:dyDescent="0.35">
      <c r="G754" s="39"/>
      <c r="H754" s="37"/>
      <c r="K754"/>
      <c r="M754" s="42"/>
      <c r="N754" s="7"/>
      <c r="O754"/>
      <c r="Q754" s="42"/>
      <c r="R754" s="7"/>
      <c r="S754"/>
      <c r="U754" s="42"/>
      <c r="V754" s="7"/>
      <c r="W754"/>
      <c r="Y754" s="42"/>
      <c r="Z754" s="7"/>
      <c r="AA754"/>
      <c r="AC754" s="42"/>
      <c r="AD754" s="7"/>
      <c r="AE754"/>
    </row>
    <row r="755" spans="7:31" x14ac:dyDescent="0.35">
      <c r="G755" s="39"/>
      <c r="H755" s="37"/>
      <c r="K755"/>
      <c r="M755" s="42"/>
      <c r="N755" s="7"/>
      <c r="O755"/>
      <c r="Q755" s="42"/>
      <c r="R755" s="7"/>
      <c r="S755"/>
      <c r="U755" s="42"/>
      <c r="V755" s="7"/>
      <c r="W755"/>
      <c r="Y755" s="42"/>
      <c r="Z755" s="7"/>
      <c r="AA755"/>
      <c r="AC755" s="42"/>
      <c r="AD755" s="7"/>
      <c r="AE755"/>
    </row>
    <row r="756" spans="7:31" x14ac:dyDescent="0.35">
      <c r="G756" s="39"/>
      <c r="H756" s="37"/>
      <c r="K756"/>
      <c r="M756" s="42"/>
      <c r="N756" s="7"/>
      <c r="O756"/>
      <c r="Q756" s="42"/>
      <c r="R756" s="7"/>
      <c r="S756"/>
      <c r="U756" s="42"/>
      <c r="V756" s="7"/>
      <c r="W756"/>
      <c r="Y756" s="42"/>
      <c r="Z756" s="7"/>
      <c r="AA756"/>
      <c r="AC756" s="42"/>
      <c r="AD756" s="7"/>
      <c r="AE756"/>
    </row>
    <row r="757" spans="7:31" x14ac:dyDescent="0.35">
      <c r="G757" s="39"/>
      <c r="H757" s="37"/>
      <c r="K757"/>
      <c r="M757" s="42"/>
      <c r="N757" s="7"/>
      <c r="O757"/>
      <c r="Q757" s="42"/>
      <c r="R757" s="7"/>
      <c r="S757"/>
      <c r="U757" s="42"/>
      <c r="V757" s="7"/>
      <c r="W757"/>
      <c r="Y757" s="42"/>
      <c r="Z757" s="7"/>
      <c r="AA757"/>
      <c r="AC757" s="42"/>
      <c r="AD757" s="7"/>
      <c r="AE757"/>
    </row>
    <row r="758" spans="7:31" x14ac:dyDescent="0.35">
      <c r="G758" s="39"/>
      <c r="H758" s="37"/>
      <c r="K758"/>
      <c r="M758" s="42"/>
      <c r="N758" s="7"/>
      <c r="O758"/>
      <c r="Q758" s="42"/>
      <c r="R758" s="7"/>
      <c r="S758"/>
      <c r="U758" s="42"/>
      <c r="V758" s="7"/>
      <c r="W758"/>
      <c r="Y758" s="42"/>
      <c r="Z758" s="7"/>
      <c r="AA758"/>
      <c r="AC758" s="42"/>
      <c r="AD758" s="7"/>
      <c r="AE758"/>
    </row>
    <row r="759" spans="7:31" x14ac:dyDescent="0.35">
      <c r="G759" s="39"/>
      <c r="H759" s="37"/>
      <c r="K759"/>
      <c r="M759" s="42"/>
      <c r="N759" s="7"/>
      <c r="O759"/>
      <c r="Q759" s="42"/>
      <c r="R759" s="7"/>
      <c r="S759"/>
      <c r="U759" s="42"/>
      <c r="V759" s="7"/>
      <c r="W759"/>
      <c r="Y759" s="42"/>
      <c r="Z759" s="7"/>
      <c r="AA759"/>
      <c r="AC759" s="42"/>
      <c r="AD759" s="7"/>
      <c r="AE759"/>
    </row>
    <row r="760" spans="7:31" x14ac:dyDescent="0.35">
      <c r="G760" s="39"/>
      <c r="H760" s="37"/>
      <c r="K760"/>
      <c r="M760" s="42"/>
      <c r="N760" s="7"/>
      <c r="O760"/>
      <c r="Q760" s="42"/>
      <c r="R760" s="7"/>
      <c r="S760"/>
      <c r="U760" s="42"/>
      <c r="V760" s="7"/>
      <c r="W760"/>
      <c r="Y760" s="42"/>
      <c r="Z760" s="7"/>
      <c r="AA760"/>
      <c r="AC760" s="42"/>
      <c r="AD760" s="7"/>
      <c r="AE760"/>
    </row>
    <row r="761" spans="7:31" x14ac:dyDescent="0.35">
      <c r="G761" s="39"/>
      <c r="H761" s="37"/>
      <c r="K761"/>
      <c r="M761" s="42"/>
      <c r="N761" s="7"/>
      <c r="O761"/>
      <c r="Q761" s="42"/>
      <c r="R761" s="7"/>
      <c r="S761"/>
      <c r="U761" s="42"/>
      <c r="V761" s="7"/>
      <c r="W761"/>
      <c r="Y761" s="42"/>
      <c r="Z761" s="7"/>
      <c r="AA761"/>
      <c r="AC761" s="42"/>
      <c r="AD761" s="7"/>
      <c r="AE761"/>
    </row>
    <row r="762" spans="7:31" x14ac:dyDescent="0.35">
      <c r="G762" s="39"/>
      <c r="H762" s="37"/>
      <c r="K762"/>
      <c r="M762" s="42"/>
      <c r="N762" s="7"/>
      <c r="O762"/>
      <c r="Q762" s="42"/>
      <c r="R762" s="7"/>
      <c r="S762"/>
      <c r="U762" s="42"/>
      <c r="V762" s="7"/>
      <c r="W762"/>
      <c r="Y762" s="42"/>
      <c r="Z762" s="7"/>
      <c r="AA762"/>
      <c r="AC762" s="42"/>
      <c r="AD762" s="7"/>
      <c r="AE762"/>
    </row>
    <row r="763" spans="7:31" x14ac:dyDescent="0.35">
      <c r="G763" s="39"/>
      <c r="H763" s="37"/>
      <c r="K763"/>
      <c r="M763" s="42"/>
      <c r="N763" s="7"/>
      <c r="O763"/>
      <c r="Q763" s="42"/>
      <c r="R763" s="7"/>
      <c r="S763"/>
      <c r="U763" s="42"/>
      <c r="V763" s="7"/>
      <c r="W763"/>
      <c r="Y763" s="42"/>
      <c r="Z763" s="7"/>
      <c r="AA763"/>
      <c r="AC763" s="42"/>
      <c r="AD763" s="7"/>
      <c r="AE763"/>
    </row>
    <row r="764" spans="7:31" x14ac:dyDescent="0.35">
      <c r="G764" s="39"/>
      <c r="H764" s="37"/>
      <c r="K764"/>
      <c r="M764" s="42"/>
      <c r="N764" s="7"/>
      <c r="O764"/>
      <c r="Q764" s="42"/>
      <c r="R764" s="7"/>
      <c r="S764"/>
      <c r="U764" s="42"/>
      <c r="V764" s="7"/>
      <c r="W764"/>
      <c r="Y764" s="42"/>
      <c r="Z764" s="7"/>
      <c r="AA764"/>
      <c r="AC764" s="42"/>
      <c r="AD764" s="7"/>
      <c r="AE764"/>
    </row>
    <row r="765" spans="7:31" x14ac:dyDescent="0.35">
      <c r="G765" s="39"/>
      <c r="H765" s="37"/>
      <c r="K765"/>
      <c r="M765" s="42"/>
      <c r="N765" s="7"/>
      <c r="O765"/>
      <c r="Q765" s="42"/>
      <c r="R765" s="7"/>
      <c r="S765"/>
      <c r="U765" s="42"/>
      <c r="V765" s="7"/>
      <c r="W765"/>
      <c r="Y765" s="42"/>
      <c r="Z765" s="7"/>
      <c r="AA765"/>
      <c r="AC765" s="42"/>
      <c r="AD765" s="7"/>
      <c r="AE765"/>
    </row>
    <row r="766" spans="7:31" x14ac:dyDescent="0.35">
      <c r="G766" s="39"/>
      <c r="H766" s="37"/>
      <c r="K766"/>
      <c r="M766" s="42"/>
      <c r="N766" s="7"/>
      <c r="O766"/>
      <c r="Q766" s="42"/>
      <c r="R766" s="7"/>
      <c r="S766"/>
      <c r="U766" s="42"/>
      <c r="V766" s="7"/>
      <c r="W766"/>
      <c r="Y766" s="42"/>
      <c r="Z766" s="7"/>
      <c r="AA766"/>
      <c r="AC766" s="42"/>
      <c r="AD766" s="7"/>
      <c r="AE766"/>
    </row>
    <row r="767" spans="7:31" x14ac:dyDescent="0.35">
      <c r="G767" s="39"/>
      <c r="H767" s="37"/>
      <c r="K767"/>
      <c r="M767" s="42"/>
      <c r="N767" s="7"/>
      <c r="O767"/>
      <c r="Q767" s="42"/>
      <c r="R767" s="7"/>
      <c r="S767"/>
      <c r="U767" s="42"/>
      <c r="V767" s="7"/>
      <c r="W767"/>
      <c r="Y767" s="42"/>
      <c r="Z767" s="7"/>
      <c r="AA767"/>
      <c r="AC767" s="42"/>
      <c r="AD767" s="7"/>
      <c r="AE767"/>
    </row>
    <row r="768" spans="7:31" x14ac:dyDescent="0.35">
      <c r="G768" s="39"/>
      <c r="H768" s="37"/>
      <c r="K768"/>
      <c r="M768" s="42"/>
      <c r="N768" s="7"/>
      <c r="O768"/>
      <c r="Q768" s="42"/>
      <c r="R768" s="7"/>
      <c r="S768"/>
      <c r="U768" s="42"/>
      <c r="V768" s="7"/>
      <c r="W768"/>
      <c r="Y768" s="42"/>
      <c r="Z768" s="7"/>
      <c r="AA768"/>
      <c r="AC768" s="42"/>
      <c r="AD768" s="7"/>
      <c r="AE768"/>
    </row>
    <row r="769" spans="7:31" x14ac:dyDescent="0.35">
      <c r="G769" s="39"/>
      <c r="H769" s="37"/>
      <c r="K769"/>
      <c r="M769" s="42"/>
      <c r="N769" s="7"/>
      <c r="O769"/>
      <c r="Q769" s="42"/>
      <c r="R769" s="7"/>
      <c r="S769"/>
      <c r="U769" s="42"/>
      <c r="V769" s="7"/>
      <c r="W769"/>
      <c r="Y769" s="42"/>
      <c r="Z769" s="7"/>
      <c r="AA769"/>
      <c r="AC769" s="42"/>
      <c r="AD769" s="7"/>
      <c r="AE769"/>
    </row>
    <row r="770" spans="7:31" x14ac:dyDescent="0.35">
      <c r="G770" s="39"/>
      <c r="H770" s="37"/>
      <c r="K770"/>
      <c r="M770" s="42"/>
      <c r="N770" s="7"/>
      <c r="O770"/>
      <c r="Q770" s="42"/>
      <c r="R770" s="7"/>
      <c r="S770"/>
      <c r="U770" s="42"/>
      <c r="V770" s="7"/>
      <c r="W770"/>
      <c r="Y770" s="42"/>
      <c r="Z770" s="7"/>
      <c r="AA770"/>
      <c r="AC770" s="42"/>
      <c r="AD770" s="7"/>
      <c r="AE770"/>
    </row>
    <row r="771" spans="7:31" x14ac:dyDescent="0.35">
      <c r="G771" s="39"/>
      <c r="H771" s="37"/>
      <c r="K771"/>
      <c r="M771" s="42"/>
      <c r="N771" s="7"/>
      <c r="O771"/>
      <c r="Q771" s="42"/>
      <c r="R771" s="7"/>
      <c r="S771"/>
      <c r="U771" s="42"/>
      <c r="V771" s="7"/>
      <c r="W771"/>
      <c r="Y771" s="42"/>
      <c r="Z771" s="7"/>
      <c r="AA771"/>
      <c r="AC771" s="42"/>
      <c r="AD771" s="7"/>
      <c r="AE771"/>
    </row>
    <row r="772" spans="7:31" x14ac:dyDescent="0.35">
      <c r="G772" s="39"/>
      <c r="H772" s="37"/>
      <c r="K772"/>
      <c r="M772" s="42"/>
      <c r="N772" s="7"/>
      <c r="O772"/>
      <c r="Q772" s="42"/>
      <c r="R772" s="7"/>
      <c r="S772"/>
      <c r="U772" s="42"/>
      <c r="V772" s="7"/>
      <c r="W772"/>
      <c r="Y772" s="42"/>
      <c r="Z772" s="7"/>
      <c r="AA772"/>
      <c r="AC772" s="42"/>
      <c r="AD772" s="7"/>
      <c r="AE772"/>
    </row>
    <row r="773" spans="7:31" x14ac:dyDescent="0.35">
      <c r="G773" s="39"/>
      <c r="H773" s="37"/>
      <c r="K773"/>
      <c r="M773" s="42"/>
      <c r="N773" s="7"/>
      <c r="O773"/>
      <c r="Q773" s="42"/>
      <c r="R773" s="7"/>
      <c r="S773"/>
      <c r="U773" s="42"/>
      <c r="V773" s="7"/>
      <c r="W773"/>
      <c r="Y773" s="42"/>
      <c r="Z773" s="7"/>
      <c r="AA773"/>
      <c r="AC773" s="42"/>
      <c r="AD773" s="7"/>
      <c r="AE773"/>
    </row>
    <row r="774" spans="7:31" x14ac:dyDescent="0.35">
      <c r="G774" s="39"/>
      <c r="H774" s="37"/>
      <c r="K774"/>
      <c r="M774" s="42"/>
      <c r="N774" s="7"/>
      <c r="O774"/>
      <c r="Q774" s="42"/>
      <c r="R774" s="7"/>
      <c r="S774"/>
      <c r="U774" s="42"/>
      <c r="V774" s="7"/>
      <c r="W774"/>
      <c r="Y774" s="42"/>
      <c r="Z774" s="7"/>
      <c r="AA774"/>
      <c r="AC774" s="42"/>
      <c r="AD774" s="7"/>
      <c r="AE774"/>
    </row>
    <row r="775" spans="7:31" x14ac:dyDescent="0.35">
      <c r="G775" s="39"/>
      <c r="H775" s="37"/>
      <c r="K775"/>
      <c r="M775" s="42"/>
      <c r="N775" s="7"/>
      <c r="O775"/>
      <c r="Q775" s="42"/>
      <c r="R775" s="7"/>
      <c r="S775"/>
      <c r="U775" s="42"/>
      <c r="V775" s="7"/>
      <c r="W775"/>
      <c r="Y775" s="42"/>
      <c r="Z775" s="7"/>
      <c r="AA775"/>
      <c r="AC775" s="42"/>
      <c r="AD775" s="7"/>
      <c r="AE775"/>
    </row>
    <row r="776" spans="7:31" x14ac:dyDescent="0.35">
      <c r="G776" s="39"/>
      <c r="H776" s="37"/>
      <c r="K776"/>
      <c r="M776" s="42"/>
      <c r="N776" s="7"/>
      <c r="O776"/>
      <c r="Q776" s="42"/>
      <c r="R776" s="7"/>
      <c r="S776"/>
      <c r="U776" s="42"/>
      <c r="V776" s="7"/>
      <c r="W776"/>
      <c r="Y776" s="42"/>
      <c r="Z776" s="7"/>
      <c r="AA776"/>
      <c r="AC776" s="42"/>
      <c r="AD776" s="7"/>
      <c r="AE776"/>
    </row>
    <row r="777" spans="7:31" x14ac:dyDescent="0.35">
      <c r="G777" s="39"/>
      <c r="H777" s="37"/>
      <c r="K777"/>
      <c r="M777" s="42"/>
      <c r="N777" s="7"/>
      <c r="O777"/>
      <c r="Q777" s="42"/>
      <c r="R777" s="7"/>
      <c r="S777"/>
      <c r="U777" s="42"/>
      <c r="V777" s="7"/>
      <c r="W777"/>
      <c r="Y777" s="42"/>
      <c r="Z777" s="7"/>
      <c r="AA777"/>
      <c r="AC777" s="42"/>
      <c r="AD777" s="7"/>
      <c r="AE777"/>
    </row>
    <row r="778" spans="7:31" x14ac:dyDescent="0.35">
      <c r="G778" s="39"/>
      <c r="H778" s="37"/>
      <c r="K778"/>
      <c r="M778" s="42"/>
      <c r="N778" s="7"/>
      <c r="O778"/>
      <c r="Q778" s="42"/>
      <c r="R778" s="7"/>
      <c r="S778"/>
      <c r="U778" s="42"/>
      <c r="V778" s="7"/>
      <c r="W778"/>
      <c r="Y778" s="42"/>
      <c r="Z778" s="7"/>
      <c r="AA778"/>
      <c r="AC778" s="42"/>
      <c r="AD778" s="7"/>
      <c r="AE778"/>
    </row>
    <row r="779" spans="7:31" x14ac:dyDescent="0.35">
      <c r="G779" s="39"/>
      <c r="H779" s="37"/>
      <c r="K779"/>
      <c r="M779" s="42"/>
      <c r="N779" s="7"/>
      <c r="O779"/>
      <c r="Q779" s="42"/>
      <c r="R779" s="7"/>
      <c r="S779"/>
      <c r="U779" s="42"/>
      <c r="V779" s="7"/>
      <c r="W779"/>
      <c r="Y779" s="42"/>
      <c r="Z779" s="7"/>
      <c r="AA779"/>
      <c r="AC779" s="42"/>
      <c r="AD779" s="7"/>
      <c r="AE779"/>
    </row>
    <row r="780" spans="7:31" x14ac:dyDescent="0.35">
      <c r="G780" s="39"/>
      <c r="H780" s="37"/>
      <c r="K780"/>
      <c r="M780" s="42"/>
      <c r="N780" s="7"/>
      <c r="O780"/>
      <c r="Q780" s="42"/>
      <c r="R780" s="7"/>
      <c r="S780"/>
      <c r="U780" s="42"/>
      <c r="V780" s="7"/>
      <c r="W780"/>
      <c r="Y780" s="42"/>
      <c r="Z780" s="7"/>
      <c r="AA780"/>
      <c r="AC780" s="42"/>
      <c r="AD780" s="7"/>
      <c r="AE780"/>
    </row>
    <row r="781" spans="7:31" x14ac:dyDescent="0.35">
      <c r="G781" s="39"/>
      <c r="H781" s="37"/>
      <c r="K781"/>
      <c r="M781" s="42"/>
      <c r="N781" s="7"/>
      <c r="O781"/>
      <c r="Q781" s="42"/>
      <c r="R781" s="7"/>
      <c r="S781"/>
      <c r="U781" s="42"/>
      <c r="V781" s="7"/>
      <c r="W781"/>
      <c r="Y781" s="42"/>
      <c r="Z781" s="7"/>
      <c r="AA781"/>
      <c r="AC781" s="42"/>
      <c r="AD781" s="7"/>
      <c r="AE781"/>
    </row>
    <row r="782" spans="7:31" x14ac:dyDescent="0.35">
      <c r="G782" s="39"/>
      <c r="H782" s="37"/>
      <c r="K782"/>
      <c r="M782" s="42"/>
      <c r="N782" s="7"/>
      <c r="O782"/>
      <c r="Q782" s="42"/>
      <c r="R782" s="7"/>
      <c r="S782"/>
      <c r="U782" s="42"/>
      <c r="V782" s="7"/>
      <c r="W782"/>
      <c r="Y782" s="42"/>
      <c r="Z782" s="7"/>
      <c r="AA782"/>
      <c r="AC782" s="42"/>
      <c r="AD782" s="7"/>
      <c r="AE782"/>
    </row>
    <row r="783" spans="7:31" x14ac:dyDescent="0.35">
      <c r="G783" s="39"/>
      <c r="H783" s="37"/>
      <c r="K783"/>
      <c r="M783" s="42"/>
      <c r="N783" s="7"/>
      <c r="O783"/>
      <c r="Q783" s="42"/>
      <c r="R783" s="7"/>
      <c r="S783"/>
      <c r="U783" s="42"/>
      <c r="V783" s="7"/>
      <c r="W783"/>
      <c r="Y783" s="42"/>
      <c r="Z783" s="7"/>
      <c r="AA783"/>
      <c r="AC783" s="42"/>
      <c r="AD783" s="7"/>
      <c r="AE783"/>
    </row>
    <row r="784" spans="7:31" x14ac:dyDescent="0.35">
      <c r="G784" s="39"/>
      <c r="H784" s="37"/>
      <c r="K784"/>
      <c r="M784" s="42"/>
      <c r="N784" s="7"/>
      <c r="O784"/>
      <c r="Q784" s="42"/>
      <c r="R784" s="7"/>
      <c r="S784"/>
      <c r="U784" s="42"/>
      <c r="V784" s="7"/>
      <c r="W784"/>
      <c r="Y784" s="42"/>
      <c r="Z784" s="7"/>
      <c r="AA784"/>
      <c r="AC784" s="42"/>
      <c r="AD784" s="7"/>
      <c r="AE784"/>
    </row>
    <row r="785" spans="7:31" x14ac:dyDescent="0.35">
      <c r="G785" s="39"/>
      <c r="H785" s="37"/>
      <c r="K785"/>
      <c r="M785" s="42"/>
      <c r="N785" s="7"/>
      <c r="O785"/>
      <c r="Q785" s="42"/>
      <c r="R785" s="7"/>
      <c r="S785"/>
      <c r="U785" s="42"/>
      <c r="V785" s="7"/>
      <c r="W785"/>
      <c r="Y785" s="42"/>
      <c r="Z785" s="7"/>
      <c r="AA785"/>
      <c r="AC785" s="42"/>
      <c r="AD785" s="7"/>
      <c r="AE785"/>
    </row>
    <row r="786" spans="7:31" x14ac:dyDescent="0.35">
      <c r="G786" s="39"/>
      <c r="H786" s="37"/>
      <c r="K786"/>
      <c r="M786" s="42"/>
      <c r="N786" s="7"/>
      <c r="O786"/>
      <c r="Q786" s="42"/>
      <c r="R786" s="7"/>
      <c r="S786"/>
      <c r="U786" s="42"/>
      <c r="V786" s="7"/>
      <c r="W786"/>
      <c r="Y786" s="42"/>
      <c r="Z786" s="7"/>
      <c r="AA786"/>
      <c r="AC786" s="42"/>
      <c r="AD786" s="7"/>
      <c r="AE786"/>
    </row>
    <row r="787" spans="7:31" x14ac:dyDescent="0.35">
      <c r="G787" s="39"/>
      <c r="H787" s="37"/>
      <c r="K787"/>
      <c r="M787" s="42"/>
      <c r="N787" s="7"/>
      <c r="O787"/>
      <c r="Q787" s="42"/>
      <c r="R787" s="7"/>
      <c r="S787"/>
      <c r="U787" s="42"/>
      <c r="V787" s="7"/>
      <c r="W787"/>
      <c r="Y787" s="42"/>
      <c r="Z787" s="7"/>
      <c r="AA787"/>
      <c r="AC787" s="42"/>
      <c r="AD787" s="7"/>
      <c r="AE787"/>
    </row>
    <row r="788" spans="7:31" x14ac:dyDescent="0.35">
      <c r="G788" s="39"/>
      <c r="H788" s="37"/>
      <c r="K788"/>
      <c r="M788" s="42"/>
      <c r="N788" s="7"/>
      <c r="O788"/>
      <c r="Q788" s="42"/>
      <c r="R788" s="7"/>
      <c r="S788"/>
      <c r="U788" s="42"/>
      <c r="V788" s="7"/>
      <c r="W788"/>
      <c r="Y788" s="42"/>
      <c r="Z788" s="7"/>
      <c r="AA788"/>
      <c r="AC788" s="42"/>
      <c r="AD788" s="7"/>
      <c r="AE788"/>
    </row>
    <row r="789" spans="7:31" x14ac:dyDescent="0.35">
      <c r="G789" s="39"/>
      <c r="H789" s="37"/>
      <c r="K789"/>
      <c r="M789" s="42"/>
      <c r="N789" s="7"/>
      <c r="O789"/>
      <c r="Q789" s="42"/>
      <c r="R789" s="7"/>
      <c r="S789"/>
      <c r="U789" s="42"/>
      <c r="V789" s="7"/>
      <c r="W789"/>
      <c r="Y789" s="42"/>
      <c r="Z789" s="7"/>
      <c r="AA789"/>
      <c r="AC789" s="42"/>
      <c r="AD789" s="7"/>
      <c r="AE789"/>
    </row>
    <row r="790" spans="7:31" x14ac:dyDescent="0.35">
      <c r="G790" s="39"/>
      <c r="H790" s="37"/>
      <c r="K790"/>
      <c r="M790" s="42"/>
      <c r="N790" s="7"/>
      <c r="O790"/>
      <c r="Q790" s="42"/>
      <c r="R790" s="7"/>
      <c r="S790"/>
      <c r="U790" s="42"/>
      <c r="V790" s="7"/>
      <c r="W790"/>
      <c r="Y790" s="42"/>
      <c r="Z790" s="7"/>
      <c r="AA790"/>
      <c r="AC790" s="42"/>
      <c r="AD790" s="7"/>
      <c r="AE790"/>
    </row>
    <row r="791" spans="7:31" x14ac:dyDescent="0.35">
      <c r="G791" s="39"/>
      <c r="H791" s="37"/>
      <c r="K791"/>
      <c r="M791" s="42"/>
      <c r="N791" s="7"/>
      <c r="O791"/>
      <c r="Q791" s="42"/>
      <c r="R791" s="7"/>
      <c r="S791"/>
      <c r="U791" s="42"/>
      <c r="V791" s="7"/>
      <c r="W791"/>
      <c r="Y791" s="42"/>
      <c r="Z791" s="7"/>
      <c r="AA791"/>
      <c r="AC791" s="42"/>
      <c r="AD791" s="7"/>
      <c r="AE791"/>
    </row>
    <row r="792" spans="7:31" x14ac:dyDescent="0.35">
      <c r="G792" s="39"/>
      <c r="H792" s="37"/>
      <c r="K792"/>
      <c r="M792" s="42"/>
      <c r="N792" s="7"/>
      <c r="O792"/>
      <c r="Q792" s="42"/>
      <c r="R792" s="7"/>
      <c r="S792"/>
      <c r="U792" s="42"/>
      <c r="V792" s="7"/>
      <c r="W792"/>
      <c r="Y792" s="42"/>
      <c r="Z792" s="7"/>
      <c r="AA792"/>
      <c r="AC792" s="42"/>
      <c r="AD792" s="7"/>
      <c r="AE792"/>
    </row>
    <row r="793" spans="7:31" x14ac:dyDescent="0.35">
      <c r="G793" s="39"/>
      <c r="H793" s="37"/>
      <c r="K793"/>
      <c r="M793" s="42"/>
      <c r="N793" s="7"/>
      <c r="O793"/>
      <c r="Q793" s="42"/>
      <c r="R793" s="7"/>
      <c r="S793"/>
      <c r="U793" s="42"/>
      <c r="V793" s="7"/>
      <c r="W793"/>
      <c r="Y793" s="42"/>
      <c r="Z793" s="7"/>
      <c r="AA793"/>
      <c r="AC793" s="42"/>
      <c r="AD793" s="7"/>
      <c r="AE793"/>
    </row>
    <row r="794" spans="7:31" x14ac:dyDescent="0.35">
      <c r="G794" s="39"/>
      <c r="H794" s="37"/>
      <c r="K794"/>
      <c r="M794" s="42"/>
      <c r="N794" s="7"/>
      <c r="O794"/>
      <c r="Q794" s="42"/>
      <c r="R794" s="7"/>
      <c r="S794"/>
      <c r="U794" s="42"/>
      <c r="V794" s="7"/>
      <c r="W794"/>
      <c r="Y794" s="42"/>
      <c r="Z794" s="7"/>
      <c r="AA794"/>
      <c r="AC794" s="42"/>
      <c r="AD794" s="7"/>
      <c r="AE794"/>
    </row>
    <row r="795" spans="7:31" x14ac:dyDescent="0.35">
      <c r="G795" s="39"/>
      <c r="H795" s="37"/>
      <c r="K795"/>
      <c r="M795" s="42"/>
      <c r="N795" s="7"/>
      <c r="O795"/>
      <c r="Q795" s="42"/>
      <c r="R795" s="7"/>
      <c r="S795"/>
      <c r="U795" s="42"/>
      <c r="V795" s="7"/>
      <c r="W795"/>
      <c r="Y795" s="42"/>
      <c r="Z795" s="7"/>
      <c r="AA795"/>
      <c r="AC795" s="42"/>
      <c r="AD795" s="7"/>
      <c r="AE795"/>
    </row>
    <row r="796" spans="7:31" x14ac:dyDescent="0.35">
      <c r="G796" s="39"/>
      <c r="H796" s="37"/>
      <c r="K796"/>
      <c r="M796" s="42"/>
      <c r="N796" s="7"/>
      <c r="O796"/>
      <c r="Q796" s="42"/>
      <c r="R796" s="7"/>
      <c r="S796"/>
      <c r="U796" s="42"/>
      <c r="V796" s="7"/>
      <c r="W796"/>
      <c r="Y796" s="42"/>
      <c r="Z796" s="7"/>
      <c r="AA796"/>
      <c r="AC796" s="42"/>
      <c r="AD796" s="7"/>
      <c r="AE796"/>
    </row>
    <row r="797" spans="7:31" x14ac:dyDescent="0.35">
      <c r="G797" s="39"/>
      <c r="H797" s="37"/>
      <c r="K797"/>
      <c r="M797" s="42"/>
      <c r="N797" s="7"/>
      <c r="O797"/>
      <c r="Q797" s="42"/>
      <c r="R797" s="7"/>
      <c r="S797"/>
      <c r="U797" s="42"/>
      <c r="V797" s="7"/>
      <c r="W797"/>
      <c r="Y797" s="42"/>
      <c r="Z797" s="7"/>
      <c r="AA797"/>
      <c r="AC797" s="42"/>
      <c r="AD797" s="7"/>
      <c r="AE797"/>
    </row>
    <row r="798" spans="7:31" x14ac:dyDescent="0.35">
      <c r="G798" s="39"/>
      <c r="H798" s="37"/>
      <c r="K798"/>
      <c r="M798" s="42"/>
      <c r="N798" s="7"/>
      <c r="O798"/>
      <c r="Q798" s="42"/>
      <c r="R798" s="7"/>
      <c r="S798"/>
      <c r="U798" s="42"/>
      <c r="V798" s="7"/>
      <c r="W798"/>
      <c r="Y798" s="42"/>
      <c r="Z798" s="7"/>
      <c r="AA798"/>
      <c r="AC798" s="42"/>
      <c r="AD798" s="7"/>
      <c r="AE798"/>
    </row>
    <row r="799" spans="7:31" x14ac:dyDescent="0.35">
      <c r="G799" s="39"/>
      <c r="H799" s="37"/>
      <c r="K799"/>
      <c r="M799" s="42"/>
      <c r="N799" s="7"/>
      <c r="O799"/>
      <c r="Q799" s="42"/>
      <c r="R799" s="7"/>
      <c r="S799"/>
      <c r="U799" s="42"/>
      <c r="V799" s="7"/>
      <c r="W799"/>
      <c r="Y799" s="42"/>
      <c r="Z799" s="7"/>
      <c r="AA799"/>
      <c r="AC799" s="42"/>
      <c r="AD799" s="7"/>
      <c r="AE799"/>
    </row>
    <row r="800" spans="7:31" x14ac:dyDescent="0.35">
      <c r="G800" s="39"/>
      <c r="H800" s="37"/>
      <c r="K800"/>
      <c r="M800" s="42"/>
      <c r="N800" s="7"/>
      <c r="O800"/>
      <c r="Q800" s="42"/>
      <c r="R800" s="7"/>
      <c r="S800"/>
      <c r="U800" s="42"/>
      <c r="V800" s="7"/>
      <c r="W800"/>
      <c r="Y800" s="42"/>
      <c r="Z800" s="7"/>
      <c r="AA800"/>
      <c r="AC800" s="42"/>
      <c r="AD800" s="7"/>
      <c r="AE800"/>
    </row>
    <row r="801" spans="7:31" x14ac:dyDescent="0.35">
      <c r="G801" s="39"/>
      <c r="H801" s="37"/>
      <c r="K801"/>
      <c r="M801" s="42"/>
      <c r="N801" s="7"/>
      <c r="O801"/>
      <c r="Q801" s="42"/>
      <c r="R801" s="7"/>
      <c r="S801"/>
      <c r="U801" s="42"/>
      <c r="V801" s="7"/>
      <c r="W801"/>
      <c r="Y801" s="42"/>
      <c r="Z801" s="7"/>
      <c r="AA801"/>
      <c r="AC801" s="42"/>
      <c r="AD801" s="7"/>
      <c r="AE801"/>
    </row>
    <row r="802" spans="7:31" x14ac:dyDescent="0.35">
      <c r="G802" s="39"/>
      <c r="H802" s="37"/>
      <c r="K802"/>
      <c r="M802" s="42"/>
      <c r="N802" s="7"/>
      <c r="O802"/>
      <c r="Q802" s="42"/>
      <c r="R802" s="7"/>
      <c r="S802"/>
      <c r="U802" s="42"/>
      <c r="V802" s="7"/>
      <c r="W802"/>
      <c r="Y802" s="42"/>
      <c r="Z802" s="7"/>
      <c r="AA802"/>
      <c r="AC802" s="42"/>
      <c r="AD802" s="7"/>
      <c r="AE802"/>
    </row>
    <row r="803" spans="7:31" x14ac:dyDescent="0.35">
      <c r="G803" s="39"/>
      <c r="H803" s="37"/>
      <c r="K803"/>
      <c r="M803" s="42"/>
      <c r="N803" s="7"/>
      <c r="O803"/>
      <c r="Q803" s="42"/>
      <c r="R803" s="7"/>
      <c r="S803"/>
      <c r="U803" s="42"/>
      <c r="V803" s="7"/>
      <c r="W803"/>
      <c r="Y803" s="42"/>
      <c r="Z803" s="7"/>
      <c r="AA803"/>
      <c r="AC803" s="42"/>
      <c r="AD803" s="7"/>
      <c r="AE803"/>
    </row>
    <row r="804" spans="7:31" x14ac:dyDescent="0.35">
      <c r="G804" s="39"/>
      <c r="H804" s="37"/>
      <c r="K804"/>
      <c r="M804" s="42"/>
      <c r="N804" s="7"/>
      <c r="O804"/>
      <c r="Q804" s="42"/>
      <c r="R804" s="7"/>
      <c r="S804"/>
      <c r="U804" s="42"/>
      <c r="V804" s="7"/>
      <c r="W804"/>
      <c r="Y804" s="42"/>
      <c r="Z804" s="7"/>
      <c r="AA804"/>
      <c r="AC804" s="42"/>
      <c r="AD804" s="7"/>
      <c r="AE804"/>
    </row>
    <row r="805" spans="7:31" x14ac:dyDescent="0.35">
      <c r="G805" s="39"/>
      <c r="H805" s="37"/>
      <c r="K805"/>
      <c r="M805" s="42"/>
      <c r="N805" s="7"/>
      <c r="O805"/>
      <c r="Q805" s="42"/>
      <c r="R805" s="7"/>
      <c r="S805"/>
      <c r="U805" s="42"/>
      <c r="V805" s="7"/>
      <c r="W805"/>
      <c r="Y805" s="42"/>
      <c r="Z805" s="7"/>
      <c r="AA805"/>
      <c r="AC805" s="42"/>
      <c r="AD805" s="7"/>
      <c r="AE805"/>
    </row>
    <row r="806" spans="7:31" x14ac:dyDescent="0.35">
      <c r="G806" s="39"/>
      <c r="H806" s="37"/>
      <c r="K806"/>
      <c r="M806" s="42"/>
      <c r="N806" s="7"/>
      <c r="O806"/>
      <c r="Q806" s="42"/>
      <c r="R806" s="7"/>
      <c r="S806"/>
      <c r="U806" s="42"/>
      <c r="V806" s="7"/>
      <c r="W806"/>
      <c r="Y806" s="42"/>
      <c r="Z806" s="7"/>
      <c r="AA806"/>
      <c r="AC806" s="42"/>
      <c r="AD806" s="7"/>
      <c r="AE806"/>
    </row>
    <row r="807" spans="7:31" x14ac:dyDescent="0.35">
      <c r="G807" s="39"/>
      <c r="H807" s="37"/>
      <c r="K807"/>
      <c r="M807" s="42"/>
      <c r="N807" s="7"/>
      <c r="O807"/>
      <c r="Q807" s="42"/>
      <c r="R807" s="7"/>
      <c r="S807"/>
      <c r="U807" s="42"/>
      <c r="V807" s="7"/>
      <c r="W807"/>
      <c r="Y807" s="42"/>
      <c r="Z807" s="7"/>
      <c r="AA807"/>
      <c r="AC807" s="42"/>
      <c r="AD807" s="7"/>
      <c r="AE807"/>
    </row>
    <row r="808" spans="7:31" x14ac:dyDescent="0.35">
      <c r="G808" s="39"/>
      <c r="H808" s="37"/>
      <c r="K808"/>
      <c r="M808" s="42"/>
      <c r="N808" s="7"/>
      <c r="O808"/>
      <c r="Q808" s="42"/>
      <c r="R808" s="7"/>
      <c r="S808"/>
      <c r="U808" s="42"/>
      <c r="V808" s="7"/>
      <c r="W808"/>
      <c r="Y808" s="42"/>
      <c r="Z808" s="7"/>
      <c r="AA808"/>
      <c r="AC808" s="42"/>
      <c r="AD808" s="7"/>
      <c r="AE808"/>
    </row>
    <row r="809" spans="7:31" x14ac:dyDescent="0.35">
      <c r="G809" s="39"/>
      <c r="H809" s="37"/>
      <c r="K809"/>
      <c r="M809" s="42"/>
      <c r="N809" s="7"/>
      <c r="O809"/>
      <c r="Q809" s="42"/>
      <c r="R809" s="7"/>
      <c r="S809"/>
      <c r="U809" s="42"/>
      <c r="V809" s="7"/>
      <c r="W809"/>
      <c r="Y809" s="42"/>
      <c r="Z809" s="7"/>
      <c r="AA809"/>
      <c r="AC809" s="42"/>
      <c r="AD809" s="7"/>
      <c r="AE809"/>
    </row>
    <row r="810" spans="7:31" x14ac:dyDescent="0.35">
      <c r="G810" s="39"/>
      <c r="H810" s="37"/>
      <c r="K810"/>
      <c r="M810" s="42"/>
      <c r="N810" s="7"/>
      <c r="O810"/>
      <c r="Q810" s="42"/>
      <c r="R810" s="7"/>
      <c r="S810"/>
      <c r="U810" s="42"/>
      <c r="V810" s="7"/>
      <c r="W810"/>
      <c r="Y810" s="42"/>
      <c r="Z810" s="7"/>
      <c r="AA810"/>
      <c r="AC810" s="42"/>
      <c r="AD810" s="7"/>
      <c r="AE810"/>
    </row>
    <row r="811" spans="7:31" x14ac:dyDescent="0.35">
      <c r="G811" s="39"/>
      <c r="H811" s="37"/>
      <c r="K811"/>
      <c r="M811" s="42"/>
      <c r="N811" s="7"/>
      <c r="O811"/>
      <c r="Q811" s="42"/>
      <c r="R811" s="7"/>
      <c r="S811"/>
      <c r="U811" s="42"/>
      <c r="V811" s="7"/>
      <c r="W811"/>
      <c r="Y811" s="42"/>
      <c r="Z811" s="7"/>
      <c r="AA811"/>
      <c r="AC811" s="42"/>
      <c r="AD811" s="7"/>
      <c r="AE811"/>
    </row>
    <row r="812" spans="7:31" x14ac:dyDescent="0.35">
      <c r="G812" s="39"/>
      <c r="H812" s="37"/>
      <c r="K812"/>
      <c r="M812" s="42"/>
      <c r="N812" s="7"/>
      <c r="O812"/>
      <c r="Q812" s="42"/>
      <c r="R812" s="7"/>
      <c r="S812"/>
      <c r="U812" s="42"/>
      <c r="V812" s="7"/>
      <c r="W812"/>
      <c r="Y812" s="42"/>
      <c r="Z812" s="7"/>
      <c r="AA812"/>
      <c r="AC812" s="42"/>
      <c r="AD812" s="7"/>
      <c r="AE812"/>
    </row>
    <row r="813" spans="7:31" x14ac:dyDescent="0.35">
      <c r="G813" s="39"/>
      <c r="H813" s="37"/>
      <c r="K813"/>
      <c r="M813" s="42"/>
      <c r="N813" s="7"/>
      <c r="O813"/>
      <c r="Q813" s="42"/>
      <c r="R813" s="7"/>
      <c r="S813"/>
      <c r="U813" s="42"/>
      <c r="V813" s="7"/>
      <c r="W813"/>
      <c r="Y813" s="42"/>
      <c r="Z813" s="7"/>
      <c r="AA813"/>
      <c r="AC813" s="42"/>
      <c r="AD813" s="7"/>
      <c r="AE813"/>
    </row>
    <row r="814" spans="7:31" x14ac:dyDescent="0.35">
      <c r="G814" s="39"/>
      <c r="H814" s="37"/>
      <c r="K814"/>
      <c r="M814" s="42"/>
      <c r="N814" s="7"/>
      <c r="O814"/>
      <c r="Q814" s="42"/>
      <c r="R814" s="7"/>
      <c r="S814"/>
      <c r="U814" s="42"/>
      <c r="V814" s="7"/>
      <c r="W814"/>
      <c r="Y814" s="42"/>
      <c r="Z814" s="7"/>
      <c r="AA814"/>
      <c r="AC814" s="42"/>
      <c r="AD814" s="7"/>
      <c r="AE814"/>
    </row>
    <row r="815" spans="7:31" x14ac:dyDescent="0.35">
      <c r="G815" s="39"/>
      <c r="H815" s="37"/>
      <c r="K815"/>
      <c r="M815" s="42"/>
      <c r="N815" s="7"/>
      <c r="O815"/>
      <c r="Q815" s="42"/>
      <c r="R815" s="7"/>
      <c r="S815"/>
      <c r="U815" s="42"/>
      <c r="V815" s="7"/>
      <c r="W815"/>
      <c r="Y815" s="42"/>
      <c r="Z815" s="7"/>
      <c r="AA815"/>
      <c r="AC815" s="42"/>
      <c r="AD815" s="7"/>
      <c r="AE815"/>
    </row>
    <row r="816" spans="7:31" x14ac:dyDescent="0.35">
      <c r="G816" s="39"/>
      <c r="H816" s="37"/>
      <c r="K816"/>
      <c r="M816" s="42"/>
      <c r="N816" s="7"/>
      <c r="O816"/>
      <c r="Q816" s="42"/>
      <c r="R816" s="7"/>
      <c r="S816"/>
      <c r="U816" s="42"/>
      <c r="V816" s="7"/>
      <c r="W816"/>
      <c r="Y816" s="42"/>
      <c r="Z816" s="7"/>
      <c r="AA816"/>
      <c r="AC816" s="42"/>
      <c r="AD816" s="7"/>
      <c r="AE816"/>
    </row>
    <row r="817" spans="7:31" x14ac:dyDescent="0.35">
      <c r="G817" s="39"/>
      <c r="H817" s="37"/>
      <c r="K817"/>
      <c r="M817" s="42"/>
      <c r="N817" s="7"/>
      <c r="O817"/>
      <c r="Q817" s="42"/>
      <c r="R817" s="7"/>
      <c r="S817"/>
      <c r="U817" s="42"/>
      <c r="V817" s="7"/>
      <c r="W817"/>
      <c r="Y817" s="42"/>
      <c r="Z817" s="7"/>
      <c r="AA817"/>
      <c r="AC817" s="42"/>
      <c r="AD817" s="7"/>
      <c r="AE817"/>
    </row>
    <row r="818" spans="7:31" x14ac:dyDescent="0.35">
      <c r="G818" s="39"/>
      <c r="H818" s="37"/>
      <c r="K818"/>
      <c r="M818" s="42"/>
      <c r="N818" s="7"/>
      <c r="O818"/>
      <c r="Q818" s="42"/>
      <c r="R818" s="7"/>
      <c r="S818"/>
      <c r="U818" s="42"/>
      <c r="V818" s="7"/>
      <c r="W818"/>
      <c r="Y818" s="42"/>
      <c r="Z818" s="7"/>
      <c r="AA818"/>
      <c r="AC818" s="42"/>
      <c r="AD818" s="7"/>
      <c r="AE818"/>
    </row>
    <row r="819" spans="7:31" x14ac:dyDescent="0.35">
      <c r="G819" s="39"/>
      <c r="H819" s="37"/>
      <c r="K819"/>
      <c r="M819" s="42"/>
      <c r="N819" s="7"/>
      <c r="O819"/>
      <c r="Q819" s="42"/>
      <c r="R819" s="7"/>
      <c r="S819"/>
      <c r="U819" s="42"/>
      <c r="V819" s="7"/>
      <c r="W819"/>
      <c r="Y819" s="42"/>
      <c r="Z819" s="7"/>
      <c r="AA819"/>
      <c r="AC819" s="42"/>
      <c r="AD819" s="7"/>
      <c r="AE819"/>
    </row>
    <row r="820" spans="7:31" x14ac:dyDescent="0.35">
      <c r="G820" s="39"/>
      <c r="H820" s="37"/>
      <c r="K820"/>
      <c r="M820" s="42"/>
      <c r="N820" s="7"/>
      <c r="O820"/>
      <c r="Q820" s="42"/>
      <c r="R820" s="7"/>
      <c r="S820"/>
      <c r="U820" s="42"/>
      <c r="V820" s="7"/>
      <c r="W820"/>
      <c r="Y820" s="42"/>
      <c r="Z820" s="7"/>
      <c r="AA820"/>
      <c r="AC820" s="42"/>
      <c r="AD820" s="7"/>
      <c r="AE820"/>
    </row>
    <row r="821" spans="7:31" x14ac:dyDescent="0.35">
      <c r="G821" s="39"/>
      <c r="H821" s="37"/>
      <c r="K821"/>
      <c r="M821" s="42"/>
      <c r="N821" s="7"/>
      <c r="O821"/>
      <c r="Q821" s="42"/>
      <c r="R821" s="7"/>
      <c r="S821"/>
      <c r="U821" s="42"/>
      <c r="V821" s="7"/>
      <c r="W821"/>
      <c r="Y821" s="42"/>
      <c r="Z821" s="7"/>
      <c r="AA821"/>
      <c r="AC821" s="42"/>
      <c r="AD821" s="7"/>
      <c r="AE821"/>
    </row>
    <row r="822" spans="7:31" x14ac:dyDescent="0.35">
      <c r="G822" s="39"/>
      <c r="H822" s="37"/>
      <c r="K822"/>
      <c r="M822" s="42"/>
      <c r="N822" s="7"/>
      <c r="O822"/>
      <c r="Q822" s="42"/>
      <c r="R822" s="7"/>
      <c r="S822"/>
      <c r="U822" s="42"/>
      <c r="V822" s="7"/>
      <c r="W822"/>
      <c r="Y822" s="42"/>
      <c r="Z822" s="7"/>
      <c r="AA822"/>
      <c r="AC822" s="42"/>
      <c r="AD822" s="7"/>
      <c r="AE822"/>
    </row>
    <row r="823" spans="7:31" x14ac:dyDescent="0.35">
      <c r="G823" s="39"/>
      <c r="H823" s="37"/>
      <c r="K823"/>
      <c r="M823" s="42"/>
      <c r="N823" s="7"/>
      <c r="O823"/>
      <c r="Q823" s="42"/>
      <c r="R823" s="7"/>
      <c r="S823"/>
      <c r="U823" s="42"/>
      <c r="V823" s="7"/>
      <c r="W823"/>
      <c r="Y823" s="42"/>
      <c r="Z823" s="7"/>
      <c r="AA823"/>
      <c r="AC823" s="42"/>
      <c r="AD823" s="7"/>
      <c r="AE823"/>
    </row>
    <row r="824" spans="7:31" x14ac:dyDescent="0.35">
      <c r="G824" s="39"/>
      <c r="H824" s="37"/>
      <c r="K824"/>
      <c r="M824" s="42"/>
      <c r="N824" s="7"/>
      <c r="O824"/>
      <c r="Q824" s="42"/>
      <c r="R824" s="7"/>
      <c r="S824"/>
      <c r="U824" s="42"/>
      <c r="V824" s="7"/>
      <c r="W824"/>
      <c r="Y824" s="42"/>
      <c r="Z824" s="7"/>
      <c r="AA824"/>
      <c r="AC824" s="42"/>
      <c r="AD824" s="7"/>
      <c r="AE824"/>
    </row>
    <row r="825" spans="7:31" x14ac:dyDescent="0.35">
      <c r="G825" s="39"/>
      <c r="H825" s="37"/>
      <c r="K825"/>
      <c r="M825" s="42"/>
      <c r="N825" s="7"/>
      <c r="O825"/>
      <c r="Q825" s="42"/>
      <c r="R825" s="7"/>
      <c r="S825"/>
      <c r="U825" s="42"/>
      <c r="V825" s="7"/>
      <c r="W825"/>
      <c r="Y825" s="42"/>
      <c r="Z825" s="7"/>
      <c r="AA825"/>
      <c r="AC825" s="42"/>
      <c r="AD825" s="7"/>
      <c r="AE825"/>
    </row>
    <row r="826" spans="7:31" x14ac:dyDescent="0.35">
      <c r="G826" s="39"/>
      <c r="H826" s="37"/>
      <c r="K826"/>
      <c r="M826" s="42"/>
      <c r="N826" s="7"/>
      <c r="O826"/>
      <c r="Q826" s="42"/>
      <c r="R826" s="7"/>
      <c r="S826"/>
      <c r="U826" s="42"/>
      <c r="V826" s="7"/>
      <c r="W826"/>
      <c r="Y826" s="42"/>
      <c r="Z826" s="7"/>
      <c r="AA826"/>
      <c r="AC826" s="42"/>
      <c r="AD826" s="7"/>
      <c r="AE826"/>
    </row>
    <row r="827" spans="7:31" x14ac:dyDescent="0.35">
      <c r="G827" s="39"/>
      <c r="H827" s="37"/>
      <c r="K827"/>
      <c r="M827" s="42"/>
      <c r="N827" s="7"/>
      <c r="O827"/>
      <c r="Q827" s="42"/>
      <c r="R827" s="7"/>
      <c r="S827"/>
      <c r="U827" s="42"/>
      <c r="V827" s="7"/>
      <c r="W827"/>
      <c r="Y827" s="42"/>
      <c r="Z827" s="7"/>
      <c r="AA827"/>
      <c r="AC827" s="42"/>
      <c r="AD827" s="7"/>
      <c r="AE827"/>
    </row>
    <row r="828" spans="7:31" x14ac:dyDescent="0.35">
      <c r="G828" s="39"/>
      <c r="H828" s="37"/>
      <c r="K828"/>
      <c r="M828" s="42"/>
      <c r="N828" s="7"/>
      <c r="O828"/>
      <c r="Q828" s="42"/>
      <c r="R828" s="7"/>
      <c r="S828"/>
      <c r="U828" s="42"/>
      <c r="V828" s="7"/>
      <c r="W828"/>
      <c r="Y828" s="42"/>
      <c r="Z828" s="7"/>
      <c r="AA828"/>
      <c r="AC828" s="42"/>
      <c r="AD828" s="7"/>
      <c r="AE828"/>
    </row>
    <row r="829" spans="7:31" x14ac:dyDescent="0.35">
      <c r="G829" s="39"/>
      <c r="H829" s="37"/>
      <c r="K829"/>
      <c r="M829" s="42"/>
      <c r="N829" s="7"/>
      <c r="O829"/>
      <c r="Q829" s="42"/>
      <c r="R829" s="7"/>
      <c r="S829"/>
      <c r="U829" s="42"/>
      <c r="V829" s="7"/>
      <c r="W829"/>
      <c r="Y829" s="42"/>
      <c r="Z829" s="7"/>
      <c r="AA829"/>
      <c r="AC829" s="42"/>
      <c r="AD829" s="7"/>
      <c r="AE829"/>
    </row>
    <row r="830" spans="7:31" x14ac:dyDescent="0.35">
      <c r="G830" s="39"/>
      <c r="H830" s="37"/>
      <c r="K830"/>
      <c r="M830" s="42"/>
      <c r="N830" s="7"/>
      <c r="O830"/>
      <c r="Q830" s="42"/>
      <c r="R830" s="7"/>
      <c r="S830"/>
      <c r="U830" s="42"/>
      <c r="V830" s="7"/>
      <c r="W830"/>
      <c r="Y830" s="42"/>
      <c r="Z830" s="7"/>
      <c r="AA830"/>
      <c r="AC830" s="42"/>
      <c r="AD830" s="7"/>
      <c r="AE830"/>
    </row>
    <row r="831" spans="7:31" x14ac:dyDescent="0.35">
      <c r="G831" s="39"/>
      <c r="H831" s="37"/>
      <c r="K831"/>
      <c r="M831" s="42"/>
      <c r="N831" s="7"/>
      <c r="O831"/>
      <c r="Q831" s="42"/>
      <c r="R831" s="7"/>
      <c r="S831"/>
      <c r="U831" s="42"/>
      <c r="V831" s="7"/>
      <c r="W831"/>
      <c r="Y831" s="42"/>
      <c r="Z831" s="7"/>
      <c r="AA831"/>
      <c r="AC831" s="42"/>
      <c r="AD831" s="7"/>
      <c r="AE831"/>
    </row>
    <row r="832" spans="7:31" x14ac:dyDescent="0.35">
      <c r="G832" s="39"/>
      <c r="H832" s="37"/>
      <c r="K832"/>
      <c r="M832" s="42"/>
      <c r="N832" s="7"/>
      <c r="O832"/>
      <c r="Q832" s="42"/>
      <c r="R832" s="7"/>
      <c r="S832"/>
      <c r="U832" s="42"/>
      <c r="V832" s="7"/>
      <c r="W832"/>
      <c r="Y832" s="42"/>
      <c r="Z832" s="7"/>
      <c r="AA832"/>
      <c r="AC832" s="42"/>
      <c r="AD832" s="7"/>
      <c r="AE832"/>
    </row>
    <row r="833" spans="7:31" x14ac:dyDescent="0.35">
      <c r="G833" s="39"/>
      <c r="H833" s="37"/>
      <c r="K833"/>
      <c r="M833" s="42"/>
      <c r="N833" s="7"/>
      <c r="O833"/>
      <c r="Q833" s="42"/>
      <c r="R833" s="7"/>
      <c r="S833"/>
      <c r="U833" s="42"/>
      <c r="V833" s="7"/>
      <c r="W833"/>
      <c r="Y833" s="42"/>
      <c r="Z833" s="7"/>
      <c r="AA833"/>
      <c r="AC833" s="42"/>
      <c r="AD833" s="7"/>
      <c r="AE833"/>
    </row>
    <row r="834" spans="7:31" x14ac:dyDescent="0.35">
      <c r="G834" s="39"/>
      <c r="H834" s="37"/>
      <c r="K834"/>
      <c r="M834" s="42"/>
      <c r="N834" s="7"/>
      <c r="O834"/>
      <c r="Q834" s="42"/>
      <c r="R834" s="7"/>
      <c r="S834"/>
      <c r="U834" s="42"/>
      <c r="V834" s="7"/>
      <c r="W834"/>
      <c r="Y834" s="42"/>
      <c r="Z834" s="7"/>
      <c r="AA834"/>
      <c r="AC834" s="42"/>
      <c r="AD834" s="7"/>
      <c r="AE834"/>
    </row>
    <row r="835" spans="7:31" x14ac:dyDescent="0.35">
      <c r="G835" s="39"/>
      <c r="H835" s="37"/>
      <c r="K835"/>
      <c r="M835" s="42"/>
      <c r="N835" s="7"/>
      <c r="O835"/>
      <c r="Q835" s="42"/>
      <c r="R835" s="7"/>
      <c r="S835"/>
      <c r="U835" s="42"/>
      <c r="V835" s="7"/>
      <c r="W835"/>
      <c r="Y835" s="42"/>
      <c r="Z835" s="7"/>
      <c r="AA835"/>
      <c r="AC835" s="42"/>
      <c r="AD835" s="7"/>
      <c r="AE835"/>
    </row>
    <row r="836" spans="7:31" x14ac:dyDescent="0.35">
      <c r="G836" s="39"/>
      <c r="H836" s="37"/>
      <c r="K836"/>
      <c r="M836" s="42"/>
      <c r="N836" s="7"/>
      <c r="O836"/>
      <c r="Q836" s="42"/>
      <c r="R836" s="7"/>
      <c r="S836"/>
      <c r="U836" s="42"/>
      <c r="V836" s="7"/>
      <c r="W836"/>
      <c r="Y836" s="42"/>
      <c r="Z836" s="7"/>
      <c r="AA836"/>
      <c r="AC836" s="42"/>
      <c r="AD836" s="7"/>
      <c r="AE836"/>
    </row>
    <row r="837" spans="7:31" x14ac:dyDescent="0.35">
      <c r="G837" s="39"/>
      <c r="H837" s="37"/>
      <c r="K837"/>
      <c r="M837" s="42"/>
      <c r="N837" s="7"/>
      <c r="O837"/>
      <c r="Q837" s="42"/>
      <c r="R837" s="7"/>
      <c r="S837"/>
      <c r="U837" s="42"/>
      <c r="V837" s="7"/>
      <c r="W837"/>
      <c r="Y837" s="42"/>
      <c r="Z837" s="7"/>
      <c r="AA837"/>
      <c r="AC837" s="42"/>
      <c r="AD837" s="7"/>
      <c r="AE837"/>
    </row>
    <row r="838" spans="7:31" x14ac:dyDescent="0.35">
      <c r="G838" s="39"/>
      <c r="H838" s="37"/>
      <c r="K838"/>
      <c r="M838" s="42"/>
      <c r="N838" s="7"/>
      <c r="O838"/>
      <c r="Q838" s="42"/>
      <c r="R838" s="7"/>
      <c r="S838"/>
      <c r="U838" s="42"/>
      <c r="V838" s="7"/>
      <c r="W838"/>
      <c r="Y838" s="42"/>
      <c r="Z838" s="7"/>
      <c r="AA838"/>
      <c r="AC838" s="42"/>
      <c r="AD838" s="7"/>
      <c r="AE838"/>
    </row>
    <row r="839" spans="7:31" x14ac:dyDescent="0.35">
      <c r="G839" s="39"/>
      <c r="H839" s="37"/>
      <c r="K839"/>
      <c r="M839" s="42"/>
      <c r="N839" s="7"/>
      <c r="O839"/>
      <c r="Q839" s="42"/>
      <c r="R839" s="7"/>
      <c r="S839"/>
      <c r="U839" s="42"/>
      <c r="V839" s="7"/>
      <c r="W839"/>
      <c r="Y839" s="42"/>
      <c r="Z839" s="7"/>
      <c r="AA839"/>
      <c r="AC839" s="42"/>
      <c r="AD839" s="7"/>
      <c r="AE839"/>
    </row>
    <row r="840" spans="7:31" x14ac:dyDescent="0.35">
      <c r="G840" s="39"/>
      <c r="H840" s="37"/>
      <c r="K840"/>
      <c r="M840" s="42"/>
      <c r="N840" s="7"/>
      <c r="O840"/>
      <c r="Q840" s="42"/>
      <c r="R840" s="7"/>
      <c r="S840"/>
      <c r="U840" s="42"/>
      <c r="V840" s="7"/>
      <c r="W840"/>
      <c r="Y840" s="42"/>
      <c r="Z840" s="7"/>
      <c r="AA840"/>
      <c r="AC840" s="42"/>
      <c r="AD840" s="7"/>
      <c r="AE840"/>
    </row>
    <row r="841" spans="7:31" x14ac:dyDescent="0.35">
      <c r="G841" s="39"/>
      <c r="H841" s="37"/>
      <c r="K841"/>
      <c r="M841" s="42"/>
      <c r="N841" s="7"/>
      <c r="O841"/>
      <c r="Q841" s="42"/>
      <c r="R841" s="7"/>
      <c r="S841"/>
      <c r="U841" s="42"/>
      <c r="V841" s="7"/>
      <c r="W841"/>
      <c r="Y841" s="42"/>
      <c r="Z841" s="7"/>
      <c r="AA841"/>
      <c r="AC841" s="42"/>
      <c r="AD841" s="7"/>
      <c r="AE841"/>
    </row>
    <row r="842" spans="7:31" x14ac:dyDescent="0.35">
      <c r="G842" s="39"/>
      <c r="H842" s="37"/>
      <c r="K842"/>
      <c r="M842" s="42"/>
      <c r="N842" s="7"/>
      <c r="O842"/>
      <c r="Q842" s="42"/>
      <c r="R842" s="7"/>
      <c r="S842"/>
      <c r="U842" s="42"/>
      <c r="V842" s="7"/>
      <c r="W842"/>
      <c r="Y842" s="42"/>
      <c r="Z842" s="7"/>
      <c r="AA842"/>
      <c r="AC842" s="42"/>
      <c r="AD842" s="7"/>
      <c r="AE842"/>
    </row>
    <row r="843" spans="7:31" x14ac:dyDescent="0.35">
      <c r="G843" s="39"/>
      <c r="H843" s="37"/>
      <c r="K843"/>
      <c r="M843" s="42"/>
      <c r="N843" s="7"/>
      <c r="O843"/>
      <c r="Q843" s="42"/>
      <c r="R843" s="7"/>
      <c r="S843"/>
      <c r="U843" s="42"/>
      <c r="V843" s="7"/>
      <c r="W843"/>
      <c r="Y843" s="42"/>
      <c r="Z843" s="7"/>
      <c r="AA843"/>
      <c r="AC843" s="42"/>
      <c r="AD843" s="7"/>
      <c r="AE843"/>
    </row>
    <row r="844" spans="7:31" x14ac:dyDescent="0.35">
      <c r="G844" s="39"/>
      <c r="H844" s="37"/>
      <c r="K844"/>
      <c r="M844" s="42"/>
      <c r="N844" s="7"/>
      <c r="O844"/>
      <c r="Q844" s="42"/>
      <c r="R844" s="7"/>
      <c r="S844"/>
      <c r="U844" s="42"/>
      <c r="V844" s="7"/>
      <c r="W844"/>
      <c r="Y844" s="42"/>
      <c r="Z844" s="7"/>
      <c r="AA844"/>
      <c r="AC844" s="42"/>
      <c r="AD844" s="7"/>
      <c r="AE844"/>
    </row>
    <row r="845" spans="7:31" x14ac:dyDescent="0.35">
      <c r="G845" s="39"/>
      <c r="H845" s="37"/>
      <c r="K845"/>
      <c r="M845" s="42"/>
      <c r="N845" s="7"/>
      <c r="O845"/>
      <c r="Q845" s="42"/>
      <c r="R845" s="7"/>
      <c r="S845"/>
      <c r="U845" s="42"/>
      <c r="V845" s="7"/>
      <c r="W845"/>
      <c r="Y845" s="42"/>
      <c r="Z845" s="7"/>
      <c r="AA845"/>
      <c r="AC845" s="42"/>
      <c r="AD845" s="7"/>
      <c r="AE845"/>
    </row>
    <row r="846" spans="7:31" x14ac:dyDescent="0.35">
      <c r="G846" s="39"/>
      <c r="H846" s="37"/>
      <c r="K846"/>
      <c r="M846" s="42"/>
      <c r="N846" s="7"/>
      <c r="O846"/>
      <c r="Q846" s="42"/>
      <c r="R846" s="7"/>
      <c r="S846"/>
      <c r="U846" s="42"/>
      <c r="V846" s="7"/>
      <c r="W846"/>
      <c r="Y846" s="42"/>
      <c r="Z846" s="7"/>
      <c r="AA846"/>
      <c r="AC846" s="42"/>
      <c r="AD846" s="7"/>
      <c r="AE846"/>
    </row>
    <row r="847" spans="7:31" x14ac:dyDescent="0.35">
      <c r="G847" s="39"/>
      <c r="H847" s="37"/>
      <c r="K847"/>
      <c r="M847" s="42"/>
      <c r="N847" s="7"/>
      <c r="O847"/>
      <c r="Q847" s="42"/>
      <c r="R847" s="7"/>
      <c r="S847"/>
      <c r="U847" s="42"/>
      <c r="V847" s="7"/>
      <c r="W847"/>
      <c r="Y847" s="42"/>
      <c r="Z847" s="7"/>
      <c r="AA847"/>
      <c r="AC847" s="42"/>
      <c r="AD847" s="7"/>
      <c r="AE847"/>
    </row>
    <row r="848" spans="7:31" x14ac:dyDescent="0.35">
      <c r="G848" s="39"/>
      <c r="H848" s="37"/>
      <c r="K848"/>
      <c r="M848" s="42"/>
      <c r="N848" s="7"/>
      <c r="O848"/>
      <c r="Q848" s="42"/>
      <c r="R848" s="7"/>
      <c r="S848"/>
      <c r="U848" s="42"/>
      <c r="V848" s="7"/>
      <c r="W848"/>
      <c r="Y848" s="42"/>
      <c r="Z848" s="7"/>
      <c r="AA848"/>
      <c r="AC848" s="42"/>
      <c r="AD848" s="7"/>
      <c r="AE848"/>
    </row>
    <row r="849" spans="7:31" x14ac:dyDescent="0.35">
      <c r="G849" s="39"/>
      <c r="H849" s="37"/>
      <c r="K849"/>
      <c r="M849" s="42"/>
      <c r="N849" s="7"/>
      <c r="O849"/>
      <c r="Q849" s="42"/>
      <c r="R849" s="7"/>
      <c r="S849"/>
      <c r="U849" s="42"/>
      <c r="V849" s="7"/>
      <c r="W849"/>
      <c r="Y849" s="42"/>
      <c r="Z849" s="7"/>
      <c r="AA849"/>
      <c r="AC849" s="42"/>
      <c r="AD849" s="7"/>
      <c r="AE849"/>
    </row>
    <row r="850" spans="7:31" x14ac:dyDescent="0.35">
      <c r="G850" s="39"/>
      <c r="H850" s="37"/>
      <c r="K850"/>
      <c r="M850" s="42"/>
      <c r="N850" s="7"/>
      <c r="O850"/>
      <c r="Q850" s="42"/>
      <c r="R850" s="7"/>
      <c r="S850"/>
      <c r="U850" s="42"/>
      <c r="V850" s="7"/>
      <c r="W850"/>
      <c r="Y850" s="42"/>
      <c r="Z850" s="7"/>
      <c r="AA850"/>
      <c r="AC850" s="42"/>
      <c r="AD850" s="7"/>
      <c r="AE850"/>
    </row>
    <row r="851" spans="7:31" x14ac:dyDescent="0.35">
      <c r="G851" s="39"/>
      <c r="H851" s="37"/>
      <c r="K851"/>
      <c r="M851" s="42"/>
      <c r="N851" s="7"/>
      <c r="O851"/>
      <c r="Q851" s="42"/>
      <c r="R851" s="7"/>
      <c r="S851"/>
      <c r="U851" s="42"/>
      <c r="V851" s="7"/>
      <c r="W851"/>
      <c r="Y851" s="42"/>
      <c r="Z851" s="7"/>
      <c r="AA851"/>
      <c r="AC851" s="42"/>
      <c r="AD851" s="7"/>
      <c r="AE851"/>
    </row>
    <row r="852" spans="7:31" x14ac:dyDescent="0.35">
      <c r="G852" s="39"/>
      <c r="H852" s="37"/>
      <c r="K852"/>
      <c r="M852" s="42"/>
      <c r="N852" s="7"/>
      <c r="O852"/>
      <c r="Q852" s="42"/>
      <c r="R852" s="7"/>
      <c r="S852"/>
      <c r="U852" s="42"/>
      <c r="V852" s="7"/>
      <c r="W852"/>
      <c r="Y852" s="42"/>
      <c r="Z852" s="7"/>
      <c r="AA852"/>
      <c r="AC852" s="42"/>
      <c r="AD852" s="7"/>
      <c r="AE852"/>
    </row>
    <row r="853" spans="7:31" x14ac:dyDescent="0.35">
      <c r="G853" s="39"/>
      <c r="H853" s="37"/>
      <c r="K853"/>
      <c r="M853" s="42"/>
      <c r="N853" s="7"/>
      <c r="O853"/>
      <c r="Q853" s="42"/>
      <c r="R853" s="7"/>
      <c r="S853"/>
      <c r="U853" s="42"/>
      <c r="V853" s="7"/>
      <c r="W853"/>
      <c r="Y853" s="42"/>
      <c r="Z853" s="7"/>
      <c r="AA853"/>
      <c r="AC853" s="42"/>
      <c r="AD853" s="7"/>
      <c r="AE853"/>
    </row>
    <row r="854" spans="7:31" x14ac:dyDescent="0.35">
      <c r="G854" s="39"/>
      <c r="H854" s="37"/>
      <c r="K854"/>
      <c r="M854" s="42"/>
      <c r="N854" s="7"/>
      <c r="O854"/>
      <c r="Q854" s="42"/>
      <c r="R854" s="7"/>
      <c r="S854"/>
      <c r="U854" s="42"/>
      <c r="V854" s="7"/>
      <c r="W854"/>
      <c r="Y854" s="42"/>
      <c r="Z854" s="7"/>
      <c r="AA854"/>
      <c r="AC854" s="42"/>
      <c r="AD854" s="7"/>
      <c r="AE854"/>
    </row>
    <row r="855" spans="7:31" x14ac:dyDescent="0.35">
      <c r="G855" s="39"/>
      <c r="H855" s="37"/>
      <c r="K855"/>
      <c r="M855" s="42"/>
      <c r="N855" s="7"/>
      <c r="O855"/>
      <c r="Q855" s="42"/>
      <c r="R855" s="7"/>
      <c r="S855"/>
      <c r="U855" s="42"/>
      <c r="V855" s="7"/>
      <c r="W855"/>
      <c r="Y855" s="42"/>
      <c r="Z855" s="7"/>
      <c r="AA855"/>
      <c r="AC855" s="42"/>
      <c r="AD855" s="7"/>
      <c r="AE855"/>
    </row>
    <row r="856" spans="7:31" x14ac:dyDescent="0.35">
      <c r="G856" s="39"/>
      <c r="H856" s="37"/>
      <c r="K856"/>
      <c r="M856" s="42"/>
      <c r="N856" s="7"/>
      <c r="O856"/>
      <c r="Q856" s="42"/>
      <c r="R856" s="7"/>
      <c r="S856"/>
      <c r="U856" s="42"/>
      <c r="V856" s="7"/>
      <c r="W856"/>
      <c r="Y856" s="42"/>
      <c r="Z856" s="7"/>
      <c r="AA856"/>
      <c r="AC856" s="42"/>
      <c r="AD856" s="7"/>
      <c r="AE856"/>
    </row>
    <row r="857" spans="7:31" x14ac:dyDescent="0.35">
      <c r="G857" s="39"/>
      <c r="H857" s="37"/>
      <c r="K857"/>
      <c r="M857" s="42"/>
      <c r="N857" s="7"/>
      <c r="O857"/>
      <c r="Q857" s="42"/>
      <c r="R857" s="7"/>
      <c r="S857"/>
      <c r="U857" s="42"/>
      <c r="V857" s="7"/>
      <c r="W857"/>
      <c r="Y857" s="42"/>
      <c r="Z857" s="7"/>
      <c r="AA857"/>
      <c r="AC857" s="42"/>
      <c r="AD857" s="7"/>
      <c r="AE857"/>
    </row>
    <row r="858" spans="7:31" x14ac:dyDescent="0.35">
      <c r="G858" s="39"/>
      <c r="H858" s="37"/>
      <c r="K858"/>
      <c r="M858" s="42"/>
      <c r="N858" s="7"/>
      <c r="O858"/>
      <c r="Q858" s="42"/>
      <c r="R858" s="7"/>
      <c r="S858"/>
      <c r="U858" s="42"/>
      <c r="V858" s="7"/>
      <c r="W858"/>
      <c r="Y858" s="42"/>
      <c r="Z858" s="7"/>
      <c r="AA858"/>
      <c r="AC858" s="42"/>
      <c r="AD858" s="7"/>
      <c r="AE858"/>
    </row>
    <row r="859" spans="7:31" x14ac:dyDescent="0.35">
      <c r="G859" s="39"/>
      <c r="H859" s="37"/>
      <c r="K859"/>
      <c r="M859" s="42"/>
      <c r="N859" s="7"/>
      <c r="O859"/>
      <c r="Q859" s="42"/>
      <c r="R859" s="7"/>
      <c r="S859"/>
      <c r="U859" s="42"/>
      <c r="V859" s="7"/>
      <c r="W859"/>
      <c r="Y859" s="42"/>
      <c r="Z859" s="7"/>
      <c r="AA859"/>
      <c r="AC859" s="42"/>
      <c r="AD859" s="7"/>
      <c r="AE859"/>
    </row>
    <row r="860" spans="7:31" x14ac:dyDescent="0.35">
      <c r="G860" s="39"/>
      <c r="H860" s="37"/>
      <c r="K860"/>
      <c r="M860" s="42"/>
      <c r="N860" s="7"/>
      <c r="O860"/>
      <c r="Q860" s="42"/>
      <c r="R860" s="7"/>
      <c r="S860"/>
      <c r="U860" s="42"/>
      <c r="V860" s="7"/>
      <c r="W860"/>
      <c r="Y860" s="42"/>
      <c r="Z860" s="7"/>
      <c r="AA860"/>
      <c r="AC860" s="42"/>
      <c r="AD860" s="7"/>
      <c r="AE860"/>
    </row>
    <row r="861" spans="7:31" x14ac:dyDescent="0.35">
      <c r="G861" s="39"/>
      <c r="H861" s="37"/>
      <c r="K861"/>
      <c r="M861" s="42"/>
      <c r="N861" s="7"/>
      <c r="O861"/>
      <c r="Q861" s="42"/>
      <c r="R861" s="7"/>
      <c r="S861"/>
      <c r="U861" s="42"/>
      <c r="V861" s="7"/>
      <c r="W861"/>
      <c r="Y861" s="42"/>
      <c r="Z861" s="7"/>
      <c r="AA861"/>
      <c r="AC861" s="42"/>
      <c r="AD861" s="7"/>
      <c r="AE861"/>
    </row>
    <row r="862" spans="7:31" x14ac:dyDescent="0.35">
      <c r="G862" s="39"/>
      <c r="H862" s="37"/>
      <c r="K862"/>
      <c r="M862" s="42"/>
      <c r="N862" s="7"/>
      <c r="O862"/>
      <c r="Q862" s="42"/>
      <c r="R862" s="7"/>
      <c r="S862"/>
      <c r="U862" s="42"/>
      <c r="V862" s="7"/>
      <c r="W862"/>
      <c r="Y862" s="42"/>
      <c r="Z862" s="7"/>
      <c r="AA862"/>
      <c r="AC862" s="42"/>
      <c r="AD862" s="7"/>
      <c r="AE862"/>
    </row>
    <row r="863" spans="7:31" x14ac:dyDescent="0.35">
      <c r="G863" s="39"/>
      <c r="H863" s="37"/>
      <c r="K863"/>
      <c r="M863" s="42"/>
      <c r="N863" s="7"/>
      <c r="O863"/>
      <c r="Q863" s="42"/>
      <c r="R863" s="7"/>
      <c r="S863"/>
      <c r="U863" s="42"/>
      <c r="V863" s="7"/>
      <c r="W863"/>
      <c r="Y863" s="42"/>
      <c r="Z863" s="7"/>
      <c r="AA863"/>
      <c r="AC863" s="42"/>
      <c r="AD863" s="7"/>
      <c r="AE863"/>
    </row>
    <row r="864" spans="7:31" x14ac:dyDescent="0.35">
      <c r="G864" s="39"/>
      <c r="H864" s="37"/>
      <c r="K864"/>
      <c r="M864" s="42"/>
      <c r="N864" s="7"/>
      <c r="O864"/>
      <c r="Q864" s="42"/>
      <c r="R864" s="7"/>
      <c r="S864"/>
      <c r="U864" s="42"/>
      <c r="V864" s="7"/>
      <c r="W864"/>
      <c r="Y864" s="42"/>
      <c r="Z864" s="7"/>
      <c r="AA864"/>
      <c r="AC864" s="42"/>
      <c r="AD864" s="7"/>
      <c r="AE864"/>
    </row>
    <row r="865" spans="7:31" x14ac:dyDescent="0.35">
      <c r="G865" s="39"/>
      <c r="H865" s="37"/>
      <c r="K865"/>
      <c r="M865" s="42"/>
      <c r="N865" s="7"/>
      <c r="O865"/>
      <c r="Q865" s="42"/>
      <c r="R865" s="7"/>
      <c r="S865"/>
      <c r="U865" s="42"/>
      <c r="V865" s="7"/>
      <c r="W865"/>
      <c r="Y865" s="42"/>
      <c r="Z865" s="7"/>
      <c r="AA865"/>
      <c r="AC865" s="42"/>
      <c r="AD865" s="7"/>
      <c r="AE865"/>
    </row>
    <row r="866" spans="7:31" x14ac:dyDescent="0.35">
      <c r="G866" s="39"/>
      <c r="H866" s="37"/>
      <c r="K866"/>
      <c r="M866" s="42"/>
      <c r="N866" s="7"/>
      <c r="O866"/>
      <c r="Q866" s="42"/>
      <c r="R866" s="7"/>
      <c r="S866"/>
      <c r="U866" s="42"/>
      <c r="V866" s="7"/>
      <c r="W866"/>
      <c r="Y866" s="42"/>
      <c r="Z866" s="7"/>
      <c r="AA866"/>
      <c r="AC866" s="42"/>
      <c r="AD866" s="7"/>
      <c r="AE866"/>
    </row>
    <row r="867" spans="7:31" x14ac:dyDescent="0.35">
      <c r="G867" s="39"/>
      <c r="H867" s="37"/>
      <c r="K867"/>
      <c r="M867" s="42"/>
      <c r="N867" s="7"/>
      <c r="O867"/>
      <c r="Q867" s="42"/>
      <c r="R867" s="7"/>
      <c r="S867"/>
      <c r="U867" s="42"/>
      <c r="V867" s="7"/>
      <c r="W867"/>
      <c r="Y867" s="42"/>
      <c r="Z867" s="7"/>
      <c r="AA867"/>
      <c r="AC867" s="42"/>
      <c r="AD867" s="7"/>
      <c r="AE867"/>
    </row>
    <row r="868" spans="7:31" x14ac:dyDescent="0.35">
      <c r="G868" s="39"/>
      <c r="H868" s="37"/>
      <c r="K868"/>
      <c r="M868" s="42"/>
      <c r="N868" s="7"/>
      <c r="O868"/>
      <c r="Q868" s="42"/>
      <c r="R868" s="7"/>
      <c r="S868"/>
      <c r="U868" s="42"/>
      <c r="V868" s="7"/>
      <c r="W868"/>
      <c r="Y868" s="42"/>
      <c r="Z868" s="7"/>
      <c r="AA868"/>
      <c r="AC868" s="42"/>
      <c r="AD868" s="7"/>
      <c r="AE868"/>
    </row>
    <row r="869" spans="7:31" x14ac:dyDescent="0.35">
      <c r="G869" s="39"/>
      <c r="H869" s="37"/>
      <c r="K869"/>
      <c r="M869" s="42"/>
      <c r="N869" s="7"/>
      <c r="O869"/>
      <c r="Q869" s="42"/>
      <c r="R869" s="7"/>
      <c r="S869"/>
      <c r="U869" s="42"/>
      <c r="V869" s="7"/>
      <c r="W869"/>
      <c r="Y869" s="42"/>
      <c r="Z869" s="7"/>
      <c r="AA869"/>
      <c r="AC869" s="42"/>
      <c r="AD869" s="7"/>
      <c r="AE869"/>
    </row>
    <row r="870" spans="7:31" x14ac:dyDescent="0.35">
      <c r="G870" s="39"/>
      <c r="H870" s="37"/>
      <c r="K870"/>
      <c r="M870" s="42"/>
      <c r="N870" s="7"/>
      <c r="O870"/>
      <c r="Q870" s="42"/>
      <c r="R870" s="7"/>
      <c r="S870"/>
      <c r="U870" s="42"/>
      <c r="V870" s="7"/>
      <c r="W870"/>
      <c r="Y870" s="42"/>
      <c r="Z870" s="7"/>
      <c r="AA870"/>
      <c r="AC870" s="42"/>
      <c r="AD870" s="7"/>
      <c r="AE870"/>
    </row>
    <row r="871" spans="7:31" x14ac:dyDescent="0.35">
      <c r="G871" s="39"/>
      <c r="H871" s="37"/>
      <c r="K871"/>
      <c r="M871" s="42"/>
      <c r="N871" s="7"/>
      <c r="O871"/>
      <c r="Q871" s="42"/>
      <c r="R871" s="7"/>
      <c r="S871"/>
      <c r="U871" s="42"/>
      <c r="V871" s="7"/>
      <c r="W871"/>
      <c r="Y871" s="42"/>
      <c r="Z871" s="7"/>
      <c r="AA871"/>
      <c r="AC871" s="42"/>
      <c r="AD871" s="7"/>
      <c r="AE871"/>
    </row>
    <row r="872" spans="7:31" x14ac:dyDescent="0.35">
      <c r="G872" s="39"/>
      <c r="H872" s="37"/>
      <c r="K872"/>
      <c r="M872" s="42"/>
      <c r="N872" s="7"/>
      <c r="O872"/>
      <c r="Q872" s="42"/>
      <c r="R872" s="7"/>
      <c r="S872"/>
      <c r="U872" s="42"/>
      <c r="V872" s="7"/>
      <c r="W872"/>
      <c r="Y872" s="42"/>
      <c r="Z872" s="7"/>
      <c r="AA872"/>
      <c r="AC872" s="42"/>
      <c r="AD872" s="7"/>
      <c r="AE872"/>
    </row>
    <row r="873" spans="7:31" x14ac:dyDescent="0.35">
      <c r="G873" s="39"/>
      <c r="H873" s="37"/>
      <c r="K873"/>
      <c r="M873" s="42"/>
      <c r="N873" s="7"/>
      <c r="O873"/>
      <c r="Q873" s="42"/>
      <c r="R873" s="7"/>
      <c r="S873"/>
      <c r="U873" s="42"/>
      <c r="V873" s="7"/>
      <c r="W873"/>
      <c r="Y873" s="42"/>
      <c r="Z873" s="7"/>
      <c r="AA873"/>
      <c r="AC873" s="42"/>
      <c r="AD873" s="7"/>
      <c r="AE873"/>
    </row>
    <row r="874" spans="7:31" x14ac:dyDescent="0.35">
      <c r="G874" s="39"/>
      <c r="H874" s="37"/>
      <c r="K874"/>
      <c r="M874" s="42"/>
      <c r="N874" s="7"/>
      <c r="O874"/>
      <c r="Q874" s="42"/>
      <c r="R874" s="7"/>
      <c r="S874"/>
      <c r="U874" s="42"/>
      <c r="V874" s="7"/>
      <c r="W874"/>
      <c r="Y874" s="42"/>
      <c r="Z874" s="7"/>
      <c r="AA874"/>
      <c r="AC874" s="42"/>
      <c r="AD874" s="7"/>
      <c r="AE874"/>
    </row>
    <row r="875" spans="7:31" x14ac:dyDescent="0.35">
      <c r="G875" s="39"/>
      <c r="H875" s="37"/>
      <c r="K875"/>
      <c r="M875" s="42"/>
      <c r="N875" s="7"/>
      <c r="O875"/>
      <c r="Q875" s="42"/>
      <c r="R875" s="7"/>
      <c r="S875"/>
      <c r="U875" s="42"/>
      <c r="V875" s="7"/>
      <c r="W875"/>
      <c r="Y875" s="42"/>
      <c r="Z875" s="7"/>
      <c r="AA875"/>
      <c r="AC875" s="42"/>
      <c r="AD875" s="7"/>
      <c r="AE875"/>
    </row>
    <row r="876" spans="7:31" x14ac:dyDescent="0.35">
      <c r="G876" s="39"/>
      <c r="H876" s="37"/>
      <c r="K876"/>
      <c r="M876" s="42"/>
      <c r="N876" s="7"/>
      <c r="O876"/>
      <c r="Q876" s="42"/>
      <c r="R876" s="7"/>
      <c r="S876"/>
      <c r="U876" s="42"/>
      <c r="V876" s="7"/>
      <c r="W876"/>
      <c r="Y876" s="42"/>
      <c r="Z876" s="7"/>
      <c r="AA876"/>
      <c r="AC876" s="42"/>
      <c r="AD876" s="7"/>
      <c r="AE876"/>
    </row>
    <row r="877" spans="7:31" x14ac:dyDescent="0.35">
      <c r="G877" s="39"/>
      <c r="H877" s="37"/>
      <c r="K877"/>
      <c r="M877" s="42"/>
      <c r="N877" s="7"/>
      <c r="O877"/>
      <c r="Q877" s="42"/>
      <c r="R877" s="7"/>
      <c r="S877"/>
      <c r="U877" s="42"/>
      <c r="V877" s="7"/>
      <c r="W877"/>
      <c r="Y877" s="42"/>
      <c r="Z877" s="7"/>
      <c r="AA877"/>
      <c r="AC877" s="42"/>
      <c r="AD877" s="7"/>
      <c r="AE877"/>
    </row>
    <row r="878" spans="7:31" x14ac:dyDescent="0.35">
      <c r="G878" s="39"/>
      <c r="H878" s="37"/>
      <c r="K878"/>
      <c r="M878" s="42"/>
      <c r="N878" s="7"/>
      <c r="O878"/>
      <c r="Q878" s="42"/>
      <c r="R878" s="7"/>
      <c r="S878"/>
      <c r="U878" s="42"/>
      <c r="V878" s="7"/>
      <c r="W878"/>
      <c r="Y878" s="42"/>
      <c r="Z878" s="7"/>
      <c r="AA878"/>
      <c r="AC878" s="42"/>
      <c r="AD878" s="7"/>
      <c r="AE878"/>
    </row>
    <row r="879" spans="7:31" x14ac:dyDescent="0.35">
      <c r="G879" s="39"/>
      <c r="H879" s="37"/>
      <c r="K879"/>
      <c r="M879" s="42"/>
      <c r="N879" s="7"/>
      <c r="O879"/>
      <c r="Q879" s="42"/>
      <c r="R879" s="7"/>
      <c r="S879"/>
      <c r="U879" s="42"/>
      <c r="V879" s="7"/>
      <c r="W879"/>
      <c r="Y879" s="42"/>
      <c r="Z879" s="7"/>
      <c r="AA879"/>
      <c r="AC879" s="42"/>
      <c r="AD879" s="7"/>
      <c r="AE879"/>
    </row>
    <row r="880" spans="7:31" x14ac:dyDescent="0.35">
      <c r="G880" s="39"/>
      <c r="H880" s="37"/>
      <c r="K880"/>
      <c r="M880" s="42"/>
      <c r="N880" s="7"/>
      <c r="O880"/>
      <c r="Q880" s="42"/>
      <c r="R880" s="7"/>
      <c r="S880"/>
      <c r="U880" s="42"/>
      <c r="V880" s="7"/>
      <c r="W880"/>
      <c r="Y880" s="42"/>
      <c r="Z880" s="7"/>
      <c r="AA880"/>
      <c r="AC880" s="42"/>
      <c r="AD880" s="7"/>
      <c r="AE880"/>
    </row>
    <row r="881" spans="7:31" x14ac:dyDescent="0.35">
      <c r="G881" s="39"/>
      <c r="H881" s="37"/>
      <c r="K881"/>
      <c r="M881" s="42"/>
      <c r="N881" s="7"/>
      <c r="O881"/>
      <c r="Q881" s="42"/>
      <c r="R881" s="7"/>
      <c r="S881"/>
      <c r="U881" s="42"/>
      <c r="V881" s="7"/>
      <c r="W881"/>
      <c r="Y881" s="42"/>
      <c r="Z881" s="7"/>
      <c r="AA881"/>
      <c r="AC881" s="42"/>
      <c r="AD881" s="7"/>
      <c r="AE881"/>
    </row>
    <row r="882" spans="7:31" x14ac:dyDescent="0.35">
      <c r="G882" s="39"/>
      <c r="H882" s="37"/>
      <c r="K882"/>
      <c r="M882" s="42"/>
      <c r="N882" s="7"/>
      <c r="O882"/>
      <c r="Q882" s="42"/>
      <c r="R882" s="7"/>
      <c r="S882"/>
      <c r="U882" s="42"/>
      <c r="V882" s="7"/>
      <c r="W882"/>
      <c r="Y882" s="42"/>
      <c r="Z882" s="7"/>
      <c r="AA882"/>
      <c r="AC882" s="42"/>
      <c r="AD882" s="7"/>
      <c r="AE882"/>
    </row>
    <row r="883" spans="7:31" x14ac:dyDescent="0.35">
      <c r="G883" s="39"/>
      <c r="H883" s="37"/>
      <c r="K883"/>
      <c r="M883" s="42"/>
      <c r="N883" s="7"/>
      <c r="O883"/>
      <c r="Q883" s="42"/>
      <c r="R883" s="7"/>
      <c r="S883"/>
      <c r="U883" s="42"/>
      <c r="V883" s="7"/>
      <c r="W883"/>
      <c r="Y883" s="42"/>
      <c r="Z883" s="7"/>
      <c r="AA883"/>
      <c r="AC883" s="42"/>
      <c r="AD883" s="7"/>
      <c r="AE883"/>
    </row>
    <row r="884" spans="7:31" x14ac:dyDescent="0.35">
      <c r="G884" s="39"/>
      <c r="H884" s="37"/>
      <c r="K884"/>
      <c r="M884" s="42"/>
      <c r="N884" s="7"/>
      <c r="O884"/>
      <c r="Q884" s="42"/>
      <c r="R884" s="7"/>
      <c r="S884"/>
      <c r="U884" s="42"/>
      <c r="V884" s="7"/>
      <c r="W884"/>
      <c r="Y884" s="42"/>
      <c r="Z884" s="7"/>
      <c r="AA884"/>
      <c r="AC884" s="42"/>
      <c r="AD884" s="7"/>
      <c r="AE884"/>
    </row>
    <row r="885" spans="7:31" x14ac:dyDescent="0.35">
      <c r="G885" s="39"/>
      <c r="H885" s="37"/>
      <c r="K885"/>
      <c r="M885" s="42"/>
      <c r="N885" s="7"/>
      <c r="O885"/>
      <c r="Q885" s="42"/>
      <c r="R885" s="7"/>
      <c r="S885"/>
      <c r="U885" s="42"/>
      <c r="V885" s="7"/>
      <c r="W885"/>
      <c r="Y885" s="42"/>
      <c r="Z885" s="7"/>
      <c r="AA885"/>
      <c r="AC885" s="42"/>
      <c r="AD885" s="7"/>
      <c r="AE885"/>
    </row>
    <row r="886" spans="7:31" x14ac:dyDescent="0.35">
      <c r="G886" s="39"/>
      <c r="H886" s="37"/>
      <c r="K886"/>
      <c r="M886" s="42"/>
      <c r="N886" s="7"/>
      <c r="O886"/>
      <c r="Q886" s="42"/>
      <c r="R886" s="7"/>
      <c r="S886"/>
      <c r="U886" s="42"/>
      <c r="V886" s="7"/>
      <c r="W886"/>
      <c r="Y886" s="42"/>
      <c r="Z886" s="7"/>
      <c r="AA886"/>
      <c r="AC886" s="42"/>
      <c r="AD886" s="7"/>
      <c r="AE886"/>
    </row>
    <row r="887" spans="7:31" x14ac:dyDescent="0.35">
      <c r="G887" s="39"/>
      <c r="H887" s="37"/>
      <c r="K887"/>
      <c r="M887" s="42"/>
      <c r="N887" s="7"/>
      <c r="O887"/>
      <c r="Q887" s="42"/>
      <c r="R887" s="7"/>
      <c r="S887"/>
      <c r="U887" s="42"/>
      <c r="V887" s="7"/>
      <c r="W887"/>
      <c r="Y887" s="42"/>
      <c r="Z887" s="7"/>
      <c r="AA887"/>
      <c r="AC887" s="42"/>
      <c r="AD887" s="7"/>
      <c r="AE887"/>
    </row>
    <row r="888" spans="7:31" x14ac:dyDescent="0.35">
      <c r="G888" s="39"/>
      <c r="H888" s="37"/>
      <c r="K888"/>
      <c r="M888" s="42"/>
      <c r="N888" s="7"/>
      <c r="O888"/>
      <c r="Q888" s="42"/>
      <c r="R888" s="7"/>
      <c r="S888"/>
      <c r="U888" s="42"/>
      <c r="V888" s="7"/>
      <c r="W888"/>
      <c r="Y888" s="42"/>
      <c r="Z888" s="7"/>
      <c r="AA888"/>
      <c r="AC888" s="42"/>
      <c r="AD888" s="7"/>
      <c r="AE888"/>
    </row>
    <row r="889" spans="7:31" x14ac:dyDescent="0.35">
      <c r="G889" s="39"/>
      <c r="H889" s="37"/>
      <c r="K889"/>
      <c r="M889" s="42"/>
      <c r="N889" s="7"/>
      <c r="O889"/>
      <c r="Q889" s="42"/>
      <c r="R889" s="7"/>
      <c r="S889"/>
      <c r="U889" s="42"/>
      <c r="V889" s="7"/>
      <c r="W889"/>
      <c r="Y889" s="42"/>
      <c r="Z889" s="7"/>
      <c r="AA889"/>
      <c r="AC889" s="42"/>
      <c r="AD889" s="7"/>
      <c r="AE889"/>
    </row>
    <row r="890" spans="7:31" x14ac:dyDescent="0.35">
      <c r="G890" s="39"/>
      <c r="H890" s="37"/>
      <c r="K890"/>
      <c r="M890" s="42"/>
      <c r="N890" s="7"/>
      <c r="O890"/>
      <c r="Q890" s="42"/>
      <c r="R890" s="7"/>
      <c r="S890"/>
      <c r="U890" s="42"/>
      <c r="V890" s="7"/>
      <c r="W890"/>
      <c r="Y890" s="42"/>
      <c r="Z890" s="7"/>
      <c r="AA890"/>
      <c r="AC890" s="42"/>
      <c r="AD890" s="7"/>
      <c r="AE890"/>
    </row>
    <row r="891" spans="7:31" x14ac:dyDescent="0.35">
      <c r="G891" s="39"/>
      <c r="H891" s="37"/>
      <c r="K891"/>
      <c r="M891" s="42"/>
      <c r="N891" s="7"/>
      <c r="O891"/>
      <c r="Q891" s="42"/>
      <c r="R891" s="7"/>
      <c r="S891"/>
      <c r="U891" s="42"/>
      <c r="V891" s="7"/>
      <c r="W891"/>
      <c r="Y891" s="42"/>
      <c r="Z891" s="7"/>
      <c r="AA891"/>
      <c r="AC891" s="42"/>
      <c r="AD891" s="7"/>
      <c r="AE891"/>
    </row>
    <row r="892" spans="7:31" x14ac:dyDescent="0.35">
      <c r="G892" s="39"/>
      <c r="H892" s="37"/>
      <c r="K892"/>
      <c r="M892" s="42"/>
      <c r="N892" s="7"/>
      <c r="O892"/>
      <c r="Q892" s="42"/>
      <c r="R892" s="7"/>
      <c r="S892"/>
      <c r="U892" s="42"/>
      <c r="V892" s="7"/>
      <c r="W892"/>
      <c r="Y892" s="42"/>
      <c r="Z892" s="7"/>
      <c r="AA892"/>
      <c r="AC892" s="42"/>
      <c r="AD892" s="7"/>
      <c r="AE892"/>
    </row>
    <row r="893" spans="7:31" x14ac:dyDescent="0.35">
      <c r="G893" s="39"/>
      <c r="H893" s="37"/>
      <c r="K893"/>
      <c r="M893" s="42"/>
      <c r="N893" s="7"/>
      <c r="O893"/>
      <c r="Q893" s="42"/>
      <c r="R893" s="7"/>
      <c r="S893"/>
      <c r="U893" s="42"/>
      <c r="V893" s="7"/>
      <c r="W893"/>
      <c r="Y893" s="42"/>
      <c r="Z893" s="7"/>
      <c r="AA893"/>
      <c r="AC893" s="42"/>
      <c r="AD893" s="7"/>
      <c r="AE893"/>
    </row>
    <row r="894" spans="7:31" x14ac:dyDescent="0.35">
      <c r="G894" s="39"/>
      <c r="H894" s="37"/>
      <c r="K894"/>
      <c r="M894" s="42"/>
      <c r="N894" s="7"/>
      <c r="O894"/>
      <c r="Q894" s="42"/>
      <c r="R894" s="7"/>
      <c r="S894"/>
      <c r="U894" s="42"/>
      <c r="V894" s="7"/>
      <c r="W894"/>
      <c r="Y894" s="42"/>
      <c r="Z894" s="7"/>
      <c r="AA894"/>
      <c r="AC894" s="42"/>
      <c r="AD894" s="7"/>
      <c r="AE894"/>
    </row>
    <row r="895" spans="7:31" x14ac:dyDescent="0.35">
      <c r="G895" s="39"/>
      <c r="H895" s="37"/>
      <c r="K895"/>
      <c r="M895" s="42"/>
      <c r="N895" s="7"/>
      <c r="O895"/>
      <c r="Q895" s="42"/>
      <c r="R895" s="7"/>
      <c r="S895"/>
      <c r="U895" s="42"/>
      <c r="V895" s="7"/>
      <c r="W895"/>
      <c r="Y895" s="42"/>
      <c r="Z895" s="7"/>
      <c r="AA895"/>
      <c r="AC895" s="42"/>
      <c r="AD895" s="7"/>
      <c r="AE895"/>
    </row>
    <row r="896" spans="7:31" x14ac:dyDescent="0.35">
      <c r="G896" s="39"/>
      <c r="H896" s="37"/>
      <c r="K896"/>
      <c r="M896" s="42"/>
      <c r="N896" s="7"/>
      <c r="O896"/>
      <c r="Q896" s="42"/>
      <c r="R896" s="7"/>
      <c r="S896"/>
      <c r="U896" s="42"/>
      <c r="V896" s="7"/>
      <c r="W896"/>
      <c r="Y896" s="42"/>
      <c r="Z896" s="7"/>
      <c r="AA896"/>
      <c r="AC896" s="42"/>
      <c r="AD896" s="7"/>
      <c r="AE896"/>
    </row>
    <row r="897" spans="7:31" x14ac:dyDescent="0.35">
      <c r="G897" s="39"/>
      <c r="H897" s="37"/>
      <c r="K897"/>
      <c r="M897" s="42"/>
      <c r="N897" s="7"/>
      <c r="O897"/>
      <c r="Q897" s="42"/>
      <c r="R897" s="7"/>
      <c r="S897"/>
      <c r="U897" s="42"/>
      <c r="V897" s="7"/>
      <c r="W897"/>
      <c r="Y897" s="42"/>
      <c r="Z897" s="7"/>
      <c r="AA897"/>
      <c r="AC897" s="42"/>
      <c r="AD897" s="7"/>
      <c r="AE897"/>
    </row>
    <row r="898" spans="7:31" x14ac:dyDescent="0.35">
      <c r="G898" s="39"/>
      <c r="H898" s="37"/>
      <c r="K898"/>
      <c r="M898" s="42"/>
      <c r="N898" s="7"/>
      <c r="O898"/>
      <c r="Q898" s="42"/>
      <c r="R898" s="7"/>
      <c r="S898"/>
      <c r="U898" s="42"/>
      <c r="V898" s="7"/>
      <c r="W898"/>
      <c r="Y898" s="42"/>
      <c r="Z898" s="7"/>
      <c r="AA898"/>
      <c r="AC898" s="42"/>
      <c r="AD898" s="7"/>
      <c r="AE898"/>
    </row>
    <row r="899" spans="7:31" x14ac:dyDescent="0.35">
      <c r="G899" s="39"/>
      <c r="H899" s="37"/>
      <c r="K899"/>
      <c r="M899" s="42"/>
      <c r="N899" s="7"/>
      <c r="O899"/>
      <c r="Q899" s="42"/>
      <c r="R899" s="7"/>
      <c r="S899"/>
      <c r="U899" s="42"/>
      <c r="V899" s="7"/>
      <c r="W899"/>
      <c r="Y899" s="42"/>
      <c r="Z899" s="7"/>
      <c r="AA899"/>
      <c r="AC899" s="42"/>
      <c r="AD899" s="7"/>
      <c r="AE899"/>
    </row>
    <row r="900" spans="7:31" x14ac:dyDescent="0.35">
      <c r="G900" s="39"/>
      <c r="H900" s="37"/>
      <c r="K900"/>
      <c r="M900" s="42"/>
      <c r="N900" s="7"/>
      <c r="O900"/>
      <c r="Q900" s="42"/>
      <c r="R900" s="7"/>
      <c r="S900"/>
      <c r="U900" s="42"/>
      <c r="V900" s="7"/>
      <c r="W900"/>
      <c r="Y900" s="42"/>
      <c r="Z900" s="7"/>
      <c r="AA900"/>
      <c r="AC900" s="42"/>
      <c r="AD900" s="7"/>
      <c r="AE900"/>
    </row>
    <row r="901" spans="7:31" x14ac:dyDescent="0.35">
      <c r="G901" s="39"/>
      <c r="H901" s="37"/>
      <c r="K901"/>
      <c r="M901" s="42"/>
      <c r="N901" s="7"/>
      <c r="O901"/>
      <c r="Q901" s="42"/>
      <c r="R901" s="7"/>
      <c r="S901"/>
      <c r="U901" s="42"/>
      <c r="V901" s="7"/>
      <c r="W901"/>
      <c r="Y901" s="42"/>
      <c r="Z901" s="7"/>
      <c r="AA901"/>
      <c r="AC901" s="42"/>
      <c r="AD901" s="7"/>
      <c r="AE901"/>
    </row>
    <row r="902" spans="7:31" x14ac:dyDescent="0.35">
      <c r="G902" s="39"/>
      <c r="H902" s="37"/>
      <c r="K902"/>
      <c r="M902" s="42"/>
      <c r="N902" s="7"/>
      <c r="O902"/>
      <c r="Q902" s="42"/>
      <c r="R902" s="7"/>
      <c r="S902"/>
      <c r="U902" s="42"/>
      <c r="V902" s="7"/>
      <c r="W902"/>
      <c r="Y902" s="42"/>
      <c r="Z902" s="7"/>
      <c r="AA902"/>
      <c r="AC902" s="42"/>
      <c r="AD902" s="7"/>
      <c r="AE902"/>
    </row>
    <row r="903" spans="7:31" x14ac:dyDescent="0.35">
      <c r="G903" s="39"/>
      <c r="H903" s="37"/>
      <c r="K903"/>
      <c r="M903" s="42"/>
      <c r="N903" s="7"/>
      <c r="O903"/>
      <c r="Q903" s="42"/>
      <c r="R903" s="7"/>
      <c r="S903"/>
      <c r="U903" s="42"/>
      <c r="V903" s="7"/>
      <c r="W903"/>
      <c r="Y903" s="42"/>
      <c r="Z903" s="7"/>
      <c r="AA903"/>
      <c r="AC903" s="42"/>
      <c r="AD903" s="7"/>
      <c r="AE903"/>
    </row>
    <row r="904" spans="7:31" x14ac:dyDescent="0.35">
      <c r="G904" s="39"/>
      <c r="H904" s="37"/>
      <c r="K904"/>
      <c r="M904" s="42"/>
      <c r="N904" s="7"/>
      <c r="O904"/>
      <c r="Q904" s="42"/>
      <c r="R904" s="7"/>
      <c r="S904"/>
      <c r="U904" s="42"/>
      <c r="V904" s="7"/>
      <c r="W904"/>
      <c r="Y904" s="42"/>
      <c r="Z904" s="7"/>
      <c r="AA904"/>
      <c r="AC904" s="42"/>
      <c r="AD904" s="7"/>
      <c r="AE904"/>
    </row>
    <row r="905" spans="7:31" x14ac:dyDescent="0.35">
      <c r="G905" s="39"/>
      <c r="H905" s="37"/>
      <c r="K905"/>
      <c r="M905" s="42"/>
      <c r="N905" s="7"/>
      <c r="O905"/>
      <c r="Q905" s="42"/>
      <c r="R905" s="7"/>
      <c r="S905"/>
      <c r="U905" s="42"/>
      <c r="V905" s="7"/>
      <c r="W905"/>
      <c r="Y905" s="42"/>
      <c r="Z905" s="7"/>
      <c r="AA905"/>
      <c r="AC905" s="42"/>
      <c r="AD905" s="7"/>
      <c r="AE905"/>
    </row>
    <row r="906" spans="7:31" x14ac:dyDescent="0.35">
      <c r="G906" s="39"/>
      <c r="H906" s="37"/>
      <c r="K906"/>
      <c r="M906" s="42"/>
      <c r="N906" s="7"/>
      <c r="O906"/>
      <c r="Q906" s="42"/>
      <c r="R906" s="7"/>
      <c r="S906"/>
      <c r="U906" s="42"/>
      <c r="V906" s="7"/>
      <c r="W906"/>
      <c r="Y906" s="42"/>
      <c r="Z906" s="7"/>
      <c r="AA906"/>
      <c r="AC906" s="42"/>
      <c r="AD906" s="7"/>
      <c r="AE906"/>
    </row>
    <row r="907" spans="7:31" x14ac:dyDescent="0.35">
      <c r="G907" s="39"/>
      <c r="H907" s="37"/>
      <c r="K907"/>
      <c r="M907" s="42"/>
      <c r="N907" s="7"/>
      <c r="O907"/>
      <c r="Q907" s="42"/>
      <c r="R907" s="7"/>
      <c r="S907"/>
      <c r="U907" s="42"/>
      <c r="V907" s="7"/>
      <c r="W907"/>
      <c r="Y907" s="42"/>
      <c r="Z907" s="7"/>
      <c r="AA907"/>
      <c r="AC907" s="42"/>
      <c r="AD907" s="7"/>
      <c r="AE907"/>
    </row>
    <row r="908" spans="7:31" x14ac:dyDescent="0.35">
      <c r="G908" s="39"/>
      <c r="H908" s="37"/>
      <c r="K908"/>
      <c r="M908" s="42"/>
      <c r="N908" s="7"/>
      <c r="O908"/>
      <c r="Q908" s="42"/>
      <c r="R908" s="7"/>
      <c r="S908"/>
      <c r="U908" s="42"/>
      <c r="V908" s="7"/>
      <c r="W908"/>
      <c r="Y908" s="42"/>
      <c r="Z908" s="7"/>
      <c r="AA908"/>
      <c r="AC908" s="42"/>
      <c r="AD908" s="7"/>
      <c r="AE908"/>
    </row>
    <row r="909" spans="7:31" x14ac:dyDescent="0.35">
      <c r="G909" s="39"/>
      <c r="H909" s="37"/>
      <c r="K909"/>
      <c r="M909" s="42"/>
      <c r="N909" s="7"/>
      <c r="O909"/>
      <c r="Q909" s="42"/>
      <c r="R909" s="7"/>
      <c r="S909"/>
      <c r="U909" s="42"/>
      <c r="V909" s="7"/>
      <c r="W909"/>
      <c r="Y909" s="42"/>
      <c r="Z909" s="7"/>
      <c r="AA909"/>
      <c r="AC909" s="42"/>
      <c r="AD909" s="7"/>
      <c r="AE909"/>
    </row>
    <row r="910" spans="7:31" x14ac:dyDescent="0.35">
      <c r="G910" s="39"/>
      <c r="H910" s="37"/>
      <c r="K910"/>
      <c r="M910" s="42"/>
      <c r="N910" s="7"/>
      <c r="O910"/>
      <c r="Q910" s="42"/>
      <c r="R910" s="7"/>
      <c r="S910"/>
      <c r="U910" s="42"/>
      <c r="V910" s="7"/>
      <c r="W910"/>
      <c r="Y910" s="42"/>
      <c r="Z910" s="7"/>
      <c r="AA910"/>
      <c r="AC910" s="42"/>
      <c r="AD910" s="7"/>
      <c r="AE910"/>
    </row>
    <row r="911" spans="7:31" x14ac:dyDescent="0.35">
      <c r="G911" s="39"/>
      <c r="H911" s="37"/>
      <c r="K911"/>
      <c r="M911" s="42"/>
      <c r="N911" s="7"/>
      <c r="O911"/>
      <c r="Q911" s="42"/>
      <c r="R911" s="7"/>
      <c r="S911"/>
      <c r="U911" s="42"/>
      <c r="V911" s="7"/>
      <c r="W911"/>
      <c r="Y911" s="42"/>
      <c r="Z911" s="7"/>
      <c r="AA911"/>
      <c r="AC911" s="42"/>
      <c r="AD911" s="7"/>
      <c r="AE911"/>
    </row>
    <row r="912" spans="7:31" x14ac:dyDescent="0.35">
      <c r="G912" s="39"/>
      <c r="H912" s="37"/>
      <c r="K912"/>
      <c r="M912" s="42"/>
      <c r="N912" s="7"/>
      <c r="O912"/>
      <c r="Q912" s="42"/>
      <c r="R912" s="7"/>
      <c r="S912"/>
      <c r="U912" s="42"/>
      <c r="V912" s="7"/>
      <c r="W912"/>
      <c r="Y912" s="42"/>
      <c r="Z912" s="7"/>
      <c r="AA912"/>
      <c r="AC912" s="42"/>
      <c r="AD912" s="7"/>
      <c r="AE912"/>
    </row>
    <row r="913" spans="7:31" x14ac:dyDescent="0.35">
      <c r="G913" s="39"/>
      <c r="H913" s="37"/>
      <c r="K913"/>
      <c r="M913" s="42"/>
      <c r="N913" s="7"/>
      <c r="O913"/>
      <c r="Q913" s="42"/>
      <c r="R913" s="7"/>
      <c r="S913"/>
      <c r="U913" s="42"/>
      <c r="V913" s="7"/>
      <c r="W913"/>
      <c r="Y913" s="42"/>
      <c r="Z913" s="7"/>
      <c r="AA913"/>
      <c r="AC913" s="42"/>
      <c r="AD913" s="7"/>
      <c r="AE913"/>
    </row>
    <row r="914" spans="7:31" x14ac:dyDescent="0.35">
      <c r="G914" s="39"/>
      <c r="H914" s="37"/>
      <c r="K914"/>
      <c r="M914" s="42"/>
      <c r="N914" s="7"/>
      <c r="O914"/>
      <c r="Q914" s="42"/>
      <c r="R914" s="7"/>
      <c r="S914"/>
      <c r="U914" s="42"/>
      <c r="V914" s="7"/>
      <c r="W914"/>
      <c r="Y914" s="42"/>
      <c r="Z914" s="7"/>
      <c r="AA914"/>
      <c r="AC914" s="42"/>
      <c r="AD914" s="7"/>
      <c r="AE914"/>
    </row>
    <row r="915" spans="7:31" x14ac:dyDescent="0.35">
      <c r="G915" s="39"/>
      <c r="H915" s="37"/>
      <c r="K915"/>
      <c r="M915" s="42"/>
      <c r="N915" s="7"/>
      <c r="O915"/>
      <c r="Q915" s="42"/>
      <c r="R915" s="7"/>
      <c r="S915"/>
      <c r="U915" s="42"/>
      <c r="V915" s="7"/>
      <c r="W915"/>
      <c r="Y915" s="42"/>
      <c r="Z915" s="7"/>
      <c r="AA915"/>
      <c r="AC915" s="42"/>
      <c r="AD915" s="7"/>
      <c r="AE915"/>
    </row>
    <row r="916" spans="7:31" x14ac:dyDescent="0.35">
      <c r="G916" s="39"/>
      <c r="H916" s="37"/>
      <c r="K916"/>
      <c r="M916" s="42"/>
      <c r="N916" s="7"/>
      <c r="O916"/>
      <c r="Q916" s="42"/>
      <c r="R916" s="7"/>
      <c r="S916"/>
      <c r="U916" s="42"/>
      <c r="V916" s="7"/>
      <c r="W916"/>
      <c r="Y916" s="42"/>
      <c r="Z916" s="7"/>
      <c r="AA916"/>
      <c r="AC916" s="42"/>
      <c r="AD916" s="7"/>
      <c r="AE916"/>
    </row>
    <row r="917" spans="7:31" x14ac:dyDescent="0.35">
      <c r="G917" s="39"/>
      <c r="H917" s="37"/>
      <c r="K917"/>
      <c r="M917" s="42"/>
      <c r="N917" s="7"/>
      <c r="O917"/>
      <c r="Q917" s="42"/>
      <c r="R917" s="7"/>
      <c r="S917"/>
      <c r="U917" s="42"/>
      <c r="V917" s="7"/>
      <c r="W917"/>
      <c r="Y917" s="42"/>
      <c r="Z917" s="7"/>
      <c r="AA917"/>
      <c r="AC917" s="42"/>
      <c r="AD917" s="7"/>
      <c r="AE917"/>
    </row>
    <row r="918" spans="7:31" x14ac:dyDescent="0.35">
      <c r="G918" s="39"/>
      <c r="H918" s="37"/>
      <c r="K918"/>
      <c r="M918" s="42"/>
      <c r="N918" s="7"/>
      <c r="O918"/>
      <c r="Q918" s="42"/>
      <c r="R918" s="7"/>
      <c r="S918"/>
      <c r="U918" s="42"/>
      <c r="V918" s="7"/>
      <c r="W918"/>
      <c r="Y918" s="42"/>
      <c r="Z918" s="7"/>
      <c r="AA918"/>
      <c r="AC918" s="42"/>
      <c r="AD918" s="7"/>
      <c r="AE918"/>
    </row>
    <row r="919" spans="7:31" x14ac:dyDescent="0.35">
      <c r="G919" s="39"/>
      <c r="H919" s="37"/>
      <c r="K919"/>
      <c r="M919" s="42"/>
      <c r="N919" s="7"/>
      <c r="O919"/>
      <c r="Q919" s="42"/>
      <c r="R919" s="7"/>
      <c r="S919"/>
      <c r="U919" s="42"/>
      <c r="V919" s="7"/>
      <c r="W919"/>
      <c r="Y919" s="42"/>
      <c r="Z919" s="7"/>
      <c r="AA919"/>
      <c r="AC919" s="42"/>
      <c r="AD919" s="7"/>
      <c r="AE919"/>
    </row>
    <row r="920" spans="7:31" x14ac:dyDescent="0.35">
      <c r="G920" s="39"/>
      <c r="H920" s="37"/>
      <c r="K920"/>
      <c r="M920" s="42"/>
      <c r="N920" s="7"/>
      <c r="O920"/>
      <c r="Q920" s="42"/>
      <c r="R920" s="7"/>
      <c r="S920"/>
      <c r="U920" s="42"/>
      <c r="V920" s="7"/>
      <c r="W920"/>
      <c r="Y920" s="42"/>
      <c r="Z920" s="7"/>
      <c r="AA920"/>
      <c r="AC920" s="42"/>
      <c r="AD920" s="7"/>
      <c r="AE920"/>
    </row>
    <row r="921" spans="7:31" x14ac:dyDescent="0.35">
      <c r="G921" s="39"/>
      <c r="H921" s="37"/>
      <c r="K921"/>
      <c r="M921" s="42"/>
      <c r="N921" s="7"/>
      <c r="O921"/>
      <c r="Q921" s="42"/>
      <c r="R921" s="7"/>
      <c r="S921"/>
      <c r="U921" s="42"/>
      <c r="V921" s="7"/>
      <c r="W921"/>
      <c r="Y921" s="42"/>
      <c r="Z921" s="7"/>
      <c r="AA921"/>
      <c r="AC921" s="42"/>
      <c r="AD921" s="7"/>
      <c r="AE921"/>
    </row>
    <row r="922" spans="7:31" x14ac:dyDescent="0.35">
      <c r="G922" s="39"/>
      <c r="H922" s="37"/>
      <c r="K922"/>
      <c r="M922" s="42"/>
      <c r="N922" s="7"/>
      <c r="O922"/>
      <c r="Q922" s="42"/>
      <c r="R922" s="7"/>
      <c r="S922"/>
      <c r="U922" s="42"/>
      <c r="V922" s="7"/>
      <c r="W922"/>
      <c r="Y922" s="42"/>
      <c r="Z922" s="7"/>
      <c r="AA922"/>
      <c r="AC922" s="42"/>
      <c r="AD922" s="7"/>
      <c r="AE922"/>
    </row>
    <row r="923" spans="7:31" x14ac:dyDescent="0.35">
      <c r="G923" s="39"/>
      <c r="H923" s="37"/>
      <c r="K923"/>
      <c r="M923" s="42"/>
      <c r="N923" s="7"/>
      <c r="O923"/>
      <c r="Q923" s="42"/>
      <c r="R923" s="7"/>
      <c r="S923"/>
      <c r="U923" s="42"/>
      <c r="V923" s="7"/>
      <c r="W923"/>
      <c r="Y923" s="42"/>
      <c r="Z923" s="7"/>
      <c r="AA923"/>
      <c r="AC923" s="42"/>
      <c r="AD923" s="7"/>
      <c r="AE923"/>
    </row>
    <row r="924" spans="7:31" x14ac:dyDescent="0.35">
      <c r="G924" s="39"/>
      <c r="H924" s="37"/>
      <c r="K924"/>
      <c r="M924" s="42"/>
      <c r="N924" s="7"/>
      <c r="O924"/>
      <c r="Q924" s="42"/>
      <c r="R924" s="7"/>
      <c r="S924"/>
      <c r="U924" s="42"/>
      <c r="V924" s="7"/>
      <c r="W924"/>
      <c r="Y924" s="42"/>
      <c r="Z924" s="7"/>
      <c r="AA924"/>
      <c r="AC924" s="42"/>
      <c r="AD924" s="7"/>
      <c r="AE924"/>
    </row>
    <row r="925" spans="7:31" x14ac:dyDescent="0.35">
      <c r="G925" s="39"/>
      <c r="H925" s="37"/>
      <c r="K925"/>
      <c r="M925" s="42"/>
      <c r="N925" s="7"/>
      <c r="O925"/>
      <c r="Q925" s="42"/>
      <c r="R925" s="7"/>
      <c r="S925"/>
      <c r="U925" s="42"/>
      <c r="V925" s="7"/>
      <c r="W925"/>
      <c r="Y925" s="42"/>
      <c r="Z925" s="7"/>
      <c r="AA925"/>
      <c r="AC925" s="42"/>
      <c r="AD925" s="7"/>
      <c r="AE925"/>
    </row>
    <row r="926" spans="7:31" x14ac:dyDescent="0.35">
      <c r="G926" s="39"/>
      <c r="H926" s="37"/>
      <c r="K926"/>
      <c r="M926" s="42"/>
      <c r="N926" s="7"/>
      <c r="O926"/>
      <c r="Q926" s="42"/>
      <c r="R926" s="7"/>
      <c r="S926"/>
      <c r="U926" s="42"/>
      <c r="V926" s="7"/>
      <c r="W926"/>
      <c r="Y926" s="42"/>
      <c r="Z926" s="7"/>
      <c r="AA926"/>
      <c r="AC926" s="42"/>
      <c r="AD926" s="7"/>
      <c r="AE926"/>
    </row>
    <row r="927" spans="7:31" x14ac:dyDescent="0.35">
      <c r="G927" s="39"/>
      <c r="H927" s="37"/>
      <c r="K927"/>
      <c r="M927" s="42"/>
      <c r="N927" s="7"/>
      <c r="O927"/>
      <c r="Q927" s="42"/>
      <c r="R927" s="7"/>
      <c r="S927"/>
      <c r="U927" s="42"/>
      <c r="V927" s="7"/>
      <c r="W927"/>
      <c r="Y927" s="42"/>
      <c r="Z927" s="7"/>
      <c r="AA927"/>
      <c r="AC927" s="42"/>
      <c r="AD927" s="7"/>
      <c r="AE927"/>
    </row>
    <row r="928" spans="7:31" x14ac:dyDescent="0.35">
      <c r="G928" s="39"/>
      <c r="H928" s="37"/>
      <c r="K928"/>
      <c r="M928" s="42"/>
      <c r="N928" s="7"/>
      <c r="O928"/>
      <c r="Q928" s="42"/>
      <c r="R928" s="7"/>
      <c r="S928"/>
      <c r="U928" s="42"/>
      <c r="V928" s="7"/>
      <c r="W928"/>
      <c r="Y928" s="42"/>
      <c r="Z928" s="7"/>
      <c r="AA928"/>
      <c r="AC928" s="42"/>
      <c r="AD928" s="7"/>
      <c r="AE928"/>
    </row>
    <row r="929" spans="7:31" x14ac:dyDescent="0.35">
      <c r="G929" s="39"/>
      <c r="H929" s="37"/>
      <c r="K929"/>
      <c r="M929" s="42"/>
      <c r="N929" s="7"/>
      <c r="O929"/>
      <c r="Q929" s="42"/>
      <c r="R929" s="7"/>
      <c r="S929"/>
      <c r="U929" s="42"/>
      <c r="V929" s="7"/>
      <c r="W929"/>
      <c r="Y929" s="42"/>
      <c r="Z929" s="7"/>
      <c r="AA929"/>
      <c r="AC929" s="42"/>
      <c r="AD929" s="7"/>
      <c r="AE929"/>
    </row>
    <row r="930" spans="7:31" x14ac:dyDescent="0.35">
      <c r="G930" s="39"/>
      <c r="H930" s="37"/>
      <c r="K930"/>
      <c r="M930" s="42"/>
      <c r="N930" s="7"/>
      <c r="O930"/>
      <c r="Q930" s="42"/>
      <c r="R930" s="7"/>
      <c r="S930"/>
      <c r="U930" s="42"/>
      <c r="V930" s="7"/>
      <c r="W930"/>
      <c r="Y930" s="42"/>
      <c r="Z930" s="7"/>
      <c r="AA930"/>
      <c r="AC930" s="42"/>
      <c r="AD930" s="7"/>
      <c r="AE930"/>
    </row>
    <row r="931" spans="7:31" x14ac:dyDescent="0.35">
      <c r="G931" s="39"/>
      <c r="H931" s="37"/>
      <c r="K931"/>
      <c r="M931" s="42"/>
      <c r="N931" s="7"/>
      <c r="O931"/>
      <c r="Q931" s="42"/>
      <c r="R931" s="7"/>
      <c r="S931"/>
      <c r="U931" s="42"/>
      <c r="V931" s="7"/>
      <c r="W931"/>
      <c r="Y931" s="42"/>
      <c r="Z931" s="7"/>
      <c r="AA931"/>
      <c r="AC931" s="42"/>
      <c r="AD931" s="7"/>
      <c r="AE931"/>
    </row>
    <row r="932" spans="7:31" x14ac:dyDescent="0.35">
      <c r="G932" s="39"/>
      <c r="H932" s="37"/>
      <c r="K932"/>
      <c r="M932" s="42"/>
      <c r="N932" s="7"/>
      <c r="O932"/>
      <c r="Q932" s="42"/>
      <c r="R932" s="7"/>
      <c r="S932"/>
      <c r="U932" s="42"/>
      <c r="V932" s="7"/>
      <c r="W932"/>
      <c r="Y932" s="42"/>
      <c r="Z932" s="7"/>
      <c r="AA932"/>
      <c r="AC932" s="42"/>
      <c r="AD932" s="7"/>
      <c r="AE932"/>
    </row>
    <row r="933" spans="7:31" x14ac:dyDescent="0.35">
      <c r="G933" s="39"/>
      <c r="H933" s="37"/>
      <c r="K933"/>
      <c r="M933" s="42"/>
      <c r="N933" s="7"/>
      <c r="O933"/>
      <c r="Q933" s="42"/>
      <c r="R933" s="7"/>
      <c r="S933"/>
      <c r="U933" s="42"/>
      <c r="V933" s="7"/>
      <c r="W933"/>
      <c r="Y933" s="42"/>
      <c r="Z933" s="7"/>
      <c r="AA933"/>
      <c r="AC933" s="42"/>
      <c r="AD933" s="7"/>
      <c r="AE933"/>
    </row>
    <row r="934" spans="7:31" x14ac:dyDescent="0.35">
      <c r="G934" s="39"/>
      <c r="H934" s="37"/>
      <c r="K934"/>
      <c r="M934" s="42"/>
      <c r="N934" s="7"/>
      <c r="O934"/>
      <c r="Q934" s="42"/>
      <c r="R934" s="7"/>
      <c r="S934"/>
      <c r="U934" s="42"/>
      <c r="V934" s="7"/>
      <c r="W934"/>
      <c r="Y934" s="42"/>
      <c r="Z934" s="7"/>
      <c r="AA934"/>
      <c r="AC934" s="42"/>
      <c r="AD934" s="7"/>
      <c r="AE934"/>
    </row>
    <row r="935" spans="7:31" x14ac:dyDescent="0.35">
      <c r="G935" s="39"/>
      <c r="H935" s="37"/>
      <c r="K935"/>
      <c r="M935" s="42"/>
      <c r="N935" s="7"/>
      <c r="O935"/>
      <c r="Q935" s="42"/>
      <c r="R935" s="7"/>
      <c r="S935"/>
      <c r="U935" s="42"/>
      <c r="V935" s="7"/>
      <c r="W935"/>
      <c r="Y935" s="42"/>
      <c r="Z935" s="7"/>
      <c r="AA935"/>
      <c r="AC935" s="42"/>
      <c r="AD935" s="7"/>
      <c r="AE935"/>
    </row>
    <row r="936" spans="7:31" x14ac:dyDescent="0.35">
      <c r="G936" s="39"/>
      <c r="H936" s="37"/>
      <c r="K936"/>
      <c r="M936" s="42"/>
      <c r="N936" s="7"/>
      <c r="O936"/>
      <c r="Q936" s="42"/>
      <c r="R936" s="7"/>
      <c r="S936"/>
      <c r="U936" s="42"/>
      <c r="V936" s="7"/>
      <c r="W936"/>
      <c r="Y936" s="42"/>
      <c r="Z936" s="7"/>
      <c r="AA936"/>
      <c r="AC936" s="42"/>
      <c r="AD936" s="7"/>
      <c r="AE936"/>
    </row>
    <row r="937" spans="7:31" x14ac:dyDescent="0.35">
      <c r="G937" s="39"/>
      <c r="H937" s="37"/>
      <c r="K937"/>
      <c r="M937" s="42"/>
      <c r="N937" s="7"/>
      <c r="O937"/>
      <c r="Q937" s="42"/>
      <c r="R937" s="7"/>
      <c r="S937"/>
      <c r="U937" s="42"/>
      <c r="V937" s="7"/>
      <c r="W937"/>
      <c r="Y937" s="42"/>
      <c r="Z937" s="7"/>
      <c r="AA937"/>
      <c r="AC937" s="42"/>
      <c r="AD937" s="7"/>
      <c r="AE937"/>
    </row>
    <row r="938" spans="7:31" x14ac:dyDescent="0.35">
      <c r="G938" s="39"/>
      <c r="H938" s="37"/>
      <c r="K938"/>
      <c r="M938" s="42"/>
      <c r="N938" s="7"/>
      <c r="O938"/>
      <c r="Q938" s="42"/>
      <c r="R938" s="7"/>
      <c r="S938"/>
      <c r="U938" s="42"/>
      <c r="V938" s="7"/>
      <c r="W938"/>
      <c r="Y938" s="42"/>
      <c r="Z938" s="7"/>
      <c r="AA938"/>
      <c r="AC938" s="42"/>
      <c r="AD938" s="7"/>
      <c r="AE938"/>
    </row>
    <row r="939" spans="7:31" x14ac:dyDescent="0.35">
      <c r="G939" s="39"/>
      <c r="H939" s="37"/>
      <c r="K939"/>
      <c r="M939" s="42"/>
      <c r="N939" s="7"/>
      <c r="O939"/>
      <c r="Q939" s="42"/>
      <c r="R939" s="7"/>
      <c r="S939"/>
      <c r="U939" s="42"/>
      <c r="V939" s="7"/>
      <c r="W939"/>
      <c r="Y939" s="42"/>
      <c r="Z939" s="7"/>
      <c r="AA939"/>
      <c r="AC939" s="42"/>
      <c r="AD939" s="7"/>
      <c r="AE939"/>
    </row>
    <row r="940" spans="7:31" x14ac:dyDescent="0.35">
      <c r="G940" s="39"/>
      <c r="H940" s="37"/>
      <c r="K940"/>
      <c r="M940" s="42"/>
      <c r="N940" s="7"/>
      <c r="O940"/>
      <c r="Q940" s="42"/>
      <c r="R940" s="7"/>
      <c r="S940"/>
      <c r="U940" s="42"/>
      <c r="V940" s="7"/>
      <c r="W940"/>
      <c r="Y940" s="42"/>
      <c r="Z940" s="7"/>
      <c r="AA940"/>
      <c r="AC940" s="42"/>
      <c r="AD940" s="7"/>
      <c r="AE940"/>
    </row>
    <row r="941" spans="7:31" x14ac:dyDescent="0.35">
      <c r="G941" s="39"/>
      <c r="H941" s="37"/>
      <c r="K941"/>
      <c r="M941" s="42"/>
      <c r="N941" s="7"/>
      <c r="O941"/>
      <c r="Q941" s="42"/>
      <c r="R941" s="7"/>
      <c r="S941"/>
      <c r="U941" s="42"/>
      <c r="V941" s="7"/>
      <c r="W941"/>
      <c r="Y941" s="42"/>
      <c r="Z941" s="7"/>
      <c r="AA941"/>
      <c r="AC941" s="42"/>
      <c r="AD941" s="7"/>
      <c r="AE941"/>
    </row>
    <row r="942" spans="7:31" x14ac:dyDescent="0.35">
      <c r="G942" s="39"/>
      <c r="H942" s="37"/>
      <c r="K942"/>
      <c r="M942" s="42"/>
      <c r="N942" s="7"/>
      <c r="O942"/>
      <c r="Q942" s="42"/>
      <c r="R942" s="7"/>
      <c r="S942"/>
      <c r="U942" s="42"/>
      <c r="V942" s="7"/>
      <c r="W942"/>
      <c r="Y942" s="42"/>
      <c r="Z942" s="7"/>
      <c r="AA942"/>
      <c r="AC942" s="42"/>
      <c r="AD942" s="7"/>
      <c r="AE942"/>
    </row>
    <row r="943" spans="7:31" x14ac:dyDescent="0.35">
      <c r="G943" s="39"/>
      <c r="H943" s="37"/>
      <c r="K943"/>
      <c r="M943" s="42"/>
      <c r="N943" s="7"/>
      <c r="O943"/>
      <c r="Q943" s="42"/>
      <c r="R943" s="7"/>
      <c r="S943"/>
      <c r="U943" s="42"/>
      <c r="V943" s="7"/>
      <c r="W943"/>
      <c r="Y943" s="42"/>
      <c r="Z943" s="7"/>
      <c r="AA943"/>
      <c r="AC943" s="42"/>
      <c r="AD943" s="7"/>
      <c r="AE943"/>
    </row>
    <row r="944" spans="7:31" x14ac:dyDescent="0.35">
      <c r="G944" s="39"/>
      <c r="H944" s="37"/>
      <c r="K944"/>
      <c r="M944" s="42"/>
      <c r="N944" s="7"/>
      <c r="O944"/>
      <c r="Q944" s="42"/>
      <c r="R944" s="7"/>
      <c r="S944"/>
      <c r="U944" s="42"/>
      <c r="V944" s="7"/>
      <c r="W944"/>
      <c r="Y944" s="42"/>
      <c r="Z944" s="7"/>
      <c r="AA944"/>
      <c r="AC944" s="42"/>
      <c r="AD944" s="7"/>
      <c r="AE944"/>
    </row>
    <row r="945" spans="7:31" x14ac:dyDescent="0.35">
      <c r="G945" s="39"/>
      <c r="H945" s="37"/>
      <c r="K945"/>
      <c r="M945" s="42"/>
      <c r="N945" s="7"/>
      <c r="O945"/>
      <c r="Q945" s="42"/>
      <c r="R945" s="7"/>
      <c r="S945"/>
      <c r="U945" s="42"/>
      <c r="V945" s="7"/>
      <c r="W945"/>
      <c r="Y945" s="42"/>
      <c r="Z945" s="7"/>
      <c r="AA945"/>
      <c r="AC945" s="42"/>
      <c r="AD945" s="7"/>
      <c r="AE945"/>
    </row>
    <row r="946" spans="7:31" x14ac:dyDescent="0.35">
      <c r="G946" s="39"/>
      <c r="H946" s="37"/>
      <c r="K946"/>
      <c r="M946" s="42"/>
      <c r="N946" s="7"/>
      <c r="O946"/>
      <c r="Q946" s="42"/>
      <c r="R946" s="7"/>
      <c r="S946"/>
      <c r="U946" s="42"/>
      <c r="V946" s="7"/>
      <c r="W946"/>
      <c r="Y946" s="42"/>
      <c r="Z946" s="7"/>
      <c r="AA946"/>
      <c r="AC946" s="42"/>
      <c r="AD946" s="7"/>
      <c r="AE946"/>
    </row>
    <row r="947" spans="7:31" x14ac:dyDescent="0.35">
      <c r="G947" s="39"/>
      <c r="H947" s="37"/>
      <c r="K947"/>
      <c r="M947" s="42"/>
      <c r="N947" s="7"/>
      <c r="O947"/>
      <c r="Q947" s="42"/>
      <c r="R947" s="7"/>
      <c r="S947"/>
      <c r="U947" s="42"/>
      <c r="V947" s="7"/>
      <c r="W947"/>
      <c r="Y947" s="42"/>
      <c r="Z947" s="7"/>
      <c r="AA947"/>
      <c r="AC947" s="42"/>
      <c r="AD947" s="7"/>
      <c r="AE947"/>
    </row>
    <row r="948" spans="7:31" x14ac:dyDescent="0.35">
      <c r="G948" s="39"/>
      <c r="H948" s="37"/>
      <c r="K948"/>
      <c r="M948" s="42"/>
      <c r="N948" s="7"/>
      <c r="O948"/>
      <c r="Q948" s="42"/>
      <c r="R948" s="7"/>
      <c r="S948"/>
      <c r="U948" s="42"/>
      <c r="V948" s="7"/>
      <c r="W948"/>
      <c r="Y948" s="42"/>
      <c r="Z948" s="7"/>
      <c r="AA948"/>
      <c r="AC948" s="42"/>
      <c r="AD948" s="7"/>
      <c r="AE948"/>
    </row>
    <row r="949" spans="7:31" x14ac:dyDescent="0.35">
      <c r="G949" s="39"/>
      <c r="H949" s="37"/>
      <c r="K949"/>
      <c r="M949" s="42"/>
      <c r="N949" s="7"/>
      <c r="O949"/>
      <c r="Q949" s="42"/>
      <c r="R949" s="7"/>
      <c r="S949"/>
      <c r="U949" s="42"/>
      <c r="V949" s="7"/>
      <c r="W949"/>
      <c r="Y949" s="42"/>
      <c r="Z949" s="7"/>
      <c r="AA949"/>
      <c r="AC949" s="42"/>
      <c r="AD949" s="7"/>
      <c r="AE949"/>
    </row>
    <row r="950" spans="7:31" x14ac:dyDescent="0.35">
      <c r="G950" s="39"/>
      <c r="H950" s="37"/>
      <c r="K950"/>
      <c r="M950" s="42"/>
      <c r="N950" s="7"/>
      <c r="O950"/>
      <c r="Q950" s="42"/>
      <c r="R950" s="7"/>
      <c r="S950"/>
      <c r="U950" s="42"/>
      <c r="V950" s="7"/>
      <c r="W950"/>
      <c r="Y950" s="42"/>
      <c r="Z950" s="7"/>
      <c r="AA950"/>
      <c r="AC950" s="42"/>
      <c r="AD950" s="7"/>
      <c r="AE950"/>
    </row>
    <row r="951" spans="7:31" x14ac:dyDescent="0.35">
      <c r="G951" s="39"/>
      <c r="H951" s="37"/>
      <c r="K951"/>
      <c r="M951" s="42"/>
      <c r="N951" s="7"/>
      <c r="O951"/>
      <c r="Q951" s="42"/>
      <c r="R951" s="7"/>
      <c r="S951"/>
      <c r="U951" s="42"/>
      <c r="V951" s="7"/>
      <c r="W951"/>
      <c r="Y951" s="42"/>
      <c r="Z951" s="7"/>
      <c r="AA951"/>
      <c r="AC951" s="42"/>
      <c r="AD951" s="7"/>
      <c r="AE951"/>
    </row>
    <row r="952" spans="7:31" x14ac:dyDescent="0.35">
      <c r="G952" s="39"/>
      <c r="H952" s="37"/>
      <c r="K952"/>
      <c r="M952" s="42"/>
      <c r="N952" s="7"/>
      <c r="O952"/>
      <c r="Q952" s="42"/>
      <c r="R952" s="7"/>
      <c r="S952"/>
      <c r="U952" s="42"/>
      <c r="V952" s="7"/>
      <c r="W952"/>
      <c r="Y952" s="42"/>
      <c r="Z952" s="7"/>
      <c r="AA952"/>
      <c r="AC952" s="42"/>
      <c r="AD952" s="7"/>
      <c r="AE952"/>
    </row>
    <row r="953" spans="7:31" x14ac:dyDescent="0.35">
      <c r="G953" s="39"/>
      <c r="H953" s="37"/>
      <c r="K953"/>
      <c r="M953" s="42"/>
      <c r="N953" s="7"/>
      <c r="O953"/>
      <c r="Q953" s="42"/>
      <c r="R953" s="7"/>
      <c r="S953"/>
      <c r="U953" s="42"/>
      <c r="V953" s="7"/>
      <c r="W953"/>
      <c r="Y953" s="42"/>
      <c r="Z953" s="7"/>
      <c r="AA953"/>
      <c r="AC953" s="42"/>
      <c r="AD953" s="7"/>
      <c r="AE953"/>
    </row>
    <row r="954" spans="7:31" x14ac:dyDescent="0.35">
      <c r="G954" s="39"/>
      <c r="H954" s="37"/>
      <c r="K954"/>
      <c r="M954" s="42"/>
      <c r="N954" s="7"/>
      <c r="O954"/>
      <c r="Q954" s="42"/>
      <c r="R954" s="7"/>
      <c r="S954"/>
      <c r="U954" s="42"/>
      <c r="V954" s="7"/>
      <c r="W954"/>
      <c r="Y954" s="42"/>
      <c r="Z954" s="7"/>
      <c r="AA954"/>
      <c r="AC954" s="42"/>
      <c r="AD954" s="7"/>
      <c r="AE954"/>
    </row>
    <row r="955" spans="7:31" x14ac:dyDescent="0.35">
      <c r="G955" s="39"/>
      <c r="H955" s="37"/>
      <c r="K955"/>
      <c r="M955" s="42"/>
      <c r="N955" s="7"/>
      <c r="O955"/>
      <c r="Q955" s="42"/>
      <c r="R955" s="7"/>
      <c r="S955"/>
      <c r="U955" s="42"/>
      <c r="V955" s="7"/>
      <c r="W955"/>
      <c r="Y955" s="42"/>
      <c r="Z955" s="7"/>
      <c r="AA955"/>
      <c r="AC955" s="42"/>
      <c r="AD955" s="7"/>
      <c r="AE955"/>
    </row>
    <row r="956" spans="7:31" x14ac:dyDescent="0.35">
      <c r="G956" s="39"/>
      <c r="H956" s="37"/>
      <c r="K956"/>
      <c r="M956" s="42"/>
      <c r="N956" s="7"/>
      <c r="O956"/>
      <c r="Q956" s="42"/>
      <c r="R956" s="7"/>
      <c r="S956"/>
      <c r="U956" s="42"/>
      <c r="V956" s="7"/>
      <c r="W956"/>
      <c r="Y956" s="42"/>
      <c r="Z956" s="7"/>
      <c r="AA956"/>
      <c r="AC956" s="42"/>
      <c r="AD956" s="7"/>
      <c r="AE956"/>
    </row>
    <row r="957" spans="7:31" x14ac:dyDescent="0.35">
      <c r="G957" s="39"/>
      <c r="H957" s="37"/>
      <c r="K957"/>
      <c r="M957" s="42"/>
      <c r="N957" s="7"/>
      <c r="O957"/>
      <c r="Q957" s="42"/>
      <c r="R957" s="7"/>
      <c r="S957"/>
      <c r="U957" s="42"/>
      <c r="V957" s="7"/>
      <c r="W957"/>
      <c r="Y957" s="42"/>
      <c r="Z957" s="7"/>
      <c r="AA957"/>
      <c r="AC957" s="42"/>
      <c r="AD957" s="7"/>
      <c r="AE957"/>
    </row>
    <row r="958" spans="7:31" x14ac:dyDescent="0.35">
      <c r="G958" s="39"/>
      <c r="H958" s="37"/>
      <c r="K958"/>
      <c r="M958" s="42"/>
      <c r="N958" s="7"/>
      <c r="O958"/>
      <c r="Q958" s="42"/>
      <c r="R958" s="7"/>
      <c r="S958"/>
      <c r="U958" s="42"/>
      <c r="V958" s="7"/>
      <c r="W958"/>
      <c r="Y958" s="42"/>
      <c r="Z958" s="7"/>
      <c r="AA958"/>
      <c r="AC958" s="42"/>
      <c r="AD958" s="7"/>
      <c r="AE958"/>
    </row>
    <row r="959" spans="7:31" x14ac:dyDescent="0.35">
      <c r="G959" s="39"/>
      <c r="H959" s="37"/>
      <c r="K959"/>
      <c r="M959" s="42"/>
      <c r="N959" s="7"/>
      <c r="O959"/>
      <c r="Q959" s="42"/>
      <c r="R959" s="7"/>
      <c r="S959"/>
      <c r="U959" s="42"/>
      <c r="V959" s="7"/>
      <c r="W959"/>
      <c r="Y959" s="42"/>
      <c r="Z959" s="7"/>
      <c r="AA959"/>
      <c r="AC959" s="42"/>
      <c r="AD959" s="7"/>
      <c r="AE959"/>
    </row>
    <row r="960" spans="7:31" x14ac:dyDescent="0.35">
      <c r="G960" s="39"/>
      <c r="H960" s="37"/>
      <c r="K960"/>
      <c r="M960" s="42"/>
      <c r="N960" s="7"/>
      <c r="O960"/>
      <c r="Q960" s="42"/>
      <c r="R960" s="7"/>
      <c r="S960"/>
      <c r="U960" s="42"/>
      <c r="V960" s="7"/>
      <c r="W960"/>
      <c r="Y960" s="42"/>
      <c r="Z960" s="7"/>
      <c r="AA960"/>
      <c r="AC960" s="42"/>
      <c r="AD960" s="7"/>
      <c r="AE960"/>
    </row>
    <row r="961" spans="7:31" x14ac:dyDescent="0.35">
      <c r="G961" s="39"/>
      <c r="H961" s="37"/>
      <c r="K961"/>
      <c r="M961" s="42"/>
      <c r="N961" s="7"/>
      <c r="O961"/>
      <c r="Q961" s="42"/>
      <c r="R961" s="7"/>
      <c r="S961"/>
      <c r="U961" s="42"/>
      <c r="V961" s="7"/>
      <c r="W961"/>
      <c r="Y961" s="42"/>
      <c r="Z961" s="7"/>
      <c r="AA961"/>
      <c r="AC961" s="42"/>
      <c r="AD961" s="7"/>
      <c r="AE961"/>
    </row>
    <row r="962" spans="7:31" x14ac:dyDescent="0.35">
      <c r="G962" s="39"/>
      <c r="H962" s="37"/>
      <c r="K962"/>
      <c r="M962" s="42"/>
      <c r="N962" s="7"/>
      <c r="O962"/>
      <c r="Q962" s="42"/>
      <c r="R962" s="7"/>
      <c r="S962"/>
      <c r="U962" s="42"/>
      <c r="V962" s="7"/>
      <c r="W962"/>
      <c r="Y962" s="42"/>
      <c r="Z962" s="7"/>
      <c r="AA962"/>
      <c r="AC962" s="42"/>
      <c r="AD962" s="7"/>
      <c r="AE962"/>
    </row>
    <row r="963" spans="7:31" x14ac:dyDescent="0.35">
      <c r="G963" s="39"/>
      <c r="H963" s="37"/>
      <c r="K963"/>
      <c r="M963" s="42"/>
      <c r="N963" s="7"/>
      <c r="O963"/>
      <c r="Q963" s="42"/>
      <c r="R963" s="7"/>
      <c r="S963"/>
      <c r="U963" s="42"/>
      <c r="V963" s="7"/>
      <c r="W963"/>
      <c r="Y963" s="42"/>
      <c r="Z963" s="7"/>
      <c r="AA963"/>
      <c r="AC963" s="42"/>
      <c r="AD963" s="7"/>
      <c r="AE963"/>
    </row>
    <row r="964" spans="7:31" x14ac:dyDescent="0.35">
      <c r="G964" s="39"/>
      <c r="H964" s="37"/>
      <c r="K964"/>
      <c r="M964" s="42"/>
      <c r="N964" s="7"/>
      <c r="O964"/>
      <c r="Q964" s="42"/>
      <c r="R964" s="7"/>
      <c r="S964"/>
      <c r="U964" s="42"/>
      <c r="V964" s="7"/>
      <c r="W964"/>
      <c r="Y964" s="42"/>
      <c r="Z964" s="7"/>
      <c r="AA964"/>
      <c r="AC964" s="42"/>
      <c r="AD964" s="7"/>
      <c r="AE964"/>
    </row>
    <row r="965" spans="7:31" x14ac:dyDescent="0.35">
      <c r="G965" s="39"/>
      <c r="H965" s="37"/>
      <c r="K965"/>
      <c r="M965" s="42"/>
      <c r="N965" s="7"/>
      <c r="O965"/>
      <c r="Q965" s="42"/>
      <c r="R965" s="7"/>
      <c r="S965"/>
      <c r="U965" s="42"/>
      <c r="V965" s="7"/>
      <c r="W965"/>
      <c r="Y965" s="42"/>
      <c r="Z965" s="7"/>
      <c r="AA965"/>
      <c r="AC965" s="42"/>
      <c r="AD965" s="7"/>
      <c r="AE965"/>
    </row>
    <row r="966" spans="7:31" x14ac:dyDescent="0.35">
      <c r="G966" s="39"/>
      <c r="H966" s="37"/>
      <c r="K966"/>
      <c r="M966" s="42"/>
      <c r="N966" s="7"/>
      <c r="O966"/>
      <c r="Q966" s="42"/>
      <c r="R966" s="7"/>
      <c r="S966"/>
      <c r="U966" s="42"/>
      <c r="V966" s="7"/>
      <c r="W966"/>
      <c r="Y966" s="42"/>
      <c r="Z966" s="7"/>
      <c r="AA966"/>
      <c r="AC966" s="42"/>
      <c r="AD966" s="7"/>
      <c r="AE966"/>
    </row>
    <row r="967" spans="7:31" x14ac:dyDescent="0.35">
      <c r="G967" s="39"/>
      <c r="H967" s="37"/>
      <c r="K967"/>
      <c r="M967" s="42"/>
      <c r="N967" s="7"/>
      <c r="O967"/>
      <c r="Q967" s="42"/>
      <c r="R967" s="7"/>
      <c r="S967"/>
      <c r="U967" s="42"/>
      <c r="V967" s="7"/>
      <c r="W967"/>
      <c r="Y967" s="42"/>
      <c r="Z967" s="7"/>
      <c r="AA967"/>
      <c r="AC967" s="42"/>
      <c r="AD967" s="7"/>
      <c r="AE967"/>
    </row>
    <row r="968" spans="7:31" x14ac:dyDescent="0.35">
      <c r="G968" s="39"/>
      <c r="H968" s="37"/>
      <c r="K968"/>
      <c r="M968" s="42"/>
      <c r="N968" s="7"/>
      <c r="O968"/>
      <c r="Q968" s="42"/>
      <c r="R968" s="7"/>
      <c r="S968"/>
      <c r="U968" s="42"/>
      <c r="V968" s="7"/>
      <c r="W968"/>
      <c r="Y968" s="42"/>
      <c r="Z968" s="7"/>
      <c r="AA968"/>
      <c r="AC968" s="42"/>
      <c r="AD968" s="7"/>
      <c r="AE968"/>
    </row>
    <row r="969" spans="7:31" x14ac:dyDescent="0.35">
      <c r="G969" s="39"/>
      <c r="H969" s="37"/>
      <c r="K969"/>
      <c r="M969" s="42"/>
      <c r="N969" s="7"/>
      <c r="O969"/>
      <c r="Q969" s="42"/>
      <c r="R969" s="7"/>
      <c r="S969"/>
      <c r="U969" s="42"/>
      <c r="V969" s="7"/>
      <c r="W969"/>
      <c r="Y969" s="42"/>
      <c r="Z969" s="7"/>
      <c r="AA969"/>
      <c r="AC969" s="42"/>
      <c r="AD969" s="7"/>
      <c r="AE969"/>
    </row>
    <row r="970" spans="7:31" x14ac:dyDescent="0.35">
      <c r="G970" s="39"/>
      <c r="H970" s="37"/>
      <c r="K970"/>
      <c r="M970" s="42"/>
      <c r="N970" s="7"/>
      <c r="O970"/>
      <c r="Q970" s="42"/>
      <c r="R970" s="7"/>
      <c r="S970"/>
      <c r="U970" s="42"/>
      <c r="V970" s="7"/>
      <c r="W970"/>
      <c r="Y970" s="42"/>
      <c r="Z970" s="7"/>
      <c r="AA970"/>
      <c r="AC970" s="42"/>
      <c r="AD970" s="7"/>
      <c r="AE970"/>
    </row>
    <row r="971" spans="7:31" x14ac:dyDescent="0.35">
      <c r="G971" s="39"/>
      <c r="H971" s="37"/>
      <c r="K971"/>
      <c r="M971" s="42"/>
      <c r="N971" s="7"/>
      <c r="O971"/>
      <c r="Q971" s="42"/>
      <c r="R971" s="7"/>
      <c r="S971"/>
      <c r="U971" s="42"/>
      <c r="V971" s="7"/>
      <c r="W971"/>
      <c r="Y971" s="42"/>
      <c r="Z971" s="7"/>
      <c r="AA971"/>
      <c r="AC971" s="42"/>
      <c r="AD971" s="7"/>
      <c r="AE971"/>
    </row>
    <row r="972" spans="7:31" x14ac:dyDescent="0.35">
      <c r="G972" s="39"/>
      <c r="H972" s="37"/>
      <c r="K972"/>
      <c r="M972" s="42"/>
      <c r="N972" s="7"/>
      <c r="O972"/>
      <c r="Q972" s="42"/>
      <c r="R972" s="7"/>
      <c r="S972"/>
      <c r="U972" s="42"/>
      <c r="V972" s="7"/>
      <c r="W972"/>
      <c r="Y972" s="42"/>
      <c r="Z972" s="7"/>
      <c r="AA972"/>
      <c r="AC972" s="42"/>
      <c r="AD972" s="7"/>
      <c r="AE972"/>
    </row>
    <row r="973" spans="7:31" x14ac:dyDescent="0.35">
      <c r="G973" s="39"/>
      <c r="H973" s="37"/>
      <c r="K973"/>
      <c r="M973" s="42"/>
      <c r="N973" s="7"/>
      <c r="O973"/>
      <c r="Q973" s="42"/>
      <c r="R973" s="7"/>
      <c r="S973"/>
      <c r="U973" s="42"/>
      <c r="V973" s="7"/>
      <c r="W973"/>
      <c r="Y973" s="42"/>
      <c r="Z973" s="7"/>
      <c r="AA973"/>
      <c r="AC973" s="42"/>
      <c r="AD973" s="7"/>
      <c r="AE973"/>
    </row>
    <row r="974" spans="7:31" x14ac:dyDescent="0.35">
      <c r="G974" s="39"/>
      <c r="H974" s="37"/>
      <c r="K974"/>
      <c r="M974" s="42"/>
      <c r="N974" s="7"/>
      <c r="O974"/>
      <c r="Q974" s="42"/>
      <c r="R974" s="7"/>
      <c r="S974"/>
      <c r="U974" s="42"/>
      <c r="V974" s="7"/>
      <c r="W974"/>
      <c r="Y974" s="42"/>
      <c r="Z974" s="7"/>
      <c r="AA974"/>
      <c r="AC974" s="42"/>
      <c r="AD974" s="7"/>
      <c r="AE974"/>
    </row>
    <row r="975" spans="7:31" x14ac:dyDescent="0.35">
      <c r="G975" s="39"/>
      <c r="H975" s="37"/>
      <c r="K975"/>
      <c r="M975" s="42"/>
      <c r="N975" s="7"/>
      <c r="O975"/>
      <c r="Q975" s="42"/>
      <c r="R975" s="7"/>
      <c r="S975"/>
      <c r="U975" s="42"/>
      <c r="V975" s="7"/>
      <c r="W975"/>
      <c r="Y975" s="42"/>
      <c r="Z975" s="7"/>
      <c r="AA975"/>
      <c r="AC975" s="42"/>
      <c r="AD975" s="7"/>
      <c r="AE975"/>
    </row>
    <row r="976" spans="7:31" x14ac:dyDescent="0.35">
      <c r="G976" s="39"/>
      <c r="H976" s="37"/>
      <c r="K976"/>
      <c r="M976" s="42"/>
      <c r="N976" s="7"/>
      <c r="O976"/>
      <c r="Q976" s="42"/>
      <c r="R976" s="7"/>
      <c r="S976"/>
      <c r="U976" s="42"/>
      <c r="V976" s="7"/>
      <c r="W976"/>
      <c r="Y976" s="42"/>
      <c r="Z976" s="7"/>
      <c r="AA976"/>
      <c r="AC976" s="42"/>
      <c r="AD976" s="7"/>
      <c r="AE976"/>
    </row>
    <row r="977" spans="7:31" x14ac:dyDescent="0.35">
      <c r="G977" s="39"/>
      <c r="H977" s="37"/>
      <c r="K977"/>
      <c r="M977" s="42"/>
      <c r="N977" s="7"/>
      <c r="O977"/>
      <c r="Q977" s="42"/>
      <c r="R977" s="7"/>
      <c r="S977"/>
      <c r="U977" s="42"/>
      <c r="V977" s="7"/>
      <c r="W977"/>
      <c r="Y977" s="42"/>
      <c r="Z977" s="7"/>
      <c r="AA977"/>
      <c r="AC977" s="42"/>
      <c r="AD977" s="7"/>
      <c r="AE977"/>
    </row>
    <row r="978" spans="7:31" x14ac:dyDescent="0.35">
      <c r="G978" s="39"/>
      <c r="H978" s="37"/>
      <c r="K978"/>
      <c r="M978" s="42"/>
      <c r="N978" s="7"/>
      <c r="O978"/>
      <c r="Q978" s="42"/>
      <c r="R978" s="7"/>
      <c r="S978"/>
      <c r="U978" s="42"/>
      <c r="V978" s="7"/>
      <c r="W978"/>
      <c r="Y978" s="42"/>
      <c r="Z978" s="7"/>
      <c r="AA978"/>
      <c r="AC978" s="42"/>
      <c r="AD978" s="7"/>
      <c r="AE978"/>
    </row>
    <row r="979" spans="7:31" x14ac:dyDescent="0.35">
      <c r="G979" s="39"/>
      <c r="H979" s="37"/>
      <c r="K979"/>
      <c r="M979" s="42"/>
      <c r="N979" s="7"/>
      <c r="O979"/>
      <c r="Q979" s="42"/>
      <c r="R979" s="7"/>
      <c r="S979"/>
      <c r="U979" s="42"/>
      <c r="V979" s="7"/>
      <c r="W979"/>
      <c r="Y979" s="42"/>
      <c r="Z979" s="7"/>
      <c r="AA979"/>
      <c r="AC979" s="42"/>
      <c r="AD979" s="7"/>
      <c r="AE979"/>
    </row>
    <row r="980" spans="7:31" x14ac:dyDescent="0.35">
      <c r="G980" s="39"/>
      <c r="H980" s="37"/>
      <c r="K980"/>
      <c r="M980" s="42"/>
      <c r="N980" s="7"/>
      <c r="O980"/>
      <c r="Q980" s="42"/>
      <c r="R980" s="7"/>
      <c r="S980"/>
      <c r="U980" s="42"/>
      <c r="V980" s="7"/>
      <c r="W980"/>
      <c r="Y980" s="42"/>
      <c r="Z980" s="7"/>
      <c r="AA980"/>
      <c r="AC980" s="42"/>
      <c r="AD980" s="7"/>
      <c r="AE980"/>
    </row>
    <row r="981" spans="7:31" x14ac:dyDescent="0.35">
      <c r="G981" s="39"/>
      <c r="H981" s="37"/>
      <c r="K981"/>
      <c r="M981" s="42"/>
      <c r="N981" s="7"/>
      <c r="O981"/>
      <c r="Q981" s="42"/>
      <c r="R981" s="7"/>
      <c r="S981"/>
      <c r="U981" s="42"/>
      <c r="V981" s="7"/>
      <c r="W981"/>
      <c r="Y981" s="42"/>
      <c r="Z981" s="7"/>
      <c r="AA981"/>
      <c r="AC981" s="42"/>
      <c r="AD981" s="7"/>
      <c r="AE981"/>
    </row>
    <row r="982" spans="7:31" x14ac:dyDescent="0.35">
      <c r="G982" s="39"/>
      <c r="H982" s="37"/>
      <c r="K982"/>
      <c r="M982" s="42"/>
      <c r="N982" s="7"/>
      <c r="O982"/>
      <c r="Q982" s="42"/>
      <c r="R982" s="7"/>
      <c r="S982"/>
      <c r="U982" s="42"/>
      <c r="V982" s="7"/>
      <c r="W982"/>
      <c r="Y982" s="42"/>
      <c r="Z982" s="7"/>
      <c r="AA982"/>
      <c r="AC982" s="42"/>
      <c r="AD982" s="7"/>
      <c r="AE982"/>
    </row>
    <row r="983" spans="7:31" x14ac:dyDescent="0.35">
      <c r="G983" s="39"/>
      <c r="H983" s="37"/>
      <c r="K983"/>
      <c r="M983" s="42"/>
      <c r="N983" s="7"/>
      <c r="O983"/>
      <c r="Q983" s="42"/>
      <c r="R983" s="7"/>
      <c r="S983"/>
      <c r="U983" s="42"/>
      <c r="V983" s="7"/>
      <c r="W983"/>
      <c r="Y983" s="42"/>
      <c r="Z983" s="7"/>
      <c r="AA983"/>
      <c r="AC983" s="42"/>
      <c r="AD983" s="7"/>
      <c r="AE983"/>
    </row>
    <row r="984" spans="7:31" x14ac:dyDescent="0.35">
      <c r="G984" s="39"/>
      <c r="H984" s="37"/>
      <c r="K984"/>
      <c r="M984" s="42"/>
      <c r="N984" s="7"/>
      <c r="O984"/>
      <c r="Q984" s="42"/>
      <c r="R984" s="7"/>
      <c r="S984"/>
      <c r="U984" s="42"/>
      <c r="V984" s="7"/>
      <c r="W984"/>
      <c r="Y984" s="42"/>
      <c r="Z984" s="7"/>
      <c r="AA984"/>
      <c r="AC984" s="42"/>
      <c r="AD984" s="7"/>
      <c r="AE984"/>
    </row>
    <row r="985" spans="7:31" x14ac:dyDescent="0.35">
      <c r="G985" s="39"/>
      <c r="H985" s="37"/>
      <c r="K985"/>
      <c r="M985" s="42"/>
      <c r="N985" s="7"/>
      <c r="O985"/>
      <c r="Q985" s="42"/>
      <c r="R985" s="7"/>
      <c r="S985"/>
      <c r="U985" s="42"/>
      <c r="V985" s="7"/>
      <c r="W985"/>
      <c r="Y985" s="42"/>
      <c r="Z985" s="7"/>
      <c r="AA985"/>
      <c r="AC985" s="42"/>
      <c r="AD985" s="7"/>
      <c r="AE985"/>
    </row>
    <row r="986" spans="7:31" x14ac:dyDescent="0.35">
      <c r="G986" s="39"/>
      <c r="H986" s="37"/>
      <c r="K986"/>
      <c r="M986" s="42"/>
      <c r="N986" s="7"/>
      <c r="O986"/>
      <c r="Q986" s="42"/>
      <c r="R986" s="7"/>
      <c r="S986"/>
      <c r="U986" s="42"/>
      <c r="V986" s="7"/>
      <c r="W986"/>
      <c r="Y986" s="42"/>
      <c r="Z986" s="7"/>
      <c r="AA986"/>
      <c r="AC986" s="42"/>
      <c r="AD986" s="7"/>
      <c r="AE986"/>
    </row>
    <row r="987" spans="7:31" x14ac:dyDescent="0.35">
      <c r="G987" s="39"/>
      <c r="H987" s="37"/>
      <c r="K987"/>
      <c r="M987" s="42"/>
      <c r="N987" s="7"/>
      <c r="O987"/>
      <c r="Q987" s="42"/>
      <c r="R987" s="7"/>
      <c r="S987"/>
      <c r="U987" s="42"/>
      <c r="V987" s="7"/>
      <c r="W987"/>
      <c r="Y987" s="42"/>
      <c r="Z987" s="7"/>
      <c r="AA987"/>
      <c r="AC987" s="42"/>
      <c r="AD987" s="7"/>
      <c r="AE987"/>
    </row>
    <row r="988" spans="7:31" x14ac:dyDescent="0.35">
      <c r="G988" s="39"/>
      <c r="H988" s="37"/>
      <c r="K988"/>
      <c r="M988" s="42"/>
      <c r="N988" s="7"/>
      <c r="O988"/>
      <c r="Q988" s="42"/>
      <c r="R988" s="7"/>
      <c r="S988"/>
      <c r="U988" s="42"/>
      <c r="V988" s="7"/>
      <c r="W988"/>
      <c r="Y988" s="42"/>
      <c r="Z988" s="7"/>
      <c r="AA988"/>
      <c r="AC988" s="42"/>
      <c r="AD988" s="7"/>
      <c r="AE988"/>
    </row>
    <row r="989" spans="7:31" x14ac:dyDescent="0.35">
      <c r="G989" s="39"/>
      <c r="H989" s="37"/>
      <c r="K989"/>
      <c r="M989" s="42"/>
      <c r="N989" s="7"/>
      <c r="O989"/>
      <c r="Q989" s="42"/>
      <c r="R989" s="7"/>
      <c r="S989"/>
      <c r="U989" s="42"/>
      <c r="V989" s="7"/>
      <c r="W989"/>
      <c r="Y989" s="42"/>
      <c r="Z989" s="7"/>
      <c r="AA989"/>
      <c r="AC989" s="42"/>
      <c r="AD989" s="7"/>
      <c r="AE989"/>
    </row>
    <row r="990" spans="7:31" x14ac:dyDescent="0.35">
      <c r="G990" s="39"/>
      <c r="H990" s="37"/>
      <c r="K990"/>
      <c r="M990" s="42"/>
      <c r="N990" s="7"/>
      <c r="O990"/>
      <c r="Q990" s="42"/>
      <c r="R990" s="7"/>
      <c r="S990"/>
      <c r="U990" s="42"/>
      <c r="V990" s="7"/>
      <c r="W990"/>
      <c r="Y990" s="42"/>
      <c r="Z990" s="7"/>
      <c r="AA990"/>
      <c r="AC990" s="42"/>
      <c r="AD990" s="7"/>
      <c r="AE990"/>
    </row>
    <row r="991" spans="7:31" x14ac:dyDescent="0.35">
      <c r="G991" s="39"/>
      <c r="H991" s="37"/>
      <c r="K991"/>
      <c r="M991" s="42"/>
      <c r="N991" s="7"/>
      <c r="O991"/>
      <c r="Q991" s="42"/>
      <c r="R991" s="7"/>
      <c r="S991"/>
      <c r="U991" s="42"/>
      <c r="V991" s="7"/>
      <c r="W991"/>
      <c r="Y991" s="42"/>
      <c r="Z991" s="7"/>
      <c r="AA991"/>
      <c r="AC991" s="42"/>
      <c r="AD991" s="7"/>
      <c r="AE991"/>
    </row>
    <row r="992" spans="7:31" x14ac:dyDescent="0.35">
      <c r="G992" s="39"/>
      <c r="H992" s="37"/>
      <c r="K992"/>
      <c r="M992" s="42"/>
      <c r="N992" s="7"/>
      <c r="O992"/>
      <c r="Q992" s="42"/>
      <c r="R992" s="7"/>
      <c r="S992"/>
      <c r="U992" s="42"/>
      <c r="V992" s="7"/>
      <c r="W992"/>
      <c r="Y992" s="42"/>
      <c r="Z992" s="7"/>
      <c r="AA992"/>
      <c r="AC992" s="42"/>
      <c r="AD992" s="7"/>
      <c r="AE992"/>
    </row>
    <row r="993" spans="7:31" x14ac:dyDescent="0.35">
      <c r="G993" s="39"/>
      <c r="H993" s="37"/>
      <c r="K993"/>
      <c r="M993" s="42"/>
      <c r="N993" s="7"/>
      <c r="O993"/>
      <c r="Q993" s="42"/>
      <c r="R993" s="7"/>
      <c r="S993"/>
      <c r="U993" s="42"/>
      <c r="V993" s="7"/>
      <c r="W993"/>
      <c r="Y993" s="42"/>
      <c r="Z993" s="7"/>
      <c r="AA993"/>
      <c r="AC993" s="42"/>
      <c r="AD993" s="7"/>
      <c r="AE993"/>
    </row>
    <row r="994" spans="7:31" x14ac:dyDescent="0.35">
      <c r="G994" s="39"/>
      <c r="H994" s="37"/>
      <c r="K994"/>
      <c r="M994" s="42"/>
      <c r="N994" s="7"/>
      <c r="O994"/>
      <c r="Q994" s="42"/>
      <c r="R994" s="7"/>
      <c r="S994"/>
      <c r="U994" s="42"/>
      <c r="V994" s="7"/>
      <c r="W994"/>
      <c r="Y994" s="42"/>
      <c r="Z994" s="7"/>
      <c r="AA994"/>
      <c r="AC994" s="42"/>
      <c r="AD994" s="7"/>
      <c r="AE994"/>
    </row>
    <row r="995" spans="7:31" x14ac:dyDescent="0.35">
      <c r="G995" s="39"/>
      <c r="H995" s="37"/>
      <c r="K995"/>
      <c r="M995" s="42"/>
      <c r="N995" s="7"/>
      <c r="O995"/>
      <c r="Q995" s="42"/>
      <c r="R995" s="7"/>
      <c r="S995"/>
      <c r="U995" s="42"/>
      <c r="V995" s="7"/>
      <c r="W995"/>
      <c r="Y995" s="42"/>
      <c r="Z995" s="7"/>
      <c r="AA995"/>
      <c r="AC995" s="42"/>
      <c r="AD995" s="7"/>
      <c r="AE995"/>
    </row>
    <row r="996" spans="7:31" x14ac:dyDescent="0.35">
      <c r="G996" s="39"/>
      <c r="H996" s="37"/>
      <c r="K996"/>
      <c r="M996" s="42"/>
      <c r="N996" s="7"/>
      <c r="O996"/>
      <c r="Q996" s="42"/>
      <c r="R996" s="7"/>
      <c r="S996"/>
      <c r="U996" s="42"/>
      <c r="V996" s="7"/>
      <c r="W996"/>
      <c r="Y996" s="42"/>
      <c r="Z996" s="7"/>
      <c r="AA996"/>
      <c r="AC996" s="42"/>
      <c r="AD996" s="7"/>
      <c r="AE996"/>
    </row>
    <row r="997" spans="7:31" x14ac:dyDescent="0.35">
      <c r="G997" s="39"/>
      <c r="H997" s="37"/>
      <c r="K997"/>
      <c r="M997" s="42"/>
      <c r="N997" s="7"/>
      <c r="O997"/>
      <c r="Q997" s="42"/>
      <c r="R997" s="7"/>
      <c r="S997"/>
      <c r="U997" s="42"/>
      <c r="V997" s="7"/>
      <c r="W997"/>
      <c r="Y997" s="42"/>
      <c r="Z997" s="7"/>
      <c r="AA997"/>
      <c r="AC997" s="42"/>
      <c r="AD997" s="7"/>
      <c r="AE997"/>
    </row>
    <row r="998" spans="7:31" x14ac:dyDescent="0.35">
      <c r="G998" s="39"/>
      <c r="H998" s="37"/>
      <c r="K998"/>
      <c r="M998" s="42"/>
      <c r="N998" s="7"/>
      <c r="O998"/>
      <c r="Q998" s="42"/>
      <c r="R998" s="7"/>
      <c r="S998"/>
      <c r="U998" s="42"/>
      <c r="V998" s="7"/>
      <c r="W998"/>
      <c r="Y998" s="42"/>
      <c r="Z998" s="7"/>
      <c r="AA998"/>
      <c r="AC998" s="42"/>
      <c r="AD998" s="7"/>
      <c r="AE998"/>
    </row>
    <row r="999" spans="7:31" x14ac:dyDescent="0.35">
      <c r="G999" s="39"/>
      <c r="H999" s="37"/>
      <c r="K999"/>
      <c r="M999" s="42"/>
      <c r="N999" s="7"/>
      <c r="O999"/>
      <c r="Q999" s="42"/>
      <c r="R999" s="7"/>
      <c r="S999"/>
      <c r="U999" s="42"/>
      <c r="V999" s="7"/>
      <c r="W999"/>
      <c r="Y999" s="42"/>
      <c r="Z999" s="7"/>
      <c r="AA999"/>
      <c r="AC999" s="42"/>
      <c r="AD999" s="7"/>
      <c r="AE999"/>
    </row>
    <row r="1000" spans="7:31" x14ac:dyDescent="0.35">
      <c r="G1000" s="39"/>
      <c r="H1000" s="37"/>
      <c r="M1000" s="42"/>
      <c r="N1000" s="7"/>
      <c r="O1000"/>
      <c r="Q1000" s="42"/>
      <c r="R1000" s="7"/>
      <c r="S1000"/>
      <c r="U1000" s="42"/>
      <c r="V1000" s="7"/>
      <c r="W1000"/>
      <c r="Y1000" s="42"/>
      <c r="Z1000" s="7"/>
      <c r="AA1000"/>
      <c r="AC1000" s="42"/>
      <c r="AD1000" s="7"/>
      <c r="AE1000"/>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AG1003"/>
  <sheetViews>
    <sheetView workbookViewId="0">
      <pane xSplit="2" ySplit="1" topLeftCell="J2" activePane="bottomRight" state="frozen"/>
      <selection pane="topRight" activeCell="C1" sqref="C1"/>
      <selection pane="bottomLeft" activeCell="A2" sqref="A2"/>
      <selection pane="bottomRight" activeCell="P74" sqref="P74"/>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29.8164062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22" style="87" customWidth="1"/>
    <col min="13" max="13" width="13.81640625" style="89" bestFit="1" customWidth="1"/>
    <col min="14" max="14" width="13.81640625" style="87" customWidth="1"/>
    <col min="15" max="15" width="11.54296875" style="87" bestFit="1" customWidth="1"/>
    <col min="16" max="16" width="32.17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242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SUM(E3:E5)</f>
        <v>-3677.6099999999997</v>
      </c>
      <c r="F2" s="87">
        <f>SUM(F3:F3)</f>
        <v>-101</v>
      </c>
      <c r="I2" s="89">
        <f>SUM(I3:I5)</f>
        <v>-71658</v>
      </c>
      <c r="J2" s="87">
        <f>SUM(J3:J5)</f>
        <v>0</v>
      </c>
      <c r="M2" s="89">
        <f>SUM(M3:M5)</f>
        <v>-22000</v>
      </c>
      <c r="N2" s="87">
        <f>SUM(N3:N5)</f>
        <v>-2290.89</v>
      </c>
      <c r="Q2" s="89">
        <f>SUM(Q3:Q5)</f>
        <v>0</v>
      </c>
      <c r="R2" s="87">
        <f>SUM(R3:R5)</f>
        <v>0</v>
      </c>
      <c r="U2" s="89">
        <f>SUM(U3:U5)</f>
        <v>0</v>
      </c>
      <c r="V2" s="87">
        <f>SUM(V3:V5)</f>
        <v>0</v>
      </c>
      <c r="Y2" s="89">
        <f>SUM(Y3:Y5)</f>
        <v>0</v>
      </c>
      <c r="Z2" s="87">
        <f>SUM(Z3:Z5)</f>
        <v>0</v>
      </c>
      <c r="AC2" s="89">
        <f>SUM(AC3:AC5)</f>
        <v>0</v>
      </c>
      <c r="AD2" s="87">
        <f>SUM(AD3:AD5)</f>
        <v>0</v>
      </c>
    </row>
    <row r="3" spans="1:33" ht="29" x14ac:dyDescent="0.35">
      <c r="A3" s="86" t="s">
        <v>242</v>
      </c>
      <c r="B3" s="85">
        <v>1</v>
      </c>
      <c r="D3" s="86">
        <v>4774</v>
      </c>
      <c r="E3" s="87">
        <v>1812.5</v>
      </c>
      <c r="F3" s="87">
        <f>SUMIFS(H$24:H$1008,E$24:E$1008,$B3)</f>
        <v>-101</v>
      </c>
      <c r="G3" s="87">
        <f>D3+E3-F3+SUMIFS(E$8:E$18,$C$8:$C$18,$A3)-SUMIFS(F$8:F$18,$C$8:$C$18,$A3)</f>
        <v>16516.340000000004</v>
      </c>
      <c r="I3" s="91">
        <v>-15000</v>
      </c>
      <c r="J3" s="87">
        <f>SUMIFS(L$24:L$1007,I$24:I$1007,$B3)</f>
        <v>0</v>
      </c>
      <c r="K3" s="87">
        <f>G3+I3-J3+SUMIFS(I$8:I$18,$C$8:$C$18,$A3)-SUMIFS(J$8:J$18,$C$8:$C$18,$A3)</f>
        <v>20599.23000000001</v>
      </c>
      <c r="L3" s="84" t="s">
        <v>243</v>
      </c>
      <c r="M3" s="89">
        <v>-17000</v>
      </c>
      <c r="N3" s="87">
        <f>SUMIFS(P$24:P$1011,M$24:M$1011,$B3)</f>
        <v>0</v>
      </c>
      <c r="O3" s="87">
        <f>K3+M3-N3+SUMIFS(M$8:M$18,$C$8:$C$18,$A3)-SUMIFS(N$8:N$18,$C$8:$C$18,$A3)</f>
        <v>15899.650000000012</v>
      </c>
      <c r="R3" s="87">
        <f>SUMIFS(T$24:T$1008,Q$24:Q$1008,$B3)</f>
        <v>0</v>
      </c>
      <c r="S3" s="87">
        <f>O3+Q3-R3+SUMIFS(Q$8:Q$18,$C$8:$C$18,$A3)-SUMIFS(R$8:R$18,$C$8:$C$18,$A3)</f>
        <v>15899.650000000009</v>
      </c>
      <c r="V3" s="87">
        <f>SUMIFS(X$24:X$1008,U$24:U$1008,$B3)</f>
        <v>0</v>
      </c>
      <c r="W3" s="87">
        <f>S3+U3-V3+SUMIFS(U$8:U$18,$C$8:$C$18,$A3)-SUMIFS(V$8:V$18,$C$8:$C$18,$A3)</f>
        <v>15899.650000000009</v>
      </c>
      <c r="Z3" s="87">
        <f>SUMIFS(AB$24:AB$1008,Y$24:Y$1008,$B3)</f>
        <v>0</v>
      </c>
      <c r="AA3" s="87">
        <f>W3+Y3-Z3+SUMIFS(Y$8:Y$18,$C$8:$C$18,$A3)-SUMIFS(Z$8:Z$18,$C$8:$C$18,$A3)</f>
        <v>15899.650000000009</v>
      </c>
      <c r="AD3" s="87">
        <f>SUMIFS(AF$24:AF$1008,AC$24:AC$1008,$B3)</f>
        <v>0</v>
      </c>
      <c r="AE3" s="87">
        <f>AA3+AC3-AD3+SUMIFS(AC$8:AC$18,$C$8:$C$18,$A3)-SUMIFS(AD$8:AD$18,$C$8:$C$18,$A3)</f>
        <v>15899.650000000009</v>
      </c>
      <c r="AG3" s="87">
        <v>10000</v>
      </c>
    </row>
    <row r="4" spans="1:33" x14ac:dyDescent="0.35">
      <c r="A4" s="86" t="s">
        <v>244</v>
      </c>
      <c r="B4" s="85">
        <v>2</v>
      </c>
      <c r="D4" s="86">
        <v>48434.73</v>
      </c>
      <c r="E4" s="87">
        <v>-10500</v>
      </c>
      <c r="F4" s="87">
        <f>SUMIFS(H$24:H$1008,E$24:E$1008,$B4)</f>
        <v>0</v>
      </c>
      <c r="G4" s="87">
        <f>D4+E4-F4+SUMIFS(E$8:E$18,$C$8:$C$18,$A4)-SUMIFS(F$8:F$18,$C$8:$C$18,$A4)</f>
        <v>33539.279999999999</v>
      </c>
      <c r="I4" s="91">
        <v>-28498</v>
      </c>
      <c r="J4" s="87">
        <f>SUMIFS(L$24:L$1007,I$24:I$1007,$B4)</f>
        <v>0</v>
      </c>
      <c r="K4" s="87">
        <f>G4+I4-J4+SUMIFS(I$8:I$18,$C$8:$C$18,$A4)-SUMIFS(J$8:J$18,$C$8:$C$18,$A4)</f>
        <v>2709.1100000000006</v>
      </c>
      <c r="L4" s="86"/>
      <c r="M4" s="89">
        <v>-5000</v>
      </c>
      <c r="N4" s="87">
        <f>SUMIFS(P$24:P$1011,M$24:M$1011,$B4)</f>
        <v>-2290.89</v>
      </c>
      <c r="O4" s="87">
        <f>K4+M4-N4+SUMIFS(M$8:M$18,$C$8:$C$18,$A4)-SUMIFS(N$8:N$18,$C$8:$C$18,$A4)</f>
        <v>20939.929999999997</v>
      </c>
      <c r="R4" s="87">
        <f>SUMIFS(T$24:T$1008,Q$24:Q$1008,$B4)</f>
        <v>0</v>
      </c>
      <c r="S4" s="87">
        <f>O4+Q4-R4+SUMIFS(Q$8:Q$18,$C$8:$C$18,$A4)-SUMIFS(R$8:R$18,$C$8:$C$18,$A4)</f>
        <v>20939.929999999993</v>
      </c>
      <c r="V4" s="87">
        <f>SUMIFS(X$24:X$1008,U$24:U$1008,$B4)</f>
        <v>0</v>
      </c>
      <c r="W4" s="87">
        <f>S4+U4-V4+SUMIFS(U$8:U$18,$C$8:$C$18,$A4)-SUMIFS(V$8:V$18,$C$8:$C$18,$A4)</f>
        <v>20939.929999999993</v>
      </c>
      <c r="Z4" s="87">
        <f>SUMIFS(AB$24:AB$1008,Y$24:Y$1008,$B4)</f>
        <v>0</v>
      </c>
      <c r="AA4" s="87">
        <f>W4+Y4-Z4+SUMIFS(Y$8:Y$18,$C$8:$C$18,$A4)-SUMIFS(Z$8:Z$18,$C$8:$C$18,$A4)</f>
        <v>20939.929999999993</v>
      </c>
      <c r="AD4" s="87">
        <f>SUMIFS(AF$24:AF$1008,AC$24:AC$1008,$B4)</f>
        <v>0</v>
      </c>
      <c r="AE4" s="87">
        <f>AA4+AC4-AD4+SUMIFS(AC$8:AC$18,$C$8:$C$18,$A4)-SUMIFS(AD$8:AD$18,$C$8:$C$18,$A4)</f>
        <v>20939.929999999993</v>
      </c>
      <c r="AG4" s="87">
        <v>100000</v>
      </c>
    </row>
    <row r="5" spans="1:33" x14ac:dyDescent="0.35">
      <c r="A5" s="86" t="s">
        <v>245</v>
      </c>
      <c r="B5" s="85">
        <v>3</v>
      </c>
      <c r="D5" s="86">
        <v>50003.14</v>
      </c>
      <c r="E5" s="87">
        <v>5009.8900000000003</v>
      </c>
      <c r="F5" s="87">
        <f>SUMIFS(H$24:H$1008,E$24:E$1008,$B5)</f>
        <v>0</v>
      </c>
      <c r="G5" s="87">
        <f>D5+E5-F5+SUMIFS(E$8:E$18,$C$8:$C$18,$A5)-SUMIFS(F$8:F$18,$C$8:$C$18,$A5)</f>
        <v>39773.78</v>
      </c>
      <c r="I5" s="91">
        <v>-28160</v>
      </c>
      <c r="J5" s="87">
        <f>SUMIFS(L$24:L$1007,I$24:I$1007,$B5)</f>
        <v>0</v>
      </c>
      <c r="K5" s="87">
        <f>G5+I5-J5+SUMIFS(I$8:I$18,$C$8:$C$18,$A5)-SUMIFS(J$8:J$18,$C$8:$C$18,$A5)</f>
        <v>20146.95</v>
      </c>
      <c r="L5" s="86"/>
      <c r="M5" s="89">
        <v>0</v>
      </c>
      <c r="N5" s="87">
        <f>SUMIFS(P$24:P$1011,M$24:M$1011,$B5)</f>
        <v>0</v>
      </c>
      <c r="O5" s="87">
        <f>K5+M5-N5+SUMIFS(M$8:M$18,$C$8:$C$18,$A5)-SUMIFS(N$8:N$18,$C$8:$C$18,$A5)</f>
        <v>20146.95</v>
      </c>
      <c r="R5" s="87">
        <f>SUMIFS(T$24:T$1008,Q$24:Q$1008,$B5)</f>
        <v>0</v>
      </c>
      <c r="S5" s="87">
        <f>O5+Q5-R5+SUMIFS(Q$8:Q$18,$C$8:$C$18,$A5)-SUMIFS(R$8:R$18,$C$8:$C$18,$A5)</f>
        <v>20146.95</v>
      </c>
      <c r="V5" s="87">
        <f>SUMIFS(X$24:X$1008,U$24:U$1008,$B5)</f>
        <v>0</v>
      </c>
      <c r="W5" s="87">
        <f>S5+U5-V5+SUMIFS(U$8:U$18,$C$8:$C$18,$A5)-SUMIFS(V$8:V$18,$C$8:$C$18,$A5)</f>
        <v>20146.95</v>
      </c>
      <c r="Z5" s="87">
        <f>SUMIFS(AB$24:AB$1008,Y$24:Y$1008,$B5)</f>
        <v>0</v>
      </c>
      <c r="AA5" s="87">
        <f>W5+Y5-Z5+SUMIFS(Y$8:Y$18,$C$8:$C$18,$A5)-SUMIFS(Z$8:Z$18,$C$8:$C$18,$A5)</f>
        <v>20146.949999999997</v>
      </c>
      <c r="AD5" s="87">
        <f>SUMIFS(AF$24:AF$1008,AC$24:AC$1008,$B5)</f>
        <v>0</v>
      </c>
      <c r="AE5" s="87">
        <f>AA5+AC5-AD5+SUMIFS(AC$8:AC$18,$C$8:$C$18,$A5)-SUMIFS(AD$8:AD$18,$C$8:$C$18,$A5)</f>
        <v>20146.949999999997</v>
      </c>
      <c r="AG5" s="87">
        <v>80000</v>
      </c>
    </row>
    <row r="6" spans="1:33" x14ac:dyDescent="0.35">
      <c r="E6" s="87"/>
      <c r="F6" s="87"/>
    </row>
    <row r="7" spans="1:33" x14ac:dyDescent="0.35">
      <c r="A7" s="84" t="s">
        <v>246</v>
      </c>
      <c r="D7" s="84"/>
      <c r="E7" s="87">
        <f>SUM(E8:E18)</f>
        <v>58579.56</v>
      </c>
      <c r="F7" s="87">
        <f>SUM(F8:F18)</f>
        <v>68385.420000000013</v>
      </c>
      <c r="I7" s="89">
        <f>SUM(I8:I18)</f>
        <v>106680</v>
      </c>
      <c r="J7" s="87">
        <f>SUM(J8:J18)</f>
        <v>81396.109999999986</v>
      </c>
      <c r="M7" s="89">
        <f>SUM(M8:M18)</f>
        <v>81338</v>
      </c>
      <c r="N7" s="87">
        <f>SUM(N8:N18)</f>
        <v>48097.650000000009</v>
      </c>
      <c r="Q7" s="89">
        <f>SUM(Q8:Q18)</f>
        <v>97524.02</v>
      </c>
      <c r="R7" s="87">
        <f>$Q$7</f>
        <v>97524.02</v>
      </c>
      <c r="U7" s="89">
        <f>SUM(U8:U18)</f>
        <v>100041.02</v>
      </c>
      <c r="V7" s="87">
        <f>$U$7</f>
        <v>100041.02</v>
      </c>
      <c r="Y7" s="89">
        <f>SUM(Y8:Y18)</f>
        <v>103048</v>
      </c>
      <c r="Z7" s="87">
        <f>$Y$7</f>
        <v>103048</v>
      </c>
      <c r="AC7" s="89">
        <f>SUM(AC8:AC18)</f>
        <v>106143</v>
      </c>
      <c r="AD7" s="87">
        <f>$AC$7</f>
        <v>106143</v>
      </c>
    </row>
    <row r="8" spans="1:33" x14ac:dyDescent="0.35">
      <c r="A8" s="86" t="s">
        <v>246</v>
      </c>
      <c r="B8" s="85">
        <v>4</v>
      </c>
      <c r="C8" s="85" t="s">
        <v>242</v>
      </c>
      <c r="D8" s="84"/>
      <c r="E8" s="87">
        <v>5000</v>
      </c>
      <c r="F8" s="87">
        <f t="shared" ref="F8:F18" si="0">SUMIFS(H$24:H$1008,E$24:E$1008,$B8)</f>
        <v>254.5</v>
      </c>
      <c r="I8" s="91">
        <v>0</v>
      </c>
      <c r="J8" s="87">
        <f t="shared" ref="J8:J18" si="1">SUMIFS(L$24:L$1007,I$24:I$1007,$B8)</f>
        <v>197</v>
      </c>
      <c r="M8" s="89">
        <f>ROUNDUP((I8)*RPI,0)</f>
        <v>0</v>
      </c>
      <c r="N8" s="87">
        <f t="shared" ref="N8:N18" si="2">SUMIFS(P$24:P$1010,M$24:M$1010,$B8)</f>
        <v>0</v>
      </c>
      <c r="Q8" s="89">
        <f t="shared" ref="Q8:Q18" si="3">ROUNDUP((M8)*RPI,0)</f>
        <v>0</v>
      </c>
      <c r="R8" s="87">
        <f>$Q$8</f>
        <v>0</v>
      </c>
      <c r="U8" s="89">
        <f t="shared" ref="U8:U18" si="4">ROUNDUP((Q8)*RPI,0)</f>
        <v>0</v>
      </c>
      <c r="V8" s="87">
        <f>$U$8</f>
        <v>0</v>
      </c>
      <c r="Y8" s="89">
        <f t="shared" ref="Y8:Y18" si="5">ROUNDUP((U8)*RPI,0)</f>
        <v>0</v>
      </c>
      <c r="Z8" s="87">
        <f>$Y$8</f>
        <v>0</v>
      </c>
      <c r="AC8" s="89">
        <f t="shared" ref="AC8:AC18" si="6">ROUNDUP((Y8)*RPI,0)</f>
        <v>0</v>
      </c>
      <c r="AD8" s="87">
        <f>$AC$8</f>
        <v>0</v>
      </c>
    </row>
    <row r="9" spans="1:33" x14ac:dyDescent="0.35">
      <c r="A9" s="86" t="s">
        <v>247</v>
      </c>
      <c r="B9" s="85">
        <v>5</v>
      </c>
      <c r="C9" s="85" t="s">
        <v>242</v>
      </c>
      <c r="D9" s="84"/>
      <c r="E9" s="87">
        <v>380.07</v>
      </c>
      <c r="F9" s="87">
        <f t="shared" si="0"/>
        <v>384</v>
      </c>
      <c r="I9" s="89">
        <f>ROUNDUP((E9)*RPICurrent,0)</f>
        <v>413</v>
      </c>
      <c r="J9" s="87">
        <f t="shared" si="1"/>
        <v>0</v>
      </c>
      <c r="L9" s="105"/>
      <c r="M9" s="89">
        <f t="shared" ref="M9:M17" si="7">ROUNDUP((I9)*RPI,0)</f>
        <v>426</v>
      </c>
      <c r="N9" s="87">
        <f t="shared" si="2"/>
        <v>384</v>
      </c>
      <c r="P9" s="105"/>
      <c r="Q9" s="89">
        <f t="shared" si="3"/>
        <v>439</v>
      </c>
      <c r="R9" s="87">
        <f>$Q$9</f>
        <v>439</v>
      </c>
      <c r="U9" s="89">
        <f t="shared" si="4"/>
        <v>453</v>
      </c>
      <c r="V9" s="87">
        <f>$U$9</f>
        <v>453</v>
      </c>
      <c r="Y9" s="89">
        <f t="shared" si="5"/>
        <v>467</v>
      </c>
      <c r="Z9" s="87">
        <f>$Y$9</f>
        <v>467</v>
      </c>
      <c r="AC9" s="89">
        <f t="shared" si="6"/>
        <v>482</v>
      </c>
      <c r="AD9" s="87">
        <f>$AC$9</f>
        <v>482</v>
      </c>
    </row>
    <row r="10" spans="1:33" x14ac:dyDescent="0.35">
      <c r="A10" s="86" t="s">
        <v>248</v>
      </c>
      <c r="B10" s="85">
        <v>6</v>
      </c>
      <c r="C10" s="85" t="s">
        <v>242</v>
      </c>
      <c r="D10" s="84"/>
      <c r="E10" s="87">
        <v>0</v>
      </c>
      <c r="F10" s="87">
        <f t="shared" si="0"/>
        <v>1176</v>
      </c>
      <c r="I10" s="89">
        <v>833</v>
      </c>
      <c r="J10" s="87">
        <f t="shared" si="1"/>
        <v>1426</v>
      </c>
      <c r="M10" s="89">
        <v>1045</v>
      </c>
      <c r="N10" s="87">
        <f t="shared" si="2"/>
        <v>458</v>
      </c>
      <c r="P10" s="105"/>
      <c r="Q10" s="89">
        <f t="shared" si="3"/>
        <v>1077</v>
      </c>
      <c r="R10" s="87">
        <f>$Q$10</f>
        <v>1077</v>
      </c>
      <c r="U10" s="89">
        <f t="shared" si="4"/>
        <v>1110</v>
      </c>
      <c r="V10" s="87">
        <f>$U$10</f>
        <v>1110</v>
      </c>
      <c r="Y10" s="89">
        <f t="shared" si="5"/>
        <v>1144</v>
      </c>
      <c r="Z10" s="87">
        <f>$Y$10</f>
        <v>1144</v>
      </c>
      <c r="AC10" s="89">
        <f t="shared" si="6"/>
        <v>1179</v>
      </c>
      <c r="AD10" s="87">
        <f>$AC$10</f>
        <v>1179</v>
      </c>
    </row>
    <row r="11" spans="1:33" x14ac:dyDescent="0.35">
      <c r="A11" s="86" t="s">
        <v>249</v>
      </c>
      <c r="B11" s="85">
        <v>7</v>
      </c>
      <c r="C11" s="85" t="s">
        <v>242</v>
      </c>
      <c r="D11" s="84"/>
      <c r="E11" s="87">
        <v>3079.19</v>
      </c>
      <c r="F11" s="87">
        <f t="shared" si="0"/>
        <v>3009.5</v>
      </c>
      <c r="I11" s="89">
        <f>ROUNDUP((E11)*RPICurrent,0)</f>
        <v>3341</v>
      </c>
      <c r="J11" s="87">
        <f t="shared" si="1"/>
        <v>3066.8</v>
      </c>
      <c r="M11" s="89">
        <f t="shared" si="7"/>
        <v>3442</v>
      </c>
      <c r="N11" s="87">
        <f t="shared" si="2"/>
        <v>3158.88</v>
      </c>
      <c r="P11" s="105"/>
      <c r="Q11" s="89">
        <f t="shared" si="3"/>
        <v>3546</v>
      </c>
      <c r="R11" s="87">
        <f>$Q$11</f>
        <v>3546</v>
      </c>
      <c r="U11" s="89">
        <f t="shared" si="4"/>
        <v>3653</v>
      </c>
      <c r="V11" s="87">
        <f>$U$11</f>
        <v>3653</v>
      </c>
      <c r="Y11" s="89">
        <f t="shared" si="5"/>
        <v>3763</v>
      </c>
      <c r="Z11" s="87">
        <f>$Y$11</f>
        <v>3763</v>
      </c>
      <c r="AC11" s="89">
        <f t="shared" si="6"/>
        <v>3876</v>
      </c>
      <c r="AD11" s="87">
        <f>$AC$11</f>
        <v>3876</v>
      </c>
    </row>
    <row r="12" spans="1:33" x14ac:dyDescent="0.35">
      <c r="A12" s="86" t="s">
        <v>250</v>
      </c>
      <c r="B12" s="85">
        <v>8</v>
      </c>
      <c r="C12" s="85" t="s">
        <v>242</v>
      </c>
      <c r="D12" s="84"/>
      <c r="E12" s="87">
        <v>36.049999999999997</v>
      </c>
      <c r="F12" s="87">
        <f t="shared" si="0"/>
        <v>35</v>
      </c>
      <c r="I12" s="89">
        <v>35</v>
      </c>
      <c r="J12" s="87">
        <f t="shared" si="1"/>
        <v>55</v>
      </c>
      <c r="M12" s="89">
        <v>55</v>
      </c>
      <c r="N12" s="87">
        <f t="shared" si="2"/>
        <v>55</v>
      </c>
      <c r="P12" s="105"/>
      <c r="Q12" s="89">
        <f t="shared" si="3"/>
        <v>57</v>
      </c>
      <c r="R12" s="87">
        <f>$Q$12</f>
        <v>57</v>
      </c>
      <c r="U12" s="89">
        <f t="shared" si="4"/>
        <v>59</v>
      </c>
      <c r="V12" s="87">
        <f>$U$12</f>
        <v>59</v>
      </c>
      <c r="Y12" s="89">
        <f t="shared" si="5"/>
        <v>61</v>
      </c>
      <c r="Z12" s="87">
        <f>$Y$12</f>
        <v>61</v>
      </c>
      <c r="AC12" s="89">
        <f t="shared" si="6"/>
        <v>63</v>
      </c>
      <c r="AD12" s="87">
        <f>$AC$12</f>
        <v>63</v>
      </c>
    </row>
    <row r="13" spans="1:33" x14ac:dyDescent="0.35">
      <c r="A13" s="86" t="s">
        <v>251</v>
      </c>
      <c r="B13" s="85">
        <v>9</v>
      </c>
      <c r="C13" s="85" t="s">
        <v>245</v>
      </c>
      <c r="D13" s="84"/>
      <c r="E13" s="87">
        <v>0</v>
      </c>
      <c r="F13" s="87">
        <f t="shared" si="0"/>
        <v>15239.25</v>
      </c>
      <c r="I13" s="91">
        <v>28160</v>
      </c>
      <c r="J13" s="90">
        <f t="shared" si="1"/>
        <v>19626.829999999998</v>
      </c>
      <c r="M13" s="89">
        <v>0</v>
      </c>
      <c r="N13" s="87">
        <f t="shared" si="2"/>
        <v>0</v>
      </c>
      <c r="P13" s="105"/>
      <c r="Q13" s="91">
        <v>13743.02</v>
      </c>
      <c r="R13" s="90">
        <f>$Q$13</f>
        <v>13743.02</v>
      </c>
      <c r="U13" s="91">
        <v>13743.02</v>
      </c>
      <c r="V13" s="90">
        <f>$U$13</f>
        <v>13743.02</v>
      </c>
      <c r="Y13" s="89">
        <f t="shared" si="5"/>
        <v>14156</v>
      </c>
      <c r="Z13" s="87">
        <f>$Y$13</f>
        <v>14156</v>
      </c>
      <c r="AC13" s="89">
        <f t="shared" si="6"/>
        <v>14581</v>
      </c>
      <c r="AD13" s="87">
        <f>$AC$13</f>
        <v>14581</v>
      </c>
    </row>
    <row r="14" spans="1:33" x14ac:dyDescent="0.35">
      <c r="A14" s="86" t="s">
        <v>252</v>
      </c>
      <c r="B14" s="85">
        <v>10</v>
      </c>
      <c r="C14" s="85" t="s">
        <v>244</v>
      </c>
      <c r="D14" s="84"/>
      <c r="E14" s="87">
        <v>26265</v>
      </c>
      <c r="F14" s="87">
        <f t="shared" si="0"/>
        <v>30660.45</v>
      </c>
      <c r="I14" s="91">
        <f>(ROUNDUP((E14)*RPICurrent,0))+10000</f>
        <v>38498</v>
      </c>
      <c r="J14" s="87">
        <f t="shared" si="1"/>
        <v>40830.17</v>
      </c>
      <c r="M14" s="89">
        <v>40000</v>
      </c>
      <c r="N14" s="87">
        <f t="shared" si="2"/>
        <v>19060.070000000003</v>
      </c>
      <c r="P14" s="105"/>
      <c r="Q14" s="89">
        <f t="shared" si="3"/>
        <v>41200</v>
      </c>
      <c r="R14" s="87">
        <f>$Q$14</f>
        <v>41200</v>
      </c>
      <c r="U14" s="89">
        <f t="shared" si="4"/>
        <v>42436</v>
      </c>
      <c r="V14" s="87">
        <f>$U$14</f>
        <v>42436</v>
      </c>
      <c r="Y14" s="89">
        <f t="shared" si="5"/>
        <v>43710</v>
      </c>
      <c r="Z14" s="87">
        <f>$Y$14</f>
        <v>43710</v>
      </c>
      <c r="AC14" s="89">
        <f t="shared" si="6"/>
        <v>45022</v>
      </c>
      <c r="AD14" s="87">
        <f>$AC$14</f>
        <v>45022</v>
      </c>
    </row>
    <row r="15" spans="1:33" ht="29" x14ac:dyDescent="0.35">
      <c r="A15" s="105" t="s">
        <v>1696</v>
      </c>
      <c r="B15" s="85">
        <v>11</v>
      </c>
      <c r="C15" s="85" t="s">
        <v>242</v>
      </c>
      <c r="D15" s="84"/>
      <c r="E15" s="87">
        <v>20000</v>
      </c>
      <c r="F15" s="87">
        <f t="shared" si="0"/>
        <v>17529.769999999997</v>
      </c>
      <c r="I15" s="89">
        <v>30000</v>
      </c>
      <c r="J15" s="87">
        <f t="shared" si="1"/>
        <v>21072.269999999997</v>
      </c>
      <c r="L15" s="86"/>
      <c r="M15" s="89">
        <f t="shared" si="7"/>
        <v>30900</v>
      </c>
      <c r="N15" s="87">
        <f t="shared" si="2"/>
        <v>24919.73</v>
      </c>
      <c r="P15" s="105"/>
      <c r="Q15" s="89">
        <f t="shared" si="3"/>
        <v>31827</v>
      </c>
      <c r="R15" s="87">
        <f>$Q$15</f>
        <v>31827</v>
      </c>
      <c r="U15" s="89">
        <f t="shared" si="4"/>
        <v>32782</v>
      </c>
      <c r="V15" s="87">
        <f>$U$15</f>
        <v>32782</v>
      </c>
      <c r="Y15" s="89">
        <f t="shared" si="5"/>
        <v>33766</v>
      </c>
      <c r="Z15" s="87">
        <f>$Y$15</f>
        <v>33766</v>
      </c>
      <c r="AC15" s="89">
        <f t="shared" si="6"/>
        <v>34779</v>
      </c>
      <c r="AD15" s="87">
        <f>$AC$15</f>
        <v>34779</v>
      </c>
    </row>
    <row r="16" spans="1:33" x14ac:dyDescent="0.35">
      <c r="A16" s="86" t="s">
        <v>254</v>
      </c>
      <c r="B16" s="85">
        <v>12</v>
      </c>
      <c r="C16" s="85" t="s">
        <v>242</v>
      </c>
      <c r="D16" s="84"/>
      <c r="E16" s="87">
        <v>265.23</v>
      </c>
      <c r="F16" s="87">
        <f t="shared" si="0"/>
        <v>322.55</v>
      </c>
      <c r="I16" s="89">
        <v>400</v>
      </c>
      <c r="J16" s="87">
        <f t="shared" si="1"/>
        <v>394.1</v>
      </c>
      <c r="M16" s="89">
        <f t="shared" si="7"/>
        <v>412</v>
      </c>
      <c r="N16" s="87">
        <f t="shared" si="2"/>
        <v>172.05</v>
      </c>
      <c r="Q16" s="89">
        <f t="shared" si="3"/>
        <v>425</v>
      </c>
      <c r="R16" s="87">
        <f>$Q$16</f>
        <v>425</v>
      </c>
      <c r="U16" s="89">
        <f t="shared" si="4"/>
        <v>438</v>
      </c>
      <c r="V16" s="87">
        <f>$U$16</f>
        <v>438</v>
      </c>
      <c r="Y16" s="89">
        <f t="shared" si="5"/>
        <v>452</v>
      </c>
      <c r="Z16" s="87">
        <f>$Y$16</f>
        <v>452</v>
      </c>
      <c r="AC16" s="89">
        <f t="shared" si="6"/>
        <v>466</v>
      </c>
      <c r="AD16" s="87">
        <f>$AC$16</f>
        <v>466</v>
      </c>
    </row>
    <row r="17" spans="1:31" x14ac:dyDescent="0.35">
      <c r="A17" s="86" t="s">
        <v>255</v>
      </c>
      <c r="B17" s="85">
        <v>13</v>
      </c>
      <c r="C17" s="85" t="s">
        <v>242</v>
      </c>
      <c r="D17" s="84"/>
      <c r="E17" s="87">
        <v>0</v>
      </c>
      <c r="F17" s="87">
        <f t="shared" si="0"/>
        <v>-4673.95</v>
      </c>
      <c r="I17" s="89">
        <f>ROUNDUP((E17)*RPICurrent,0)</f>
        <v>0</v>
      </c>
      <c r="J17" s="87">
        <f t="shared" si="1"/>
        <v>-9414.7100000000009</v>
      </c>
      <c r="M17" s="89">
        <f t="shared" si="7"/>
        <v>0</v>
      </c>
      <c r="N17" s="87">
        <f t="shared" si="2"/>
        <v>-25.08</v>
      </c>
      <c r="Q17" s="89">
        <f t="shared" si="3"/>
        <v>0</v>
      </c>
      <c r="R17" s="87">
        <f>$Q$17</f>
        <v>0</v>
      </c>
      <c r="U17" s="89">
        <f t="shared" si="4"/>
        <v>0</v>
      </c>
      <c r="V17" s="87">
        <f>$U$17</f>
        <v>0</v>
      </c>
      <c r="Y17" s="89">
        <f t="shared" si="5"/>
        <v>0</v>
      </c>
      <c r="Z17" s="87">
        <f>$Y$17</f>
        <v>0</v>
      </c>
      <c r="AC17" s="89">
        <f t="shared" si="6"/>
        <v>0</v>
      </c>
      <c r="AD17" s="87">
        <f>$AC$17</f>
        <v>0</v>
      </c>
    </row>
    <row r="18" spans="1:31" x14ac:dyDescent="0.35">
      <c r="A18" s="86" t="s">
        <v>256</v>
      </c>
      <c r="B18" s="85">
        <v>14</v>
      </c>
      <c r="C18" s="85" t="s">
        <v>242</v>
      </c>
      <c r="D18" s="84"/>
      <c r="E18" s="87">
        <v>3554.02</v>
      </c>
      <c r="F18" s="87">
        <f t="shared" si="0"/>
        <v>4448.3500000000004</v>
      </c>
      <c r="I18" s="89">
        <v>5000</v>
      </c>
      <c r="J18" s="87">
        <f t="shared" si="1"/>
        <v>4142.6499999999996</v>
      </c>
      <c r="M18" s="89">
        <f>ROUNDUP((3500+470*3)*RPI,0)</f>
        <v>5058</v>
      </c>
      <c r="N18" s="87">
        <f t="shared" si="2"/>
        <v>-85</v>
      </c>
      <c r="P18" s="105"/>
      <c r="Q18" s="89">
        <f t="shared" si="3"/>
        <v>5210</v>
      </c>
      <c r="R18" s="87">
        <f>$Q$18</f>
        <v>5210</v>
      </c>
      <c r="U18" s="89">
        <f t="shared" si="4"/>
        <v>5367</v>
      </c>
      <c r="V18" s="87">
        <f>$U$18</f>
        <v>5367</v>
      </c>
      <c r="Y18" s="89">
        <f t="shared" si="5"/>
        <v>5529</v>
      </c>
      <c r="Z18" s="87">
        <f>$Y$18</f>
        <v>5529</v>
      </c>
      <c r="AC18" s="89">
        <f t="shared" si="6"/>
        <v>5695</v>
      </c>
      <c r="AD18" s="87">
        <f>$AC$18</f>
        <v>5695</v>
      </c>
    </row>
    <row r="19" spans="1:31" x14ac:dyDescent="0.35">
      <c r="E19" s="87"/>
      <c r="F19" s="87"/>
    </row>
    <row r="20" spans="1:31" x14ac:dyDescent="0.35">
      <c r="E20" s="87"/>
      <c r="F20" s="87"/>
    </row>
    <row r="21" spans="1:31" x14ac:dyDescent="0.35">
      <c r="E21" s="87"/>
      <c r="F21" s="87"/>
    </row>
    <row r="22" spans="1:31" x14ac:dyDescent="0.35">
      <c r="A22" s="84" t="s">
        <v>487</v>
      </c>
      <c r="G22" s="85"/>
      <c r="H22" s="87"/>
      <c r="I22" s="94"/>
      <c r="J22" s="93"/>
      <c r="K22" s="85"/>
      <c r="M22" s="94"/>
      <c r="N22" s="93"/>
      <c r="O22" s="85"/>
      <c r="Q22" s="94"/>
      <c r="R22" s="93"/>
      <c r="S22" s="85"/>
      <c r="U22" s="94"/>
      <c r="V22" s="93"/>
      <c r="W22" s="85"/>
      <c r="Y22" s="94"/>
      <c r="Z22" s="93"/>
      <c r="AA22" s="85"/>
      <c r="AC22" s="94"/>
      <c r="AD22" s="93"/>
      <c r="AE22" s="85"/>
    </row>
    <row r="23" spans="1:31" x14ac:dyDescent="0.35">
      <c r="E23" s="85" t="s">
        <v>484</v>
      </c>
      <c r="F23" s="93" t="s">
        <v>488</v>
      </c>
      <c r="G23" s="85" t="s">
        <v>489</v>
      </c>
      <c r="H23" s="87" t="s">
        <v>475</v>
      </c>
      <c r="I23" s="85" t="s">
        <v>484</v>
      </c>
      <c r="J23" s="93" t="s">
        <v>488</v>
      </c>
      <c r="K23" s="85" t="s">
        <v>489</v>
      </c>
      <c r="L23" s="87" t="s">
        <v>475</v>
      </c>
      <c r="M23" s="85" t="s">
        <v>484</v>
      </c>
      <c r="N23" s="93" t="s">
        <v>488</v>
      </c>
      <c r="O23" s="85" t="s">
        <v>489</v>
      </c>
      <c r="P23" s="87" t="s">
        <v>475</v>
      </c>
      <c r="Q23" s="94"/>
      <c r="R23" s="93"/>
      <c r="S23" s="85"/>
      <c r="U23" s="94"/>
      <c r="V23" s="93"/>
      <c r="W23" s="85"/>
      <c r="Y23" s="94"/>
      <c r="Z23" s="93"/>
      <c r="AA23" s="85"/>
      <c r="AC23" s="94"/>
      <c r="AD23" s="93"/>
      <c r="AE23" s="85"/>
    </row>
    <row r="24" spans="1:31" x14ac:dyDescent="0.35">
      <c r="A24" s="85"/>
      <c r="D24" s="85"/>
      <c r="E24" s="85">
        <v>13</v>
      </c>
      <c r="F24" s="93" t="s">
        <v>967</v>
      </c>
      <c r="G24" s="85" t="s">
        <v>1697</v>
      </c>
      <c r="H24" s="87">
        <v>-4673.95</v>
      </c>
      <c r="I24" s="94">
        <v>7</v>
      </c>
      <c r="J24" s="93">
        <v>45017</v>
      </c>
      <c r="K24" s="85" t="s">
        <v>1698</v>
      </c>
      <c r="L24" s="87">
        <v>3066.8</v>
      </c>
      <c r="M24" s="94">
        <v>5</v>
      </c>
      <c r="N24" s="93" t="s">
        <v>1878</v>
      </c>
      <c r="O24" s="85" t="s">
        <v>2637</v>
      </c>
      <c r="P24" s="148">
        <v>384</v>
      </c>
      <c r="Q24" s="94"/>
      <c r="R24" s="93"/>
      <c r="S24" s="85"/>
      <c r="U24" s="94"/>
      <c r="V24" s="93"/>
      <c r="W24" s="85"/>
      <c r="Y24" s="94"/>
      <c r="Z24" s="93"/>
      <c r="AA24" s="85"/>
      <c r="AC24" s="94"/>
      <c r="AD24" s="93"/>
      <c r="AE24" s="85"/>
    </row>
    <row r="25" spans="1:31" x14ac:dyDescent="0.35">
      <c r="E25" s="85">
        <v>5</v>
      </c>
      <c r="F25" s="93">
        <v>44652</v>
      </c>
      <c r="G25" s="85" t="s">
        <v>1699</v>
      </c>
      <c r="H25" s="87">
        <v>384</v>
      </c>
      <c r="I25" s="94">
        <v>11</v>
      </c>
      <c r="J25" s="93">
        <v>45017</v>
      </c>
      <c r="K25" s="85" t="s">
        <v>253</v>
      </c>
      <c r="L25" s="87">
        <f>18564.99-83.72</f>
        <v>18481.27</v>
      </c>
      <c r="M25" s="94">
        <v>2</v>
      </c>
      <c r="N25" s="93" t="s">
        <v>3103</v>
      </c>
      <c r="O25" s="93" t="s">
        <v>3103</v>
      </c>
      <c r="P25" s="87">
        <v>-2290.89</v>
      </c>
      <c r="Q25" s="94"/>
      <c r="R25" s="93"/>
      <c r="S25" s="85"/>
      <c r="U25" s="94"/>
      <c r="V25" s="93"/>
      <c r="W25" s="85"/>
      <c r="Y25" s="94"/>
      <c r="Z25" s="93"/>
      <c r="AA25" s="85"/>
      <c r="AC25" s="94"/>
      <c r="AD25" s="93"/>
      <c r="AE25" s="85"/>
    </row>
    <row r="26" spans="1:31" x14ac:dyDescent="0.35">
      <c r="E26" s="85">
        <v>14</v>
      </c>
      <c r="F26" s="93">
        <v>44719</v>
      </c>
      <c r="G26" s="85" t="s">
        <v>1700</v>
      </c>
      <c r="H26" s="87">
        <v>350</v>
      </c>
      <c r="I26" s="94">
        <v>10</v>
      </c>
      <c r="J26" s="93">
        <v>45020</v>
      </c>
      <c r="K26" s="85" t="s">
        <v>1701</v>
      </c>
      <c r="L26" s="87">
        <v>18</v>
      </c>
      <c r="M26" s="94">
        <v>10</v>
      </c>
      <c r="N26" s="93" t="s">
        <v>3103</v>
      </c>
      <c r="O26" s="93" t="s">
        <v>3103</v>
      </c>
      <c r="P26" s="87">
        <v>2290.89</v>
      </c>
      <c r="Q26" s="94"/>
      <c r="R26" s="93"/>
      <c r="S26" s="85"/>
      <c r="U26" s="94"/>
      <c r="V26" s="93"/>
      <c r="W26" s="85"/>
      <c r="Y26" s="94"/>
      <c r="Z26" s="93"/>
      <c r="AA26" s="85"/>
      <c r="AC26" s="94"/>
      <c r="AD26" s="93"/>
      <c r="AE26" s="85"/>
    </row>
    <row r="27" spans="1:31" x14ac:dyDescent="0.35">
      <c r="E27" s="85">
        <v>11</v>
      </c>
      <c r="F27" s="93" t="s">
        <v>891</v>
      </c>
      <c r="G27" s="85" t="s">
        <v>253</v>
      </c>
      <c r="H27" s="87">
        <f>16710.43+418.62+114.44+222.01+64.27</f>
        <v>17529.769999999997</v>
      </c>
      <c r="I27" s="94">
        <v>6</v>
      </c>
      <c r="J27" s="93">
        <v>45064</v>
      </c>
      <c r="K27" s="85" t="s">
        <v>1702</v>
      </c>
      <c r="L27" s="87">
        <v>222</v>
      </c>
      <c r="M27" s="94">
        <v>7</v>
      </c>
      <c r="N27" s="93">
        <v>45383</v>
      </c>
      <c r="O27" s="85" t="s">
        <v>2818</v>
      </c>
      <c r="P27" s="148">
        <v>3158.88</v>
      </c>
      <c r="Q27" s="94"/>
      <c r="R27" s="93"/>
      <c r="S27" s="85"/>
      <c r="U27" s="94"/>
      <c r="V27" s="93"/>
      <c r="W27" s="85"/>
      <c r="Y27" s="94"/>
      <c r="Z27" s="93"/>
      <c r="AA27" s="85"/>
      <c r="AC27" s="94"/>
      <c r="AD27" s="93"/>
      <c r="AE27" s="85"/>
    </row>
    <row r="28" spans="1:31" x14ac:dyDescent="0.35">
      <c r="E28" s="85">
        <v>12</v>
      </c>
      <c r="F28" s="93" t="s">
        <v>1186</v>
      </c>
      <c r="G28" s="85" t="s">
        <v>254</v>
      </c>
      <c r="H28" s="87">
        <f>12*6+64.65+57.6+61.8</f>
        <v>256.05</v>
      </c>
      <c r="I28" s="94">
        <v>10</v>
      </c>
      <c r="J28" s="93">
        <v>45043</v>
      </c>
      <c r="K28" s="85" t="s">
        <v>1703</v>
      </c>
      <c r="L28" s="87">
        <v>419.9</v>
      </c>
      <c r="M28" s="94">
        <v>10</v>
      </c>
      <c r="N28" s="93">
        <v>45433</v>
      </c>
      <c r="O28" s="85" t="s">
        <v>1730</v>
      </c>
      <c r="P28" s="148">
        <v>3</v>
      </c>
      <c r="Q28" s="94"/>
      <c r="R28" s="93"/>
      <c r="S28" s="85"/>
      <c r="U28" s="94"/>
      <c r="V28" s="93"/>
      <c r="W28" s="85"/>
      <c r="Y28" s="94"/>
      <c r="Z28" s="93"/>
      <c r="AA28" s="85"/>
      <c r="AC28" s="94"/>
      <c r="AD28" s="93"/>
      <c r="AE28" s="85"/>
    </row>
    <row r="29" spans="1:31" x14ac:dyDescent="0.35">
      <c r="E29" s="85">
        <v>10</v>
      </c>
      <c r="F29" s="93" t="s">
        <v>891</v>
      </c>
      <c r="G29" s="85" t="s">
        <v>252</v>
      </c>
      <c r="H29" s="87">
        <v>25914.15</v>
      </c>
      <c r="I29" s="94">
        <v>11</v>
      </c>
      <c r="J29" s="93">
        <v>45074</v>
      </c>
      <c r="K29" s="85" t="s">
        <v>1704</v>
      </c>
      <c r="L29" s="87">
        <v>145.16</v>
      </c>
      <c r="M29" s="94">
        <v>11</v>
      </c>
      <c r="N29" s="93">
        <v>45397</v>
      </c>
      <c r="O29" s="85" t="s">
        <v>1721</v>
      </c>
      <c r="P29" s="148">
        <v>3713.33</v>
      </c>
      <c r="Q29" s="94"/>
      <c r="R29" s="93"/>
      <c r="S29" s="85"/>
      <c r="U29" s="94"/>
      <c r="V29" s="93"/>
      <c r="W29" s="85"/>
      <c r="Y29" s="94"/>
      <c r="Z29" s="93"/>
      <c r="AA29" s="85"/>
      <c r="AC29" s="94"/>
      <c r="AD29" s="93"/>
      <c r="AE29" s="85"/>
    </row>
    <row r="30" spans="1:31" x14ac:dyDescent="0.35">
      <c r="E30" s="85">
        <v>9</v>
      </c>
      <c r="F30" s="93">
        <v>44840</v>
      </c>
      <c r="G30" s="85" t="s">
        <v>1705</v>
      </c>
      <c r="H30" s="87">
        <v>15239.25</v>
      </c>
      <c r="I30" s="94">
        <v>8</v>
      </c>
      <c r="J30" s="93">
        <v>45069</v>
      </c>
      <c r="K30" s="85" t="s">
        <v>1706</v>
      </c>
      <c r="L30" s="87">
        <v>55</v>
      </c>
      <c r="M30" s="94">
        <v>11</v>
      </c>
      <c r="N30" s="93">
        <v>45393</v>
      </c>
      <c r="O30" s="85" t="s">
        <v>1721</v>
      </c>
      <c r="P30" s="148">
        <v>87.21</v>
      </c>
      <c r="Q30" s="94"/>
      <c r="R30" s="93"/>
      <c r="S30" s="85"/>
      <c r="U30" s="94"/>
      <c r="V30" s="93"/>
      <c r="W30" s="85"/>
      <c r="Y30" s="94"/>
      <c r="Z30" s="93"/>
      <c r="AA30" s="85"/>
      <c r="AC30" s="94"/>
      <c r="AD30" s="93"/>
      <c r="AE30" s="85"/>
    </row>
    <row r="31" spans="1:31" x14ac:dyDescent="0.35">
      <c r="E31" s="85">
        <v>14</v>
      </c>
      <c r="F31" s="93" t="s">
        <v>775</v>
      </c>
      <c r="G31" s="85" t="s">
        <v>1707</v>
      </c>
      <c r="H31" s="87">
        <v>3500</v>
      </c>
      <c r="I31" s="94">
        <v>10</v>
      </c>
      <c r="J31" s="93">
        <v>45057</v>
      </c>
      <c r="K31" s="85" t="s">
        <v>1708</v>
      </c>
      <c r="L31" s="87">
        <v>-1200</v>
      </c>
      <c r="M31" s="94">
        <v>11</v>
      </c>
      <c r="N31" s="93" t="s">
        <v>1878</v>
      </c>
      <c r="O31" s="85" t="s">
        <v>253</v>
      </c>
      <c r="P31" s="148">
        <v>21119.19</v>
      </c>
      <c r="Q31" s="94"/>
      <c r="R31" s="93"/>
      <c r="S31" s="85"/>
      <c r="U31" s="94"/>
      <c r="V31" s="93"/>
      <c r="W31" s="85"/>
      <c r="Y31" s="94"/>
      <c r="Z31" s="93"/>
      <c r="AA31" s="85"/>
      <c r="AC31" s="94"/>
      <c r="AD31" s="93"/>
      <c r="AE31" s="85"/>
    </row>
    <row r="32" spans="1:31" x14ac:dyDescent="0.35">
      <c r="E32" s="85">
        <v>7</v>
      </c>
      <c r="F32" s="93">
        <v>44652</v>
      </c>
      <c r="G32" s="85" t="s">
        <v>1698</v>
      </c>
      <c r="H32" s="87">
        <v>3009.5</v>
      </c>
      <c r="I32" s="94">
        <v>11</v>
      </c>
      <c r="J32" s="93">
        <v>45047</v>
      </c>
      <c r="K32" s="85" t="s">
        <v>1709</v>
      </c>
      <c r="L32" s="87">
        <v>538.76</v>
      </c>
      <c r="M32" s="94">
        <v>6</v>
      </c>
      <c r="N32" s="93">
        <v>45422</v>
      </c>
      <c r="O32" s="85" t="s">
        <v>2907</v>
      </c>
      <c r="P32" s="148">
        <v>229</v>
      </c>
      <c r="Q32" s="94"/>
      <c r="R32" s="93"/>
      <c r="S32" s="85"/>
      <c r="U32" s="94"/>
      <c r="V32" s="93"/>
      <c r="W32" s="85"/>
      <c r="Y32" s="94"/>
      <c r="Z32" s="93"/>
      <c r="AA32" s="85"/>
      <c r="AC32" s="94"/>
      <c r="AD32" s="93"/>
      <c r="AE32" s="85"/>
    </row>
    <row r="33" spans="5:31" x14ac:dyDescent="0.35">
      <c r="E33" s="85">
        <v>8</v>
      </c>
      <c r="F33" s="93">
        <v>44652</v>
      </c>
      <c r="G33" s="85" t="s">
        <v>250</v>
      </c>
      <c r="H33" s="87">
        <v>35</v>
      </c>
      <c r="I33" s="94">
        <v>12</v>
      </c>
      <c r="J33" s="93" t="s">
        <v>790</v>
      </c>
      <c r="K33" s="85" t="s">
        <v>1710</v>
      </c>
      <c r="L33" s="87">
        <f>6*12</f>
        <v>72</v>
      </c>
      <c r="M33" s="94">
        <v>10</v>
      </c>
      <c r="N33" s="93">
        <v>45433</v>
      </c>
      <c r="O33" s="85" t="s">
        <v>1730</v>
      </c>
      <c r="P33" s="148">
        <v>1385.1</v>
      </c>
      <c r="Q33" s="94"/>
      <c r="R33" s="93"/>
      <c r="S33" s="85"/>
      <c r="U33" s="94"/>
      <c r="V33" s="93"/>
      <c r="W33" s="85"/>
      <c r="Y33" s="94"/>
      <c r="Z33" s="93"/>
      <c r="AA33" s="85"/>
      <c r="AC33" s="94"/>
      <c r="AD33" s="93"/>
      <c r="AE33" s="85"/>
    </row>
    <row r="34" spans="5:31" x14ac:dyDescent="0.35">
      <c r="E34" s="85">
        <v>6</v>
      </c>
      <c r="F34" s="93">
        <v>44652</v>
      </c>
      <c r="G34" s="85" t="s">
        <v>1711</v>
      </c>
      <c r="H34" s="87">
        <f>552+215+409</f>
        <v>1176</v>
      </c>
      <c r="I34" s="94">
        <v>11</v>
      </c>
      <c r="J34" s="93">
        <v>45105</v>
      </c>
      <c r="K34" s="85" t="s">
        <v>1712</v>
      </c>
      <c r="L34" s="87">
        <v>466.35</v>
      </c>
      <c r="M34" s="94">
        <v>8</v>
      </c>
      <c r="N34" s="93">
        <v>45435</v>
      </c>
      <c r="O34" s="85" t="s">
        <v>2942</v>
      </c>
      <c r="P34" s="148">
        <v>55</v>
      </c>
      <c r="Q34" s="94"/>
      <c r="R34" s="93"/>
      <c r="S34" s="85"/>
      <c r="U34" s="94"/>
      <c r="V34" s="93"/>
      <c r="W34" s="85"/>
      <c r="Y34" s="94"/>
      <c r="Z34" s="93"/>
      <c r="AA34" s="85"/>
      <c r="AC34" s="94"/>
      <c r="AD34" s="93"/>
      <c r="AE34" s="85"/>
    </row>
    <row r="35" spans="5:31" x14ac:dyDescent="0.35">
      <c r="E35" s="85">
        <v>14</v>
      </c>
      <c r="F35" s="93">
        <v>44956</v>
      </c>
      <c r="G35" s="85" t="s">
        <v>1713</v>
      </c>
      <c r="H35" s="87">
        <v>598.35</v>
      </c>
      <c r="I35" s="94">
        <v>6</v>
      </c>
      <c r="J35" s="93">
        <v>45064</v>
      </c>
      <c r="K35" s="85" t="s">
        <v>1714</v>
      </c>
      <c r="L35" s="87">
        <v>237</v>
      </c>
      <c r="M35" s="94">
        <v>13</v>
      </c>
      <c r="N35" s="93">
        <v>45413</v>
      </c>
      <c r="O35" s="85" t="s">
        <v>2944</v>
      </c>
      <c r="P35" s="148">
        <v>-25.08</v>
      </c>
      <c r="Q35" s="94"/>
      <c r="R35" s="93"/>
      <c r="S35" s="85"/>
      <c r="U35" s="94"/>
      <c r="V35" s="93"/>
      <c r="W35" s="85"/>
      <c r="Y35" s="94"/>
      <c r="Z35" s="93"/>
      <c r="AA35" s="85"/>
      <c r="AC35" s="94"/>
      <c r="AD35" s="93"/>
      <c r="AE35" s="85"/>
    </row>
    <row r="36" spans="5:31" x14ac:dyDescent="0.35">
      <c r="E36" s="85">
        <v>4</v>
      </c>
      <c r="F36" s="93">
        <v>44932</v>
      </c>
      <c r="G36" s="85" t="s">
        <v>1715</v>
      </c>
      <c r="H36" s="87">
        <v>187.5</v>
      </c>
      <c r="I36" s="94">
        <v>10</v>
      </c>
      <c r="J36" s="93">
        <v>45106</v>
      </c>
      <c r="K36" s="85" t="s">
        <v>1716</v>
      </c>
      <c r="L36" s="87">
        <v>713.2</v>
      </c>
      <c r="M36" s="94">
        <v>10</v>
      </c>
      <c r="N36" s="93">
        <v>45442</v>
      </c>
      <c r="O36" s="85" t="s">
        <v>2214</v>
      </c>
      <c r="P36" s="148">
        <v>766.1</v>
      </c>
      <c r="Q36" s="94"/>
      <c r="R36" s="93"/>
      <c r="S36" s="85"/>
      <c r="U36" s="94"/>
      <c r="V36" s="93"/>
      <c r="W36" s="85"/>
      <c r="Y36" s="94"/>
      <c r="Z36" s="93"/>
      <c r="AA36" s="85"/>
      <c r="AC36" s="94"/>
      <c r="AD36" s="93"/>
      <c r="AE36" s="85"/>
    </row>
    <row r="37" spans="5:31" x14ac:dyDescent="0.35">
      <c r="E37" s="85">
        <v>4</v>
      </c>
      <c r="F37" s="93">
        <v>44960</v>
      </c>
      <c r="G37" s="85" t="s">
        <v>1717</v>
      </c>
      <c r="H37" s="87">
        <v>67</v>
      </c>
      <c r="I37" s="94">
        <v>12</v>
      </c>
      <c r="J37" s="93">
        <v>45107</v>
      </c>
      <c r="K37" s="85" t="s">
        <v>1718</v>
      </c>
      <c r="L37" s="87">
        <v>71.400000000000006</v>
      </c>
      <c r="M37" s="94">
        <v>12</v>
      </c>
      <c r="N37" s="93">
        <v>45473</v>
      </c>
      <c r="O37" s="85" t="s">
        <v>1718</v>
      </c>
      <c r="P37" s="148">
        <v>100.05</v>
      </c>
      <c r="Q37" s="94"/>
      <c r="R37" s="93"/>
      <c r="S37" s="85"/>
      <c r="U37" s="94"/>
      <c r="V37" s="93"/>
      <c r="W37" s="85"/>
      <c r="Y37" s="94"/>
      <c r="Z37" s="93"/>
      <c r="AA37" s="85"/>
      <c r="AC37" s="94"/>
      <c r="AD37" s="93"/>
      <c r="AE37" s="85"/>
    </row>
    <row r="38" spans="5:31" x14ac:dyDescent="0.35">
      <c r="E38" s="85">
        <v>10</v>
      </c>
      <c r="F38" s="93">
        <v>44979</v>
      </c>
      <c r="G38" s="85" t="s">
        <v>1719</v>
      </c>
      <c r="H38" s="87">
        <v>2250</v>
      </c>
      <c r="I38" s="94">
        <v>9</v>
      </c>
      <c r="J38" s="93">
        <v>45127</v>
      </c>
      <c r="K38" s="85" t="s">
        <v>1720</v>
      </c>
      <c r="L38" s="87">
        <v>145.86000000000001</v>
      </c>
      <c r="M38" s="94">
        <v>12</v>
      </c>
      <c r="N38" s="93" t="s">
        <v>790</v>
      </c>
      <c r="O38" s="85" t="s">
        <v>2984</v>
      </c>
      <c r="P38" s="148">
        <f>6*12</f>
        <v>72</v>
      </c>
      <c r="Q38" s="94"/>
      <c r="R38" s="93"/>
      <c r="S38" s="85"/>
      <c r="U38" s="94"/>
      <c r="V38" s="93"/>
      <c r="W38" s="85"/>
      <c r="Y38" s="94"/>
      <c r="Z38" s="93"/>
      <c r="AA38" s="85"/>
      <c r="AC38" s="94"/>
      <c r="AD38" s="93"/>
      <c r="AE38" s="85"/>
    </row>
    <row r="39" spans="5:31" x14ac:dyDescent="0.35">
      <c r="E39" s="85">
        <v>10</v>
      </c>
      <c r="F39" s="93">
        <v>44999</v>
      </c>
      <c r="G39" s="85" t="s">
        <v>1701</v>
      </c>
      <c r="H39" s="87">
        <v>6</v>
      </c>
      <c r="I39" s="94">
        <v>11</v>
      </c>
      <c r="J39" s="93">
        <v>45120</v>
      </c>
      <c r="K39" s="85" t="s">
        <v>1721</v>
      </c>
      <c r="L39" s="87">
        <v>688.49</v>
      </c>
      <c r="M39" s="94">
        <v>10</v>
      </c>
      <c r="N39" s="93">
        <v>45470</v>
      </c>
      <c r="O39" s="85" t="s">
        <v>3027</v>
      </c>
      <c r="P39" s="148">
        <v>4082.4</v>
      </c>
      <c r="Q39" s="94"/>
      <c r="R39" s="93"/>
      <c r="S39" s="85"/>
      <c r="U39" s="94"/>
      <c r="V39" s="93"/>
      <c r="W39" s="85"/>
      <c r="Y39" s="94"/>
      <c r="Z39" s="93"/>
      <c r="AA39" s="85"/>
      <c r="AC39" s="94"/>
      <c r="AD39" s="93"/>
      <c r="AE39" s="85"/>
    </row>
    <row r="40" spans="5:31" x14ac:dyDescent="0.35">
      <c r="E40" s="85">
        <v>10</v>
      </c>
      <c r="F40" s="93">
        <v>45015</v>
      </c>
      <c r="G40" s="85" t="s">
        <v>252</v>
      </c>
      <c r="H40" s="87">
        <v>729.3</v>
      </c>
      <c r="I40" s="94">
        <v>10</v>
      </c>
      <c r="J40" s="93">
        <v>45044</v>
      </c>
      <c r="K40" s="85" t="s">
        <v>252</v>
      </c>
      <c r="L40" s="87">
        <f>1269</f>
        <v>1269</v>
      </c>
      <c r="M40" s="94">
        <v>10</v>
      </c>
      <c r="N40" s="93">
        <v>45470</v>
      </c>
      <c r="O40" s="85" t="s">
        <v>2217</v>
      </c>
      <c r="P40" s="148">
        <v>583.20000000000005</v>
      </c>
      <c r="Q40" s="94"/>
      <c r="R40" s="93"/>
      <c r="S40" s="85"/>
      <c r="U40" s="94"/>
      <c r="V40" s="93"/>
      <c r="W40" s="85"/>
      <c r="Y40" s="94"/>
      <c r="Z40" s="93"/>
      <c r="AA40" s="85"/>
      <c r="AC40" s="94"/>
      <c r="AD40" s="93"/>
      <c r="AE40" s="85"/>
    </row>
    <row r="41" spans="5:31" x14ac:dyDescent="0.35">
      <c r="E41" s="85">
        <v>1</v>
      </c>
      <c r="F41" s="93">
        <v>44959</v>
      </c>
      <c r="G41" s="85" t="s">
        <v>1722</v>
      </c>
      <c r="H41" s="87">
        <v>-101</v>
      </c>
      <c r="I41" s="94">
        <v>13</v>
      </c>
      <c r="J41" s="93">
        <v>45107</v>
      </c>
      <c r="K41" s="85" t="s">
        <v>1723</v>
      </c>
      <c r="L41" s="87">
        <v>-2570.6799999999998</v>
      </c>
      <c r="M41" s="94">
        <v>10</v>
      </c>
      <c r="N41" s="93">
        <v>45470</v>
      </c>
      <c r="O41" s="85" t="s">
        <v>3028</v>
      </c>
      <c r="P41" s="148">
        <v>461.7</v>
      </c>
      <c r="Q41" s="94"/>
      <c r="R41" s="93"/>
      <c r="S41" s="85"/>
      <c r="U41" s="94"/>
      <c r="V41" s="93"/>
      <c r="W41" s="85"/>
      <c r="Y41" s="94"/>
      <c r="Z41" s="93"/>
      <c r="AA41" s="85"/>
      <c r="AC41" s="94"/>
      <c r="AD41" s="93"/>
      <c r="AE41" s="85"/>
    </row>
    <row r="42" spans="5:31" x14ac:dyDescent="0.35">
      <c r="E42" s="85">
        <v>12</v>
      </c>
      <c r="F42" s="93">
        <v>45016</v>
      </c>
      <c r="G42" s="85" t="s">
        <v>1724</v>
      </c>
      <c r="H42" s="87">
        <v>66.5</v>
      </c>
      <c r="I42" s="94">
        <v>10</v>
      </c>
      <c r="J42" s="93">
        <v>45132</v>
      </c>
      <c r="K42" s="85" t="s">
        <v>1701</v>
      </c>
      <c r="L42" s="87">
        <v>9</v>
      </c>
      <c r="M42" s="94">
        <v>10</v>
      </c>
      <c r="N42" s="93">
        <v>45470</v>
      </c>
      <c r="O42" s="85" t="s">
        <v>2214</v>
      </c>
      <c r="P42" s="148">
        <v>4318</v>
      </c>
      <c r="Q42" s="94"/>
      <c r="R42" s="93"/>
      <c r="S42" s="85"/>
      <c r="U42" s="94"/>
      <c r="V42" s="93"/>
      <c r="W42" s="85"/>
      <c r="Y42" s="94"/>
      <c r="Z42" s="93"/>
      <c r="AA42" s="85"/>
      <c r="AC42" s="94"/>
      <c r="AD42" s="93"/>
      <c r="AE42" s="85"/>
    </row>
    <row r="43" spans="5:31" x14ac:dyDescent="0.35">
      <c r="E43" s="85">
        <v>10</v>
      </c>
      <c r="F43" s="93">
        <v>44985</v>
      </c>
      <c r="G43" s="85" t="s">
        <v>252</v>
      </c>
      <c r="H43" s="87">
        <v>1761</v>
      </c>
      <c r="I43" s="94">
        <v>10</v>
      </c>
      <c r="J43" s="93">
        <v>45181</v>
      </c>
      <c r="K43" s="85" t="s">
        <v>1725</v>
      </c>
      <c r="L43" s="87">
        <v>3500</v>
      </c>
      <c r="M43" s="94">
        <v>10</v>
      </c>
      <c r="N43" s="93">
        <v>45470</v>
      </c>
      <c r="O43" s="85" t="s">
        <v>3041</v>
      </c>
      <c r="P43" s="148">
        <v>340.2</v>
      </c>
      <c r="Q43" s="94"/>
      <c r="R43" s="93"/>
      <c r="S43" s="85"/>
      <c r="U43" s="94"/>
      <c r="V43" s="93"/>
      <c r="W43" s="85"/>
      <c r="Y43" s="94"/>
      <c r="Z43" s="93"/>
      <c r="AA43" s="85"/>
      <c r="AC43" s="94"/>
      <c r="AD43" s="93"/>
      <c r="AE43" s="85"/>
    </row>
    <row r="44" spans="5:31" x14ac:dyDescent="0.35">
      <c r="G44" s="85"/>
      <c r="H44" s="87"/>
      <c r="I44" s="94">
        <v>12</v>
      </c>
      <c r="J44" s="93">
        <v>45199</v>
      </c>
      <c r="K44" s="85" t="s">
        <v>1726</v>
      </c>
      <c r="L44" s="87">
        <v>78.900000000000006</v>
      </c>
      <c r="M44" s="94">
        <v>10</v>
      </c>
      <c r="N44" s="93">
        <v>45470</v>
      </c>
      <c r="O44" s="85" t="s">
        <v>2216</v>
      </c>
      <c r="P44" s="148">
        <v>1591.58</v>
      </c>
      <c r="Q44" s="94"/>
      <c r="R44" s="93"/>
      <c r="S44" s="85"/>
      <c r="U44" s="94"/>
      <c r="V44" s="93"/>
      <c r="W44" s="85"/>
      <c r="Y44" s="94"/>
      <c r="Z44" s="93"/>
      <c r="AA44" s="85"/>
      <c r="AC44" s="94"/>
      <c r="AD44" s="93"/>
      <c r="AE44" s="85"/>
    </row>
    <row r="45" spans="5:31" x14ac:dyDescent="0.35">
      <c r="G45" s="85"/>
      <c r="H45" s="87"/>
      <c r="I45" s="94">
        <v>13</v>
      </c>
      <c r="J45" s="93">
        <v>45103</v>
      </c>
      <c r="K45" s="85" t="s">
        <v>1727</v>
      </c>
      <c r="L45" s="87">
        <v>-454.37</v>
      </c>
      <c r="M45" s="94">
        <v>10</v>
      </c>
      <c r="N45" s="93">
        <v>45470</v>
      </c>
      <c r="O45" s="85" t="s">
        <v>3042</v>
      </c>
      <c r="P45" s="148">
        <v>759.3</v>
      </c>
      <c r="Q45" s="94"/>
      <c r="R45" s="93"/>
      <c r="S45" s="85"/>
      <c r="U45" s="94"/>
      <c r="V45" s="93"/>
      <c r="W45" s="85"/>
      <c r="Y45" s="94"/>
      <c r="Z45" s="93"/>
      <c r="AA45" s="85"/>
      <c r="AC45" s="94"/>
      <c r="AD45" s="93"/>
      <c r="AE45" s="85"/>
    </row>
    <row r="46" spans="5:31" x14ac:dyDescent="0.35">
      <c r="G46" s="85"/>
      <c r="H46" s="87"/>
      <c r="I46" s="94">
        <v>6</v>
      </c>
      <c r="J46" s="93">
        <v>45017</v>
      </c>
      <c r="K46" s="85" t="s">
        <v>1728</v>
      </c>
      <c r="L46" s="87">
        <v>555</v>
      </c>
      <c r="M46" s="94">
        <v>10</v>
      </c>
      <c r="N46" s="93">
        <v>45470</v>
      </c>
      <c r="O46" s="85" t="s">
        <v>3043</v>
      </c>
      <c r="P46" s="148">
        <v>607.5</v>
      </c>
      <c r="Q46" s="94"/>
      <c r="R46" s="93"/>
      <c r="S46" s="85"/>
      <c r="U46" s="94"/>
      <c r="V46" s="93"/>
      <c r="W46" s="85"/>
      <c r="Y46" s="94"/>
      <c r="Z46" s="93"/>
      <c r="AA46" s="85"/>
      <c r="AC46" s="94"/>
      <c r="AD46" s="93"/>
      <c r="AE46" s="85"/>
    </row>
    <row r="47" spans="5:31" x14ac:dyDescent="0.35">
      <c r="G47" s="85"/>
      <c r="H47" s="87"/>
      <c r="I47" s="94">
        <v>14</v>
      </c>
      <c r="J47" s="93">
        <v>45017</v>
      </c>
      <c r="K47" s="85" t="s">
        <v>1729</v>
      </c>
      <c r="L47" s="87">
        <f>3500-300.85-2520</f>
        <v>679.15000000000009</v>
      </c>
      <c r="M47" s="94">
        <v>10</v>
      </c>
      <c r="N47" s="93">
        <v>45470</v>
      </c>
      <c r="O47" s="85" t="s">
        <v>3044</v>
      </c>
      <c r="P47" s="148">
        <v>510.3</v>
      </c>
      <c r="Q47" s="94"/>
      <c r="R47" s="93"/>
      <c r="S47" s="85"/>
      <c r="U47" s="94"/>
      <c r="V47" s="93"/>
      <c r="W47" s="85"/>
      <c r="Y47" s="94"/>
      <c r="Z47" s="93"/>
      <c r="AA47" s="85"/>
      <c r="AC47" s="94"/>
      <c r="AD47" s="93"/>
      <c r="AE47" s="85"/>
    </row>
    <row r="48" spans="5:31" x14ac:dyDescent="0.35">
      <c r="G48" s="85"/>
      <c r="H48" s="87"/>
      <c r="I48" s="94">
        <v>10</v>
      </c>
      <c r="J48" s="93" t="s">
        <v>1201</v>
      </c>
      <c r="K48" s="85" t="s">
        <v>1730</v>
      </c>
      <c r="L48" s="87">
        <f>66.3+1200+771+332.5+44.2+198.9+1639.2+309.4+3226.6+574.6+265.5+1880</f>
        <v>10508.2</v>
      </c>
      <c r="M48" s="94">
        <v>14</v>
      </c>
      <c r="N48" s="93">
        <v>45443</v>
      </c>
      <c r="O48" s="85" t="s">
        <v>3116</v>
      </c>
      <c r="P48" s="148">
        <f>386.75-471.75</f>
        <v>-85</v>
      </c>
      <c r="Q48" s="94"/>
      <c r="R48" s="93"/>
      <c r="S48" s="85"/>
      <c r="U48" s="94"/>
      <c r="V48" s="93"/>
      <c r="W48" s="85"/>
      <c r="Y48" s="94"/>
      <c r="Z48" s="93"/>
      <c r="AA48" s="85"/>
      <c r="AC48" s="94"/>
      <c r="AD48" s="93"/>
      <c r="AE48" s="85"/>
    </row>
    <row r="49" spans="7:31" x14ac:dyDescent="0.35">
      <c r="G49" s="85"/>
      <c r="H49" s="87"/>
      <c r="I49" s="94">
        <v>10</v>
      </c>
      <c r="J49" s="93">
        <v>45132</v>
      </c>
      <c r="K49" s="85" t="s">
        <v>1701</v>
      </c>
      <c r="L49" s="87">
        <v>9</v>
      </c>
      <c r="M49" s="94">
        <v>6</v>
      </c>
      <c r="N49" s="93">
        <v>45456</v>
      </c>
      <c r="O49" s="85" t="s">
        <v>3117</v>
      </c>
      <c r="P49" s="148">
        <v>229</v>
      </c>
      <c r="Q49" s="94"/>
      <c r="R49" s="93"/>
      <c r="S49" s="85"/>
      <c r="U49" s="94"/>
      <c r="V49" s="93"/>
      <c r="W49" s="85"/>
      <c r="Y49" s="94"/>
      <c r="Z49" s="93"/>
      <c r="AA49" s="85"/>
      <c r="AC49" s="94"/>
      <c r="AD49" s="93"/>
      <c r="AE49" s="85"/>
    </row>
    <row r="50" spans="7:31" x14ac:dyDescent="0.35">
      <c r="G50" s="85"/>
      <c r="H50" s="87"/>
      <c r="I50" s="94">
        <v>10</v>
      </c>
      <c r="J50" s="93">
        <v>45223</v>
      </c>
      <c r="K50" s="85" t="s">
        <v>1701</v>
      </c>
      <c r="L50" s="87">
        <v>3</v>
      </c>
      <c r="M50" s="94">
        <v>10</v>
      </c>
      <c r="N50" s="93">
        <v>45470</v>
      </c>
      <c r="O50" s="85" t="s">
        <v>3119</v>
      </c>
      <c r="P50" s="148">
        <v>315.89999999999998</v>
      </c>
      <c r="Q50" s="94"/>
      <c r="R50" s="93"/>
      <c r="S50" s="85"/>
      <c r="U50" s="94"/>
      <c r="V50" s="93"/>
      <c r="W50" s="85"/>
      <c r="Y50" s="94"/>
      <c r="Z50" s="93"/>
      <c r="AA50" s="85"/>
      <c r="AC50" s="94"/>
      <c r="AD50" s="93"/>
      <c r="AE50" s="85"/>
    </row>
    <row r="51" spans="7:31" x14ac:dyDescent="0.35">
      <c r="G51" s="85"/>
      <c r="H51" s="87"/>
      <c r="I51" s="94" t="s">
        <v>23</v>
      </c>
      <c r="J51" s="93" t="s">
        <v>491</v>
      </c>
      <c r="K51" s="85" t="s">
        <v>1725</v>
      </c>
      <c r="L51" s="87">
        <v>5000</v>
      </c>
      <c r="M51" s="94">
        <v>10</v>
      </c>
      <c r="N51" s="93">
        <v>45497</v>
      </c>
      <c r="O51" s="85" t="s">
        <v>2214</v>
      </c>
      <c r="P51" s="87">
        <v>1044.9000000000001</v>
      </c>
      <c r="Q51" s="94"/>
      <c r="R51" s="93"/>
      <c r="S51" s="85"/>
      <c r="U51" s="94"/>
      <c r="V51" s="93"/>
      <c r="W51" s="85"/>
      <c r="Y51" s="94"/>
      <c r="Z51" s="93"/>
      <c r="AA51" s="85"/>
      <c r="AC51" s="94"/>
      <c r="AD51" s="93"/>
      <c r="AE51" s="85"/>
    </row>
    <row r="52" spans="7:31" x14ac:dyDescent="0.35">
      <c r="G52" s="85"/>
      <c r="H52" s="87"/>
      <c r="I52" s="94">
        <v>10</v>
      </c>
      <c r="J52" s="93">
        <v>45230</v>
      </c>
      <c r="K52" s="85" t="s">
        <v>2212</v>
      </c>
      <c r="L52" s="87">
        <v>1020.6</v>
      </c>
      <c r="M52" s="94"/>
      <c r="N52" s="93"/>
      <c r="O52" s="85"/>
      <c r="Q52" s="94"/>
      <c r="R52" s="93"/>
      <c r="S52" s="85"/>
      <c r="U52" s="94"/>
      <c r="V52" s="93"/>
      <c r="W52" s="85"/>
      <c r="Y52" s="94"/>
      <c r="Z52" s="93"/>
      <c r="AA52" s="85"/>
      <c r="AC52" s="94"/>
      <c r="AD52" s="93"/>
      <c r="AE52" s="85"/>
    </row>
    <row r="53" spans="7:31" x14ac:dyDescent="0.35">
      <c r="G53" s="85"/>
      <c r="H53" s="87"/>
      <c r="I53" s="94">
        <v>10</v>
      </c>
      <c r="J53" s="93">
        <v>45230</v>
      </c>
      <c r="K53" s="85" t="s">
        <v>2213</v>
      </c>
      <c r="L53" s="87">
        <v>340.2</v>
      </c>
      <c r="M53" s="94"/>
      <c r="N53" s="93"/>
      <c r="O53" s="85"/>
      <c r="Q53" s="94"/>
      <c r="R53" s="93"/>
      <c r="S53" s="85"/>
      <c r="U53" s="94"/>
      <c r="V53" s="93"/>
      <c r="W53" s="85"/>
      <c r="Y53" s="94"/>
      <c r="Z53" s="93"/>
      <c r="AA53" s="85"/>
      <c r="AC53" s="94"/>
      <c r="AD53" s="93"/>
      <c r="AE53" s="85"/>
    </row>
    <row r="54" spans="7:31" x14ac:dyDescent="0.35">
      <c r="G54" s="85"/>
      <c r="H54" s="87"/>
      <c r="I54" s="94">
        <v>10</v>
      </c>
      <c r="J54" s="93">
        <v>45230</v>
      </c>
      <c r="K54" s="85" t="s">
        <v>2214</v>
      </c>
      <c r="L54" s="87">
        <v>1376.6</v>
      </c>
      <c r="M54" s="95"/>
      <c r="N54" s="96"/>
      <c r="O54" s="96"/>
      <c r="P54" s="96"/>
      <c r="Q54" s="94"/>
      <c r="R54" s="93"/>
      <c r="S54" s="85"/>
      <c r="U54" s="94"/>
      <c r="V54" s="93"/>
      <c r="W54" s="85"/>
      <c r="Y54" s="94"/>
      <c r="Z54" s="93"/>
      <c r="AA54" s="85"/>
      <c r="AC54" s="94"/>
      <c r="AD54" s="93"/>
      <c r="AE54" s="85"/>
    </row>
    <row r="55" spans="7:31" x14ac:dyDescent="0.35">
      <c r="G55" s="85"/>
      <c r="H55" s="87"/>
      <c r="I55" s="94">
        <v>10</v>
      </c>
      <c r="J55" s="93">
        <v>45230</v>
      </c>
      <c r="K55" s="85" t="s">
        <v>2214</v>
      </c>
      <c r="L55" s="87">
        <v>541</v>
      </c>
      <c r="M55" s="95"/>
      <c r="N55" s="96"/>
      <c r="O55" s="96"/>
      <c r="P55" s="96"/>
      <c r="Q55" s="94"/>
      <c r="R55" s="93"/>
      <c r="S55" s="85"/>
      <c r="U55" s="94"/>
      <c r="V55" s="93"/>
      <c r="W55" s="85"/>
      <c r="Y55" s="94"/>
      <c r="Z55" s="93"/>
      <c r="AA55" s="85"/>
      <c r="AC55" s="94"/>
      <c r="AD55" s="93"/>
      <c r="AE55" s="85"/>
    </row>
    <row r="56" spans="7:31" x14ac:dyDescent="0.35">
      <c r="G56" s="85"/>
      <c r="H56" s="87"/>
      <c r="I56" s="94">
        <v>10</v>
      </c>
      <c r="J56" s="93">
        <v>45230</v>
      </c>
      <c r="K56" s="85" t="s">
        <v>2215</v>
      </c>
      <c r="L56" s="87">
        <v>102.6</v>
      </c>
      <c r="M56" s="95"/>
      <c r="N56" s="96"/>
      <c r="O56" s="96"/>
      <c r="P56" s="96"/>
      <c r="Q56" s="94"/>
      <c r="R56" s="93"/>
      <c r="S56" s="85"/>
      <c r="U56" s="94"/>
      <c r="V56" s="93"/>
      <c r="W56" s="85"/>
      <c r="Y56" s="94"/>
      <c r="Z56" s="93"/>
      <c r="AA56" s="85"/>
      <c r="AC56" s="94"/>
      <c r="AD56" s="93"/>
      <c r="AE56" s="85"/>
    </row>
    <row r="57" spans="7:31" x14ac:dyDescent="0.35">
      <c r="G57" s="85"/>
      <c r="H57" s="87"/>
      <c r="I57" s="94">
        <v>10</v>
      </c>
      <c r="J57" s="93">
        <v>45230</v>
      </c>
      <c r="K57" s="85" t="s">
        <v>2216</v>
      </c>
      <c r="L57" s="87">
        <v>97.2</v>
      </c>
      <c r="M57" s="94"/>
      <c r="N57" s="93"/>
      <c r="O57" s="85"/>
      <c r="Q57" s="94"/>
      <c r="R57" s="93"/>
      <c r="S57" s="85"/>
      <c r="U57" s="94"/>
      <c r="V57" s="93"/>
      <c r="W57" s="85"/>
      <c r="Y57" s="94"/>
      <c r="Z57" s="93"/>
      <c r="AA57" s="85"/>
      <c r="AC57" s="94"/>
      <c r="AD57" s="93"/>
      <c r="AE57" s="85"/>
    </row>
    <row r="58" spans="7:31" x14ac:dyDescent="0.35">
      <c r="G58" s="85"/>
      <c r="H58" s="87"/>
      <c r="I58" s="94">
        <v>10</v>
      </c>
      <c r="J58" s="93">
        <v>45230</v>
      </c>
      <c r="K58" s="85" t="s">
        <v>2217</v>
      </c>
      <c r="L58" s="87">
        <v>1314.87</v>
      </c>
      <c r="M58" s="94"/>
      <c r="N58" s="93"/>
      <c r="O58" s="85"/>
      <c r="Q58" s="94"/>
      <c r="R58" s="93"/>
      <c r="S58" s="85"/>
      <c r="U58" s="94"/>
      <c r="V58" s="93"/>
      <c r="W58" s="85"/>
      <c r="Y58" s="94"/>
      <c r="Z58" s="93"/>
      <c r="AA58" s="85"/>
      <c r="AC58" s="94"/>
      <c r="AD58" s="93"/>
      <c r="AE58" s="85"/>
    </row>
    <row r="59" spans="7:31" x14ac:dyDescent="0.35">
      <c r="G59" s="85"/>
      <c r="H59" s="87"/>
      <c r="I59" s="94">
        <v>10</v>
      </c>
      <c r="J59" s="93">
        <v>45230</v>
      </c>
      <c r="K59" s="85" t="s">
        <v>2218</v>
      </c>
      <c r="L59" s="87">
        <v>1016.6</v>
      </c>
      <c r="M59" s="94"/>
      <c r="N59" s="93"/>
      <c r="O59" s="85"/>
      <c r="Q59" s="94"/>
      <c r="R59" s="93"/>
      <c r="S59" s="85"/>
      <c r="U59" s="94"/>
      <c r="V59" s="93"/>
      <c r="W59" s="85"/>
      <c r="Y59" s="94"/>
      <c r="Z59" s="93"/>
      <c r="AA59" s="85"/>
      <c r="AC59" s="94"/>
      <c r="AD59" s="93"/>
      <c r="AE59" s="85"/>
    </row>
    <row r="60" spans="7:31" x14ac:dyDescent="0.35">
      <c r="G60" s="85"/>
      <c r="H60" s="87"/>
      <c r="I60" s="94">
        <v>10</v>
      </c>
      <c r="J60" s="93">
        <v>45230</v>
      </c>
      <c r="K60" s="85" t="s">
        <v>2219</v>
      </c>
      <c r="L60" s="87">
        <v>44.2</v>
      </c>
      <c r="M60" s="94"/>
      <c r="N60" s="93"/>
      <c r="O60" s="85"/>
      <c r="Q60" s="94"/>
      <c r="R60" s="93"/>
      <c r="S60" s="85"/>
      <c r="U60" s="94"/>
      <c r="V60" s="93"/>
      <c r="W60" s="85"/>
      <c r="Y60" s="94"/>
      <c r="Z60" s="93"/>
      <c r="AA60" s="85"/>
      <c r="AC60" s="94"/>
      <c r="AD60" s="93"/>
      <c r="AE60" s="85"/>
    </row>
    <row r="61" spans="7:31" x14ac:dyDescent="0.35">
      <c r="G61" s="85"/>
      <c r="H61" s="87"/>
      <c r="I61" s="94">
        <v>10</v>
      </c>
      <c r="J61" s="93">
        <v>45225</v>
      </c>
      <c r="K61" s="85" t="s">
        <v>2220</v>
      </c>
      <c r="L61" s="87">
        <v>260</v>
      </c>
      <c r="M61" s="94"/>
      <c r="N61" s="93"/>
      <c r="O61" s="85"/>
      <c r="Q61" s="94"/>
      <c r="R61" s="93"/>
      <c r="S61" s="85"/>
      <c r="U61" s="94"/>
      <c r="V61" s="93"/>
      <c r="W61" s="85"/>
      <c r="Y61" s="94"/>
      <c r="Z61" s="93"/>
      <c r="AA61" s="85"/>
      <c r="AC61" s="94"/>
      <c r="AD61" s="93"/>
      <c r="AE61" s="85"/>
    </row>
    <row r="62" spans="7:31" x14ac:dyDescent="0.35">
      <c r="G62" s="85"/>
      <c r="H62" s="87"/>
      <c r="I62" s="94">
        <v>11</v>
      </c>
      <c r="J62" s="93">
        <v>45233</v>
      </c>
      <c r="K62" s="85" t="s">
        <v>253</v>
      </c>
      <c r="L62" s="87">
        <v>95.51</v>
      </c>
      <c r="M62" s="94"/>
      <c r="N62" s="93"/>
      <c r="O62" s="85"/>
      <c r="Q62" s="94"/>
      <c r="R62" s="93"/>
      <c r="S62" s="85"/>
      <c r="U62" s="94"/>
      <c r="V62" s="93"/>
      <c r="W62" s="85"/>
      <c r="Y62" s="94"/>
      <c r="Z62" s="93"/>
      <c r="AA62" s="85"/>
      <c r="AC62" s="94"/>
      <c r="AD62" s="93"/>
      <c r="AE62" s="85"/>
    </row>
    <row r="63" spans="7:31" x14ac:dyDescent="0.35">
      <c r="G63" s="85"/>
      <c r="H63" s="87"/>
      <c r="I63" s="94">
        <v>9</v>
      </c>
      <c r="J63" s="93">
        <v>45243</v>
      </c>
      <c r="K63" s="85" t="s">
        <v>2221</v>
      </c>
      <c r="L63" s="87">
        <v>3230.74</v>
      </c>
      <c r="M63" s="94"/>
      <c r="N63" s="93"/>
      <c r="O63" s="85"/>
      <c r="Q63" s="94"/>
      <c r="R63" s="93"/>
      <c r="S63" s="85"/>
      <c r="U63" s="94"/>
      <c r="V63" s="93"/>
      <c r="W63" s="85"/>
      <c r="Y63" s="94"/>
      <c r="Z63" s="93"/>
      <c r="AA63" s="85"/>
      <c r="AC63" s="94"/>
      <c r="AD63" s="93"/>
      <c r="AE63" s="85"/>
    </row>
    <row r="64" spans="7:31" x14ac:dyDescent="0.35">
      <c r="G64" s="85"/>
      <c r="H64" s="87"/>
      <c r="I64" s="94">
        <v>11</v>
      </c>
      <c r="J64" s="93">
        <v>45229</v>
      </c>
      <c r="K64" s="85" t="s">
        <v>2222</v>
      </c>
      <c r="L64" s="87">
        <v>112</v>
      </c>
      <c r="M64" s="94"/>
      <c r="N64" s="93"/>
      <c r="O64" s="85"/>
      <c r="Q64" s="94"/>
      <c r="R64" s="93"/>
      <c r="S64" s="85"/>
      <c r="U64" s="94"/>
      <c r="V64" s="93"/>
      <c r="W64" s="85"/>
      <c r="Y64" s="94"/>
      <c r="Z64" s="93"/>
      <c r="AA64" s="85"/>
      <c r="AC64" s="94"/>
      <c r="AD64" s="93"/>
      <c r="AE64" s="85"/>
    </row>
    <row r="65" spans="7:31" x14ac:dyDescent="0.35">
      <c r="G65" s="85"/>
      <c r="H65" s="87"/>
      <c r="I65" s="94">
        <v>11</v>
      </c>
      <c r="J65" s="93">
        <v>45258</v>
      </c>
      <c r="K65" s="85" t="s">
        <v>2223</v>
      </c>
      <c r="L65" s="87">
        <v>445.14</v>
      </c>
      <c r="M65" s="94"/>
      <c r="N65" s="93"/>
      <c r="O65" s="85"/>
      <c r="Q65" s="94"/>
      <c r="R65" s="93"/>
      <c r="S65" s="85"/>
      <c r="U65" s="94"/>
      <c r="V65" s="93"/>
      <c r="W65" s="85"/>
      <c r="Y65" s="94"/>
      <c r="Z65" s="93"/>
      <c r="AA65" s="85"/>
      <c r="AC65" s="94"/>
      <c r="AD65" s="93"/>
      <c r="AE65" s="85"/>
    </row>
    <row r="66" spans="7:31" x14ac:dyDescent="0.35">
      <c r="G66" s="85"/>
      <c r="H66" s="87"/>
      <c r="I66" s="94">
        <v>14</v>
      </c>
      <c r="J66" s="93">
        <v>45257</v>
      </c>
      <c r="K66" s="85" t="s">
        <v>1713</v>
      </c>
      <c r="L66" s="87">
        <v>471.75</v>
      </c>
      <c r="M66" s="94"/>
      <c r="N66" s="93"/>
      <c r="O66" s="85"/>
      <c r="Q66" s="94"/>
      <c r="R66" s="93"/>
      <c r="S66" s="85"/>
      <c r="U66" s="94"/>
      <c r="V66" s="93"/>
      <c r="W66" s="85"/>
      <c r="Y66" s="94"/>
      <c r="Z66" s="93"/>
      <c r="AA66" s="85"/>
      <c r="AC66" s="94"/>
      <c r="AD66" s="93"/>
      <c r="AE66" s="85"/>
    </row>
    <row r="67" spans="7:31" x14ac:dyDescent="0.35">
      <c r="G67" s="85"/>
      <c r="H67" s="87"/>
      <c r="I67" s="94">
        <v>12</v>
      </c>
      <c r="J67" s="93">
        <v>45291</v>
      </c>
      <c r="K67" s="85" t="s">
        <v>254</v>
      </c>
      <c r="L67" s="87">
        <v>92.15</v>
      </c>
      <c r="M67" s="94"/>
      <c r="N67" s="93"/>
      <c r="O67" s="85"/>
      <c r="Q67" s="94"/>
      <c r="R67" s="93"/>
      <c r="S67" s="85"/>
      <c r="U67" s="94"/>
      <c r="V67" s="93"/>
      <c r="W67" s="85"/>
      <c r="Y67" s="94"/>
      <c r="Z67" s="93"/>
      <c r="AA67" s="85"/>
      <c r="AC67" s="94"/>
      <c r="AD67" s="93"/>
      <c r="AE67" s="85"/>
    </row>
    <row r="68" spans="7:31" x14ac:dyDescent="0.35">
      <c r="G68" s="85"/>
      <c r="H68" s="87"/>
      <c r="I68" s="94">
        <v>13</v>
      </c>
      <c r="J68" s="93">
        <v>45291</v>
      </c>
      <c r="K68" s="85" t="s">
        <v>2359</v>
      </c>
      <c r="L68" s="87">
        <v>-3203.53</v>
      </c>
      <c r="M68" s="94"/>
      <c r="N68" s="93"/>
      <c r="O68" s="85"/>
      <c r="Q68" s="94"/>
      <c r="R68" s="93"/>
      <c r="S68" s="85"/>
      <c r="U68" s="94"/>
      <c r="V68" s="93"/>
      <c r="W68" s="85"/>
      <c r="Y68" s="94"/>
      <c r="Z68" s="93"/>
      <c r="AA68" s="85"/>
      <c r="AC68" s="94"/>
      <c r="AD68" s="93"/>
      <c r="AE68" s="85"/>
    </row>
    <row r="69" spans="7:31" x14ac:dyDescent="0.35">
      <c r="G69" s="85"/>
      <c r="H69" s="87"/>
      <c r="I69" s="94">
        <v>13</v>
      </c>
      <c r="J69" s="93">
        <v>45199</v>
      </c>
      <c r="K69" s="85" t="s">
        <v>2358</v>
      </c>
      <c r="L69" s="87">
        <v>-3117.78</v>
      </c>
      <c r="M69" s="94"/>
      <c r="N69" s="93"/>
      <c r="O69" s="85"/>
      <c r="Q69" s="94"/>
      <c r="R69" s="93"/>
      <c r="S69" s="85"/>
      <c r="U69" s="94"/>
      <c r="V69" s="93"/>
      <c r="W69" s="85"/>
      <c r="Y69" s="94"/>
      <c r="Z69" s="93"/>
      <c r="AA69" s="85"/>
      <c r="AC69" s="94"/>
      <c r="AD69" s="93"/>
      <c r="AE69" s="85"/>
    </row>
    <row r="70" spans="7:31" x14ac:dyDescent="0.35">
      <c r="G70" s="85"/>
      <c r="H70" s="87"/>
      <c r="I70" s="94">
        <v>13</v>
      </c>
      <c r="J70" s="93">
        <v>45245</v>
      </c>
      <c r="K70" s="85" t="s">
        <v>1727</v>
      </c>
      <c r="L70" s="87">
        <v>-68.349999999999994</v>
      </c>
      <c r="M70" s="94"/>
      <c r="N70" s="93"/>
      <c r="O70" s="85"/>
      <c r="Q70" s="94"/>
      <c r="R70" s="93"/>
      <c r="S70" s="85"/>
      <c r="U70" s="94"/>
      <c r="V70" s="93"/>
      <c r="W70" s="85"/>
      <c r="Y70" s="94"/>
      <c r="Z70" s="93"/>
      <c r="AA70" s="85"/>
      <c r="AC70" s="94"/>
      <c r="AD70" s="93"/>
      <c r="AE70" s="85"/>
    </row>
    <row r="71" spans="7:31" x14ac:dyDescent="0.35">
      <c r="G71" s="85"/>
      <c r="H71" s="87"/>
      <c r="I71" s="94">
        <v>10</v>
      </c>
      <c r="J71" s="93">
        <v>45230</v>
      </c>
      <c r="K71" s="85" t="s">
        <v>2366</v>
      </c>
      <c r="L71" s="87">
        <v>4620</v>
      </c>
      <c r="M71" s="94"/>
      <c r="N71" s="93"/>
      <c r="O71" s="85"/>
      <c r="Q71" s="94"/>
      <c r="R71" s="93"/>
      <c r="S71" s="85"/>
      <c r="U71" s="94"/>
      <c r="V71" s="93"/>
      <c r="W71" s="85"/>
      <c r="Y71" s="94"/>
      <c r="Z71" s="93"/>
      <c r="AA71" s="85"/>
      <c r="AC71" s="94"/>
      <c r="AD71" s="93"/>
      <c r="AE71" s="85"/>
    </row>
    <row r="72" spans="7:31" x14ac:dyDescent="0.35">
      <c r="G72" s="85"/>
      <c r="H72" s="87"/>
      <c r="I72" s="94">
        <v>13</v>
      </c>
      <c r="J72" s="93">
        <v>45382</v>
      </c>
      <c r="K72" s="85" t="s">
        <v>2389</v>
      </c>
      <c r="L72" s="87">
        <v>-3190.67</v>
      </c>
      <c r="M72" s="94"/>
      <c r="N72" s="93"/>
      <c r="O72" s="85"/>
      <c r="Q72" s="94"/>
      <c r="R72" s="93"/>
      <c r="S72" s="85"/>
      <c r="U72" s="94"/>
      <c r="V72" s="93"/>
      <c r="W72" s="85"/>
      <c r="Y72" s="94"/>
      <c r="Z72" s="93"/>
      <c r="AA72" s="85"/>
      <c r="AC72" s="94"/>
      <c r="AD72" s="93"/>
      <c r="AE72" s="85"/>
    </row>
    <row r="73" spans="7:31" x14ac:dyDescent="0.35">
      <c r="G73" s="85"/>
      <c r="H73" s="87"/>
      <c r="I73" s="94">
        <v>9</v>
      </c>
      <c r="J73" s="93" t="s">
        <v>775</v>
      </c>
      <c r="K73" s="85" t="s">
        <v>251</v>
      </c>
      <c r="L73" s="151">
        <f>8672.45+7577.78</f>
        <v>16250.23</v>
      </c>
      <c r="M73" s="94"/>
      <c r="N73" s="93"/>
      <c r="O73" s="85"/>
      <c r="Q73" s="94"/>
      <c r="R73" s="93"/>
      <c r="S73" s="85"/>
      <c r="U73" s="94"/>
      <c r="V73" s="93"/>
      <c r="W73" s="85"/>
      <c r="Y73" s="94"/>
      <c r="Z73" s="93"/>
      <c r="AA73" s="85"/>
      <c r="AC73" s="94"/>
      <c r="AD73" s="93"/>
      <c r="AE73" s="85"/>
    </row>
    <row r="74" spans="7:31" x14ac:dyDescent="0.35">
      <c r="G74" s="85"/>
      <c r="H74" s="87"/>
      <c r="I74" s="94">
        <v>11</v>
      </c>
      <c r="J74" s="93">
        <v>45280</v>
      </c>
      <c r="K74" s="85" t="s">
        <v>1721</v>
      </c>
      <c r="L74" s="87">
        <v>165.24</v>
      </c>
      <c r="M74" s="94"/>
      <c r="N74" s="93"/>
      <c r="O74" s="85"/>
      <c r="Q74" s="94"/>
      <c r="R74" s="93"/>
      <c r="S74" s="85"/>
      <c r="U74" s="94"/>
      <c r="V74" s="93"/>
      <c r="W74" s="85"/>
      <c r="Y74" s="94"/>
      <c r="Z74" s="93"/>
      <c r="AA74" s="85"/>
      <c r="AC74" s="94"/>
      <c r="AD74" s="93"/>
      <c r="AE74" s="85"/>
    </row>
    <row r="75" spans="7:31" x14ac:dyDescent="0.35">
      <c r="G75" s="85"/>
      <c r="H75" s="87"/>
      <c r="I75" s="94">
        <v>6</v>
      </c>
      <c r="J75" s="93">
        <v>45327</v>
      </c>
      <c r="K75" s="85" t="s">
        <v>2569</v>
      </c>
      <c r="L75" s="87">
        <v>412</v>
      </c>
      <c r="M75" s="94"/>
      <c r="N75" s="93"/>
      <c r="O75" s="85"/>
      <c r="Q75" s="94"/>
      <c r="R75" s="93"/>
      <c r="S75" s="85"/>
      <c r="U75" s="94"/>
      <c r="V75" s="93"/>
      <c r="W75" s="85"/>
      <c r="Y75" s="94"/>
      <c r="Z75" s="93"/>
      <c r="AA75" s="85"/>
      <c r="AC75" s="94"/>
      <c r="AD75" s="93"/>
      <c r="AE75" s="85"/>
    </row>
    <row r="76" spans="7:31" x14ac:dyDescent="0.35">
      <c r="G76" s="85"/>
      <c r="H76" s="87"/>
      <c r="I76" s="94">
        <v>10</v>
      </c>
      <c r="J76" s="93">
        <v>45349</v>
      </c>
      <c r="K76" s="85" t="s">
        <v>2630</v>
      </c>
      <c r="L76" s="87">
        <v>607.5</v>
      </c>
      <c r="M76" s="94"/>
      <c r="N76" s="93"/>
      <c r="O76" s="85"/>
      <c r="Q76" s="94"/>
      <c r="R76" s="93"/>
      <c r="S76" s="85"/>
      <c r="U76" s="94"/>
      <c r="V76" s="93"/>
      <c r="W76" s="85"/>
      <c r="Y76" s="94"/>
      <c r="Z76" s="93"/>
      <c r="AA76" s="85"/>
      <c r="AC76" s="94"/>
      <c r="AD76" s="93"/>
      <c r="AE76" s="85"/>
    </row>
    <row r="77" spans="7:31" x14ac:dyDescent="0.35">
      <c r="G77" s="85"/>
      <c r="H77" s="87"/>
      <c r="I77" s="94">
        <v>11</v>
      </c>
      <c r="J77" s="93">
        <v>45280</v>
      </c>
      <c r="K77" s="85" t="s">
        <v>2677</v>
      </c>
      <c r="L77" s="87">
        <v>-65.650000000000006</v>
      </c>
      <c r="M77" s="94"/>
      <c r="N77" s="93"/>
      <c r="O77" s="85"/>
      <c r="Q77" s="94"/>
      <c r="R77" s="93"/>
      <c r="S77" s="85"/>
      <c r="U77" s="94"/>
      <c r="V77" s="93"/>
      <c r="W77" s="85"/>
      <c r="Y77" s="94"/>
      <c r="Z77" s="93"/>
      <c r="AA77" s="85"/>
      <c r="AC77" s="94"/>
      <c r="AD77" s="93"/>
      <c r="AE77" s="85"/>
    </row>
    <row r="78" spans="7:31" x14ac:dyDescent="0.35">
      <c r="G78" s="85"/>
      <c r="H78" s="87"/>
      <c r="I78" s="94">
        <v>4</v>
      </c>
      <c r="J78" s="93">
        <v>45318</v>
      </c>
      <c r="K78" s="85" t="s">
        <v>2678</v>
      </c>
      <c r="L78" s="87">
        <v>197</v>
      </c>
      <c r="M78" s="94"/>
      <c r="N78" s="93"/>
      <c r="O78" s="85"/>
      <c r="Q78" s="94"/>
      <c r="R78" s="93"/>
      <c r="S78" s="85"/>
      <c r="U78" s="94"/>
      <c r="V78" s="93"/>
      <c r="W78" s="85"/>
      <c r="Y78" s="94"/>
      <c r="Z78" s="93"/>
      <c r="AA78" s="85"/>
      <c r="AC78" s="94"/>
      <c r="AD78" s="93"/>
      <c r="AE78" s="85"/>
    </row>
    <row r="79" spans="7:31" x14ac:dyDescent="0.35">
      <c r="G79" s="85"/>
      <c r="H79" s="87"/>
      <c r="I79" s="94">
        <v>10</v>
      </c>
      <c r="J79" s="93">
        <v>45316</v>
      </c>
      <c r="K79" s="85" t="s">
        <v>2679</v>
      </c>
      <c r="L79" s="87">
        <v>2089.8000000000002</v>
      </c>
      <c r="M79" s="94"/>
      <c r="N79" s="93"/>
      <c r="O79" s="85"/>
      <c r="Q79" s="94"/>
      <c r="R79" s="93"/>
      <c r="S79" s="85"/>
      <c r="U79" s="94"/>
      <c r="V79" s="93"/>
      <c r="W79" s="85"/>
      <c r="Y79" s="94"/>
      <c r="Z79" s="93"/>
      <c r="AA79" s="85"/>
      <c r="AC79" s="94"/>
      <c r="AD79" s="93"/>
      <c r="AE79" s="85"/>
    </row>
    <row r="80" spans="7:31" x14ac:dyDescent="0.35">
      <c r="G80" s="85"/>
      <c r="H80" s="87"/>
      <c r="I80" s="94">
        <v>10</v>
      </c>
      <c r="J80" s="93">
        <v>45370</v>
      </c>
      <c r="K80" s="85" t="s">
        <v>2680</v>
      </c>
      <c r="L80" s="87">
        <v>6</v>
      </c>
      <c r="M80" s="94"/>
      <c r="N80" s="93"/>
      <c r="O80" s="85"/>
      <c r="Q80" s="94"/>
      <c r="R80" s="93"/>
      <c r="S80" s="85"/>
      <c r="U80" s="94"/>
      <c r="V80" s="93"/>
      <c r="W80" s="85"/>
      <c r="Y80" s="94"/>
      <c r="Z80" s="93"/>
      <c r="AA80" s="85"/>
      <c r="AC80" s="94"/>
      <c r="AD80" s="93"/>
      <c r="AE80" s="85"/>
    </row>
    <row r="81" spans="7:31" x14ac:dyDescent="0.35">
      <c r="G81" s="85"/>
      <c r="H81" s="87"/>
      <c r="I81" s="94">
        <v>10</v>
      </c>
      <c r="J81" s="93">
        <v>45376</v>
      </c>
      <c r="K81" s="85" t="s">
        <v>2630</v>
      </c>
      <c r="L81" s="87">
        <v>784.5</v>
      </c>
      <c r="M81" s="94"/>
      <c r="N81" s="93"/>
      <c r="O81" s="85"/>
      <c r="Q81" s="94"/>
      <c r="R81" s="93"/>
      <c r="S81" s="85"/>
      <c r="U81" s="94"/>
      <c r="V81" s="93"/>
      <c r="W81" s="85"/>
      <c r="Y81" s="94"/>
      <c r="Z81" s="93"/>
      <c r="AA81" s="85"/>
      <c r="AC81" s="94"/>
      <c r="AD81" s="93"/>
      <c r="AE81" s="85"/>
    </row>
    <row r="82" spans="7:31" x14ac:dyDescent="0.35">
      <c r="G82" s="85"/>
      <c r="H82" s="87"/>
      <c r="I82" s="94">
        <v>10</v>
      </c>
      <c r="J82" s="93">
        <v>45378</v>
      </c>
      <c r="K82" s="85" t="s">
        <v>2217</v>
      </c>
      <c r="L82" s="87">
        <v>1992.6</v>
      </c>
      <c r="M82" s="94"/>
      <c r="N82" s="93"/>
      <c r="O82" s="85"/>
      <c r="Q82" s="94"/>
      <c r="R82" s="93"/>
      <c r="S82" s="85"/>
      <c r="U82" s="94"/>
      <c r="V82" s="93"/>
      <c r="W82" s="85"/>
      <c r="Y82" s="94"/>
      <c r="Z82" s="93"/>
      <c r="AA82" s="85"/>
      <c r="AC82" s="94"/>
      <c r="AD82" s="93"/>
      <c r="AE82" s="85"/>
    </row>
    <row r="83" spans="7:31" x14ac:dyDescent="0.35">
      <c r="G83" s="85"/>
      <c r="H83" s="87"/>
      <c r="I83" s="94">
        <v>10</v>
      </c>
      <c r="J83" s="93">
        <v>45378</v>
      </c>
      <c r="K83" s="85" t="s">
        <v>2213</v>
      </c>
      <c r="L83" s="87">
        <v>2899.8</v>
      </c>
      <c r="M83" s="94"/>
      <c r="N83" s="93"/>
      <c r="O83" s="85"/>
      <c r="Q83" s="94"/>
      <c r="R83" s="93"/>
      <c r="S83" s="85"/>
      <c r="U83" s="94"/>
      <c r="V83" s="93"/>
      <c r="W83" s="85"/>
      <c r="Y83" s="94"/>
      <c r="Z83" s="93"/>
      <c r="AA83" s="85"/>
      <c r="AC83" s="94"/>
      <c r="AD83" s="93"/>
      <c r="AE83" s="85"/>
    </row>
    <row r="84" spans="7:31" x14ac:dyDescent="0.35">
      <c r="G84" s="85"/>
      <c r="H84" s="87"/>
      <c r="I84" s="94">
        <v>10</v>
      </c>
      <c r="J84" s="93">
        <v>45378</v>
      </c>
      <c r="K84" s="85" t="s">
        <v>2749</v>
      </c>
      <c r="L84" s="87">
        <v>2357.1</v>
      </c>
      <c r="M84" s="94"/>
      <c r="N84" s="93"/>
      <c r="O84" s="85"/>
      <c r="Q84" s="94"/>
      <c r="R84" s="93"/>
      <c r="S84" s="85"/>
      <c r="U84" s="94"/>
      <c r="V84" s="93"/>
      <c r="W84" s="85"/>
      <c r="Y84" s="94"/>
      <c r="Z84" s="93"/>
      <c r="AA84" s="85"/>
      <c r="AC84" s="94"/>
      <c r="AD84" s="93"/>
      <c r="AE84" s="85"/>
    </row>
    <row r="85" spans="7:31" x14ac:dyDescent="0.35">
      <c r="G85" s="85"/>
      <c r="H85" s="87"/>
      <c r="I85" s="94">
        <v>10</v>
      </c>
      <c r="J85" s="93">
        <v>45378</v>
      </c>
      <c r="K85" s="85" t="s">
        <v>2216</v>
      </c>
      <c r="L85" s="87">
        <v>437.4</v>
      </c>
      <c r="M85" s="94"/>
      <c r="N85" s="93"/>
      <c r="O85" s="85"/>
      <c r="Q85" s="94"/>
      <c r="R85" s="93"/>
      <c r="S85" s="85"/>
      <c r="U85" s="94"/>
      <c r="V85" s="93"/>
      <c r="W85" s="85"/>
      <c r="Y85" s="94"/>
      <c r="Z85" s="93"/>
      <c r="AA85" s="85"/>
      <c r="AC85" s="94"/>
      <c r="AD85" s="93"/>
      <c r="AE85" s="85"/>
    </row>
    <row r="86" spans="7:31" x14ac:dyDescent="0.35">
      <c r="G86" s="85"/>
      <c r="H86" s="87"/>
      <c r="I86" s="94">
        <v>10</v>
      </c>
      <c r="J86" s="93">
        <v>45378</v>
      </c>
      <c r="K86" s="85" t="s">
        <v>2219</v>
      </c>
      <c r="L86" s="87">
        <v>145.80000000000001</v>
      </c>
      <c r="M86" s="94"/>
      <c r="N86" s="93"/>
      <c r="O86" s="85"/>
      <c r="Q86" s="94"/>
      <c r="R86" s="93"/>
      <c r="S86" s="85"/>
      <c r="U86" s="94"/>
      <c r="V86" s="93"/>
      <c r="W86" s="85"/>
      <c r="Y86" s="94"/>
      <c r="Z86" s="93"/>
      <c r="AA86" s="85"/>
      <c r="AC86" s="94"/>
      <c r="AD86" s="93"/>
      <c r="AE86" s="85"/>
    </row>
    <row r="87" spans="7:31" x14ac:dyDescent="0.35">
      <c r="G87" s="85"/>
      <c r="H87" s="87"/>
      <c r="I87" s="94">
        <v>10</v>
      </c>
      <c r="J87" s="93">
        <v>45378</v>
      </c>
      <c r="K87" s="85" t="s">
        <v>2366</v>
      </c>
      <c r="L87" s="87">
        <v>2624.4</v>
      </c>
      <c r="M87" s="94"/>
      <c r="N87" s="93"/>
      <c r="O87" s="85"/>
      <c r="Q87" s="94"/>
      <c r="R87" s="93"/>
      <c r="S87" s="85"/>
      <c r="U87" s="94"/>
      <c r="V87" s="93"/>
      <c r="W87" s="85"/>
      <c r="Y87" s="94"/>
      <c r="Z87" s="93"/>
      <c r="AA87" s="85"/>
      <c r="AC87" s="94"/>
      <c r="AD87" s="93"/>
      <c r="AE87" s="85"/>
    </row>
    <row r="88" spans="7:31" x14ac:dyDescent="0.35">
      <c r="G88" s="85"/>
      <c r="H88" s="87"/>
      <c r="I88" s="94">
        <v>10</v>
      </c>
      <c r="J88" s="93">
        <v>45378</v>
      </c>
      <c r="K88" s="85" t="s">
        <v>2214</v>
      </c>
      <c r="L88" s="87">
        <v>902.1</v>
      </c>
      <c r="M88" s="94"/>
      <c r="N88" s="93"/>
      <c r="O88" s="85"/>
      <c r="Q88" s="94"/>
      <c r="R88" s="93"/>
      <c r="S88" s="85"/>
      <c r="U88" s="94"/>
      <c r="V88" s="93"/>
      <c r="W88" s="85"/>
      <c r="Y88" s="94"/>
      <c r="Z88" s="93"/>
      <c r="AA88" s="85"/>
      <c r="AC88" s="94"/>
      <c r="AD88" s="93"/>
      <c r="AE88" s="85"/>
    </row>
    <row r="89" spans="7:31" x14ac:dyDescent="0.35">
      <c r="G89" s="85"/>
      <c r="H89" s="87"/>
      <c r="I89" s="94">
        <v>12</v>
      </c>
      <c r="J89" s="93">
        <v>45382</v>
      </c>
      <c r="K89" s="85" t="s">
        <v>2761</v>
      </c>
      <c r="L89" s="87">
        <v>79.650000000000006</v>
      </c>
      <c r="M89" s="94"/>
      <c r="N89" s="93"/>
      <c r="O89" s="85"/>
      <c r="Q89" s="94"/>
      <c r="R89" s="93"/>
      <c r="S89" s="85"/>
      <c r="U89" s="94"/>
      <c r="V89" s="93"/>
      <c r="W89" s="85"/>
      <c r="Y89" s="94"/>
      <c r="Z89" s="93"/>
      <c r="AA89" s="85"/>
      <c r="AC89" s="94"/>
      <c r="AD89" s="93"/>
      <c r="AE89" s="85"/>
    </row>
    <row r="90" spans="7:31" x14ac:dyDescent="0.35">
      <c r="G90" s="85"/>
      <c r="H90" s="87"/>
      <c r="I90" s="94">
        <v>13</v>
      </c>
      <c r="J90" s="93">
        <v>45382</v>
      </c>
      <c r="K90" s="85" t="s">
        <v>2389</v>
      </c>
      <c r="L90" s="87">
        <v>3190.67</v>
      </c>
      <c r="M90" s="94"/>
      <c r="N90" s="93"/>
      <c r="O90" s="85"/>
      <c r="Q90" s="94"/>
      <c r="R90" s="93"/>
      <c r="S90" s="85"/>
      <c r="U90" s="94"/>
      <c r="V90" s="93"/>
      <c r="W90" s="85"/>
      <c r="Y90" s="94"/>
      <c r="Z90" s="93"/>
      <c r="AA90" s="85"/>
      <c r="AC90" s="94"/>
      <c r="AD90" s="93"/>
      <c r="AE90" s="85"/>
    </row>
    <row r="91" spans="7:31" x14ac:dyDescent="0.35">
      <c r="G91" s="85"/>
      <c r="H91" s="87"/>
      <c r="I91" s="94">
        <v>14</v>
      </c>
      <c r="J91" s="93" t="s">
        <v>775</v>
      </c>
      <c r="K91" s="85" t="s">
        <v>1713</v>
      </c>
      <c r="L91" s="148">
        <v>471.75</v>
      </c>
      <c r="M91" s="94"/>
      <c r="N91" s="93"/>
      <c r="O91" s="85"/>
      <c r="Q91" s="94"/>
      <c r="R91" s="93"/>
      <c r="S91" s="85"/>
      <c r="U91" s="94"/>
      <c r="V91" s="93"/>
      <c r="W91" s="85"/>
      <c r="Y91" s="94"/>
      <c r="Z91" s="93"/>
      <c r="AA91" s="85"/>
      <c r="AC91" s="94"/>
      <c r="AD91" s="93"/>
      <c r="AE91" s="85"/>
    </row>
    <row r="92" spans="7:31" x14ac:dyDescent="0.35">
      <c r="G92" s="85"/>
      <c r="H92" s="87"/>
      <c r="I92" s="94">
        <v>14</v>
      </c>
      <c r="J92" s="93" t="s">
        <v>775</v>
      </c>
      <c r="K92" s="85" t="s">
        <v>2788</v>
      </c>
      <c r="L92" s="148">
        <v>2520</v>
      </c>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M1000" s="94"/>
      <c r="N1000" s="93"/>
      <c r="O1000" s="85"/>
      <c r="Q1000" s="94"/>
      <c r="R1000" s="93"/>
      <c r="S1000" s="85"/>
      <c r="U1000" s="94"/>
      <c r="V1000" s="93"/>
      <c r="W1000" s="85"/>
      <c r="Y1000" s="94"/>
      <c r="Z1000" s="93"/>
      <c r="AA1000" s="85"/>
      <c r="AC1000" s="94"/>
      <c r="AD1000" s="93"/>
      <c r="AE1000" s="85"/>
    </row>
    <row r="1001" spans="7:31" x14ac:dyDescent="0.35">
      <c r="M1001" s="94"/>
      <c r="N1001" s="93"/>
      <c r="O1001" s="85"/>
    </row>
    <row r="1002" spans="7:31" x14ac:dyDescent="0.35">
      <c r="M1002" s="94"/>
      <c r="N1002" s="93"/>
      <c r="O1002" s="85"/>
    </row>
    <row r="1003" spans="7:31" x14ac:dyDescent="0.35">
      <c r="M1003" s="94"/>
      <c r="N1003" s="93"/>
      <c r="O1003" s="85"/>
    </row>
  </sheetData>
  <autoFilter ref="E23:M68" xr:uid="{00000000-0001-0000-2600-000000000000}"/>
  <conditionalFormatting sqref="A1:AG24 A25:L1048576 Q25:AG1048576 M25:P26">
    <cfRule type="expression" dxfId="17" priority="1">
      <formula>$A4="Spend to Date"</formula>
    </cfRule>
  </conditionalFormatting>
  <conditionalFormatting sqref="M27:P28">
    <cfRule type="expression" dxfId="16" priority="60">
      <formula>$A28="Spend to Date"</formula>
    </cfRule>
  </conditionalFormatting>
  <conditionalFormatting sqref="M29:P1048576">
    <cfRule type="expression" dxfId="15" priority="72">
      <formula>$A29="Spend to Date"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H1011"/>
  <sheetViews>
    <sheetView workbookViewId="0">
      <pane xSplit="2" ySplit="1" topLeftCell="K40" activePane="bottomRight" state="frozen"/>
      <selection pane="topRight" activeCell="C1" sqref="C1"/>
      <selection pane="bottomLeft" activeCell="A2" sqref="A2"/>
      <selection pane="bottomRight" activeCell="M71" sqref="M71"/>
    </sheetView>
  </sheetViews>
  <sheetFormatPr defaultColWidth="8.81640625" defaultRowHeight="14.5" x14ac:dyDescent="0.35"/>
  <cols>
    <col min="1" max="1" width="31.1796875" style="86" bestFit="1"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36.54296875" style="87" bestFit="1" customWidth="1"/>
    <col min="8" max="8" width="12.7265625" style="88" bestFit="1" customWidth="1"/>
    <col min="9" max="9" width="13.81640625" style="94" bestFit="1" customWidth="1"/>
    <col min="10" max="10" width="19.54296875" style="93" bestFit="1" customWidth="1"/>
    <col min="11" max="11" width="25.1796875" style="87" customWidth="1"/>
    <col min="12" max="12" width="40.1796875" style="87" customWidth="1"/>
    <col min="13" max="13" width="23.453125" style="89" customWidth="1"/>
    <col min="14" max="14" width="20.36328125" style="87" customWidth="1"/>
    <col min="15" max="15" width="28.453125" style="87" customWidth="1"/>
    <col min="16" max="16" width="30.816406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257</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-45000</v>
      </c>
      <c r="F2" s="87">
        <f>SUM(F3:F3)</f>
        <v>0</v>
      </c>
      <c r="I2" s="89">
        <f>SUM(I3:I3)</f>
        <v>-9699</v>
      </c>
      <c r="J2" s="87">
        <f>SUM(J3:J3)</f>
        <v>-60</v>
      </c>
      <c r="L2" s="87" t="s">
        <v>1731</v>
      </c>
      <c r="M2" s="89">
        <f>SUM(M3:M3)</f>
        <v>-12109</v>
      </c>
      <c r="N2" s="87">
        <f>SUM(N3:N3)</f>
        <v>4000</v>
      </c>
      <c r="Q2" s="89">
        <f>SUM(Q3:Q3)</f>
        <v>0</v>
      </c>
      <c r="R2" s="87">
        <f>SUM(R3:R3)</f>
        <v>0</v>
      </c>
      <c r="U2" s="89">
        <f>SUM(U3:U3)</f>
        <v>0</v>
      </c>
      <c r="V2" s="87">
        <f>SUM(V3:V3)</f>
        <v>0</v>
      </c>
      <c r="Y2" s="89">
        <f>SUM(Y3:Y3)</f>
        <v>0</v>
      </c>
      <c r="Z2" s="87">
        <f>SUM(Z3:Z3)</f>
        <v>0</v>
      </c>
      <c r="AC2" s="89">
        <f>SUM(AC3:AC3)</f>
        <v>0</v>
      </c>
      <c r="AD2" s="87">
        <f>SUM(AD3:AD3)</f>
        <v>0</v>
      </c>
    </row>
    <row r="3" spans="1:33" x14ac:dyDescent="0.35">
      <c r="A3" s="87" t="s">
        <v>257</v>
      </c>
      <c r="B3" s="85">
        <v>1</v>
      </c>
      <c r="D3" s="86">
        <v>42114</v>
      </c>
      <c r="E3" s="87">
        <v>-45000</v>
      </c>
      <c r="F3" s="87">
        <f>SUMIFS(H$25:H$1017,E$25:E$1017,$B3)</f>
        <v>0</v>
      </c>
      <c r="G3" s="87">
        <f>D3+E3-F3+SUMIFS(E$6:E$19,$C$6:$C$19,$A3)-SUMIFS(F$6:F$19,$C$6:$C$19,$A3)</f>
        <v>17964.450000000004</v>
      </c>
      <c r="I3" s="91">
        <f>-(509+8269+921)</f>
        <v>-9699</v>
      </c>
      <c r="J3" s="87">
        <f>SUMIFS(L$25:L$1005,I$25:I$1005,$B3)</f>
        <v>-60</v>
      </c>
      <c r="K3" s="87">
        <f>G3+I3-J3+SUMIFS(I$6:I$19,$C$6:$C$19,$A3)-SUMIFS(J$6:J$19,$C$6:$C$19,$A3)</f>
        <v>28363.810000000012</v>
      </c>
      <c r="L3" s="86" t="s">
        <v>3010</v>
      </c>
      <c r="M3" s="89">
        <v>-12109</v>
      </c>
      <c r="N3" s="87">
        <f>SUMIFS(P$25:P$1011,M$25:M$1011,$B3)</f>
        <v>4000</v>
      </c>
      <c r="O3" s="87">
        <f>K3+M3-N3+SUMIFS(M$6:M$17,$C$6:$C$17,$A3)-SUMIFS(N$6:N$17,$C$6:$C$17,$A3)</f>
        <v>35177.240000000013</v>
      </c>
      <c r="P3" s="105"/>
      <c r="R3" s="87">
        <f>SUMIFS(T$25:T$1017,Q$25:Q$1017,$B3)</f>
        <v>0</v>
      </c>
      <c r="S3" s="87">
        <f>O3+Q3-R3+SUMIFS(Q$6:Q$17,$C$6:$C$17,$A3)-SUMIFS(R$6:R$17,$C$6:$C$17,$A3)</f>
        <v>23847.24000000002</v>
      </c>
      <c r="V3" s="87">
        <f>SUMIFS(X$25:X$1017,U$25:U$1017,$B3)</f>
        <v>0</v>
      </c>
      <c r="W3" s="87">
        <f>S3+U3-V3+SUMIFS(U$6:U$17,$C$6:$C$17,$A3)-SUMIFS(V$6:V$17,$C$6:$C$17,$A3)</f>
        <v>12177.24000000002</v>
      </c>
      <c r="Z3" s="87">
        <f>SUMIFS(AB$25:AB$1017,Y$25:Y$1017,$B3)</f>
        <v>0</v>
      </c>
      <c r="AA3" s="87">
        <f>W3+Y3-Z3+SUMIFS(Y$6:Y$17,$C$6:$C$17,$A3)-SUMIFS(Z$6:Z$17,$C$6:$C$17,$A3)</f>
        <v>156.24000000001979</v>
      </c>
      <c r="AD3" s="87">
        <f>SUMIFS(AF$25:AF$1017,AC$25:AC$1017,$B3)</f>
        <v>0</v>
      </c>
      <c r="AE3" s="87">
        <f>AA3+AC3-AD3+SUMIFS(AC$6:AC$17,$C$6:$C$17,$A3)-SUMIFS(AD$6:AD$17,$C$6:$C$17,$A3)</f>
        <v>-12225.75999999998</v>
      </c>
      <c r="AG3" s="87">
        <v>40000</v>
      </c>
    </row>
    <row r="4" spans="1:33" ht="43.5" x14ac:dyDescent="0.35">
      <c r="E4" s="87"/>
      <c r="F4" s="87"/>
      <c r="I4" s="89"/>
      <c r="J4" s="87"/>
      <c r="L4" s="86" t="s">
        <v>1732</v>
      </c>
    </row>
    <row r="5" spans="1:33" x14ac:dyDescent="0.35">
      <c r="A5" s="84" t="s">
        <v>258</v>
      </c>
      <c r="D5" s="84"/>
      <c r="E5" s="87">
        <f>SUM(E6:E19)</f>
        <v>55000</v>
      </c>
      <c r="F5" s="87">
        <f>SUM(F6:F19)</f>
        <v>34149.549999999996</v>
      </c>
      <c r="I5" s="87">
        <f>SUM(I6:I19)</f>
        <v>63921</v>
      </c>
      <c r="J5" s="87">
        <f>SUM(J6:J19)</f>
        <v>43882.64</v>
      </c>
      <c r="M5" s="87">
        <f>SUM(M6:M19)</f>
        <v>73599</v>
      </c>
      <c r="N5" s="87">
        <f>SUM(N6:N19)</f>
        <v>39048.11</v>
      </c>
      <c r="Q5" s="89">
        <f>SUM(Q6:Q17)</f>
        <v>54177</v>
      </c>
      <c r="R5" s="87">
        <f>$Q$5</f>
        <v>54177</v>
      </c>
      <c r="U5" s="89">
        <f>SUM(U6:U17)</f>
        <v>55806</v>
      </c>
      <c r="V5" s="87">
        <f>$U$5</f>
        <v>55806</v>
      </c>
      <c r="Y5" s="89">
        <f>SUM(Y6:Y17)</f>
        <v>57486</v>
      </c>
      <c r="Z5" s="87">
        <f>$Y$5</f>
        <v>57486</v>
      </c>
      <c r="AC5" s="89">
        <f>SUM(AC6:AC17)</f>
        <v>59212</v>
      </c>
      <c r="AD5" s="87">
        <f>$AC$5</f>
        <v>59212</v>
      </c>
    </row>
    <row r="6" spans="1:33" x14ac:dyDescent="0.35">
      <c r="A6" s="86" t="s">
        <v>258</v>
      </c>
      <c r="B6" s="85">
        <v>2</v>
      </c>
      <c r="C6" s="87" t="s">
        <v>257</v>
      </c>
      <c r="D6" s="84"/>
      <c r="E6" s="87">
        <v>15000</v>
      </c>
      <c r="F6" s="87">
        <f t="shared" ref="F6:F12" si="0">SUMIFS(H$25:H$1017,E$25:E$1017,$B6)</f>
        <v>6432.6399999999985</v>
      </c>
      <c r="I6" s="89">
        <v>15000</v>
      </c>
      <c r="J6" s="87">
        <f t="shared" ref="J6:J19" si="1">SUMIFS(L$25:L$1005,I$25:I$1005,$B6)</f>
        <v>5794.9</v>
      </c>
      <c r="M6" s="89">
        <v>15000</v>
      </c>
      <c r="N6" s="126">
        <f t="shared" ref="N6:N19" si="2">SUMIFS(P$25:P$1001,M$25:M$1001,$B6)</f>
        <v>14852.67</v>
      </c>
      <c r="Q6" s="89">
        <f t="shared" ref="Q6:Q17" si="3">ROUNDUP((M6)*RPI,0)</f>
        <v>15450</v>
      </c>
      <c r="R6" s="87">
        <f>$Q$6</f>
        <v>15450</v>
      </c>
      <c r="U6" s="89">
        <f t="shared" ref="U6:U17" si="4">ROUNDUP((Q6)*RPI,0)</f>
        <v>15914</v>
      </c>
      <c r="V6" s="87">
        <f>$U$6</f>
        <v>15914</v>
      </c>
      <c r="Y6" s="89">
        <f t="shared" ref="Y6:Y17" si="5">ROUNDUP((U6)*RPI,0)</f>
        <v>16392</v>
      </c>
      <c r="Z6" s="87">
        <f>$Y$6</f>
        <v>16392</v>
      </c>
      <c r="AC6" s="89">
        <f t="shared" ref="AC6:AC17" si="6">ROUNDUP((Y6)*RPI,0)</f>
        <v>16884</v>
      </c>
      <c r="AD6" s="87">
        <f>$AC$6</f>
        <v>16884</v>
      </c>
    </row>
    <row r="7" spans="1:33" x14ac:dyDescent="0.35">
      <c r="A7" s="86" t="s">
        <v>259</v>
      </c>
      <c r="B7" s="85">
        <v>3</v>
      </c>
      <c r="C7" s="87" t="s">
        <v>257</v>
      </c>
      <c r="D7" s="84"/>
      <c r="E7" s="87">
        <v>5000</v>
      </c>
      <c r="F7" s="87">
        <f t="shared" si="0"/>
        <v>4490.9400000000005</v>
      </c>
      <c r="I7" s="89">
        <v>5000</v>
      </c>
      <c r="J7" s="87">
        <f t="shared" si="1"/>
        <v>0</v>
      </c>
      <c r="L7" s="96"/>
      <c r="M7" s="89">
        <v>5000</v>
      </c>
      <c r="N7" s="126">
        <f t="shared" si="2"/>
        <v>5000</v>
      </c>
      <c r="P7" s="105"/>
      <c r="Q7" s="89">
        <f t="shared" si="3"/>
        <v>5150</v>
      </c>
      <c r="R7" s="87">
        <f>$Q$7</f>
        <v>5150</v>
      </c>
      <c r="U7" s="89">
        <f t="shared" si="4"/>
        <v>5305</v>
      </c>
      <c r="V7" s="87">
        <f>$U$7</f>
        <v>5305</v>
      </c>
      <c r="Y7" s="89">
        <f t="shared" si="5"/>
        <v>5465</v>
      </c>
      <c r="Z7" s="87">
        <f>$Y$7</f>
        <v>5465</v>
      </c>
      <c r="AC7" s="89">
        <f t="shared" si="6"/>
        <v>5629</v>
      </c>
      <c r="AD7" s="87">
        <f>$AC$7</f>
        <v>5629</v>
      </c>
    </row>
    <row r="8" spans="1:33" x14ac:dyDescent="0.35">
      <c r="A8" s="86" t="s">
        <v>260</v>
      </c>
      <c r="B8" s="85">
        <v>4</v>
      </c>
      <c r="C8" s="87" t="s">
        <v>257</v>
      </c>
      <c r="D8" s="84"/>
      <c r="E8" s="87">
        <v>5000</v>
      </c>
      <c r="F8" s="87">
        <f t="shared" si="0"/>
        <v>1623.72</v>
      </c>
      <c r="I8" s="89">
        <v>2500</v>
      </c>
      <c r="J8" s="87">
        <f t="shared" si="1"/>
        <v>391</v>
      </c>
      <c r="M8" s="89">
        <v>5000</v>
      </c>
      <c r="N8" s="126">
        <f t="shared" si="2"/>
        <v>1201</v>
      </c>
      <c r="P8" s="105"/>
      <c r="Q8" s="89">
        <f t="shared" si="3"/>
        <v>5150</v>
      </c>
      <c r="R8" s="87">
        <f>$Q$8</f>
        <v>5150</v>
      </c>
      <c r="U8" s="89">
        <f t="shared" si="4"/>
        <v>5305</v>
      </c>
      <c r="V8" s="87">
        <f>$U$8</f>
        <v>5305</v>
      </c>
      <c r="Y8" s="89">
        <f t="shared" si="5"/>
        <v>5465</v>
      </c>
      <c r="Z8" s="87">
        <f>$Y$8</f>
        <v>5465</v>
      </c>
      <c r="AC8" s="89">
        <f t="shared" si="6"/>
        <v>5629</v>
      </c>
      <c r="AD8" s="87">
        <f>$AC$8</f>
        <v>5629</v>
      </c>
    </row>
    <row r="9" spans="1:33" x14ac:dyDescent="0.35">
      <c r="A9" s="87" t="s">
        <v>1733</v>
      </c>
      <c r="B9" s="85">
        <v>5</v>
      </c>
      <c r="C9" s="87" t="s">
        <v>257</v>
      </c>
      <c r="D9" s="84"/>
      <c r="E9" s="87">
        <v>5000</v>
      </c>
      <c r="F9" s="87">
        <f t="shared" si="0"/>
        <v>5000</v>
      </c>
      <c r="I9" s="89">
        <v>10000</v>
      </c>
      <c r="J9" s="87">
        <f t="shared" si="1"/>
        <v>10000</v>
      </c>
      <c r="M9" s="89">
        <v>3000</v>
      </c>
      <c r="N9" s="126">
        <f t="shared" si="2"/>
        <v>0</v>
      </c>
      <c r="P9" s="105"/>
      <c r="Q9" s="89">
        <f t="shared" si="3"/>
        <v>3090</v>
      </c>
      <c r="R9" s="87">
        <f>$Q$9</f>
        <v>3090</v>
      </c>
      <c r="U9" s="89">
        <f t="shared" si="4"/>
        <v>3183</v>
      </c>
      <c r="V9" s="87">
        <f>$U$9</f>
        <v>3183</v>
      </c>
      <c r="Y9" s="89">
        <f t="shared" si="5"/>
        <v>3279</v>
      </c>
      <c r="Z9" s="87">
        <f>$Y$9</f>
        <v>3279</v>
      </c>
      <c r="AC9" s="89">
        <f t="shared" si="6"/>
        <v>3378</v>
      </c>
      <c r="AD9" s="87">
        <f>$AC$9</f>
        <v>3378</v>
      </c>
    </row>
    <row r="10" spans="1:33" x14ac:dyDescent="0.35">
      <c r="A10" s="87" t="s">
        <v>262</v>
      </c>
      <c r="B10" s="85">
        <v>6</v>
      </c>
      <c r="C10" s="87" t="s">
        <v>257</v>
      </c>
      <c r="D10" s="84"/>
      <c r="E10" s="87">
        <v>5000</v>
      </c>
      <c r="F10" s="87">
        <f t="shared" si="0"/>
        <v>0</v>
      </c>
      <c r="I10" s="91">
        <v>5921</v>
      </c>
      <c r="J10" s="87">
        <f t="shared" si="1"/>
        <v>5921</v>
      </c>
      <c r="M10" s="89">
        <f>ROUNDUP((I10)*RPI,0)</f>
        <v>6099</v>
      </c>
      <c r="N10" s="126">
        <f t="shared" si="2"/>
        <v>5000</v>
      </c>
      <c r="P10" s="105"/>
      <c r="Q10" s="89">
        <f t="shared" si="3"/>
        <v>6282</v>
      </c>
      <c r="R10" s="87">
        <f>$Q$10</f>
        <v>6282</v>
      </c>
      <c r="U10" s="89">
        <f t="shared" si="4"/>
        <v>6471</v>
      </c>
      <c r="V10" s="87">
        <f>$U$10</f>
        <v>6471</v>
      </c>
      <c r="Y10" s="89">
        <f t="shared" si="5"/>
        <v>6666</v>
      </c>
      <c r="Z10" s="87">
        <f>$Y$10</f>
        <v>6666</v>
      </c>
      <c r="AC10" s="89">
        <f t="shared" si="6"/>
        <v>6866</v>
      </c>
      <c r="AD10" s="87">
        <f>$AC$10</f>
        <v>6866</v>
      </c>
    </row>
    <row r="11" spans="1:33" x14ac:dyDescent="0.35">
      <c r="A11" s="87" t="s">
        <v>263</v>
      </c>
      <c r="B11" s="85">
        <v>7</v>
      </c>
      <c r="C11" s="87" t="s">
        <v>257</v>
      </c>
      <c r="D11" s="84"/>
      <c r="E11" s="87">
        <v>5000</v>
      </c>
      <c r="F11" s="87">
        <f t="shared" si="0"/>
        <v>1602.25</v>
      </c>
      <c r="I11" s="89">
        <v>5000</v>
      </c>
      <c r="J11" s="87">
        <f t="shared" si="1"/>
        <v>2271</v>
      </c>
      <c r="M11" s="89">
        <v>2500</v>
      </c>
      <c r="N11" s="126">
        <f t="shared" si="2"/>
        <v>0</v>
      </c>
      <c r="Q11" s="89">
        <f t="shared" si="3"/>
        <v>2575</v>
      </c>
      <c r="R11" s="87">
        <f>$Q$11</f>
        <v>2575</v>
      </c>
      <c r="U11" s="89">
        <f t="shared" si="4"/>
        <v>2653</v>
      </c>
      <c r="V11" s="87">
        <f>$U$11</f>
        <v>2653</v>
      </c>
      <c r="Y11" s="89">
        <f t="shared" si="5"/>
        <v>2733</v>
      </c>
      <c r="Z11" s="87">
        <f>$Y$11</f>
        <v>2733</v>
      </c>
      <c r="AC11" s="89">
        <f t="shared" si="6"/>
        <v>2815</v>
      </c>
      <c r="AD11" s="87">
        <f>$AC$11</f>
        <v>2815</v>
      </c>
    </row>
    <row r="12" spans="1:33" x14ac:dyDescent="0.35">
      <c r="A12" s="87" t="s">
        <v>264</v>
      </c>
      <c r="B12" s="85">
        <v>8</v>
      </c>
      <c r="C12" s="87" t="s">
        <v>257</v>
      </c>
      <c r="D12" s="84"/>
      <c r="E12" s="87">
        <v>5000</v>
      </c>
      <c r="F12" s="87">
        <f t="shared" si="0"/>
        <v>5000</v>
      </c>
      <c r="I12" s="89">
        <v>5000</v>
      </c>
      <c r="J12" s="87">
        <f t="shared" si="1"/>
        <v>0</v>
      </c>
      <c r="L12" s="96"/>
      <c r="M12" s="89">
        <v>5000</v>
      </c>
      <c r="N12" s="126">
        <f t="shared" si="2"/>
        <v>5000</v>
      </c>
      <c r="P12" s="105"/>
      <c r="Q12" s="89">
        <f t="shared" si="3"/>
        <v>5150</v>
      </c>
      <c r="R12" s="87">
        <f>$Q$12</f>
        <v>5150</v>
      </c>
      <c r="U12" s="89">
        <f t="shared" si="4"/>
        <v>5305</v>
      </c>
      <c r="V12" s="87">
        <f>$U$12</f>
        <v>5305</v>
      </c>
      <c r="Y12" s="89">
        <f t="shared" si="5"/>
        <v>5465</v>
      </c>
      <c r="Z12" s="87">
        <f>$Y$12</f>
        <v>5465</v>
      </c>
      <c r="AC12" s="89">
        <f t="shared" si="6"/>
        <v>5629</v>
      </c>
      <c r="AD12" s="87">
        <f>$AC$12</f>
        <v>5629</v>
      </c>
    </row>
    <row r="13" spans="1:33" x14ac:dyDescent="0.35">
      <c r="A13" s="87" t="s">
        <v>265</v>
      </c>
      <c r="B13" s="85">
        <v>9</v>
      </c>
      <c r="C13" s="87" t="s">
        <v>257</v>
      </c>
      <c r="D13" s="84"/>
      <c r="E13" s="87">
        <v>5000</v>
      </c>
      <c r="F13" s="87">
        <v>5000</v>
      </c>
      <c r="I13" s="89">
        <v>3000</v>
      </c>
      <c r="J13" s="87">
        <f t="shared" si="1"/>
        <v>5000</v>
      </c>
      <c r="L13" s="127"/>
      <c r="M13" s="89">
        <v>0</v>
      </c>
      <c r="N13" s="126">
        <f t="shared" si="2"/>
        <v>0</v>
      </c>
      <c r="Q13" s="89">
        <f t="shared" si="3"/>
        <v>0</v>
      </c>
      <c r="R13" s="87">
        <f>$Q$13</f>
        <v>0</v>
      </c>
      <c r="U13" s="89">
        <f t="shared" si="4"/>
        <v>0</v>
      </c>
      <c r="V13" s="87">
        <f>$U$13</f>
        <v>0</v>
      </c>
      <c r="Y13" s="89">
        <f t="shared" si="5"/>
        <v>0</v>
      </c>
      <c r="Z13" s="87">
        <f>$Y$13</f>
        <v>0</v>
      </c>
      <c r="AC13" s="89">
        <f t="shared" si="6"/>
        <v>0</v>
      </c>
      <c r="AD13" s="87">
        <f>$AC$13</f>
        <v>0</v>
      </c>
    </row>
    <row r="14" spans="1:33" x14ac:dyDescent="0.35">
      <c r="A14" s="87" t="s">
        <v>266</v>
      </c>
      <c r="B14" s="85">
        <v>10</v>
      </c>
      <c r="C14" s="87" t="s">
        <v>257</v>
      </c>
      <c r="D14" s="84"/>
      <c r="E14" s="87">
        <v>5000</v>
      </c>
      <c r="F14" s="87">
        <f>SUMIFS(H$25:H$1017,E$25:E$1017,$B14)</f>
        <v>5000</v>
      </c>
      <c r="I14" s="89">
        <v>0</v>
      </c>
      <c r="J14" s="87">
        <f t="shared" si="1"/>
        <v>0</v>
      </c>
      <c r="M14" s="89">
        <f>ROUNDUP((I14)*RPI,0)</f>
        <v>0</v>
      </c>
      <c r="N14" s="126">
        <f t="shared" si="2"/>
        <v>0</v>
      </c>
      <c r="Q14" s="89">
        <f>ROUNDUP((M14)*RPI,0)</f>
        <v>0</v>
      </c>
      <c r="R14" s="87">
        <f>$Q$17</f>
        <v>11330</v>
      </c>
      <c r="U14" s="89">
        <f>ROUNDUP((Q14)*RPI,0)</f>
        <v>0</v>
      </c>
      <c r="V14" s="87">
        <f>$U$17</f>
        <v>11670</v>
      </c>
      <c r="Y14" s="89">
        <f>ROUNDUP((U14)*RPI,0)</f>
        <v>0</v>
      </c>
      <c r="Z14" s="87">
        <f>$Y$17</f>
        <v>12021</v>
      </c>
      <c r="AC14" s="89">
        <f>ROUNDUP((Y14)*RPI,0)</f>
        <v>0</v>
      </c>
      <c r="AD14" s="87">
        <f>$AC$17</f>
        <v>12382</v>
      </c>
    </row>
    <row r="15" spans="1:33" x14ac:dyDescent="0.35">
      <c r="A15" s="87" t="s">
        <v>267</v>
      </c>
      <c r="B15" s="85">
        <v>11</v>
      </c>
      <c r="C15" s="87" t="s">
        <v>257</v>
      </c>
      <c r="D15" s="84"/>
      <c r="E15" s="87">
        <v>0</v>
      </c>
      <c r="F15" s="87">
        <f>SUMIFS(H$25:H$1017,E$25:E$1017,$B15)</f>
        <v>0</v>
      </c>
      <c r="I15" s="89">
        <v>2500</v>
      </c>
      <c r="J15" s="87">
        <f t="shared" si="1"/>
        <v>1501</v>
      </c>
      <c r="M15" s="89">
        <v>2000</v>
      </c>
      <c r="N15" s="126">
        <f t="shared" si="2"/>
        <v>0</v>
      </c>
    </row>
    <row r="16" spans="1:33" x14ac:dyDescent="0.35">
      <c r="A16" s="87" t="s">
        <v>1734</v>
      </c>
      <c r="B16" s="85">
        <v>12</v>
      </c>
      <c r="C16" s="87" t="s">
        <v>257</v>
      </c>
      <c r="D16" s="84"/>
      <c r="E16" s="87">
        <v>0</v>
      </c>
      <c r="F16" s="87">
        <f>SUMIFS(H$25:H$1017,E$25:E$1017,$B16)</f>
        <v>0</v>
      </c>
      <c r="I16" s="89">
        <v>5000</v>
      </c>
      <c r="J16" s="87">
        <f t="shared" si="1"/>
        <v>3062.02</v>
      </c>
      <c r="L16" s="127"/>
      <c r="M16" s="89">
        <v>0</v>
      </c>
      <c r="N16" s="126">
        <f t="shared" si="2"/>
        <v>0</v>
      </c>
    </row>
    <row r="17" spans="1:34" s="126" customFormat="1" x14ac:dyDescent="0.35">
      <c r="A17" s="126" t="s">
        <v>269</v>
      </c>
      <c r="B17" s="128">
        <v>13</v>
      </c>
      <c r="C17" s="126" t="s">
        <v>257</v>
      </c>
      <c r="D17" s="129"/>
      <c r="E17" s="126">
        <v>0</v>
      </c>
      <c r="F17" s="126">
        <f>SUMIFS(H$25:H$1017,E$25:E$1017,$B17)</f>
        <v>0</v>
      </c>
      <c r="H17" s="130"/>
      <c r="I17" s="131">
        <v>5000</v>
      </c>
      <c r="J17" s="126">
        <f t="shared" si="1"/>
        <v>9941.7199999999993</v>
      </c>
      <c r="L17" s="127"/>
      <c r="M17" s="131">
        <v>11000</v>
      </c>
      <c r="N17" s="126">
        <f t="shared" si="2"/>
        <v>622.9</v>
      </c>
      <c r="Q17" s="131">
        <f t="shared" si="3"/>
        <v>11330</v>
      </c>
      <c r="R17" s="126">
        <f>$Q$17</f>
        <v>11330</v>
      </c>
      <c r="U17" s="131">
        <f t="shared" si="4"/>
        <v>11670</v>
      </c>
      <c r="V17" s="126">
        <f>$U$17</f>
        <v>11670</v>
      </c>
      <c r="Y17" s="131">
        <f t="shared" si="5"/>
        <v>12021</v>
      </c>
      <c r="Z17" s="126">
        <f>$Y$17</f>
        <v>12021</v>
      </c>
      <c r="AC17" s="131">
        <f t="shared" si="6"/>
        <v>12382</v>
      </c>
      <c r="AD17" s="126">
        <f>$AC$17</f>
        <v>12382</v>
      </c>
    </row>
    <row r="18" spans="1:34" s="126" customFormat="1" x14ac:dyDescent="0.35">
      <c r="A18" s="132" t="s">
        <v>1735</v>
      </c>
      <c r="B18" s="132">
        <v>14</v>
      </c>
      <c r="C18" s="161" t="s">
        <v>257</v>
      </c>
      <c r="D18" s="161"/>
      <c r="E18" s="126">
        <v>0</v>
      </c>
      <c r="F18" s="126">
        <v>0</v>
      </c>
      <c r="G18" s="132"/>
      <c r="H18" s="132"/>
      <c r="I18" s="126">
        <v>0</v>
      </c>
      <c r="J18" s="126">
        <f t="shared" si="1"/>
        <v>0</v>
      </c>
      <c r="K18" s="132"/>
      <c r="L18" s="132"/>
      <c r="M18" s="131">
        <v>7000</v>
      </c>
      <c r="N18" s="126">
        <f t="shared" si="2"/>
        <v>0</v>
      </c>
      <c r="O18" s="132"/>
      <c r="P18" s="127"/>
      <c r="Q18" s="133">
        <v>7210</v>
      </c>
      <c r="R18" s="134">
        <v>11330</v>
      </c>
      <c r="S18" s="132"/>
      <c r="T18" s="132"/>
      <c r="U18" s="135" t="s">
        <v>1736</v>
      </c>
      <c r="V18" s="132" t="s">
        <v>1737</v>
      </c>
      <c r="W18" s="132"/>
      <c r="X18" s="132"/>
      <c r="Y18" s="135" t="s">
        <v>1738</v>
      </c>
      <c r="Z18" s="132" t="s">
        <v>1739</v>
      </c>
      <c r="AA18" s="132"/>
      <c r="AB18" s="132"/>
      <c r="AC18" s="135" t="s">
        <v>1740</v>
      </c>
      <c r="AD18" s="132" t="s">
        <v>1741</v>
      </c>
      <c r="AE18" s="132"/>
      <c r="AF18" s="132"/>
      <c r="AG18" s="132"/>
      <c r="AH18" s="132"/>
    </row>
    <row r="19" spans="1:34" s="126" customFormat="1" x14ac:dyDescent="0.35">
      <c r="A19" s="126" t="s">
        <v>1742</v>
      </c>
      <c r="B19" s="128">
        <v>15</v>
      </c>
      <c r="C19" s="126" t="s">
        <v>257</v>
      </c>
      <c r="D19" s="129"/>
      <c r="E19" s="126">
        <v>0</v>
      </c>
      <c r="F19" s="126">
        <v>0</v>
      </c>
      <c r="H19" s="130"/>
      <c r="I19" s="126">
        <v>0</v>
      </c>
      <c r="J19" s="126">
        <f t="shared" si="1"/>
        <v>0</v>
      </c>
      <c r="M19" s="131">
        <v>12000</v>
      </c>
      <c r="N19" s="126">
        <f t="shared" si="2"/>
        <v>7371.54</v>
      </c>
      <c r="P19" s="127"/>
      <c r="Q19" s="131"/>
      <c r="U19" s="131"/>
      <c r="Y19" s="131"/>
      <c r="AC19" s="131"/>
    </row>
    <row r="20" spans="1:34" x14ac:dyDescent="0.35">
      <c r="E20" s="87"/>
      <c r="F20" s="87"/>
      <c r="I20" s="89"/>
      <c r="J20" s="87"/>
    </row>
    <row r="21" spans="1:34" x14ac:dyDescent="0.35">
      <c r="E21" s="87"/>
      <c r="F21" s="87"/>
      <c r="I21" s="89"/>
      <c r="J21" s="87"/>
    </row>
    <row r="22" spans="1:34" x14ac:dyDescent="0.35">
      <c r="E22" s="87"/>
      <c r="F22" s="87"/>
      <c r="I22" s="89"/>
      <c r="J22" s="87"/>
    </row>
    <row r="23" spans="1:34" x14ac:dyDescent="0.35">
      <c r="A23" s="84" t="s">
        <v>487</v>
      </c>
      <c r="G23" s="85"/>
      <c r="H23" s="87"/>
      <c r="K23" s="85"/>
      <c r="M23" s="94"/>
      <c r="N23" s="93"/>
      <c r="O23" s="85"/>
      <c r="Q23" s="94"/>
      <c r="R23" s="93"/>
      <c r="S23" s="85"/>
      <c r="U23" s="94"/>
      <c r="V23" s="93"/>
      <c r="W23" s="85"/>
      <c r="Y23" s="94"/>
      <c r="Z23" s="93"/>
      <c r="AA23" s="85"/>
      <c r="AC23" s="94"/>
      <c r="AD23" s="93"/>
      <c r="AE23" s="85"/>
    </row>
    <row r="24" spans="1:34" x14ac:dyDescent="0.35">
      <c r="E24" s="85" t="s">
        <v>484</v>
      </c>
      <c r="F24" s="93" t="s">
        <v>488</v>
      </c>
      <c r="G24" s="85" t="s">
        <v>489</v>
      </c>
      <c r="H24" s="87" t="s">
        <v>475</v>
      </c>
      <c r="I24" s="94" t="s">
        <v>484</v>
      </c>
      <c r="J24" s="93" t="s">
        <v>488</v>
      </c>
      <c r="K24" s="85" t="s">
        <v>489</v>
      </c>
      <c r="L24" s="87" t="s">
        <v>475</v>
      </c>
      <c r="M24" s="94" t="s">
        <v>484</v>
      </c>
      <c r="N24" s="93" t="s">
        <v>488</v>
      </c>
      <c r="O24" s="85" t="s">
        <v>489</v>
      </c>
      <c r="P24" s="87" t="s">
        <v>475</v>
      </c>
      <c r="Q24" s="94"/>
      <c r="R24" s="93"/>
      <c r="S24" s="85"/>
      <c r="U24" s="94"/>
      <c r="V24" s="93"/>
      <c r="W24" s="85"/>
      <c r="Y24" s="94"/>
      <c r="Z24" s="93"/>
      <c r="AA24" s="85"/>
      <c r="AC24" s="94"/>
      <c r="AD24" s="93"/>
      <c r="AE24" s="85"/>
    </row>
    <row r="25" spans="1:34" x14ac:dyDescent="0.35">
      <c r="A25" s="85"/>
      <c r="D25" s="85"/>
      <c r="E25" s="85">
        <v>2</v>
      </c>
      <c r="F25" s="93" t="s">
        <v>1186</v>
      </c>
      <c r="G25" s="85" t="s">
        <v>1743</v>
      </c>
      <c r="H25" s="136">
        <f>70+5+4.17+5+3.99+1.4+22+11+575+13.25+101.55</f>
        <v>812.3599999999999</v>
      </c>
      <c r="I25" s="94">
        <v>2</v>
      </c>
      <c r="J25" s="93">
        <v>45027</v>
      </c>
      <c r="K25" s="85" t="s">
        <v>1746</v>
      </c>
      <c r="L25" s="87">
        <v>25</v>
      </c>
      <c r="M25" s="105">
        <v>15</v>
      </c>
      <c r="N25" s="93" t="s">
        <v>1878</v>
      </c>
      <c r="O25" s="85" t="s">
        <v>2590</v>
      </c>
      <c r="P25" s="148">
        <v>50</v>
      </c>
      <c r="Q25" s="94"/>
      <c r="R25" s="93"/>
      <c r="S25" s="85"/>
      <c r="U25" s="94"/>
      <c r="V25" s="93"/>
      <c r="W25" s="85"/>
      <c r="Y25" s="94"/>
      <c r="Z25" s="93"/>
      <c r="AA25" s="85"/>
      <c r="AC25" s="94"/>
      <c r="AD25" s="93"/>
      <c r="AE25" s="85"/>
    </row>
    <row r="26" spans="1:34" x14ac:dyDescent="0.35">
      <c r="E26" s="85">
        <v>2</v>
      </c>
      <c r="F26" s="93" t="s">
        <v>1186</v>
      </c>
      <c r="G26" s="85" t="s">
        <v>1745</v>
      </c>
      <c r="H26" s="87">
        <f>1350+385</f>
        <v>1735</v>
      </c>
      <c r="I26" s="137">
        <v>6</v>
      </c>
      <c r="J26" s="138">
        <v>45021</v>
      </c>
      <c r="K26" s="128" t="s">
        <v>1748</v>
      </c>
      <c r="L26" s="126">
        <v>5921</v>
      </c>
      <c r="M26" s="105">
        <v>6</v>
      </c>
      <c r="N26" s="93" t="s">
        <v>1878</v>
      </c>
      <c r="O26" s="85" t="s">
        <v>1748</v>
      </c>
      <c r="P26" s="148">
        <v>5000</v>
      </c>
      <c r="Q26" s="94"/>
      <c r="R26" s="93"/>
      <c r="S26" s="85"/>
      <c r="U26" s="94"/>
      <c r="V26" s="93"/>
      <c r="W26" s="85"/>
      <c r="Y26" s="94"/>
      <c r="Z26" s="93"/>
      <c r="AA26" s="85"/>
      <c r="AC26" s="94"/>
      <c r="AD26" s="93"/>
      <c r="AE26" s="85"/>
    </row>
    <row r="27" spans="1:34" s="126" customFormat="1" ht="14.5" customHeight="1" x14ac:dyDescent="0.35">
      <c r="A27" s="127"/>
      <c r="B27" s="128"/>
      <c r="C27" s="128"/>
      <c r="D27" s="127"/>
      <c r="E27" s="128">
        <v>3</v>
      </c>
      <c r="F27" s="138" t="s">
        <v>1186</v>
      </c>
      <c r="G27" s="128" t="s">
        <v>1747</v>
      </c>
      <c r="H27" s="126">
        <f>5000-614.06+105</f>
        <v>4490.9400000000005</v>
      </c>
      <c r="I27" s="94">
        <v>9</v>
      </c>
      <c r="J27" s="93">
        <v>45097</v>
      </c>
      <c r="K27" s="85" t="s">
        <v>1751</v>
      </c>
      <c r="L27" s="87">
        <v>3000</v>
      </c>
      <c r="M27" s="139">
        <v>4</v>
      </c>
      <c r="N27" s="140" t="s">
        <v>2670</v>
      </c>
      <c r="O27" s="128" t="s">
        <v>2671</v>
      </c>
      <c r="P27" s="152">
        <v>-500</v>
      </c>
      <c r="Q27" s="137"/>
      <c r="R27" s="138"/>
      <c r="S27" s="128"/>
      <c r="U27" s="137"/>
      <c r="V27" s="138"/>
      <c r="W27" s="128"/>
      <c r="Y27" s="137"/>
      <c r="Z27" s="138"/>
      <c r="AA27" s="128"/>
      <c r="AC27" s="137"/>
      <c r="AD27" s="138"/>
      <c r="AE27" s="128"/>
    </row>
    <row r="28" spans="1:34" x14ac:dyDescent="0.35">
      <c r="E28" s="85">
        <v>5</v>
      </c>
      <c r="F28" s="93" t="s">
        <v>1186</v>
      </c>
      <c r="G28" s="85" t="s">
        <v>1749</v>
      </c>
      <c r="H28" s="87">
        <v>5000</v>
      </c>
      <c r="I28" s="94">
        <v>9</v>
      </c>
      <c r="J28" s="93">
        <v>45097</v>
      </c>
      <c r="K28" s="85" t="s">
        <v>1751</v>
      </c>
      <c r="L28" s="87">
        <v>2000</v>
      </c>
      <c r="M28" s="139">
        <v>2</v>
      </c>
      <c r="N28" s="93" t="s">
        <v>814</v>
      </c>
      <c r="O28" s="85" t="s">
        <v>2713</v>
      </c>
      <c r="P28" s="87">
        <v>3000</v>
      </c>
      <c r="Q28" s="94"/>
      <c r="R28" s="93"/>
      <c r="S28" s="85"/>
      <c r="U28" s="94"/>
      <c r="V28" s="93"/>
      <c r="W28" s="85"/>
      <c r="Y28" s="94"/>
      <c r="Z28" s="93"/>
      <c r="AA28" s="85"/>
      <c r="AC28" s="94"/>
      <c r="AD28" s="93"/>
      <c r="AE28" s="85"/>
    </row>
    <row r="29" spans="1:34" x14ac:dyDescent="0.35">
      <c r="E29" s="85">
        <v>4</v>
      </c>
      <c r="F29" s="93" t="s">
        <v>1186</v>
      </c>
      <c r="G29" s="85" t="s">
        <v>1750</v>
      </c>
      <c r="H29" s="87">
        <f>790+125+320+11.23+150+150+2.49+75</f>
        <v>1623.72</v>
      </c>
      <c r="I29" s="94">
        <v>12</v>
      </c>
      <c r="J29" s="93">
        <v>45028</v>
      </c>
      <c r="K29" s="85" t="s">
        <v>240</v>
      </c>
      <c r="L29" s="87">
        <v>1765</v>
      </c>
      <c r="M29" s="94">
        <v>2</v>
      </c>
      <c r="N29" s="93" t="s">
        <v>676</v>
      </c>
      <c r="O29" s="85" t="s">
        <v>2723</v>
      </c>
      <c r="P29" s="87">
        <v>2500</v>
      </c>
      <c r="Q29" s="94"/>
      <c r="R29" s="93"/>
      <c r="S29" s="85"/>
      <c r="U29" s="94"/>
      <c r="V29" s="93"/>
      <c r="W29" s="85"/>
      <c r="Y29" s="94"/>
      <c r="Z29" s="93"/>
      <c r="AA29" s="85"/>
      <c r="AC29" s="94"/>
      <c r="AD29" s="93"/>
      <c r="AE29" s="85"/>
    </row>
    <row r="30" spans="1:34" x14ac:dyDescent="0.35">
      <c r="E30" s="85">
        <v>9</v>
      </c>
      <c r="F30" s="93" t="s">
        <v>1</v>
      </c>
      <c r="G30" s="85" t="s">
        <v>1752</v>
      </c>
      <c r="H30" s="87">
        <v>5000</v>
      </c>
      <c r="I30" s="94">
        <v>2</v>
      </c>
      <c r="J30" s="93">
        <v>45040</v>
      </c>
      <c r="K30" s="85" t="s">
        <v>1746</v>
      </c>
      <c r="L30" s="85">
        <v>30.53</v>
      </c>
      <c r="M30" s="105">
        <v>2</v>
      </c>
      <c r="N30" s="93">
        <v>45447</v>
      </c>
      <c r="O30" s="85" t="s">
        <v>2722</v>
      </c>
      <c r="P30" s="148">
        <v>5000</v>
      </c>
      <c r="Q30" s="94"/>
      <c r="R30" s="93"/>
      <c r="S30" s="85"/>
      <c r="U30" s="94"/>
      <c r="V30" s="93"/>
      <c r="W30" s="85"/>
      <c r="Y30" s="94"/>
      <c r="Z30" s="93"/>
      <c r="AA30" s="85"/>
      <c r="AC30" s="94"/>
      <c r="AD30" s="93"/>
      <c r="AE30" s="85"/>
    </row>
    <row r="31" spans="1:34" x14ac:dyDescent="0.35">
      <c r="E31" s="85">
        <v>2</v>
      </c>
      <c r="F31" s="93">
        <v>44671</v>
      </c>
      <c r="G31" s="85" t="s">
        <v>1753</v>
      </c>
      <c r="H31" s="87">
        <v>8.81</v>
      </c>
      <c r="I31" s="94">
        <v>2</v>
      </c>
      <c r="J31" s="93">
        <v>45024</v>
      </c>
      <c r="K31" s="85" t="s">
        <v>1757</v>
      </c>
      <c r="L31" s="87">
        <v>50</v>
      </c>
      <c r="M31" s="94">
        <v>2</v>
      </c>
      <c r="N31" s="93">
        <v>45429</v>
      </c>
      <c r="O31" s="85" t="s">
        <v>2724</v>
      </c>
      <c r="P31" s="148">
        <v>229.17</v>
      </c>
      <c r="Q31" s="94"/>
      <c r="R31" s="93"/>
      <c r="S31" s="85"/>
      <c r="U31" s="94"/>
      <c r="V31" s="93"/>
      <c r="W31" s="85"/>
      <c r="Y31" s="94"/>
      <c r="Z31" s="93"/>
      <c r="AA31" s="85"/>
      <c r="AC31" s="94"/>
      <c r="AD31" s="93"/>
      <c r="AE31" s="85"/>
    </row>
    <row r="32" spans="1:34" x14ac:dyDescent="0.35">
      <c r="E32" s="85">
        <v>2</v>
      </c>
      <c r="F32" s="93">
        <v>44671</v>
      </c>
      <c r="G32" s="85" t="s">
        <v>1754</v>
      </c>
      <c r="H32" s="87">
        <v>30</v>
      </c>
      <c r="I32" s="94">
        <v>12</v>
      </c>
      <c r="J32" s="93">
        <v>45063</v>
      </c>
      <c r="K32" s="85" t="s">
        <v>1759</v>
      </c>
      <c r="L32" s="87">
        <v>150</v>
      </c>
      <c r="M32" s="94">
        <v>2</v>
      </c>
      <c r="N32" s="93">
        <v>45415</v>
      </c>
      <c r="O32" s="85" t="s">
        <v>2870</v>
      </c>
      <c r="P32" s="148">
        <f>150+600</f>
        <v>750</v>
      </c>
      <c r="Q32" s="94"/>
      <c r="R32" s="93"/>
      <c r="S32" s="85"/>
      <c r="U32" s="94"/>
      <c r="V32" s="93"/>
      <c r="W32" s="85"/>
      <c r="Y32" s="94"/>
      <c r="Z32" s="93"/>
      <c r="AA32" s="85"/>
      <c r="AC32" s="94"/>
      <c r="AD32" s="93"/>
      <c r="AE32" s="85"/>
    </row>
    <row r="33" spans="5:31" x14ac:dyDescent="0.35">
      <c r="F33" s="93" t="s">
        <v>676</v>
      </c>
      <c r="G33" s="85" t="s">
        <v>1755</v>
      </c>
      <c r="H33" s="87">
        <f>5000-SUMIFS(H34:H1048576,E34:E1048576,7)</f>
        <v>3397.75</v>
      </c>
      <c r="I33" s="94">
        <v>12</v>
      </c>
      <c r="J33" s="93">
        <v>45063</v>
      </c>
      <c r="K33" s="85" t="s">
        <v>1761</v>
      </c>
      <c r="L33" s="87">
        <v>400</v>
      </c>
      <c r="M33" s="94">
        <v>2</v>
      </c>
      <c r="N33" s="93">
        <v>45443</v>
      </c>
      <c r="O33" s="85" t="s">
        <v>2726</v>
      </c>
      <c r="P33" s="148">
        <v>650</v>
      </c>
      <c r="Q33" s="94"/>
      <c r="R33" s="93"/>
      <c r="S33" s="85"/>
      <c r="U33" s="94"/>
      <c r="V33" s="93"/>
      <c r="W33" s="85"/>
      <c r="Y33" s="94"/>
      <c r="Z33" s="93"/>
      <c r="AA33" s="85"/>
      <c r="AC33" s="94"/>
      <c r="AD33" s="93"/>
      <c r="AE33" s="85"/>
    </row>
    <row r="34" spans="5:31" x14ac:dyDescent="0.35">
      <c r="E34" s="85">
        <v>8</v>
      </c>
      <c r="F34" s="93">
        <v>44907</v>
      </c>
      <c r="G34" s="85" t="s">
        <v>1756</v>
      </c>
      <c r="H34" s="87">
        <v>5000</v>
      </c>
      <c r="I34" s="94">
        <v>2</v>
      </c>
      <c r="J34" s="93">
        <v>45022</v>
      </c>
      <c r="K34" s="85" t="s">
        <v>1763</v>
      </c>
      <c r="L34" s="87">
        <v>25</v>
      </c>
      <c r="M34" s="94">
        <v>1</v>
      </c>
      <c r="N34" s="93" t="s">
        <v>2807</v>
      </c>
      <c r="O34" s="96" t="s">
        <v>2124</v>
      </c>
      <c r="P34" s="87">
        <v>3000</v>
      </c>
      <c r="Q34" s="94"/>
      <c r="R34" s="93"/>
      <c r="S34" s="85"/>
      <c r="U34" s="94"/>
      <c r="V34" s="93"/>
      <c r="W34" s="85"/>
      <c r="Y34" s="94"/>
      <c r="Z34" s="93"/>
      <c r="AA34" s="85"/>
      <c r="AC34" s="94"/>
      <c r="AD34" s="93"/>
      <c r="AE34" s="85"/>
    </row>
    <row r="35" spans="5:31" x14ac:dyDescent="0.35">
      <c r="E35" s="85">
        <v>10</v>
      </c>
      <c r="F35" s="93">
        <v>44991</v>
      </c>
      <c r="G35" s="85" t="s">
        <v>1758</v>
      </c>
      <c r="H35" s="87">
        <v>5000</v>
      </c>
      <c r="I35" s="94">
        <v>5</v>
      </c>
      <c r="J35" s="93">
        <v>45057</v>
      </c>
      <c r="K35" s="85" t="s">
        <v>1749</v>
      </c>
      <c r="L35" s="87">
        <v>10000</v>
      </c>
      <c r="M35" s="94">
        <v>1</v>
      </c>
      <c r="N35" s="93" t="s">
        <v>491</v>
      </c>
      <c r="O35" s="85" t="s">
        <v>1809</v>
      </c>
      <c r="P35" s="87">
        <v>1000</v>
      </c>
      <c r="Q35" s="94"/>
      <c r="R35" s="93"/>
      <c r="S35" s="85"/>
      <c r="U35" s="94"/>
      <c r="V35" s="93"/>
      <c r="W35" s="85"/>
      <c r="Y35" s="94"/>
      <c r="Z35" s="93"/>
      <c r="AA35" s="85"/>
      <c r="AC35" s="94"/>
      <c r="AD35" s="93"/>
      <c r="AE35" s="85"/>
    </row>
    <row r="36" spans="5:31" x14ac:dyDescent="0.35">
      <c r="E36" s="85">
        <v>2</v>
      </c>
      <c r="F36" s="93">
        <v>44866</v>
      </c>
      <c r="G36" s="85" t="s">
        <v>1760</v>
      </c>
      <c r="H36" s="87">
        <v>450</v>
      </c>
      <c r="I36" s="94">
        <v>12</v>
      </c>
      <c r="J36" s="93">
        <v>45053</v>
      </c>
      <c r="K36" s="85" t="s">
        <v>1766</v>
      </c>
      <c r="L36" s="87">
        <v>425</v>
      </c>
      <c r="M36" s="94">
        <v>2</v>
      </c>
      <c r="N36" s="93">
        <v>45406</v>
      </c>
      <c r="O36" s="85" t="s">
        <v>2849</v>
      </c>
      <c r="P36" s="148">
        <v>592.75</v>
      </c>
      <c r="Q36" s="94"/>
      <c r="R36" s="93"/>
      <c r="S36" s="85"/>
      <c r="U36" s="94"/>
      <c r="V36" s="93"/>
      <c r="W36" s="85"/>
      <c r="Y36" s="94"/>
      <c r="Z36" s="93"/>
      <c r="AA36" s="85"/>
      <c r="AC36" s="94"/>
      <c r="AD36" s="93"/>
      <c r="AE36" s="85"/>
    </row>
    <row r="37" spans="5:31" x14ac:dyDescent="0.35">
      <c r="E37" s="85">
        <v>7</v>
      </c>
      <c r="F37" s="93">
        <v>44867</v>
      </c>
      <c r="G37" s="85" t="s">
        <v>1762</v>
      </c>
      <c r="H37" s="87">
        <v>28</v>
      </c>
      <c r="I37" s="94">
        <v>2</v>
      </c>
      <c r="J37" s="93">
        <v>45061</v>
      </c>
      <c r="K37" s="85" t="s">
        <v>1768</v>
      </c>
      <c r="L37" s="87">
        <v>9.9700000000000006</v>
      </c>
      <c r="M37" s="94">
        <v>2</v>
      </c>
      <c r="N37" s="93" t="s">
        <v>676</v>
      </c>
      <c r="O37" s="85" t="s">
        <v>2860</v>
      </c>
      <c r="P37" s="87">
        <v>1500</v>
      </c>
      <c r="Q37" s="94"/>
      <c r="R37" s="93"/>
      <c r="S37" s="85"/>
      <c r="U37" s="94"/>
      <c r="V37" s="93"/>
      <c r="W37" s="85"/>
      <c r="Y37" s="94"/>
      <c r="Z37" s="93"/>
      <c r="AA37" s="85"/>
      <c r="AC37" s="94"/>
      <c r="AD37" s="93"/>
      <c r="AE37" s="85"/>
    </row>
    <row r="38" spans="5:31" x14ac:dyDescent="0.35">
      <c r="E38" s="85">
        <v>2</v>
      </c>
      <c r="F38" s="93">
        <v>44916</v>
      </c>
      <c r="G38" s="85" t="s">
        <v>1764</v>
      </c>
      <c r="H38" s="87">
        <v>6.04</v>
      </c>
      <c r="I38" s="94">
        <v>2</v>
      </c>
      <c r="J38" s="93">
        <v>45061</v>
      </c>
      <c r="K38" s="85" t="s">
        <v>1770</v>
      </c>
      <c r="L38" s="87">
        <v>200</v>
      </c>
      <c r="M38" s="94">
        <v>15</v>
      </c>
      <c r="N38" s="93">
        <v>45421</v>
      </c>
      <c r="O38" s="85" t="s">
        <v>2871</v>
      </c>
      <c r="P38" s="148">
        <v>545</v>
      </c>
      <c r="Q38" s="94"/>
      <c r="R38" s="93"/>
      <c r="S38" s="85"/>
      <c r="U38" s="94"/>
      <c r="V38" s="93"/>
      <c r="W38" s="85"/>
      <c r="Y38" s="94"/>
      <c r="Z38" s="93"/>
      <c r="AA38" s="85"/>
      <c r="AC38" s="94"/>
      <c r="AD38" s="93"/>
      <c r="AE38" s="85"/>
    </row>
    <row r="39" spans="5:31" x14ac:dyDescent="0.35">
      <c r="E39" s="85">
        <v>2</v>
      </c>
      <c r="F39" s="93">
        <v>44879</v>
      </c>
      <c r="G39" s="85" t="s">
        <v>1765</v>
      </c>
      <c r="H39" s="87">
        <v>435</v>
      </c>
      <c r="I39" s="94">
        <v>12</v>
      </c>
      <c r="J39" s="93">
        <v>45061</v>
      </c>
      <c r="K39" s="85" t="s">
        <v>1772</v>
      </c>
      <c r="L39" s="87">
        <v>24.42</v>
      </c>
      <c r="M39" s="94">
        <v>15</v>
      </c>
      <c r="N39" s="93">
        <v>45450</v>
      </c>
      <c r="O39" s="85" t="s">
        <v>2872</v>
      </c>
      <c r="P39" s="148">
        <v>4175</v>
      </c>
      <c r="Q39" s="94"/>
      <c r="R39" s="93"/>
      <c r="S39" s="85"/>
      <c r="U39" s="94"/>
      <c r="V39" s="93"/>
      <c r="W39" s="85"/>
      <c r="Y39" s="94"/>
      <c r="Z39" s="93"/>
      <c r="AA39" s="85"/>
      <c r="AC39" s="94"/>
      <c r="AD39" s="93"/>
      <c r="AE39" s="85"/>
    </row>
    <row r="40" spans="5:31" x14ac:dyDescent="0.35">
      <c r="E40" s="85">
        <v>7</v>
      </c>
      <c r="F40" s="93">
        <v>44879</v>
      </c>
      <c r="G40" s="85" t="s">
        <v>1767</v>
      </c>
      <c r="H40" s="87">
        <v>925</v>
      </c>
      <c r="I40" s="94">
        <v>2</v>
      </c>
      <c r="J40" s="93">
        <v>45061</v>
      </c>
      <c r="K40" s="85" t="s">
        <v>1774</v>
      </c>
      <c r="L40" s="87">
        <v>3.5</v>
      </c>
      <c r="M40" s="94">
        <v>15</v>
      </c>
      <c r="N40" s="93">
        <v>45449</v>
      </c>
      <c r="O40" s="85" t="s">
        <v>2873</v>
      </c>
      <c r="P40" s="148">
        <v>300</v>
      </c>
      <c r="Q40" s="94"/>
      <c r="R40" s="93"/>
      <c r="S40" s="85"/>
      <c r="U40" s="94"/>
      <c r="V40" s="93"/>
      <c r="W40" s="85"/>
      <c r="Y40" s="94"/>
      <c r="Z40" s="93"/>
      <c r="AA40" s="85"/>
      <c r="AC40" s="94"/>
      <c r="AD40" s="93"/>
      <c r="AE40" s="85"/>
    </row>
    <row r="41" spans="5:31" x14ac:dyDescent="0.35">
      <c r="E41" s="85">
        <v>7</v>
      </c>
      <c r="F41" s="93">
        <v>44879</v>
      </c>
      <c r="G41" s="85" t="s">
        <v>1769</v>
      </c>
      <c r="H41" s="87">
        <v>125</v>
      </c>
      <c r="I41" s="94">
        <v>12</v>
      </c>
      <c r="J41" s="93">
        <v>45063</v>
      </c>
      <c r="K41" s="85" t="s">
        <v>1776</v>
      </c>
      <c r="L41" s="87">
        <v>50</v>
      </c>
      <c r="M41" s="94">
        <v>15</v>
      </c>
      <c r="N41" s="93">
        <v>45449</v>
      </c>
      <c r="O41" s="85" t="s">
        <v>2874</v>
      </c>
      <c r="P41" s="148">
        <v>600</v>
      </c>
      <c r="Q41" s="94"/>
      <c r="R41" s="93"/>
      <c r="S41" s="85"/>
      <c r="U41" s="94"/>
      <c r="V41" s="93"/>
      <c r="W41" s="85"/>
      <c r="Y41" s="94"/>
      <c r="Z41" s="93"/>
      <c r="AA41" s="85"/>
      <c r="AC41" s="94"/>
      <c r="AD41" s="93"/>
      <c r="AE41" s="85"/>
    </row>
    <row r="42" spans="5:31" x14ac:dyDescent="0.35">
      <c r="E42" s="85">
        <v>7</v>
      </c>
      <c r="F42" s="93">
        <v>44879</v>
      </c>
      <c r="G42" s="85" t="s">
        <v>1771</v>
      </c>
      <c r="H42" s="87">
        <v>10</v>
      </c>
      <c r="I42" s="94">
        <v>12</v>
      </c>
      <c r="J42" s="93">
        <v>45078</v>
      </c>
      <c r="K42" s="85" t="s">
        <v>1778</v>
      </c>
      <c r="L42" s="87">
        <v>211.2</v>
      </c>
      <c r="M42" s="94">
        <v>15</v>
      </c>
      <c r="N42" s="93">
        <v>45453</v>
      </c>
      <c r="O42" s="85" t="s">
        <v>2875</v>
      </c>
      <c r="P42" s="148">
        <v>200</v>
      </c>
      <c r="Q42" s="94"/>
      <c r="R42" s="93"/>
      <c r="S42" s="85"/>
      <c r="U42" s="94"/>
      <c r="V42" s="93"/>
      <c r="W42" s="85"/>
      <c r="Y42" s="94"/>
      <c r="Z42" s="93"/>
      <c r="AA42" s="85"/>
      <c r="AC42" s="94"/>
      <c r="AD42" s="93"/>
      <c r="AE42" s="85"/>
    </row>
    <row r="43" spans="5:31" x14ac:dyDescent="0.35">
      <c r="E43" s="85">
        <v>2</v>
      </c>
      <c r="F43" s="93">
        <v>44898</v>
      </c>
      <c r="G43" s="85" t="s">
        <v>1773</v>
      </c>
      <c r="H43" s="87">
        <f>150+150+150+450+21</f>
        <v>921</v>
      </c>
      <c r="I43" s="94">
        <v>13</v>
      </c>
      <c r="J43" s="93">
        <v>45086</v>
      </c>
      <c r="K43" s="85" t="s">
        <v>1780</v>
      </c>
      <c r="L43" s="87">
        <v>211.29</v>
      </c>
      <c r="M43" s="94">
        <v>15</v>
      </c>
      <c r="N43" s="93">
        <v>45449</v>
      </c>
      <c r="O43" s="85" t="s">
        <v>2876</v>
      </c>
      <c r="P43" s="148">
        <f>6.5+12</f>
        <v>18.5</v>
      </c>
      <c r="Q43" s="94"/>
      <c r="R43" s="93"/>
      <c r="S43" s="85"/>
      <c r="U43" s="94"/>
      <c r="V43" s="93"/>
      <c r="W43" s="85"/>
      <c r="Y43" s="94"/>
      <c r="Z43" s="93"/>
      <c r="AA43" s="85"/>
      <c r="AC43" s="94"/>
      <c r="AD43" s="93"/>
      <c r="AE43" s="85"/>
    </row>
    <row r="44" spans="5:31" x14ac:dyDescent="0.35">
      <c r="E44" s="85">
        <v>2</v>
      </c>
      <c r="F44" s="93">
        <v>44903</v>
      </c>
      <c r="G44" s="85" t="s">
        <v>1775</v>
      </c>
      <c r="H44" s="87">
        <v>100</v>
      </c>
      <c r="I44" s="94">
        <v>13</v>
      </c>
      <c r="J44" s="93">
        <v>45086</v>
      </c>
      <c r="K44" s="85" t="s">
        <v>1782</v>
      </c>
      <c r="L44" s="87">
        <v>50</v>
      </c>
      <c r="M44" s="94">
        <v>15</v>
      </c>
      <c r="N44" s="93">
        <v>45466</v>
      </c>
      <c r="O44" s="85" t="s">
        <v>1800</v>
      </c>
      <c r="P44" s="87">
        <v>572</v>
      </c>
      <c r="Q44" s="94"/>
      <c r="R44" s="93"/>
      <c r="S44" s="85"/>
      <c r="U44" s="94"/>
      <c r="V44" s="93"/>
      <c r="W44" s="85"/>
      <c r="Y44" s="94"/>
      <c r="Z44" s="93"/>
      <c r="AA44" s="85"/>
      <c r="AC44" s="94"/>
      <c r="AD44" s="93"/>
      <c r="AE44" s="85"/>
    </row>
    <row r="45" spans="5:31" x14ac:dyDescent="0.35">
      <c r="E45" s="85">
        <v>2</v>
      </c>
      <c r="F45" s="93">
        <v>44903</v>
      </c>
      <c r="G45" s="85" t="s">
        <v>1777</v>
      </c>
      <c r="H45" s="87">
        <v>250</v>
      </c>
      <c r="I45" s="94">
        <v>2</v>
      </c>
      <c r="J45" s="93">
        <v>45096</v>
      </c>
      <c r="K45" s="85" t="s">
        <v>1784</v>
      </c>
      <c r="L45" s="87">
        <v>21</v>
      </c>
      <c r="M45" s="94">
        <v>15</v>
      </c>
      <c r="N45" s="93" t="s">
        <v>491</v>
      </c>
      <c r="O45" s="85" t="s">
        <v>2877</v>
      </c>
      <c r="P45" s="87">
        <v>100</v>
      </c>
      <c r="Q45" s="94"/>
      <c r="R45" s="93"/>
      <c r="S45" s="85"/>
      <c r="U45" s="94"/>
      <c r="V45" s="93"/>
      <c r="W45" s="85"/>
      <c r="Y45" s="94"/>
      <c r="Z45" s="93"/>
      <c r="AA45" s="85"/>
      <c r="AC45" s="94"/>
      <c r="AD45" s="93"/>
      <c r="AE45" s="85"/>
    </row>
    <row r="46" spans="5:31" x14ac:dyDescent="0.35">
      <c r="E46" s="85">
        <v>2</v>
      </c>
      <c r="F46" s="93">
        <v>44903</v>
      </c>
      <c r="G46" s="85" t="s">
        <v>1779</v>
      </c>
      <c r="H46" s="87">
        <v>250</v>
      </c>
      <c r="I46" s="94">
        <v>2</v>
      </c>
      <c r="J46" s="93">
        <v>45103</v>
      </c>
      <c r="K46" s="85" t="s">
        <v>1786</v>
      </c>
      <c r="L46" s="87">
        <v>100</v>
      </c>
      <c r="M46" s="94">
        <v>15</v>
      </c>
      <c r="N46" s="93">
        <v>45455</v>
      </c>
      <c r="O46" s="85" t="s">
        <v>2878</v>
      </c>
      <c r="P46" s="148">
        <v>400</v>
      </c>
      <c r="Q46" s="94"/>
      <c r="R46" s="93"/>
      <c r="S46" s="85"/>
      <c r="U46" s="94"/>
      <c r="V46" s="93"/>
      <c r="W46" s="85"/>
      <c r="Y46" s="94"/>
      <c r="Z46" s="93"/>
      <c r="AA46" s="85"/>
      <c r="AC46" s="94"/>
      <c r="AD46" s="93"/>
      <c r="AE46" s="85"/>
    </row>
    <row r="47" spans="5:31" ht="24" customHeight="1" x14ac:dyDescent="0.35">
      <c r="E47" s="92">
        <v>2</v>
      </c>
      <c r="F47" s="97">
        <v>44959</v>
      </c>
      <c r="G47" s="98" t="s">
        <v>1781</v>
      </c>
      <c r="H47" s="90">
        <f>161.54+11.67</f>
        <v>173.20999999999998</v>
      </c>
      <c r="I47" s="94">
        <v>12</v>
      </c>
      <c r="J47" s="93">
        <v>45053</v>
      </c>
      <c r="K47" s="85" t="s">
        <v>1788</v>
      </c>
      <c r="L47" s="87">
        <v>36.4</v>
      </c>
      <c r="M47" s="94">
        <v>4</v>
      </c>
      <c r="N47" s="93">
        <v>45425</v>
      </c>
      <c r="O47" s="85" t="s">
        <v>2879</v>
      </c>
      <c r="P47" s="148">
        <v>21</v>
      </c>
      <c r="Q47" s="94"/>
      <c r="R47" s="93"/>
      <c r="S47" s="85"/>
      <c r="U47" s="94"/>
      <c r="V47" s="93"/>
      <c r="W47" s="85"/>
      <c r="Y47" s="94"/>
      <c r="Z47" s="93"/>
      <c r="AA47" s="85"/>
      <c r="AC47" s="94"/>
      <c r="AD47" s="93"/>
      <c r="AE47" s="85"/>
    </row>
    <row r="48" spans="5:31" ht="43.5" x14ac:dyDescent="0.35">
      <c r="E48" s="92">
        <v>2</v>
      </c>
      <c r="F48" s="97">
        <v>44956</v>
      </c>
      <c r="G48" s="98" t="s">
        <v>1783</v>
      </c>
      <c r="H48" s="90">
        <v>485</v>
      </c>
      <c r="I48" s="94">
        <v>13</v>
      </c>
      <c r="J48" s="93">
        <v>45198</v>
      </c>
      <c r="K48" s="85" t="s">
        <v>1790</v>
      </c>
      <c r="L48" s="87">
        <v>-500</v>
      </c>
      <c r="M48" s="94">
        <v>4</v>
      </c>
      <c r="N48" s="93">
        <v>45414</v>
      </c>
      <c r="O48" s="85" t="s">
        <v>1800</v>
      </c>
      <c r="P48" s="148">
        <v>350</v>
      </c>
      <c r="Q48" s="94"/>
      <c r="R48" s="93"/>
      <c r="S48" s="85"/>
      <c r="U48" s="94"/>
      <c r="V48" s="93"/>
      <c r="W48" s="85"/>
      <c r="Y48" s="94"/>
      <c r="Z48" s="93"/>
      <c r="AA48" s="85"/>
      <c r="AC48" s="94"/>
      <c r="AD48" s="93"/>
      <c r="AE48" s="85"/>
    </row>
    <row r="49" spans="5:31" x14ac:dyDescent="0.35">
      <c r="E49" s="92">
        <v>7</v>
      </c>
      <c r="F49" s="93">
        <v>44930</v>
      </c>
      <c r="G49" s="85" t="s">
        <v>1785</v>
      </c>
      <c r="H49" s="87">
        <v>120</v>
      </c>
      <c r="I49" s="94">
        <v>4</v>
      </c>
      <c r="J49" s="93">
        <v>45154</v>
      </c>
      <c r="K49" s="85" t="s">
        <v>1792</v>
      </c>
      <c r="L49" s="87">
        <f>391</f>
        <v>391</v>
      </c>
      <c r="M49" s="94">
        <v>4</v>
      </c>
      <c r="N49" s="93">
        <v>45458</v>
      </c>
      <c r="O49" s="85" t="s">
        <v>240</v>
      </c>
      <c r="P49" s="148">
        <v>825</v>
      </c>
      <c r="Q49" s="94"/>
      <c r="R49" s="93"/>
      <c r="S49" s="85"/>
      <c r="U49" s="94"/>
      <c r="V49" s="93"/>
      <c r="W49" s="85"/>
      <c r="Y49" s="94"/>
      <c r="Z49" s="93"/>
      <c r="AA49" s="85"/>
      <c r="AC49" s="94"/>
      <c r="AD49" s="93"/>
      <c r="AE49" s="85"/>
    </row>
    <row r="50" spans="5:31" x14ac:dyDescent="0.35">
      <c r="E50" s="92">
        <v>7</v>
      </c>
      <c r="F50" s="93">
        <v>44945</v>
      </c>
      <c r="G50" s="85" t="s">
        <v>1787</v>
      </c>
      <c r="H50" s="87">
        <v>120</v>
      </c>
      <c r="I50" s="94">
        <v>13</v>
      </c>
      <c r="J50" s="93">
        <v>45083</v>
      </c>
      <c r="K50" s="85" t="s">
        <v>1794</v>
      </c>
      <c r="L50" s="87">
        <v>100</v>
      </c>
      <c r="M50" s="94">
        <v>2</v>
      </c>
      <c r="N50" s="93">
        <v>45431</v>
      </c>
      <c r="O50" s="85" t="s">
        <v>2906</v>
      </c>
      <c r="P50" s="148">
        <v>566.66999999999996</v>
      </c>
      <c r="Q50" s="94"/>
      <c r="R50" s="93"/>
      <c r="S50" s="85"/>
      <c r="U50" s="94"/>
      <c r="V50" s="93"/>
      <c r="W50" s="85"/>
      <c r="Y50" s="94"/>
      <c r="Z50" s="93"/>
      <c r="AA50" s="85"/>
      <c r="AC50" s="94"/>
      <c r="AD50" s="93"/>
      <c r="AE50" s="85"/>
    </row>
    <row r="51" spans="5:31" x14ac:dyDescent="0.35">
      <c r="E51" s="92">
        <v>7</v>
      </c>
      <c r="F51" s="93">
        <v>44878</v>
      </c>
      <c r="G51" s="85" t="s">
        <v>1789</v>
      </c>
      <c r="H51" s="87">
        <v>15.5</v>
      </c>
      <c r="I51" s="94">
        <v>13</v>
      </c>
      <c r="J51" s="93">
        <v>45142</v>
      </c>
      <c r="K51" s="85" t="s">
        <v>1796</v>
      </c>
      <c r="L51" s="87">
        <v>111.09</v>
      </c>
      <c r="M51" s="94">
        <v>2</v>
      </c>
      <c r="N51" s="93">
        <v>45419</v>
      </c>
      <c r="O51" s="85" t="s">
        <v>2939</v>
      </c>
      <c r="P51" s="148">
        <v>4.17</v>
      </c>
      <c r="Q51" s="94"/>
      <c r="R51" s="93"/>
      <c r="S51" s="85"/>
      <c r="U51" s="94"/>
      <c r="V51" s="93"/>
      <c r="W51" s="85"/>
      <c r="Y51" s="94"/>
      <c r="Z51" s="93"/>
      <c r="AA51" s="85"/>
      <c r="AC51" s="94"/>
      <c r="AD51" s="93"/>
      <c r="AE51" s="85"/>
    </row>
    <row r="52" spans="5:31" x14ac:dyDescent="0.35">
      <c r="E52" s="92">
        <v>2</v>
      </c>
      <c r="F52" s="93">
        <v>44942</v>
      </c>
      <c r="G52" s="85" t="s">
        <v>1791</v>
      </c>
      <c r="H52" s="87">
        <f>40+120</f>
        <v>160</v>
      </c>
      <c r="I52" s="94">
        <v>13</v>
      </c>
      <c r="J52" s="93">
        <v>45172</v>
      </c>
      <c r="K52" s="85" t="s">
        <v>1798</v>
      </c>
      <c r="L52" s="87">
        <v>1300</v>
      </c>
      <c r="M52" s="94">
        <v>2</v>
      </c>
      <c r="N52" s="93">
        <v>45429</v>
      </c>
      <c r="O52" s="85" t="s">
        <v>2941</v>
      </c>
      <c r="P52" s="148">
        <v>41.24</v>
      </c>
      <c r="Q52" s="94"/>
      <c r="R52" s="93"/>
      <c r="S52" s="85"/>
      <c r="U52" s="94"/>
      <c r="V52" s="93"/>
      <c r="W52" s="85"/>
      <c r="Y52" s="94"/>
      <c r="Z52" s="93"/>
      <c r="AA52" s="85"/>
      <c r="AC52" s="94"/>
      <c r="AD52" s="93"/>
      <c r="AE52" s="85"/>
    </row>
    <row r="53" spans="5:31" x14ac:dyDescent="0.35">
      <c r="E53" s="92">
        <v>2</v>
      </c>
      <c r="F53" s="93">
        <v>44956</v>
      </c>
      <c r="G53" s="85" t="s">
        <v>1793</v>
      </c>
      <c r="H53" s="87">
        <v>80</v>
      </c>
      <c r="I53" s="94">
        <v>13</v>
      </c>
      <c r="J53" s="93">
        <v>45158</v>
      </c>
      <c r="K53" s="85" t="s">
        <v>1800</v>
      </c>
      <c r="L53" s="87">
        <v>1170.42</v>
      </c>
      <c r="M53" s="94">
        <v>4</v>
      </c>
      <c r="N53" s="93">
        <v>45464</v>
      </c>
      <c r="O53" s="85" t="s">
        <v>2968</v>
      </c>
      <c r="P53" s="148">
        <v>280</v>
      </c>
      <c r="Q53" s="94"/>
      <c r="R53" s="93"/>
      <c r="S53" s="85"/>
      <c r="U53" s="94"/>
      <c r="V53" s="93"/>
      <c r="W53" s="85"/>
      <c r="Y53" s="94"/>
      <c r="Z53" s="93"/>
      <c r="AA53" s="85"/>
      <c r="AC53" s="94"/>
      <c r="AD53" s="93"/>
      <c r="AE53" s="85"/>
    </row>
    <row r="54" spans="5:31" x14ac:dyDescent="0.35">
      <c r="E54" s="92">
        <v>2</v>
      </c>
      <c r="F54" s="93">
        <v>44959</v>
      </c>
      <c r="G54" s="85" t="s">
        <v>1795</v>
      </c>
      <c r="H54" s="87">
        <v>21.45</v>
      </c>
      <c r="I54" s="94">
        <v>13</v>
      </c>
      <c r="J54" s="93">
        <v>45146</v>
      </c>
      <c r="K54" s="85" t="s">
        <v>1802</v>
      </c>
      <c r="L54" s="87">
        <v>105</v>
      </c>
      <c r="M54" s="94">
        <v>4</v>
      </c>
      <c r="N54" s="93">
        <v>45467</v>
      </c>
      <c r="O54" s="85" t="s">
        <v>2969</v>
      </c>
      <c r="P54" s="148">
        <v>150</v>
      </c>
      <c r="Q54" s="94"/>
      <c r="R54" s="93"/>
      <c r="S54" s="85"/>
      <c r="U54" s="94"/>
      <c r="V54" s="93"/>
      <c r="W54" s="85"/>
      <c r="Y54" s="94"/>
      <c r="Z54" s="93"/>
      <c r="AA54" s="85"/>
      <c r="AC54" s="94"/>
      <c r="AD54" s="93"/>
      <c r="AE54" s="85"/>
    </row>
    <row r="55" spans="5:31" x14ac:dyDescent="0.35">
      <c r="E55" s="92">
        <v>7</v>
      </c>
      <c r="F55" s="93">
        <v>44974</v>
      </c>
      <c r="G55" s="85" t="s">
        <v>1797</v>
      </c>
      <c r="H55" s="87">
        <v>8.75</v>
      </c>
      <c r="I55" s="94">
        <v>13</v>
      </c>
      <c r="J55" s="93">
        <v>45154</v>
      </c>
      <c r="K55" s="85" t="s">
        <v>1804</v>
      </c>
      <c r="L55" s="87">
        <f>450+150+50+50+80+300+90+200+100+50</f>
        <v>1520</v>
      </c>
      <c r="M55" s="94">
        <v>2</v>
      </c>
      <c r="N55" s="93">
        <v>45471</v>
      </c>
      <c r="O55" s="85" t="s">
        <v>2981</v>
      </c>
      <c r="P55" s="148">
        <v>10.85</v>
      </c>
      <c r="Q55" s="94"/>
      <c r="R55" s="93"/>
      <c r="S55" s="85"/>
      <c r="U55" s="94"/>
      <c r="V55" s="93"/>
      <c r="W55" s="85"/>
      <c r="Y55" s="94"/>
      <c r="Z55" s="93"/>
      <c r="AA55" s="85"/>
      <c r="AC55" s="94"/>
      <c r="AD55" s="93"/>
      <c r="AE55" s="85"/>
    </row>
    <row r="56" spans="5:31" x14ac:dyDescent="0.35">
      <c r="E56" s="92">
        <v>2</v>
      </c>
      <c r="F56" s="93">
        <v>44960</v>
      </c>
      <c r="G56" s="85" t="s">
        <v>1799</v>
      </c>
      <c r="H56" s="87">
        <v>46.1</v>
      </c>
      <c r="I56" s="94">
        <v>13</v>
      </c>
      <c r="J56" s="93">
        <v>45154</v>
      </c>
      <c r="K56" s="85" t="s">
        <v>1806</v>
      </c>
      <c r="L56" s="87">
        <f>4335.6+1146.4</f>
        <v>5482</v>
      </c>
      <c r="M56" s="94">
        <v>15</v>
      </c>
      <c r="N56" s="93">
        <v>45422</v>
      </c>
      <c r="O56" s="85" t="s">
        <v>2995</v>
      </c>
      <c r="P56" s="148">
        <v>6.99</v>
      </c>
      <c r="Q56" s="94"/>
      <c r="R56" s="93"/>
      <c r="S56" s="85"/>
      <c r="U56" s="94"/>
      <c r="V56" s="93"/>
      <c r="W56" s="85"/>
      <c r="Y56" s="94"/>
      <c r="Z56" s="93"/>
      <c r="AA56" s="85"/>
      <c r="AC56" s="94"/>
      <c r="AD56" s="93"/>
      <c r="AE56" s="85"/>
    </row>
    <row r="57" spans="5:31" x14ac:dyDescent="0.35">
      <c r="E57" s="92">
        <v>7</v>
      </c>
      <c r="F57" s="93">
        <v>45012</v>
      </c>
      <c r="G57" s="85" t="s">
        <v>1801</v>
      </c>
      <c r="H57" s="87">
        <v>250</v>
      </c>
      <c r="I57" s="94">
        <v>13</v>
      </c>
      <c r="J57" s="93">
        <v>45162</v>
      </c>
      <c r="K57" s="85" t="s">
        <v>1790</v>
      </c>
      <c r="L57" s="87">
        <v>70</v>
      </c>
      <c r="M57" s="94">
        <v>2</v>
      </c>
      <c r="N57" s="93">
        <v>45424</v>
      </c>
      <c r="O57" s="85" t="s">
        <v>1809</v>
      </c>
      <c r="P57" s="148">
        <v>4.82</v>
      </c>
      <c r="Q57" s="94"/>
      <c r="R57" s="93"/>
      <c r="S57" s="85"/>
      <c r="U57" s="94"/>
      <c r="V57" s="93"/>
      <c r="W57" s="85"/>
      <c r="Y57" s="94"/>
      <c r="Z57" s="93"/>
      <c r="AA57" s="85"/>
      <c r="AC57" s="94"/>
      <c r="AD57" s="93"/>
      <c r="AE57" s="85"/>
    </row>
    <row r="58" spans="5:31" x14ac:dyDescent="0.35">
      <c r="E58" s="92">
        <v>2</v>
      </c>
      <c r="F58" s="93">
        <v>45012</v>
      </c>
      <c r="G58" s="85" t="s">
        <v>1803</v>
      </c>
      <c r="H58" s="87">
        <v>250</v>
      </c>
      <c r="I58" s="94">
        <v>2</v>
      </c>
      <c r="J58" s="93">
        <v>45121</v>
      </c>
      <c r="K58" s="85" t="s">
        <v>1810</v>
      </c>
      <c r="L58" s="87">
        <v>22.49</v>
      </c>
      <c r="M58" s="94">
        <v>15</v>
      </c>
      <c r="N58" s="93">
        <v>45442</v>
      </c>
      <c r="O58" s="85" t="s">
        <v>3004</v>
      </c>
      <c r="P58" s="148">
        <v>23.96</v>
      </c>
      <c r="Q58" s="94"/>
      <c r="R58" s="93"/>
      <c r="S58" s="85"/>
      <c r="U58" s="94"/>
      <c r="V58" s="93"/>
      <c r="W58" s="85"/>
      <c r="Y58" s="94"/>
      <c r="Z58" s="93"/>
      <c r="AA58" s="85"/>
      <c r="AC58" s="94"/>
      <c r="AD58" s="93"/>
      <c r="AE58" s="85"/>
    </row>
    <row r="59" spans="5:31" x14ac:dyDescent="0.35">
      <c r="E59" s="92">
        <v>2</v>
      </c>
      <c r="F59" s="93">
        <v>45016</v>
      </c>
      <c r="G59" s="85" t="s">
        <v>1805</v>
      </c>
      <c r="H59" s="87">
        <v>16.670000000000002</v>
      </c>
      <c r="I59" s="94">
        <v>13</v>
      </c>
      <c r="J59" s="93">
        <v>45120</v>
      </c>
      <c r="K59" s="85" t="s">
        <v>1811</v>
      </c>
      <c r="L59" s="87">
        <f>60.1+59.5</f>
        <v>119.6</v>
      </c>
      <c r="M59" s="94">
        <v>4</v>
      </c>
      <c r="N59" s="93">
        <v>45470</v>
      </c>
      <c r="O59" s="85" t="s">
        <v>3045</v>
      </c>
      <c r="P59" s="148">
        <v>75</v>
      </c>
      <c r="Q59" s="94"/>
      <c r="R59" s="93"/>
      <c r="S59" s="85"/>
      <c r="U59" s="94"/>
      <c r="V59" s="93"/>
      <c r="W59" s="85"/>
      <c r="Y59" s="94"/>
      <c r="Z59" s="93"/>
      <c r="AA59" s="85"/>
      <c r="AC59" s="94"/>
      <c r="AD59" s="93"/>
      <c r="AE59" s="85"/>
    </row>
    <row r="60" spans="5:31" x14ac:dyDescent="0.35">
      <c r="E60" s="92">
        <v>2</v>
      </c>
      <c r="F60" s="93">
        <v>44660</v>
      </c>
      <c r="G60" s="85" t="s">
        <v>1807</v>
      </c>
      <c r="H60" s="87">
        <v>149.19999999999999</v>
      </c>
      <c r="I60" s="94">
        <v>13</v>
      </c>
      <c r="J60" s="93">
        <v>45117</v>
      </c>
      <c r="K60" s="85" t="s">
        <v>1812</v>
      </c>
      <c r="L60" s="87">
        <f>214.2-35.7</f>
        <v>178.5</v>
      </c>
      <c r="M60" s="94">
        <v>15</v>
      </c>
      <c r="N60" s="93">
        <v>45460</v>
      </c>
      <c r="O60" s="85" t="s">
        <v>3068</v>
      </c>
      <c r="P60" s="148">
        <v>150</v>
      </c>
      <c r="Q60" s="94"/>
      <c r="R60" s="93"/>
      <c r="S60" s="85"/>
      <c r="U60" s="94"/>
      <c r="V60" s="93"/>
      <c r="W60" s="85"/>
      <c r="Y60" s="94"/>
      <c r="Z60" s="93"/>
      <c r="AA60" s="85"/>
      <c r="AC60" s="94"/>
      <c r="AD60" s="93"/>
      <c r="AE60" s="85"/>
    </row>
    <row r="61" spans="5:31" x14ac:dyDescent="0.35">
      <c r="E61" s="92">
        <v>2</v>
      </c>
      <c r="F61" s="93">
        <v>45002</v>
      </c>
      <c r="G61" s="85" t="s">
        <v>1808</v>
      </c>
      <c r="H61" s="87">
        <v>21</v>
      </c>
      <c r="I61" s="94">
        <v>13</v>
      </c>
      <c r="J61" s="93">
        <v>45142</v>
      </c>
      <c r="K61" s="85" t="s">
        <v>1813</v>
      </c>
      <c r="L61" s="87">
        <v>23.82</v>
      </c>
      <c r="M61" s="94">
        <v>15</v>
      </c>
      <c r="N61" s="93">
        <v>45442</v>
      </c>
      <c r="O61" s="87" t="s">
        <v>2995</v>
      </c>
      <c r="P61" s="148">
        <v>30.09</v>
      </c>
      <c r="Q61" s="94"/>
      <c r="R61" s="93"/>
      <c r="S61" s="85"/>
      <c r="U61" s="94"/>
      <c r="V61" s="93"/>
      <c r="W61" s="85"/>
      <c r="Y61" s="94"/>
      <c r="Z61" s="93"/>
      <c r="AA61" s="85"/>
      <c r="AC61" s="94"/>
      <c r="AD61" s="93"/>
      <c r="AE61" s="85"/>
    </row>
    <row r="62" spans="5:31" x14ac:dyDescent="0.35">
      <c r="E62" s="92">
        <v>2</v>
      </c>
      <c r="F62" s="93">
        <v>45011</v>
      </c>
      <c r="G62" s="85" t="s">
        <v>1809</v>
      </c>
      <c r="H62" s="87">
        <v>25.98</v>
      </c>
      <c r="I62" s="94">
        <v>2</v>
      </c>
      <c r="J62" s="93">
        <v>45130</v>
      </c>
      <c r="K62" s="85" t="s">
        <v>1814</v>
      </c>
      <c r="L62" s="87">
        <v>399</v>
      </c>
      <c r="M62" s="94">
        <v>15</v>
      </c>
      <c r="N62" s="93" t="s">
        <v>491</v>
      </c>
      <c r="O62" s="87" t="s">
        <v>3069</v>
      </c>
      <c r="P62" s="87">
        <v>200</v>
      </c>
      <c r="Q62" s="94"/>
      <c r="R62" s="93"/>
      <c r="S62" s="85"/>
      <c r="U62" s="94"/>
      <c r="V62" s="93"/>
      <c r="W62" s="85"/>
      <c r="Y62" s="94"/>
      <c r="Z62" s="93"/>
      <c r="AA62" s="85"/>
      <c r="AC62" s="94"/>
      <c r="AD62" s="93"/>
      <c r="AE62" s="85"/>
    </row>
    <row r="63" spans="5:31" ht="29" x14ac:dyDescent="0.35">
      <c r="E63" s="92">
        <v>2</v>
      </c>
      <c r="F63" s="93">
        <v>45011</v>
      </c>
      <c r="G63" s="85" t="s">
        <v>1809</v>
      </c>
      <c r="H63" s="87">
        <v>5.82</v>
      </c>
      <c r="I63" s="94" t="s">
        <v>23</v>
      </c>
      <c r="J63" s="93" t="s">
        <v>676</v>
      </c>
      <c r="K63" s="105" t="s">
        <v>1815</v>
      </c>
      <c r="L63" s="87">
        <v>2500</v>
      </c>
      <c r="M63" s="94">
        <v>3</v>
      </c>
      <c r="N63" s="93" t="s">
        <v>3070</v>
      </c>
      <c r="O63" s="85" t="s">
        <v>3071</v>
      </c>
      <c r="P63" s="87">
        <v>5000</v>
      </c>
      <c r="Q63" s="94"/>
      <c r="R63" s="93"/>
      <c r="S63" s="85"/>
      <c r="U63" s="94"/>
      <c r="V63" s="93"/>
      <c r="W63" s="85"/>
      <c r="Y63" s="94"/>
      <c r="Z63" s="93"/>
      <c r="AA63" s="85"/>
      <c r="AC63" s="94"/>
      <c r="AD63" s="93"/>
      <c r="AE63" s="85"/>
    </row>
    <row r="64" spans="5:31" x14ac:dyDescent="0.35">
      <c r="G64" s="85"/>
      <c r="H64" s="87"/>
      <c r="I64" s="94">
        <v>2</v>
      </c>
      <c r="J64" s="93">
        <v>45211</v>
      </c>
      <c r="K64" s="85" t="s">
        <v>1816</v>
      </c>
      <c r="L64" s="87">
        <v>20</v>
      </c>
      <c r="M64" s="94">
        <v>8</v>
      </c>
      <c r="N64" s="93" t="s">
        <v>3070</v>
      </c>
      <c r="O64" s="85" t="s">
        <v>3071</v>
      </c>
      <c r="P64" s="87">
        <v>5000</v>
      </c>
      <c r="Q64" s="94"/>
      <c r="R64" s="93"/>
      <c r="S64" s="85"/>
      <c r="U64" s="94"/>
      <c r="V64" s="93"/>
      <c r="W64" s="85"/>
      <c r="Y64" s="94"/>
      <c r="Z64" s="93"/>
      <c r="AA64" s="85"/>
      <c r="AC64" s="94"/>
      <c r="AD64" s="93"/>
      <c r="AE64" s="85"/>
    </row>
    <row r="65" spans="7:31" x14ac:dyDescent="0.35">
      <c r="G65" s="85"/>
      <c r="H65" s="87"/>
      <c r="I65" s="94" t="s">
        <v>23</v>
      </c>
      <c r="J65" s="96" t="s">
        <v>676</v>
      </c>
      <c r="K65" s="96" t="s">
        <v>1744</v>
      </c>
      <c r="L65" s="87">
        <v>3000</v>
      </c>
      <c r="M65" s="94">
        <v>13</v>
      </c>
      <c r="N65" s="93">
        <v>45497</v>
      </c>
      <c r="O65" s="85" t="s">
        <v>3164</v>
      </c>
      <c r="P65" s="87">
        <v>92.9</v>
      </c>
      <c r="Q65" s="94"/>
      <c r="R65" s="93"/>
      <c r="S65" s="85"/>
      <c r="U65" s="94"/>
      <c r="V65" s="93"/>
      <c r="W65" s="85"/>
      <c r="Y65" s="94"/>
      <c r="Z65" s="93"/>
      <c r="AA65" s="85"/>
      <c r="AC65" s="94"/>
      <c r="AD65" s="93"/>
      <c r="AE65" s="85"/>
    </row>
    <row r="66" spans="7:31" x14ac:dyDescent="0.35">
      <c r="G66" s="85"/>
      <c r="H66" s="87"/>
      <c r="I66" s="94" t="s">
        <v>23</v>
      </c>
      <c r="J66" s="96" t="s">
        <v>676</v>
      </c>
      <c r="K66" s="96" t="s">
        <v>2124</v>
      </c>
      <c r="L66" s="87">
        <v>3000</v>
      </c>
      <c r="M66" s="94">
        <v>2</v>
      </c>
      <c r="N66" s="93">
        <v>45497</v>
      </c>
      <c r="O66" s="85" t="s">
        <v>3165</v>
      </c>
      <c r="P66" s="87">
        <v>3</v>
      </c>
      <c r="Q66" s="94"/>
      <c r="R66" s="93"/>
      <c r="S66" s="85"/>
      <c r="U66" s="94"/>
      <c r="V66" s="93"/>
      <c r="W66" s="85"/>
      <c r="Y66" s="94"/>
      <c r="Z66" s="93"/>
      <c r="AA66" s="85"/>
      <c r="AC66" s="94"/>
      <c r="AD66" s="93"/>
      <c r="AE66" s="85"/>
    </row>
    <row r="67" spans="7:31" ht="14" customHeight="1" x14ac:dyDescent="0.35">
      <c r="G67" s="85"/>
      <c r="H67" s="87"/>
      <c r="I67" s="94" t="s">
        <v>23</v>
      </c>
      <c r="J67" s="93" t="s">
        <v>491</v>
      </c>
      <c r="K67" s="85" t="s">
        <v>1809</v>
      </c>
      <c r="L67" s="87">
        <v>1000</v>
      </c>
      <c r="M67" s="94">
        <v>13</v>
      </c>
      <c r="N67" s="93">
        <v>45502</v>
      </c>
      <c r="O67" s="85" t="s">
        <v>3170</v>
      </c>
      <c r="P67" s="87">
        <v>100</v>
      </c>
      <c r="Q67" s="94"/>
      <c r="R67" s="93"/>
      <c r="S67" s="85"/>
      <c r="U67" s="94"/>
      <c r="V67" s="93"/>
      <c r="W67" s="85"/>
      <c r="Y67" s="94"/>
      <c r="Z67" s="93"/>
      <c r="AA67" s="85"/>
      <c r="AC67" s="94"/>
      <c r="AD67" s="93"/>
      <c r="AE67" s="85"/>
    </row>
    <row r="68" spans="7:31" x14ac:dyDescent="0.35">
      <c r="G68" s="85"/>
      <c r="H68" s="87"/>
      <c r="I68" s="94">
        <v>2</v>
      </c>
      <c r="J68" s="93">
        <v>45215</v>
      </c>
      <c r="K68" s="85" t="s">
        <v>2224</v>
      </c>
      <c r="L68" s="87">
        <v>60</v>
      </c>
      <c r="M68" s="94">
        <v>13</v>
      </c>
      <c r="N68" s="93">
        <v>45506</v>
      </c>
      <c r="O68" s="85" t="s">
        <v>3197</v>
      </c>
      <c r="P68" s="87">
        <v>175</v>
      </c>
      <c r="Q68" s="94"/>
      <c r="R68" s="93"/>
      <c r="S68" s="85"/>
      <c r="U68" s="94"/>
      <c r="V68" s="93"/>
      <c r="W68" s="85"/>
      <c r="Y68" s="94"/>
      <c r="Z68" s="93"/>
      <c r="AA68" s="85"/>
      <c r="AC68" s="94"/>
      <c r="AD68" s="93"/>
      <c r="AE68" s="85"/>
    </row>
    <row r="69" spans="7:31" x14ac:dyDescent="0.35">
      <c r="G69" s="85"/>
      <c r="H69" s="87"/>
      <c r="I69" s="94">
        <v>2</v>
      </c>
      <c r="J69" s="93">
        <v>45215</v>
      </c>
      <c r="K69" s="85" t="s">
        <v>2225</v>
      </c>
      <c r="L69" s="87">
        <v>1680</v>
      </c>
      <c r="M69" s="94">
        <v>13</v>
      </c>
      <c r="N69" s="93">
        <v>45506</v>
      </c>
      <c r="O69" s="85" t="s">
        <v>3197</v>
      </c>
      <c r="P69" s="87">
        <v>80</v>
      </c>
      <c r="Q69" s="94"/>
      <c r="R69" s="93"/>
      <c r="S69" s="85"/>
      <c r="U69" s="94"/>
      <c r="V69" s="93"/>
      <c r="W69" s="85"/>
      <c r="Y69" s="94"/>
      <c r="Z69" s="93"/>
      <c r="AA69" s="85"/>
      <c r="AC69" s="94"/>
      <c r="AD69" s="93"/>
      <c r="AE69" s="85"/>
    </row>
    <row r="70" spans="7:31" x14ac:dyDescent="0.35">
      <c r="G70" s="85"/>
      <c r="H70" s="87"/>
      <c r="I70" s="94">
        <v>2</v>
      </c>
      <c r="J70" s="93">
        <v>45250</v>
      </c>
      <c r="K70" s="85" t="s">
        <v>2226</v>
      </c>
      <c r="L70" s="87">
        <v>108</v>
      </c>
      <c r="M70" s="94">
        <v>13</v>
      </c>
      <c r="N70" s="93">
        <v>45512</v>
      </c>
      <c r="O70" s="85" t="s">
        <v>3203</v>
      </c>
      <c r="P70" s="87">
        <v>175</v>
      </c>
      <c r="Q70" s="94"/>
      <c r="R70" s="93"/>
      <c r="S70" s="85"/>
      <c r="U70" s="94"/>
      <c r="V70" s="93"/>
      <c r="W70" s="85"/>
      <c r="Y70" s="94"/>
      <c r="Z70" s="93"/>
      <c r="AA70" s="85"/>
      <c r="AC70" s="94"/>
      <c r="AD70" s="93"/>
      <c r="AE70" s="85"/>
    </row>
    <row r="71" spans="7:31" x14ac:dyDescent="0.35">
      <c r="G71" s="85"/>
      <c r="H71" s="87"/>
      <c r="I71" s="94">
        <v>2</v>
      </c>
      <c r="J71" s="93">
        <v>45233</v>
      </c>
      <c r="K71" s="85" t="s">
        <v>2227</v>
      </c>
      <c r="L71" s="87">
        <f>125+25+75+25</f>
        <v>250</v>
      </c>
      <c r="M71" s="94"/>
      <c r="N71" s="93"/>
      <c r="O71" s="85"/>
      <c r="Q71" s="94"/>
      <c r="R71" s="93"/>
      <c r="S71" s="85"/>
      <c r="U71" s="94"/>
      <c r="V71" s="93"/>
      <c r="W71" s="85"/>
      <c r="Y71" s="94"/>
      <c r="Z71" s="93"/>
      <c r="AA71" s="85"/>
      <c r="AC71" s="94"/>
      <c r="AD71" s="93"/>
      <c r="AE71" s="85"/>
    </row>
    <row r="72" spans="7:31" x14ac:dyDescent="0.35">
      <c r="G72" s="85"/>
      <c r="H72" s="87"/>
      <c r="I72" s="94">
        <v>2</v>
      </c>
      <c r="J72" s="93">
        <v>45233</v>
      </c>
      <c r="K72" s="85" t="s">
        <v>2228</v>
      </c>
      <c r="L72" s="87">
        <v>380</v>
      </c>
      <c r="M72" s="94"/>
      <c r="N72" s="93"/>
      <c r="O72" s="85"/>
      <c r="Q72" s="94"/>
      <c r="R72" s="93"/>
      <c r="S72" s="85"/>
      <c r="U72" s="94"/>
      <c r="V72" s="93"/>
      <c r="W72" s="85"/>
      <c r="Y72" s="94"/>
      <c r="Z72" s="93"/>
      <c r="AA72" s="85"/>
      <c r="AC72" s="94"/>
      <c r="AD72" s="93"/>
      <c r="AE72" s="85"/>
    </row>
    <row r="73" spans="7:31" x14ac:dyDescent="0.35">
      <c r="G73" s="85"/>
      <c r="H73" s="87"/>
      <c r="I73" s="94">
        <v>11</v>
      </c>
      <c r="J73" s="93">
        <v>45250</v>
      </c>
      <c r="K73" s="85" t="s">
        <v>2229</v>
      </c>
      <c r="L73" s="87">
        <v>21</v>
      </c>
      <c r="M73" s="95"/>
      <c r="N73" s="96"/>
      <c r="O73" s="96"/>
      <c r="Q73" s="94"/>
      <c r="R73" s="93"/>
      <c r="S73" s="85"/>
      <c r="U73" s="94"/>
      <c r="V73" s="93"/>
      <c r="W73" s="85"/>
      <c r="Y73" s="94"/>
      <c r="Z73" s="93"/>
      <c r="AA73" s="85"/>
      <c r="AC73" s="94"/>
      <c r="AD73" s="93"/>
      <c r="AE73" s="85"/>
    </row>
    <row r="74" spans="7:31" x14ac:dyDescent="0.35">
      <c r="G74" s="85"/>
      <c r="H74" s="87"/>
      <c r="I74" s="94">
        <v>7</v>
      </c>
      <c r="J74" s="93">
        <v>45243</v>
      </c>
      <c r="K74" s="85" t="s">
        <v>1767</v>
      </c>
      <c r="L74" s="87">
        <v>925</v>
      </c>
      <c r="M74" s="95"/>
      <c r="N74" s="96"/>
      <c r="O74" s="96"/>
      <c r="Q74" s="94"/>
      <c r="R74" s="93"/>
      <c r="S74" s="85"/>
      <c r="U74" s="94"/>
      <c r="V74" s="93"/>
      <c r="W74" s="85"/>
      <c r="Y74" s="94"/>
      <c r="Z74" s="93"/>
      <c r="AA74" s="85"/>
      <c r="AC74" s="94"/>
      <c r="AD74" s="93"/>
      <c r="AE74" s="85"/>
    </row>
    <row r="75" spans="7:31" x14ac:dyDescent="0.35">
      <c r="G75" s="85"/>
      <c r="H75" s="87"/>
      <c r="I75" s="94">
        <v>7</v>
      </c>
      <c r="J75" s="93">
        <v>45225</v>
      </c>
      <c r="K75" s="85" t="s">
        <v>2230</v>
      </c>
      <c r="L75" s="87">
        <v>175</v>
      </c>
      <c r="M75" s="95"/>
      <c r="N75" s="96"/>
      <c r="O75" s="96"/>
      <c r="Q75" s="94"/>
      <c r="R75" s="93"/>
      <c r="S75" s="85"/>
      <c r="U75" s="94"/>
      <c r="V75" s="93"/>
      <c r="W75" s="85"/>
      <c r="Y75" s="94"/>
      <c r="Z75" s="93"/>
      <c r="AA75" s="85"/>
      <c r="AC75" s="94"/>
      <c r="AD75" s="93"/>
      <c r="AE75" s="85"/>
    </row>
    <row r="76" spans="7:31" x14ac:dyDescent="0.35">
      <c r="G76" s="85"/>
      <c r="H76" s="87"/>
      <c r="I76" s="94">
        <v>7</v>
      </c>
      <c r="J76" s="93">
        <v>45245</v>
      </c>
      <c r="K76" s="85" t="s">
        <v>2231</v>
      </c>
      <c r="L76" s="87">
        <v>250</v>
      </c>
      <c r="M76" s="95"/>
      <c r="N76" s="96"/>
      <c r="O76" s="96"/>
      <c r="Q76" s="94"/>
      <c r="R76" s="93"/>
      <c r="S76" s="85"/>
      <c r="U76" s="94"/>
      <c r="V76" s="93"/>
      <c r="W76" s="85"/>
      <c r="Y76" s="94"/>
      <c r="Z76" s="93"/>
      <c r="AA76" s="85"/>
      <c r="AC76" s="94"/>
      <c r="AD76" s="93"/>
      <c r="AE76" s="85"/>
    </row>
    <row r="77" spans="7:31" x14ac:dyDescent="0.35">
      <c r="G77" s="85"/>
      <c r="H77" s="87"/>
      <c r="I77" s="94">
        <v>7</v>
      </c>
      <c r="J77" s="93">
        <v>45250</v>
      </c>
      <c r="K77" s="85" t="s">
        <v>2232</v>
      </c>
      <c r="L77" s="87">
        <v>82.14</v>
      </c>
      <c r="M77" s="95"/>
      <c r="N77" s="96"/>
      <c r="O77" s="96"/>
      <c r="Q77" s="94"/>
      <c r="R77" s="93"/>
      <c r="S77" s="85"/>
      <c r="U77" s="94"/>
      <c r="V77" s="93"/>
      <c r="W77" s="85"/>
      <c r="Y77" s="94"/>
      <c r="Z77" s="93"/>
      <c r="AA77" s="85"/>
      <c r="AC77" s="94"/>
      <c r="AD77" s="93"/>
      <c r="AE77" s="85"/>
    </row>
    <row r="78" spans="7:31" x14ac:dyDescent="0.35">
      <c r="G78" s="85"/>
      <c r="H78" s="87"/>
      <c r="I78" s="94">
        <v>7</v>
      </c>
      <c r="J78" s="93">
        <v>45250</v>
      </c>
      <c r="K78" s="85" t="s">
        <v>2232</v>
      </c>
      <c r="L78" s="87">
        <v>4.5</v>
      </c>
      <c r="M78" s="95"/>
      <c r="N78" s="96"/>
      <c r="O78" s="96"/>
      <c r="Q78" s="94"/>
      <c r="R78" s="93"/>
      <c r="S78" s="85"/>
      <c r="U78" s="94"/>
      <c r="V78" s="93"/>
      <c r="W78" s="85"/>
      <c r="Y78" s="94"/>
      <c r="Z78" s="93"/>
      <c r="AA78" s="85"/>
      <c r="AC78" s="94"/>
      <c r="AD78" s="93"/>
      <c r="AE78" s="85"/>
    </row>
    <row r="79" spans="7:31" x14ac:dyDescent="0.35">
      <c r="G79" s="85"/>
      <c r="H79" s="87"/>
      <c r="I79" s="94">
        <v>11</v>
      </c>
      <c r="J79" s="93">
        <v>45252</v>
      </c>
      <c r="K79" s="85" t="s">
        <v>2233</v>
      </c>
      <c r="L79" s="87">
        <v>250</v>
      </c>
      <c r="M79" s="95"/>
      <c r="N79" s="96"/>
      <c r="O79" s="96"/>
      <c r="Q79" s="94"/>
      <c r="R79" s="93"/>
      <c r="S79" s="85"/>
      <c r="U79" s="94"/>
      <c r="V79" s="93"/>
      <c r="W79" s="85"/>
      <c r="Y79" s="94"/>
      <c r="Z79" s="93"/>
      <c r="AA79" s="85"/>
      <c r="AC79" s="94"/>
      <c r="AD79" s="93"/>
      <c r="AE79" s="85"/>
    </row>
    <row r="80" spans="7:31" x14ac:dyDescent="0.35">
      <c r="G80" s="85"/>
      <c r="H80" s="87"/>
      <c r="I80" s="94">
        <v>11</v>
      </c>
      <c r="J80" s="93">
        <v>45269</v>
      </c>
      <c r="K80" s="85" t="s">
        <v>2285</v>
      </c>
      <c r="L80" s="122">
        <v>100</v>
      </c>
      <c r="M80" s="95"/>
      <c r="N80" s="96"/>
      <c r="O80" s="96"/>
      <c r="Q80" s="94"/>
      <c r="R80" s="93"/>
      <c r="S80" s="85"/>
      <c r="U80" s="94"/>
      <c r="V80" s="93"/>
      <c r="W80" s="85"/>
      <c r="Y80" s="94"/>
      <c r="Z80" s="93"/>
      <c r="AA80" s="85"/>
      <c r="AC80" s="94"/>
      <c r="AD80" s="93"/>
      <c r="AE80" s="85"/>
    </row>
    <row r="81" spans="7:31" x14ac:dyDescent="0.35">
      <c r="G81" s="85"/>
      <c r="H81" s="87"/>
      <c r="I81" s="94">
        <v>11</v>
      </c>
      <c r="J81" s="93">
        <v>45260</v>
      </c>
      <c r="K81" s="85" t="s">
        <v>2251</v>
      </c>
      <c r="L81" s="122">
        <v>100</v>
      </c>
      <c r="M81" s="95"/>
      <c r="N81" s="96"/>
      <c r="O81" s="96"/>
      <c r="Q81" s="94"/>
      <c r="R81" s="93"/>
      <c r="S81" s="85"/>
      <c r="U81" s="94"/>
      <c r="V81" s="93"/>
      <c r="W81" s="85"/>
      <c r="Y81" s="94"/>
      <c r="Z81" s="93"/>
      <c r="AA81" s="85"/>
      <c r="AC81" s="94"/>
      <c r="AD81" s="93"/>
      <c r="AE81" s="85"/>
    </row>
    <row r="82" spans="7:31" x14ac:dyDescent="0.35">
      <c r="G82" s="85"/>
      <c r="H82" s="87"/>
      <c r="I82" s="94">
        <v>11</v>
      </c>
      <c r="J82" s="106">
        <v>45272</v>
      </c>
      <c r="K82" s="85" t="s">
        <v>2233</v>
      </c>
      <c r="L82" s="122">
        <v>25</v>
      </c>
      <c r="M82" s="95"/>
      <c r="N82" s="96"/>
      <c r="O82" s="96"/>
      <c r="Q82" s="94"/>
      <c r="R82" s="93"/>
      <c r="S82" s="85"/>
      <c r="U82" s="94"/>
      <c r="V82" s="93"/>
      <c r="W82" s="85"/>
      <c r="Y82" s="94"/>
      <c r="Z82" s="93"/>
      <c r="AA82" s="85"/>
      <c r="AC82" s="94"/>
      <c r="AD82" s="93"/>
      <c r="AE82" s="85"/>
    </row>
    <row r="83" spans="7:31" x14ac:dyDescent="0.35">
      <c r="G83" s="85"/>
      <c r="H83" s="87"/>
      <c r="I83" s="94">
        <v>11</v>
      </c>
      <c r="J83" s="106">
        <v>45272</v>
      </c>
      <c r="K83" s="85" t="s">
        <v>2233</v>
      </c>
      <c r="L83" s="122">
        <v>50</v>
      </c>
      <c r="M83" s="95"/>
      <c r="N83" s="96"/>
      <c r="O83" s="96"/>
      <c r="Q83" s="94"/>
      <c r="R83" s="93"/>
      <c r="S83" s="85"/>
      <c r="U83" s="94"/>
      <c r="V83" s="93"/>
      <c r="W83" s="85"/>
      <c r="Y83" s="94"/>
      <c r="Z83" s="93"/>
      <c r="AA83" s="85"/>
      <c r="AC83" s="94"/>
      <c r="AD83" s="93"/>
      <c r="AE83" s="85"/>
    </row>
    <row r="84" spans="7:31" x14ac:dyDescent="0.35">
      <c r="G84" s="85"/>
      <c r="H84" s="87"/>
      <c r="I84" s="94">
        <v>11</v>
      </c>
      <c r="J84" s="106">
        <v>45272</v>
      </c>
      <c r="K84" s="85" t="s">
        <v>2273</v>
      </c>
      <c r="L84" s="122">
        <v>700</v>
      </c>
      <c r="M84" s="95"/>
      <c r="N84" s="96"/>
      <c r="O84" s="96"/>
      <c r="Q84" s="94"/>
      <c r="R84" s="93"/>
      <c r="S84" s="85"/>
      <c r="U84" s="94"/>
      <c r="V84" s="93"/>
      <c r="W84" s="85"/>
      <c r="Y84" s="94"/>
      <c r="Z84" s="93"/>
      <c r="AA84" s="85"/>
      <c r="AC84" s="94"/>
      <c r="AD84" s="93"/>
      <c r="AE84" s="85"/>
    </row>
    <row r="85" spans="7:31" x14ac:dyDescent="0.35">
      <c r="G85" s="85"/>
      <c r="H85" s="87"/>
      <c r="I85" s="95">
        <v>2</v>
      </c>
      <c r="J85" s="106">
        <v>45293</v>
      </c>
      <c r="K85" s="96" t="s">
        <v>1814</v>
      </c>
      <c r="L85" s="122">
        <v>525</v>
      </c>
      <c r="M85" s="95"/>
      <c r="N85" s="96"/>
      <c r="O85" s="96"/>
      <c r="Q85" s="94"/>
      <c r="R85" s="93"/>
      <c r="S85" s="85"/>
      <c r="U85" s="94"/>
      <c r="V85" s="93"/>
      <c r="W85" s="85"/>
      <c r="Y85" s="94"/>
      <c r="Z85" s="93"/>
      <c r="AA85" s="85"/>
      <c r="AC85" s="94"/>
      <c r="AD85" s="93"/>
      <c r="AE85" s="85"/>
    </row>
    <row r="86" spans="7:31" x14ac:dyDescent="0.35">
      <c r="G86" s="85"/>
      <c r="H86" s="87"/>
      <c r="I86" s="94">
        <v>1</v>
      </c>
      <c r="J86" s="93">
        <v>45169</v>
      </c>
      <c r="K86" s="85" t="s">
        <v>2361</v>
      </c>
      <c r="L86" s="87">
        <v>-60</v>
      </c>
      <c r="M86" s="95"/>
      <c r="N86" s="96"/>
      <c r="O86" s="96"/>
      <c r="Q86" s="94"/>
      <c r="R86" s="93"/>
      <c r="S86" s="85"/>
      <c r="U86" s="94"/>
      <c r="V86" s="93"/>
      <c r="W86" s="85"/>
      <c r="Y86" s="94"/>
      <c r="Z86" s="93"/>
      <c r="AA86" s="85"/>
      <c r="AC86" s="94"/>
      <c r="AD86" s="93"/>
      <c r="AE86" s="85"/>
    </row>
    <row r="87" spans="7:31" x14ac:dyDescent="0.35">
      <c r="G87" s="85"/>
      <c r="H87" s="87"/>
      <c r="I87" s="94">
        <v>11</v>
      </c>
      <c r="J87" s="93">
        <v>45275</v>
      </c>
      <c r="K87" s="85" t="s">
        <v>2374</v>
      </c>
      <c r="L87" s="87">
        <f>105+50+100</f>
        <v>255</v>
      </c>
      <c r="M87" s="95"/>
      <c r="N87" s="96"/>
      <c r="O87" s="96"/>
      <c r="Q87" s="94"/>
      <c r="R87" s="93"/>
      <c r="S87" s="85"/>
      <c r="U87" s="94"/>
      <c r="V87" s="93"/>
      <c r="W87" s="85"/>
      <c r="Y87" s="94"/>
      <c r="Z87" s="93"/>
      <c r="AA87" s="85"/>
      <c r="AC87" s="94"/>
      <c r="AD87" s="93"/>
      <c r="AE87" s="85"/>
    </row>
    <row r="88" spans="7:31" x14ac:dyDescent="0.35">
      <c r="G88" s="85"/>
      <c r="H88" s="87"/>
      <c r="I88" s="94">
        <v>7</v>
      </c>
      <c r="J88" s="93">
        <v>45306</v>
      </c>
      <c r="K88" s="85" t="s">
        <v>2407</v>
      </c>
      <c r="L88" s="87">
        <v>120</v>
      </c>
      <c r="M88" s="95"/>
      <c r="N88" s="96"/>
      <c r="O88" s="96"/>
      <c r="Q88" s="94"/>
      <c r="R88" s="93"/>
      <c r="S88" s="85"/>
      <c r="U88" s="94"/>
      <c r="V88" s="93"/>
      <c r="W88" s="85"/>
      <c r="Y88" s="94"/>
      <c r="Z88" s="93"/>
      <c r="AA88" s="85"/>
      <c r="AC88" s="94"/>
      <c r="AD88" s="93"/>
      <c r="AE88" s="85"/>
    </row>
    <row r="89" spans="7:31" x14ac:dyDescent="0.35">
      <c r="G89" s="85"/>
      <c r="H89" s="87"/>
      <c r="I89" s="94">
        <v>7</v>
      </c>
      <c r="J89" s="93">
        <v>45314</v>
      </c>
      <c r="K89" s="85" t="s">
        <v>2422</v>
      </c>
      <c r="L89" s="87">
        <v>200</v>
      </c>
      <c r="M89" s="95"/>
      <c r="N89" s="96"/>
      <c r="O89" s="96"/>
      <c r="Q89" s="94"/>
      <c r="R89" s="93"/>
      <c r="S89" s="85"/>
      <c r="U89" s="94"/>
      <c r="V89" s="93"/>
      <c r="W89" s="85"/>
      <c r="Y89" s="94"/>
      <c r="Z89" s="93"/>
      <c r="AA89" s="85"/>
      <c r="AC89" s="94"/>
      <c r="AD89" s="93"/>
      <c r="AE89" s="85"/>
    </row>
    <row r="90" spans="7:31" x14ac:dyDescent="0.35">
      <c r="G90" s="85"/>
      <c r="H90" s="87"/>
      <c r="I90" s="94">
        <v>7</v>
      </c>
      <c r="J90" s="93">
        <v>45337</v>
      </c>
      <c r="K90" s="85" t="s">
        <v>240</v>
      </c>
      <c r="L90" s="87">
        <v>500</v>
      </c>
      <c r="M90" s="95"/>
      <c r="N90" s="96"/>
      <c r="O90" s="96"/>
      <c r="Q90" s="94"/>
      <c r="R90" s="93"/>
      <c r="S90" s="85"/>
      <c r="U90" s="94"/>
      <c r="V90" s="93"/>
      <c r="W90" s="85"/>
      <c r="Y90" s="94"/>
      <c r="Z90" s="93"/>
      <c r="AA90" s="85"/>
      <c r="AC90" s="94"/>
      <c r="AD90" s="93"/>
      <c r="AE90" s="85"/>
    </row>
    <row r="91" spans="7:31" x14ac:dyDescent="0.35">
      <c r="G91" s="85"/>
      <c r="H91" s="87"/>
      <c r="I91" s="94">
        <v>2</v>
      </c>
      <c r="J91" s="93">
        <v>45331</v>
      </c>
      <c r="K91" s="85" t="s">
        <v>2530</v>
      </c>
      <c r="L91" s="87">
        <v>69.569999999999993</v>
      </c>
      <c r="M91" s="94"/>
      <c r="N91" s="93"/>
      <c r="O91" s="85"/>
      <c r="Q91" s="94"/>
      <c r="R91" s="93"/>
      <c r="S91" s="85"/>
      <c r="U91" s="94"/>
      <c r="V91" s="93"/>
      <c r="W91" s="85"/>
      <c r="Y91" s="94"/>
      <c r="Z91" s="93"/>
      <c r="AA91" s="85"/>
      <c r="AC91" s="94"/>
      <c r="AD91" s="93"/>
      <c r="AE91" s="85"/>
    </row>
    <row r="92" spans="7:31" x14ac:dyDescent="0.35">
      <c r="G92" s="85"/>
      <c r="H92" s="87"/>
      <c r="I92" s="94">
        <v>2</v>
      </c>
      <c r="J92" s="93">
        <v>45330</v>
      </c>
      <c r="K92" s="85" t="s">
        <v>2699</v>
      </c>
      <c r="L92" s="87">
        <v>40</v>
      </c>
      <c r="M92" s="94"/>
      <c r="N92" s="93"/>
      <c r="O92" s="85"/>
      <c r="Q92" s="94"/>
      <c r="R92" s="93"/>
      <c r="S92" s="85"/>
      <c r="U92" s="94"/>
      <c r="V92" s="93"/>
      <c r="W92" s="85"/>
      <c r="Y92" s="94"/>
      <c r="Z92" s="93"/>
      <c r="AA92" s="85"/>
      <c r="AC92" s="94"/>
      <c r="AD92" s="93"/>
      <c r="AE92" s="85"/>
    </row>
    <row r="93" spans="7:31" x14ac:dyDescent="0.35">
      <c r="G93" s="85"/>
      <c r="H93" s="87"/>
      <c r="I93" s="94">
        <v>2</v>
      </c>
      <c r="J93" s="93">
        <v>45312</v>
      </c>
      <c r="K93" s="85" t="s">
        <v>2531</v>
      </c>
      <c r="L93" s="87">
        <v>21</v>
      </c>
      <c r="M93" s="94"/>
      <c r="N93" s="93"/>
      <c r="O93" s="85"/>
      <c r="Q93" s="94"/>
      <c r="R93" s="93"/>
      <c r="S93" s="85"/>
      <c r="U93" s="94"/>
      <c r="V93" s="93"/>
      <c r="W93" s="85"/>
      <c r="Y93" s="94"/>
      <c r="Z93" s="93"/>
      <c r="AA93" s="85"/>
      <c r="AC93" s="94"/>
      <c r="AD93" s="93"/>
      <c r="AE93" s="85"/>
    </row>
    <row r="94" spans="7:31" x14ac:dyDescent="0.35">
      <c r="G94" s="85"/>
      <c r="H94" s="87"/>
      <c r="I94" s="94">
        <v>2</v>
      </c>
      <c r="J94" s="93">
        <v>45323</v>
      </c>
      <c r="K94" s="85" t="s">
        <v>2698</v>
      </c>
      <c r="L94" s="87">
        <v>41.67</v>
      </c>
      <c r="M94" s="94"/>
      <c r="N94" s="93"/>
      <c r="O94" s="85"/>
      <c r="Q94" s="94"/>
      <c r="R94" s="93"/>
      <c r="S94" s="85"/>
      <c r="U94" s="94"/>
      <c r="V94" s="93"/>
      <c r="W94" s="85"/>
      <c r="Y94" s="94"/>
      <c r="Z94" s="93"/>
      <c r="AA94" s="85"/>
      <c r="AC94" s="94"/>
      <c r="AD94" s="93"/>
      <c r="AE94" s="85"/>
    </row>
    <row r="95" spans="7:31" x14ac:dyDescent="0.35">
      <c r="G95" s="85"/>
      <c r="H95" s="87"/>
      <c r="I95" s="94">
        <v>2</v>
      </c>
      <c r="J95" s="93">
        <v>45348</v>
      </c>
      <c r="K95" s="85" t="s">
        <v>2535</v>
      </c>
      <c r="L95" s="87">
        <v>500</v>
      </c>
      <c r="M95" s="94"/>
      <c r="N95" s="93"/>
      <c r="O95" s="85"/>
      <c r="Q95" s="94"/>
      <c r="R95" s="93"/>
      <c r="S95" s="85"/>
      <c r="U95" s="94"/>
      <c r="V95" s="93"/>
      <c r="W95" s="85"/>
      <c r="Y95" s="94"/>
      <c r="Z95" s="93"/>
      <c r="AA95" s="85"/>
      <c r="AC95" s="94"/>
      <c r="AD95" s="93"/>
      <c r="AE95" s="85"/>
    </row>
    <row r="96" spans="7:31" x14ac:dyDescent="0.35">
      <c r="G96" s="85"/>
      <c r="H96" s="87"/>
      <c r="I96" s="94">
        <v>7</v>
      </c>
      <c r="J96" s="93">
        <v>45324</v>
      </c>
      <c r="K96" s="85" t="s">
        <v>2367</v>
      </c>
      <c r="L96" s="87">
        <v>10.199999999999999</v>
      </c>
      <c r="M96" s="94"/>
      <c r="N96" s="93"/>
      <c r="O96" s="85"/>
      <c r="Q96" s="94"/>
      <c r="R96" s="93"/>
      <c r="S96" s="85"/>
      <c r="U96" s="94"/>
      <c r="V96" s="93"/>
      <c r="W96" s="85"/>
      <c r="Y96" s="94"/>
      <c r="Z96" s="93"/>
      <c r="AA96" s="85"/>
      <c r="AC96" s="94"/>
      <c r="AD96" s="93"/>
      <c r="AE96" s="85"/>
    </row>
    <row r="97" spans="7:31" x14ac:dyDescent="0.35">
      <c r="G97" s="85"/>
      <c r="H97" s="87"/>
      <c r="I97" s="94">
        <v>7</v>
      </c>
      <c r="J97" s="93">
        <v>45324</v>
      </c>
      <c r="K97" s="85" t="s">
        <v>1797</v>
      </c>
      <c r="L97" s="87">
        <v>4.16</v>
      </c>
      <c r="M97" s="94"/>
      <c r="N97" s="93"/>
      <c r="O97" s="85"/>
      <c r="Q97" s="94"/>
      <c r="R97" s="93"/>
      <c r="S97" s="85"/>
      <c r="U97" s="94"/>
      <c r="V97" s="93"/>
      <c r="W97" s="85"/>
      <c r="Y97" s="94"/>
      <c r="Z97" s="93"/>
      <c r="AA97" s="85"/>
      <c r="AC97" s="94"/>
      <c r="AD97" s="93"/>
      <c r="AE97" s="85"/>
    </row>
    <row r="98" spans="7:31" x14ac:dyDescent="0.35">
      <c r="G98" s="85"/>
      <c r="H98" s="87"/>
      <c r="I98" s="94">
        <v>2</v>
      </c>
      <c r="J98" s="93">
        <v>45344</v>
      </c>
      <c r="K98" s="85" t="s">
        <v>2595</v>
      </c>
      <c r="L98" s="87">
        <v>9</v>
      </c>
      <c r="M98" s="94"/>
      <c r="N98" s="93"/>
      <c r="O98" s="85"/>
      <c r="Q98" s="94"/>
      <c r="R98" s="93"/>
      <c r="S98" s="85"/>
      <c r="U98" s="94"/>
      <c r="V98" s="93"/>
      <c r="W98" s="85"/>
      <c r="Y98" s="94"/>
      <c r="Z98" s="93"/>
      <c r="AA98" s="85"/>
      <c r="AC98" s="94"/>
      <c r="AD98" s="93"/>
      <c r="AE98" s="85"/>
    </row>
    <row r="99" spans="7:31" x14ac:dyDescent="0.35">
      <c r="G99" s="85"/>
      <c r="H99" s="87"/>
      <c r="I99" s="94">
        <v>2</v>
      </c>
      <c r="J99" s="93">
        <v>45341</v>
      </c>
      <c r="K99" s="85" t="s">
        <v>2699</v>
      </c>
      <c r="L99" s="87">
        <v>65</v>
      </c>
      <c r="M99" s="94"/>
      <c r="N99" s="93"/>
      <c r="O99" s="85"/>
      <c r="Q99" s="94"/>
      <c r="R99" s="93"/>
      <c r="S99" s="85"/>
      <c r="U99" s="94"/>
      <c r="V99" s="93"/>
      <c r="W99" s="85"/>
      <c r="Y99" s="94"/>
      <c r="Z99" s="93"/>
      <c r="AA99" s="85"/>
      <c r="AC99" s="94"/>
      <c r="AD99" s="93"/>
      <c r="AE99" s="85"/>
    </row>
    <row r="100" spans="7:31" x14ac:dyDescent="0.35">
      <c r="G100" s="85"/>
      <c r="H100" s="87"/>
      <c r="I100" s="94">
        <v>2</v>
      </c>
      <c r="J100" s="93">
        <v>45341</v>
      </c>
      <c r="K100" s="85" t="s">
        <v>2699</v>
      </c>
      <c r="L100" s="87">
        <v>25</v>
      </c>
      <c r="M100" s="94"/>
      <c r="N100" s="93"/>
      <c r="O100" s="85"/>
      <c r="Q100" s="94"/>
      <c r="R100" s="93"/>
      <c r="S100" s="85"/>
      <c r="U100" s="94"/>
      <c r="V100" s="93"/>
      <c r="W100" s="85"/>
      <c r="Y100" s="94"/>
      <c r="Z100" s="93"/>
      <c r="AA100" s="85"/>
      <c r="AC100" s="94"/>
      <c r="AD100" s="93"/>
      <c r="AE100" s="85"/>
    </row>
    <row r="101" spans="7:31" x14ac:dyDescent="0.35">
      <c r="G101" s="85"/>
      <c r="H101" s="87"/>
      <c r="I101" s="94">
        <v>2</v>
      </c>
      <c r="J101" s="93">
        <v>45349</v>
      </c>
      <c r="K101" s="85" t="s">
        <v>2700</v>
      </c>
      <c r="L101" s="87">
        <v>160</v>
      </c>
      <c r="M101" s="94"/>
      <c r="N101" s="93"/>
      <c r="O101" s="85"/>
      <c r="Q101" s="94"/>
      <c r="R101" s="93"/>
      <c r="S101" s="85"/>
      <c r="U101" s="94"/>
      <c r="V101" s="93"/>
      <c r="W101" s="85"/>
      <c r="Y101" s="94"/>
      <c r="Z101" s="93"/>
      <c r="AA101" s="85"/>
      <c r="AC101" s="94"/>
      <c r="AD101" s="93"/>
      <c r="AE101" s="85"/>
    </row>
    <row r="102" spans="7:31" x14ac:dyDescent="0.35">
      <c r="G102" s="85"/>
      <c r="H102" s="87"/>
      <c r="I102" s="94">
        <v>2</v>
      </c>
      <c r="J102" s="93">
        <v>45355</v>
      </c>
      <c r="K102" s="85" t="s">
        <v>2699</v>
      </c>
      <c r="L102" s="87">
        <v>65</v>
      </c>
      <c r="M102" s="94"/>
      <c r="N102" s="93"/>
      <c r="O102" s="85"/>
      <c r="Q102" s="94"/>
      <c r="R102" s="93"/>
      <c r="S102" s="85"/>
      <c r="U102" s="94"/>
      <c r="V102" s="93"/>
      <c r="W102" s="85"/>
      <c r="Y102" s="94"/>
      <c r="Z102" s="93"/>
      <c r="AA102" s="85"/>
      <c r="AC102" s="94"/>
      <c r="AD102" s="93"/>
      <c r="AE102" s="85"/>
    </row>
    <row r="103" spans="7:31" x14ac:dyDescent="0.35">
      <c r="G103" s="85"/>
      <c r="H103" s="87"/>
      <c r="I103" s="94">
        <v>2</v>
      </c>
      <c r="J103" s="93">
        <v>45363</v>
      </c>
      <c r="K103" s="85" t="s">
        <v>2701</v>
      </c>
      <c r="L103" s="87">
        <v>41.67</v>
      </c>
      <c r="M103" s="94"/>
      <c r="N103" s="93"/>
      <c r="O103" s="85"/>
      <c r="Q103" s="94"/>
      <c r="R103" s="93"/>
      <c r="S103" s="85"/>
      <c r="U103" s="94"/>
      <c r="V103" s="93"/>
      <c r="W103" s="85"/>
      <c r="Y103" s="94"/>
      <c r="Z103" s="93"/>
      <c r="AA103" s="85"/>
      <c r="AC103" s="94"/>
      <c r="AD103" s="93"/>
      <c r="AE103" s="85"/>
    </row>
    <row r="104" spans="7:31" x14ac:dyDescent="0.35">
      <c r="G104" s="85"/>
      <c r="H104" s="87"/>
      <c r="I104" s="94">
        <v>2</v>
      </c>
      <c r="J104" s="93">
        <v>45373</v>
      </c>
      <c r="K104" s="85" t="s">
        <v>1757</v>
      </c>
      <c r="L104" s="87">
        <v>50</v>
      </c>
      <c r="M104" s="94"/>
      <c r="N104" s="93"/>
      <c r="O104" s="85"/>
      <c r="Q104" s="94"/>
      <c r="R104" s="93"/>
      <c r="S104" s="85"/>
      <c r="U104" s="94"/>
      <c r="V104" s="93"/>
      <c r="W104" s="85"/>
      <c r="Y104" s="94"/>
      <c r="Z104" s="93"/>
      <c r="AA104" s="85"/>
      <c r="AC104" s="94"/>
      <c r="AD104" s="93"/>
      <c r="AE104" s="85"/>
    </row>
    <row r="105" spans="7:31" x14ac:dyDescent="0.35">
      <c r="G105" s="85"/>
      <c r="H105" s="87"/>
      <c r="I105" s="94">
        <v>2</v>
      </c>
      <c r="J105" s="93">
        <v>45373</v>
      </c>
      <c r="K105" s="85" t="s">
        <v>2702</v>
      </c>
      <c r="L105" s="87">
        <v>60</v>
      </c>
      <c r="M105" s="94"/>
      <c r="N105" s="93"/>
      <c r="O105" s="85"/>
      <c r="Q105" s="94"/>
      <c r="R105" s="93"/>
      <c r="S105" s="85"/>
      <c r="U105" s="94"/>
      <c r="V105" s="93"/>
      <c r="W105" s="85"/>
      <c r="Y105" s="94"/>
      <c r="Z105" s="93"/>
      <c r="AA105" s="85"/>
      <c r="AC105" s="94"/>
      <c r="AD105" s="93"/>
      <c r="AE105" s="85"/>
    </row>
    <row r="106" spans="7:31" x14ac:dyDescent="0.35">
      <c r="G106" s="85"/>
      <c r="H106" s="87"/>
      <c r="I106" s="94">
        <v>2</v>
      </c>
      <c r="J106" s="93">
        <v>45373</v>
      </c>
      <c r="K106" s="85" t="s">
        <v>1757</v>
      </c>
      <c r="L106" s="87">
        <v>100</v>
      </c>
      <c r="M106" s="94"/>
      <c r="N106" s="93"/>
      <c r="O106" s="85"/>
      <c r="Q106" s="94"/>
      <c r="R106" s="93"/>
      <c r="S106" s="85"/>
      <c r="U106" s="94"/>
      <c r="V106" s="93"/>
      <c r="W106" s="85"/>
      <c r="Y106" s="94"/>
      <c r="Z106" s="93"/>
      <c r="AA106" s="85"/>
      <c r="AC106" s="94"/>
      <c r="AD106" s="93"/>
      <c r="AE106" s="85"/>
    </row>
    <row r="107" spans="7:31" x14ac:dyDescent="0.35">
      <c r="G107" s="85"/>
      <c r="H107" s="87"/>
      <c r="I107" s="94">
        <v>2</v>
      </c>
      <c r="J107" s="93">
        <v>45379</v>
      </c>
      <c r="K107" s="85" t="s">
        <v>2731</v>
      </c>
      <c r="L107" s="87">
        <v>250</v>
      </c>
      <c r="M107" s="94"/>
      <c r="N107" s="93"/>
      <c r="O107" s="85"/>
      <c r="Q107" s="94"/>
      <c r="R107" s="93"/>
      <c r="S107" s="85"/>
      <c r="U107" s="94"/>
      <c r="V107" s="93"/>
      <c r="W107" s="85"/>
      <c r="Y107" s="94"/>
      <c r="Z107" s="93"/>
      <c r="AA107" s="85"/>
      <c r="AC107" s="94"/>
      <c r="AD107" s="93"/>
      <c r="AE107" s="85"/>
    </row>
    <row r="108" spans="7:31" x14ac:dyDescent="0.35">
      <c r="G108" s="85"/>
      <c r="H108" s="87"/>
      <c r="I108" s="94">
        <v>2</v>
      </c>
      <c r="J108" s="93">
        <v>45379</v>
      </c>
      <c r="K108" s="85" t="s">
        <v>1757</v>
      </c>
      <c r="L108" s="87">
        <v>50</v>
      </c>
      <c r="M108" s="94"/>
      <c r="N108" s="93"/>
      <c r="O108" s="85"/>
      <c r="Q108" s="94"/>
      <c r="R108" s="93"/>
      <c r="S108" s="85"/>
      <c r="U108" s="94"/>
      <c r="V108" s="93"/>
      <c r="W108" s="85"/>
      <c r="Y108" s="94"/>
      <c r="Z108" s="93"/>
      <c r="AA108" s="85"/>
      <c r="AC108" s="94"/>
      <c r="AD108" s="93"/>
      <c r="AE108" s="85"/>
    </row>
    <row r="109" spans="7:31" x14ac:dyDescent="0.35">
      <c r="G109" s="85"/>
      <c r="H109" s="87"/>
      <c r="I109" s="94">
        <v>2</v>
      </c>
      <c r="J109" s="93">
        <v>45379</v>
      </c>
      <c r="K109" s="85" t="s">
        <v>2759</v>
      </c>
      <c r="L109" s="87">
        <v>21</v>
      </c>
      <c r="M109" s="94"/>
      <c r="N109" s="93"/>
      <c r="O109" s="85"/>
      <c r="Q109" s="94"/>
      <c r="R109" s="93"/>
      <c r="S109" s="85"/>
      <c r="U109" s="94"/>
      <c r="V109" s="93"/>
      <c r="W109" s="85"/>
      <c r="Y109" s="94"/>
      <c r="Z109" s="93"/>
      <c r="AA109" s="85"/>
      <c r="AC109" s="94"/>
      <c r="AD109" s="93"/>
      <c r="AE109" s="85"/>
    </row>
    <row r="110" spans="7:31" x14ac:dyDescent="0.35">
      <c r="G110" s="85"/>
      <c r="H110" s="87"/>
      <c r="I110" s="94">
        <v>2</v>
      </c>
      <c r="J110" s="93">
        <v>45379</v>
      </c>
      <c r="K110" s="85" t="s">
        <v>1757</v>
      </c>
      <c r="L110" s="87">
        <v>25</v>
      </c>
      <c r="M110" s="94"/>
      <c r="N110" s="93"/>
      <c r="O110" s="85"/>
      <c r="Q110" s="94"/>
      <c r="R110" s="93"/>
      <c r="S110" s="85"/>
      <c r="U110" s="94"/>
      <c r="V110" s="93"/>
      <c r="W110" s="85"/>
      <c r="Y110" s="94"/>
      <c r="Z110" s="93"/>
      <c r="AA110" s="85"/>
      <c r="AC110" s="94"/>
      <c r="AD110" s="93"/>
      <c r="AE110" s="85"/>
    </row>
    <row r="111" spans="7:31" x14ac:dyDescent="0.35">
      <c r="G111" s="85"/>
      <c r="H111" s="87"/>
      <c r="I111" s="94">
        <v>2</v>
      </c>
      <c r="J111" s="93">
        <v>45382</v>
      </c>
      <c r="K111" s="85" t="s">
        <v>1757</v>
      </c>
      <c r="L111" s="87">
        <v>50</v>
      </c>
      <c r="M111" s="94"/>
      <c r="N111" s="93"/>
      <c r="O111" s="85"/>
      <c r="Q111" s="94"/>
      <c r="R111" s="93"/>
      <c r="S111" s="85"/>
      <c r="U111" s="94"/>
      <c r="V111" s="93"/>
      <c r="W111" s="85"/>
      <c r="Y111" s="94"/>
      <c r="Z111" s="93"/>
      <c r="AA111" s="85"/>
      <c r="AC111" s="94"/>
      <c r="AD111" s="93"/>
      <c r="AE111" s="85"/>
    </row>
    <row r="112" spans="7:31" x14ac:dyDescent="0.35">
      <c r="G112" s="85"/>
      <c r="H112" s="87"/>
      <c r="I112" s="94">
        <v>2</v>
      </c>
      <c r="J112" s="93">
        <v>45381</v>
      </c>
      <c r="K112" s="85" t="s">
        <v>1757</v>
      </c>
      <c r="L112" s="87">
        <v>81.5</v>
      </c>
      <c r="M112" s="94"/>
      <c r="N112" s="93"/>
      <c r="O112" s="85"/>
      <c r="Q112" s="94"/>
      <c r="R112" s="93"/>
      <c r="S112" s="85"/>
      <c r="U112" s="94"/>
      <c r="V112" s="93"/>
      <c r="W112" s="85"/>
      <c r="Y112" s="94"/>
      <c r="Z112" s="93"/>
      <c r="AA112" s="85"/>
      <c r="AC112" s="94"/>
      <c r="AD112" s="93"/>
      <c r="AE112" s="85"/>
    </row>
    <row r="113" spans="7:31" x14ac:dyDescent="0.35">
      <c r="G113" s="85"/>
      <c r="H113" s="87"/>
      <c r="I113" s="94">
        <v>2</v>
      </c>
      <c r="J113" s="93" t="s">
        <v>775</v>
      </c>
      <c r="K113" s="85" t="s">
        <v>2789</v>
      </c>
      <c r="L113" s="151">
        <v>160</v>
      </c>
      <c r="M113" s="94"/>
      <c r="N113" s="93"/>
      <c r="O113" s="85"/>
      <c r="Q113" s="94"/>
      <c r="R113" s="93"/>
      <c r="S113" s="85"/>
      <c r="U113" s="94"/>
      <c r="V113" s="93"/>
      <c r="W113" s="85"/>
      <c r="Y113" s="94"/>
      <c r="Z113" s="93"/>
      <c r="AA113" s="85"/>
      <c r="AC113" s="94"/>
      <c r="AD113" s="93"/>
      <c r="AE113" s="85"/>
    </row>
    <row r="114" spans="7:31" x14ac:dyDescent="0.35">
      <c r="G114" s="85"/>
      <c r="H114" s="87"/>
      <c r="K114" s="85"/>
      <c r="M114" s="94"/>
      <c r="N114" s="93"/>
      <c r="O114" s="85"/>
      <c r="Q114" s="94"/>
      <c r="R114" s="93"/>
      <c r="S114" s="85"/>
      <c r="U114" s="94"/>
      <c r="V114" s="93"/>
      <c r="W114" s="85"/>
      <c r="Y114" s="94"/>
      <c r="Z114" s="93"/>
      <c r="AA114" s="85"/>
      <c r="AC114" s="94"/>
      <c r="AD114" s="93"/>
      <c r="AE114" s="85"/>
    </row>
    <row r="115" spans="7:31" x14ac:dyDescent="0.35">
      <c r="G115" s="85"/>
      <c r="H115" s="87"/>
      <c r="K115" s="85"/>
      <c r="M115" s="94"/>
      <c r="N115" s="93"/>
      <c r="O115" s="85"/>
      <c r="Q115" s="94"/>
      <c r="R115" s="93"/>
      <c r="S115" s="85"/>
      <c r="U115" s="94"/>
      <c r="V115" s="93"/>
      <c r="W115" s="85"/>
      <c r="Y115" s="94"/>
      <c r="Z115" s="93"/>
      <c r="AA115" s="85"/>
      <c r="AC115" s="94"/>
      <c r="AD115" s="93"/>
      <c r="AE115" s="85"/>
    </row>
    <row r="116" spans="7:31" x14ac:dyDescent="0.35">
      <c r="G116" s="85"/>
      <c r="H116" s="87"/>
      <c r="K116" s="85"/>
      <c r="M116" s="94"/>
      <c r="N116" s="93"/>
      <c r="O116" s="85"/>
      <c r="Q116" s="94"/>
      <c r="R116" s="93"/>
      <c r="S116" s="85"/>
      <c r="U116" s="94"/>
      <c r="V116" s="93"/>
      <c r="W116" s="85"/>
      <c r="Y116" s="94"/>
      <c r="Z116" s="93"/>
      <c r="AA116" s="85"/>
      <c r="AC116" s="94"/>
      <c r="AD116" s="93"/>
      <c r="AE116" s="85"/>
    </row>
    <row r="117" spans="7:31" x14ac:dyDescent="0.35">
      <c r="G117" s="85"/>
      <c r="H117" s="87"/>
      <c r="K117" s="85"/>
      <c r="M117" s="94"/>
      <c r="N117" s="93"/>
      <c r="O117" s="85"/>
      <c r="Q117" s="94"/>
      <c r="R117" s="93"/>
      <c r="S117" s="85"/>
      <c r="U117" s="94"/>
      <c r="V117" s="93"/>
      <c r="W117" s="85"/>
      <c r="Y117" s="94"/>
      <c r="Z117" s="93"/>
      <c r="AA117" s="85"/>
      <c r="AC117" s="94"/>
      <c r="AD117" s="93"/>
      <c r="AE117" s="85"/>
    </row>
    <row r="118" spans="7:31" x14ac:dyDescent="0.35">
      <c r="G118" s="85"/>
      <c r="H118" s="87"/>
      <c r="K118" s="85"/>
      <c r="M118" s="94"/>
      <c r="N118" s="93"/>
      <c r="O118" s="85"/>
      <c r="Q118" s="94"/>
      <c r="R118" s="93"/>
      <c r="S118" s="85"/>
      <c r="U118" s="94"/>
      <c r="V118" s="93"/>
      <c r="W118" s="85"/>
      <c r="Y118" s="94"/>
      <c r="Z118" s="93"/>
      <c r="AA118" s="85"/>
      <c r="AC118" s="94"/>
      <c r="AD118" s="93"/>
      <c r="AE118" s="85"/>
    </row>
    <row r="119" spans="7:31" x14ac:dyDescent="0.35">
      <c r="G119" s="85"/>
      <c r="H119" s="87"/>
      <c r="K119" s="85"/>
      <c r="M119" s="94"/>
      <c r="N119" s="93"/>
      <c r="O119" s="85"/>
      <c r="Q119" s="94"/>
      <c r="R119" s="93"/>
      <c r="S119" s="85"/>
      <c r="U119" s="94"/>
      <c r="V119" s="93"/>
      <c r="W119" s="85"/>
      <c r="Y119" s="94"/>
      <c r="Z119" s="93"/>
      <c r="AA119" s="85"/>
      <c r="AC119" s="94"/>
      <c r="AD119" s="93"/>
      <c r="AE119" s="85"/>
    </row>
    <row r="120" spans="7:31" x14ac:dyDescent="0.35">
      <c r="G120" s="85"/>
      <c r="H120" s="87"/>
      <c r="K120" s="85"/>
      <c r="M120" s="94"/>
      <c r="N120" s="93"/>
      <c r="O120" s="85"/>
      <c r="Q120" s="94"/>
      <c r="R120" s="93"/>
      <c r="S120" s="85"/>
      <c r="U120" s="94"/>
      <c r="V120" s="93"/>
      <c r="W120" s="85"/>
      <c r="Y120" s="94"/>
      <c r="Z120" s="93"/>
      <c r="AA120" s="85"/>
      <c r="AC120" s="94"/>
      <c r="AD120" s="93"/>
      <c r="AE120" s="85"/>
    </row>
    <row r="121" spans="7:31" x14ac:dyDescent="0.35">
      <c r="G121" s="85"/>
      <c r="H121" s="87"/>
      <c r="K121" s="85"/>
      <c r="M121" s="94"/>
      <c r="N121" s="93"/>
      <c r="O121" s="85"/>
      <c r="Q121" s="94"/>
      <c r="R121" s="93"/>
      <c r="S121" s="85"/>
      <c r="U121" s="94"/>
      <c r="V121" s="93"/>
      <c r="W121" s="85"/>
      <c r="Y121" s="94"/>
      <c r="Z121" s="93"/>
      <c r="AA121" s="85"/>
      <c r="AC121" s="94"/>
      <c r="AD121" s="93"/>
      <c r="AE121" s="85"/>
    </row>
    <row r="122" spans="7:31" x14ac:dyDescent="0.35">
      <c r="G122" s="85"/>
      <c r="H122" s="87"/>
      <c r="K122" s="85"/>
      <c r="M122" s="94"/>
      <c r="N122" s="93"/>
      <c r="O122" s="85"/>
      <c r="Q122" s="94"/>
      <c r="R122" s="93"/>
      <c r="S122" s="85"/>
      <c r="U122" s="94"/>
      <c r="V122" s="93"/>
      <c r="W122" s="85"/>
      <c r="Y122" s="94"/>
      <c r="Z122" s="93"/>
      <c r="AA122" s="85"/>
      <c r="AC122" s="94"/>
      <c r="AD122" s="93"/>
      <c r="AE122" s="85"/>
    </row>
    <row r="123" spans="7:31" x14ac:dyDescent="0.35">
      <c r="G123" s="85"/>
      <c r="H123" s="87"/>
      <c r="K123" s="85"/>
      <c r="M123" s="94"/>
      <c r="N123" s="93"/>
      <c r="O123" s="85"/>
      <c r="Q123" s="94"/>
      <c r="R123" s="93"/>
      <c r="S123" s="85"/>
      <c r="U123" s="94"/>
      <c r="V123" s="93"/>
      <c r="W123" s="85"/>
      <c r="Y123" s="94"/>
      <c r="Z123" s="93"/>
      <c r="AA123" s="85"/>
      <c r="AC123" s="94"/>
      <c r="AD123" s="93"/>
      <c r="AE123" s="85"/>
    </row>
    <row r="124" spans="7:31" x14ac:dyDescent="0.35">
      <c r="G124" s="85"/>
      <c r="H124" s="87"/>
      <c r="K124" s="85"/>
      <c r="M124" s="94"/>
      <c r="N124" s="93"/>
      <c r="O124" s="85"/>
      <c r="Q124" s="94"/>
      <c r="R124" s="93"/>
      <c r="S124" s="85"/>
      <c r="U124" s="94"/>
      <c r="V124" s="93"/>
      <c r="W124" s="85"/>
      <c r="Y124" s="94"/>
      <c r="Z124" s="93"/>
      <c r="AA124" s="85"/>
      <c r="AC124" s="94"/>
      <c r="AD124" s="93"/>
      <c r="AE124" s="85"/>
    </row>
    <row r="125" spans="7:31" x14ac:dyDescent="0.35">
      <c r="G125" s="85"/>
      <c r="H125" s="87"/>
      <c r="K125" s="85"/>
      <c r="M125" s="94"/>
      <c r="N125" s="93"/>
      <c r="O125" s="85"/>
      <c r="Q125" s="94"/>
      <c r="R125" s="93"/>
      <c r="S125" s="85"/>
      <c r="U125" s="94"/>
      <c r="V125" s="93"/>
      <c r="W125" s="85"/>
      <c r="Y125" s="94"/>
      <c r="Z125" s="93"/>
      <c r="AA125" s="85"/>
      <c r="AC125" s="94"/>
      <c r="AD125" s="93"/>
      <c r="AE125" s="85"/>
    </row>
    <row r="126" spans="7:31" x14ac:dyDescent="0.35">
      <c r="G126" s="85"/>
      <c r="H126" s="87"/>
      <c r="K126" s="85"/>
      <c r="M126" s="94"/>
      <c r="N126" s="93"/>
      <c r="O126" s="85"/>
      <c r="Q126" s="94"/>
      <c r="R126" s="93"/>
      <c r="S126" s="85"/>
      <c r="U126" s="94"/>
      <c r="V126" s="93"/>
      <c r="W126" s="85"/>
      <c r="Y126" s="94"/>
      <c r="Z126" s="93"/>
      <c r="AA126" s="85"/>
      <c r="AC126" s="94"/>
      <c r="AD126" s="93"/>
      <c r="AE126" s="85"/>
    </row>
    <row r="127" spans="7:31" x14ac:dyDescent="0.35">
      <c r="G127" s="85"/>
      <c r="H127" s="87"/>
      <c r="K127" s="85"/>
      <c r="M127" s="94"/>
      <c r="N127" s="93"/>
      <c r="O127" s="85"/>
      <c r="Q127" s="94"/>
      <c r="R127" s="93"/>
      <c r="S127" s="85"/>
      <c r="U127" s="94"/>
      <c r="V127" s="93"/>
      <c r="W127" s="85"/>
      <c r="Y127" s="94"/>
      <c r="Z127" s="93"/>
      <c r="AA127" s="85"/>
      <c r="AC127" s="94"/>
      <c r="AD127" s="93"/>
      <c r="AE127" s="85"/>
    </row>
    <row r="128" spans="7:31" x14ac:dyDescent="0.35">
      <c r="G128" s="85"/>
      <c r="H128" s="87"/>
      <c r="K128" s="85"/>
      <c r="M128" s="94"/>
      <c r="N128" s="93"/>
      <c r="O128" s="85"/>
      <c r="Q128" s="94"/>
      <c r="R128" s="93"/>
      <c r="S128" s="85"/>
      <c r="U128" s="94"/>
      <c r="V128" s="93"/>
      <c r="W128" s="85"/>
      <c r="Y128" s="94"/>
      <c r="Z128" s="93"/>
      <c r="AA128" s="85"/>
      <c r="AC128" s="94"/>
      <c r="AD128" s="93"/>
      <c r="AE128" s="85"/>
    </row>
    <row r="129" spans="7:31" x14ac:dyDescent="0.35">
      <c r="G129" s="85"/>
      <c r="H129" s="87"/>
      <c r="K129" s="85"/>
      <c r="M129" s="94"/>
      <c r="N129" s="93"/>
      <c r="O129" s="85"/>
      <c r="Q129" s="94"/>
      <c r="R129" s="93"/>
      <c r="S129" s="85"/>
      <c r="U129" s="94"/>
      <c r="V129" s="93"/>
      <c r="W129" s="85"/>
      <c r="Y129" s="94"/>
      <c r="Z129" s="93"/>
      <c r="AA129" s="85"/>
      <c r="AC129" s="94"/>
      <c r="AD129" s="93"/>
      <c r="AE129" s="85"/>
    </row>
    <row r="130" spans="7:31" x14ac:dyDescent="0.35">
      <c r="G130" s="85"/>
      <c r="H130" s="87"/>
      <c r="K130" s="85"/>
      <c r="M130" s="94"/>
      <c r="N130" s="93"/>
      <c r="O130" s="85"/>
      <c r="Q130" s="94"/>
      <c r="R130" s="93"/>
      <c r="S130" s="85"/>
      <c r="U130" s="94"/>
      <c r="V130" s="93"/>
      <c r="W130" s="85"/>
      <c r="Y130" s="94"/>
      <c r="Z130" s="93"/>
      <c r="AA130" s="85"/>
      <c r="AC130" s="94"/>
      <c r="AD130" s="93"/>
      <c r="AE130" s="85"/>
    </row>
    <row r="131" spans="7:31" x14ac:dyDescent="0.35">
      <c r="G131" s="85"/>
      <c r="H131" s="87"/>
      <c r="K131" s="85"/>
      <c r="M131" s="94"/>
      <c r="N131" s="93"/>
      <c r="O131" s="85"/>
      <c r="Q131" s="94"/>
      <c r="R131" s="93"/>
      <c r="S131" s="85"/>
      <c r="U131" s="94"/>
      <c r="V131" s="93"/>
      <c r="W131" s="85"/>
      <c r="Y131" s="94"/>
      <c r="Z131" s="93"/>
      <c r="AA131" s="85"/>
      <c r="AC131" s="94"/>
      <c r="AD131" s="93"/>
      <c r="AE131" s="85"/>
    </row>
    <row r="132" spans="7:31" x14ac:dyDescent="0.35">
      <c r="G132" s="85"/>
      <c r="H132" s="87"/>
      <c r="K132" s="85"/>
      <c r="M132" s="94"/>
      <c r="N132" s="93"/>
      <c r="O132" s="85"/>
      <c r="Q132" s="94"/>
      <c r="R132" s="93"/>
      <c r="S132" s="85"/>
      <c r="U132" s="94"/>
      <c r="V132" s="93"/>
      <c r="W132" s="85"/>
      <c r="Y132" s="94"/>
      <c r="Z132" s="93"/>
      <c r="AA132" s="85"/>
      <c r="AC132" s="94"/>
      <c r="AD132" s="93"/>
      <c r="AE132" s="85"/>
    </row>
    <row r="133" spans="7:31" x14ac:dyDescent="0.35">
      <c r="G133" s="85"/>
      <c r="H133" s="87"/>
      <c r="K133" s="85"/>
      <c r="M133" s="94"/>
      <c r="N133" s="93"/>
      <c r="O133" s="85"/>
      <c r="Q133" s="94"/>
      <c r="R133" s="93"/>
      <c r="S133" s="85"/>
      <c r="U133" s="94"/>
      <c r="V133" s="93"/>
      <c r="W133" s="85"/>
      <c r="Y133" s="94"/>
      <c r="Z133" s="93"/>
      <c r="AA133" s="85"/>
      <c r="AC133" s="94"/>
      <c r="AD133" s="93"/>
      <c r="AE133" s="85"/>
    </row>
    <row r="134" spans="7:31" x14ac:dyDescent="0.35">
      <c r="G134" s="85"/>
      <c r="H134" s="87"/>
      <c r="K134" s="85"/>
      <c r="M134" s="94"/>
      <c r="N134" s="93"/>
      <c r="O134" s="85"/>
      <c r="Q134" s="94"/>
      <c r="R134" s="93"/>
      <c r="S134" s="85"/>
      <c r="U134" s="94"/>
      <c r="V134" s="93"/>
      <c r="W134" s="85"/>
      <c r="Y134" s="94"/>
      <c r="Z134" s="93"/>
      <c r="AA134" s="85"/>
      <c r="AC134" s="94"/>
      <c r="AD134" s="93"/>
      <c r="AE134" s="85"/>
    </row>
    <row r="135" spans="7:31" x14ac:dyDescent="0.35">
      <c r="G135" s="85"/>
      <c r="H135" s="87"/>
      <c r="K135" s="85"/>
      <c r="M135" s="94"/>
      <c r="N135" s="93"/>
      <c r="O135" s="85"/>
      <c r="Q135" s="94"/>
      <c r="R135" s="93"/>
      <c r="S135" s="85"/>
      <c r="U135" s="94"/>
      <c r="V135" s="93"/>
      <c r="W135" s="85"/>
      <c r="Y135" s="94"/>
      <c r="Z135" s="93"/>
      <c r="AA135" s="85"/>
      <c r="AC135" s="94"/>
      <c r="AD135" s="93"/>
      <c r="AE135" s="85"/>
    </row>
    <row r="136" spans="7:31" x14ac:dyDescent="0.35">
      <c r="G136" s="85"/>
      <c r="H136" s="87"/>
      <c r="K136" s="85"/>
      <c r="M136" s="94"/>
      <c r="N136" s="93"/>
      <c r="O136" s="85"/>
      <c r="Q136" s="94"/>
      <c r="R136" s="93"/>
      <c r="S136" s="85"/>
      <c r="U136" s="94"/>
      <c r="V136" s="93"/>
      <c r="W136" s="85"/>
      <c r="Y136" s="94"/>
      <c r="Z136" s="93"/>
      <c r="AA136" s="85"/>
      <c r="AC136" s="94"/>
      <c r="AD136" s="93"/>
      <c r="AE136" s="85"/>
    </row>
    <row r="137" spans="7:31" x14ac:dyDescent="0.35">
      <c r="G137" s="85"/>
      <c r="H137" s="87"/>
      <c r="K137" s="85"/>
      <c r="M137" s="94"/>
      <c r="N137" s="93"/>
      <c r="O137" s="85"/>
      <c r="Q137" s="94"/>
      <c r="R137" s="93"/>
      <c r="S137" s="85"/>
      <c r="U137" s="94"/>
      <c r="V137" s="93"/>
      <c r="W137" s="85"/>
      <c r="Y137" s="94"/>
      <c r="Z137" s="93"/>
      <c r="AA137" s="85"/>
      <c r="AC137" s="94"/>
      <c r="AD137" s="93"/>
      <c r="AE137" s="85"/>
    </row>
    <row r="138" spans="7:31" x14ac:dyDescent="0.35">
      <c r="G138" s="85"/>
      <c r="H138" s="87"/>
      <c r="K138" s="85"/>
      <c r="M138" s="94"/>
      <c r="N138" s="93"/>
      <c r="O138" s="85"/>
      <c r="Q138" s="94"/>
      <c r="R138" s="93"/>
      <c r="S138" s="85"/>
      <c r="U138" s="94"/>
      <c r="V138" s="93"/>
      <c r="W138" s="85"/>
      <c r="Y138" s="94"/>
      <c r="Z138" s="93"/>
      <c r="AA138" s="85"/>
      <c r="AC138" s="94"/>
      <c r="AD138" s="93"/>
      <c r="AE138" s="85"/>
    </row>
    <row r="139" spans="7:31" x14ac:dyDescent="0.35">
      <c r="G139" s="85"/>
      <c r="H139" s="87"/>
      <c r="K139" s="85"/>
      <c r="M139" s="94"/>
      <c r="N139" s="93"/>
      <c r="O139" s="85"/>
      <c r="Q139" s="94"/>
      <c r="R139" s="93"/>
      <c r="S139" s="85"/>
      <c r="U139" s="94"/>
      <c r="V139" s="93"/>
      <c r="W139" s="85"/>
      <c r="Y139" s="94"/>
      <c r="Z139" s="93"/>
      <c r="AA139" s="85"/>
      <c r="AC139" s="94"/>
      <c r="AD139" s="93"/>
      <c r="AE139" s="85"/>
    </row>
    <row r="140" spans="7:31" x14ac:dyDescent="0.35">
      <c r="G140" s="85"/>
      <c r="H140" s="87"/>
      <c r="K140" s="85"/>
      <c r="M140" s="94"/>
      <c r="N140" s="93"/>
      <c r="O140" s="85"/>
      <c r="Q140" s="94"/>
      <c r="R140" s="93"/>
      <c r="S140" s="85"/>
      <c r="U140" s="94"/>
      <c r="V140" s="93"/>
      <c r="W140" s="85"/>
      <c r="Y140" s="94"/>
      <c r="Z140" s="93"/>
      <c r="AA140" s="85"/>
      <c r="AC140" s="94"/>
      <c r="AD140" s="93"/>
      <c r="AE140" s="85"/>
    </row>
    <row r="141" spans="7:31" x14ac:dyDescent="0.35">
      <c r="G141" s="85"/>
      <c r="H141" s="87"/>
      <c r="K141" s="85"/>
      <c r="M141" s="94"/>
      <c r="N141" s="93"/>
      <c r="O141" s="85"/>
      <c r="Q141" s="94"/>
      <c r="R141" s="93"/>
      <c r="S141" s="85"/>
      <c r="U141" s="94"/>
      <c r="V141" s="93"/>
      <c r="W141" s="85"/>
      <c r="Y141" s="94"/>
      <c r="Z141" s="93"/>
      <c r="AA141" s="85"/>
      <c r="AC141" s="94"/>
      <c r="AD141" s="93"/>
      <c r="AE141" s="85"/>
    </row>
    <row r="142" spans="7:31" x14ac:dyDescent="0.35">
      <c r="G142" s="85"/>
      <c r="H142" s="87"/>
      <c r="K142" s="85"/>
      <c r="M142" s="94"/>
      <c r="N142" s="93"/>
      <c r="O142" s="85"/>
      <c r="Q142" s="94"/>
      <c r="R142" s="93"/>
      <c r="S142" s="85"/>
      <c r="U142" s="94"/>
      <c r="V142" s="93"/>
      <c r="W142" s="85"/>
      <c r="Y142" s="94"/>
      <c r="Z142" s="93"/>
      <c r="AA142" s="85"/>
      <c r="AC142" s="94"/>
      <c r="AD142" s="93"/>
      <c r="AE142" s="85"/>
    </row>
    <row r="143" spans="7:31" x14ac:dyDescent="0.35">
      <c r="G143" s="85"/>
      <c r="H143" s="87"/>
      <c r="K143" s="85"/>
      <c r="M143" s="94"/>
      <c r="N143" s="93"/>
      <c r="O143" s="85"/>
      <c r="Q143" s="94"/>
      <c r="R143" s="93"/>
      <c r="S143" s="85"/>
      <c r="U143" s="94"/>
      <c r="V143" s="93"/>
      <c r="W143" s="85"/>
      <c r="Y143" s="94"/>
      <c r="Z143" s="93"/>
      <c r="AA143" s="85"/>
      <c r="AC143" s="94"/>
      <c r="AD143" s="93"/>
      <c r="AE143" s="85"/>
    </row>
    <row r="144" spans="7:31" x14ac:dyDescent="0.35">
      <c r="G144" s="85"/>
      <c r="H144" s="87"/>
      <c r="K144" s="85"/>
      <c r="M144" s="94"/>
      <c r="N144" s="93"/>
      <c r="O144" s="85"/>
      <c r="Q144" s="94"/>
      <c r="R144" s="93"/>
      <c r="S144" s="85"/>
      <c r="U144" s="94"/>
      <c r="V144" s="93"/>
      <c r="W144" s="85"/>
      <c r="Y144" s="94"/>
      <c r="Z144" s="93"/>
      <c r="AA144" s="85"/>
      <c r="AC144" s="94"/>
      <c r="AD144" s="93"/>
      <c r="AE144" s="85"/>
    </row>
    <row r="145" spans="7:31" x14ac:dyDescent="0.35">
      <c r="G145" s="85"/>
      <c r="H145" s="87"/>
      <c r="K145" s="85"/>
      <c r="M145" s="94"/>
      <c r="N145" s="93"/>
      <c r="O145" s="85"/>
      <c r="Q145" s="94"/>
      <c r="R145" s="93"/>
      <c r="S145" s="85"/>
      <c r="U145" s="94"/>
      <c r="V145" s="93"/>
      <c r="W145" s="85"/>
      <c r="Y145" s="94"/>
      <c r="Z145" s="93"/>
      <c r="AA145" s="85"/>
      <c r="AC145" s="94"/>
      <c r="AD145" s="93"/>
      <c r="AE145" s="85"/>
    </row>
    <row r="146" spans="7:31" x14ac:dyDescent="0.35">
      <c r="G146" s="85"/>
      <c r="H146" s="87"/>
      <c r="K146" s="85"/>
      <c r="M146" s="94"/>
      <c r="N146" s="93"/>
      <c r="O146" s="85"/>
      <c r="Q146" s="94"/>
      <c r="R146" s="93"/>
      <c r="S146" s="85"/>
      <c r="U146" s="94"/>
      <c r="V146" s="93"/>
      <c r="W146" s="85"/>
      <c r="Y146" s="94"/>
      <c r="Z146" s="93"/>
      <c r="AA146" s="85"/>
      <c r="AC146" s="94"/>
      <c r="AD146" s="93"/>
      <c r="AE146" s="85"/>
    </row>
    <row r="147" spans="7:31" x14ac:dyDescent="0.35">
      <c r="G147" s="85"/>
      <c r="H147" s="87"/>
      <c r="K147" s="85"/>
      <c r="M147" s="94"/>
      <c r="N147" s="93"/>
      <c r="O147" s="85"/>
      <c r="Q147" s="94"/>
      <c r="R147" s="93"/>
      <c r="S147" s="85"/>
      <c r="U147" s="94"/>
      <c r="V147" s="93"/>
      <c r="W147" s="85"/>
      <c r="Y147" s="94"/>
      <c r="Z147" s="93"/>
      <c r="AA147" s="85"/>
      <c r="AC147" s="94"/>
      <c r="AD147" s="93"/>
      <c r="AE147" s="85"/>
    </row>
    <row r="148" spans="7:31" x14ac:dyDescent="0.35">
      <c r="G148" s="85"/>
      <c r="H148" s="87"/>
      <c r="K148" s="85"/>
      <c r="M148" s="94"/>
      <c r="N148" s="93"/>
      <c r="O148" s="85"/>
      <c r="Q148" s="94"/>
      <c r="R148" s="93"/>
      <c r="S148" s="85"/>
      <c r="U148" s="94"/>
      <c r="V148" s="93"/>
      <c r="W148" s="85"/>
      <c r="Y148" s="94"/>
      <c r="Z148" s="93"/>
      <c r="AA148" s="85"/>
      <c r="AC148" s="94"/>
      <c r="AD148" s="93"/>
      <c r="AE148" s="85"/>
    </row>
    <row r="149" spans="7:31" x14ac:dyDescent="0.35">
      <c r="G149" s="85"/>
      <c r="H149" s="87"/>
      <c r="K149" s="85"/>
      <c r="M149" s="94"/>
      <c r="N149" s="93"/>
      <c r="O149" s="85"/>
      <c r="Q149" s="94"/>
      <c r="R149" s="93"/>
      <c r="S149" s="85"/>
      <c r="U149" s="94"/>
      <c r="V149" s="93"/>
      <c r="W149" s="85"/>
      <c r="Y149" s="94"/>
      <c r="Z149" s="93"/>
      <c r="AA149" s="85"/>
      <c r="AC149" s="94"/>
      <c r="AD149" s="93"/>
      <c r="AE149" s="85"/>
    </row>
    <row r="150" spans="7:31" x14ac:dyDescent="0.35">
      <c r="G150" s="85"/>
      <c r="H150" s="87"/>
      <c r="K150" s="85"/>
      <c r="M150" s="94"/>
      <c r="N150" s="93"/>
      <c r="O150" s="85"/>
      <c r="Q150" s="94"/>
      <c r="R150" s="93"/>
      <c r="S150" s="85"/>
      <c r="U150" s="94"/>
      <c r="V150" s="93"/>
      <c r="W150" s="85"/>
      <c r="Y150" s="94"/>
      <c r="Z150" s="93"/>
      <c r="AA150" s="85"/>
      <c r="AC150" s="94"/>
      <c r="AD150" s="93"/>
      <c r="AE150" s="85"/>
    </row>
    <row r="151" spans="7:31" x14ac:dyDescent="0.35">
      <c r="G151" s="85"/>
      <c r="H151" s="87"/>
      <c r="K151" s="85"/>
      <c r="M151" s="94"/>
      <c r="N151" s="93"/>
      <c r="O151" s="85"/>
      <c r="Q151" s="94"/>
      <c r="R151" s="93"/>
      <c r="S151" s="85"/>
      <c r="U151" s="94"/>
      <c r="V151" s="93"/>
      <c r="W151" s="85"/>
      <c r="Y151" s="94"/>
      <c r="Z151" s="93"/>
      <c r="AA151" s="85"/>
      <c r="AC151" s="94"/>
      <c r="AD151" s="93"/>
      <c r="AE151" s="85"/>
    </row>
    <row r="152" spans="7:31" x14ac:dyDescent="0.35">
      <c r="G152" s="85"/>
      <c r="H152" s="87"/>
      <c r="K152" s="85"/>
      <c r="M152" s="94"/>
      <c r="N152" s="93"/>
      <c r="O152" s="85"/>
      <c r="Q152" s="94"/>
      <c r="R152" s="93"/>
      <c r="S152" s="85"/>
      <c r="U152" s="94"/>
      <c r="V152" s="93"/>
      <c r="W152" s="85"/>
      <c r="Y152" s="94"/>
      <c r="Z152" s="93"/>
      <c r="AA152" s="85"/>
      <c r="AC152" s="94"/>
      <c r="AD152" s="93"/>
      <c r="AE152" s="85"/>
    </row>
    <row r="153" spans="7:31" x14ac:dyDescent="0.35">
      <c r="G153" s="85"/>
      <c r="H153" s="87"/>
      <c r="K153" s="85"/>
      <c r="M153" s="94"/>
      <c r="N153" s="93"/>
      <c r="O153" s="85"/>
      <c r="Q153" s="94"/>
      <c r="R153" s="93"/>
      <c r="S153" s="85"/>
      <c r="U153" s="94"/>
      <c r="V153" s="93"/>
      <c r="W153" s="85"/>
      <c r="Y153" s="94"/>
      <c r="Z153" s="93"/>
      <c r="AA153" s="85"/>
      <c r="AC153" s="94"/>
      <c r="AD153" s="93"/>
      <c r="AE153" s="85"/>
    </row>
    <row r="154" spans="7:31" x14ac:dyDescent="0.35">
      <c r="G154" s="85"/>
      <c r="H154" s="87"/>
      <c r="K154" s="85"/>
      <c r="M154" s="94"/>
      <c r="N154" s="93"/>
      <c r="O154" s="85"/>
      <c r="Q154" s="94"/>
      <c r="R154" s="93"/>
      <c r="S154" s="85"/>
      <c r="U154" s="94"/>
      <c r="V154" s="93"/>
      <c r="W154" s="85"/>
      <c r="Y154" s="94"/>
      <c r="Z154" s="93"/>
      <c r="AA154" s="85"/>
      <c r="AC154" s="94"/>
      <c r="AD154" s="93"/>
      <c r="AE154" s="85"/>
    </row>
    <row r="155" spans="7:31" x14ac:dyDescent="0.35">
      <c r="G155" s="85"/>
      <c r="H155" s="87"/>
      <c r="K155" s="85"/>
      <c r="M155" s="94"/>
      <c r="N155" s="93"/>
      <c r="O155" s="85"/>
      <c r="Q155" s="94"/>
      <c r="R155" s="93"/>
      <c r="S155" s="85"/>
      <c r="U155" s="94"/>
      <c r="V155" s="93"/>
      <c r="W155" s="85"/>
      <c r="Y155" s="94"/>
      <c r="Z155" s="93"/>
      <c r="AA155" s="85"/>
      <c r="AC155" s="94"/>
      <c r="AD155" s="93"/>
      <c r="AE155" s="85"/>
    </row>
    <row r="156" spans="7:31" x14ac:dyDescent="0.35">
      <c r="G156" s="85"/>
      <c r="H156" s="87"/>
      <c r="K156" s="85"/>
      <c r="M156" s="94"/>
      <c r="N156" s="93"/>
      <c r="O156" s="85"/>
      <c r="Q156" s="94"/>
      <c r="R156" s="93"/>
      <c r="S156" s="85"/>
      <c r="U156" s="94"/>
      <c r="V156" s="93"/>
      <c r="W156" s="85"/>
      <c r="Y156" s="94"/>
      <c r="Z156" s="93"/>
      <c r="AA156" s="85"/>
      <c r="AC156" s="94"/>
      <c r="AD156" s="93"/>
      <c r="AE156" s="85"/>
    </row>
    <row r="157" spans="7:31" x14ac:dyDescent="0.35">
      <c r="G157" s="85"/>
      <c r="H157" s="87"/>
      <c r="K157" s="85"/>
      <c r="M157" s="94"/>
      <c r="N157" s="93"/>
      <c r="O157" s="85"/>
      <c r="Q157" s="94"/>
      <c r="R157" s="93"/>
      <c r="S157" s="85"/>
      <c r="U157" s="94"/>
      <c r="V157" s="93"/>
      <c r="W157" s="85"/>
      <c r="Y157" s="94"/>
      <c r="Z157" s="93"/>
      <c r="AA157" s="85"/>
      <c r="AC157" s="94"/>
      <c r="AD157" s="93"/>
      <c r="AE157" s="85"/>
    </row>
    <row r="158" spans="7:31" x14ac:dyDescent="0.35">
      <c r="G158" s="85"/>
      <c r="H158" s="87"/>
      <c r="K158" s="85"/>
      <c r="M158" s="94"/>
      <c r="N158" s="93"/>
      <c r="O158" s="85"/>
      <c r="Q158" s="94"/>
      <c r="R158" s="93"/>
      <c r="S158" s="85"/>
      <c r="U158" s="94"/>
      <c r="V158" s="93"/>
      <c r="W158" s="85"/>
      <c r="Y158" s="94"/>
      <c r="Z158" s="93"/>
      <c r="AA158" s="85"/>
      <c r="AC158" s="94"/>
      <c r="AD158" s="93"/>
      <c r="AE158" s="85"/>
    </row>
    <row r="159" spans="7:31" x14ac:dyDescent="0.35">
      <c r="G159" s="85"/>
      <c r="H159" s="87"/>
      <c r="K159" s="85"/>
      <c r="M159" s="94"/>
      <c r="N159" s="93"/>
      <c r="O159" s="85"/>
      <c r="Q159" s="94"/>
      <c r="R159" s="93"/>
      <c r="S159" s="85"/>
      <c r="U159" s="94"/>
      <c r="V159" s="93"/>
      <c r="W159" s="85"/>
      <c r="Y159" s="94"/>
      <c r="Z159" s="93"/>
      <c r="AA159" s="85"/>
      <c r="AC159" s="94"/>
      <c r="AD159" s="93"/>
      <c r="AE159" s="85"/>
    </row>
    <row r="160" spans="7:31" x14ac:dyDescent="0.35">
      <c r="G160" s="85"/>
      <c r="H160" s="87"/>
      <c r="K160" s="85"/>
      <c r="M160" s="94"/>
      <c r="N160" s="93"/>
      <c r="O160" s="85"/>
      <c r="Q160" s="94"/>
      <c r="R160" s="93"/>
      <c r="S160" s="85"/>
      <c r="U160" s="94"/>
      <c r="V160" s="93"/>
      <c r="W160" s="85"/>
      <c r="Y160" s="94"/>
      <c r="Z160" s="93"/>
      <c r="AA160" s="85"/>
      <c r="AC160" s="94"/>
      <c r="AD160" s="93"/>
      <c r="AE160" s="85"/>
    </row>
    <row r="161" spans="7:31" x14ac:dyDescent="0.35">
      <c r="G161" s="85"/>
      <c r="H161" s="87"/>
      <c r="K161" s="85"/>
      <c r="M161" s="94"/>
      <c r="N161" s="93"/>
      <c r="O161" s="85"/>
      <c r="Q161" s="94"/>
      <c r="R161" s="93"/>
      <c r="S161" s="85"/>
      <c r="U161" s="94"/>
      <c r="V161" s="93"/>
      <c r="W161" s="85"/>
      <c r="Y161" s="94"/>
      <c r="Z161" s="93"/>
      <c r="AA161" s="85"/>
      <c r="AC161" s="94"/>
      <c r="AD161" s="93"/>
      <c r="AE161" s="85"/>
    </row>
    <row r="162" spans="7:31" x14ac:dyDescent="0.35">
      <c r="G162" s="85"/>
      <c r="H162" s="87"/>
      <c r="K162" s="85"/>
      <c r="M162" s="94"/>
      <c r="N162" s="93"/>
      <c r="O162" s="85"/>
      <c r="Q162" s="94"/>
      <c r="R162" s="93"/>
      <c r="S162" s="85"/>
      <c r="U162" s="94"/>
      <c r="V162" s="93"/>
      <c r="W162" s="85"/>
      <c r="Y162" s="94"/>
      <c r="Z162" s="93"/>
      <c r="AA162" s="85"/>
      <c r="AC162" s="94"/>
      <c r="AD162" s="93"/>
      <c r="AE162" s="85"/>
    </row>
    <row r="163" spans="7:31" x14ac:dyDescent="0.35">
      <c r="G163" s="85"/>
      <c r="H163" s="87"/>
      <c r="K163" s="85"/>
      <c r="M163" s="94"/>
      <c r="N163" s="93"/>
      <c r="O163" s="85"/>
      <c r="Q163" s="94"/>
      <c r="R163" s="93"/>
      <c r="S163" s="85"/>
      <c r="U163" s="94"/>
      <c r="V163" s="93"/>
      <c r="W163" s="85"/>
      <c r="Y163" s="94"/>
      <c r="Z163" s="93"/>
      <c r="AA163" s="85"/>
      <c r="AC163" s="94"/>
      <c r="AD163" s="93"/>
      <c r="AE163" s="85"/>
    </row>
    <row r="164" spans="7:31" x14ac:dyDescent="0.35">
      <c r="G164" s="85"/>
      <c r="H164" s="87"/>
      <c r="K164" s="85"/>
      <c r="M164" s="94"/>
      <c r="N164" s="93"/>
      <c r="O164" s="85"/>
      <c r="Q164" s="94"/>
      <c r="R164" s="93"/>
      <c r="S164" s="85"/>
      <c r="U164" s="94"/>
      <c r="V164" s="93"/>
      <c r="W164" s="85"/>
      <c r="Y164" s="94"/>
      <c r="Z164" s="93"/>
      <c r="AA164" s="85"/>
      <c r="AC164" s="94"/>
      <c r="AD164" s="93"/>
      <c r="AE164" s="85"/>
    </row>
    <row r="165" spans="7:31" x14ac:dyDescent="0.35">
      <c r="G165" s="85"/>
      <c r="H165" s="87"/>
      <c r="K165" s="85"/>
      <c r="M165" s="94"/>
      <c r="N165" s="93"/>
      <c r="O165" s="85"/>
      <c r="Q165" s="94"/>
      <c r="R165" s="93"/>
      <c r="S165" s="85"/>
      <c r="U165" s="94"/>
      <c r="V165" s="93"/>
      <c r="W165" s="85"/>
      <c r="Y165" s="94"/>
      <c r="Z165" s="93"/>
      <c r="AA165" s="85"/>
      <c r="AC165" s="94"/>
      <c r="AD165" s="93"/>
      <c r="AE165" s="85"/>
    </row>
    <row r="166" spans="7:31" x14ac:dyDescent="0.35">
      <c r="G166" s="85"/>
      <c r="H166" s="87"/>
      <c r="K166" s="85"/>
      <c r="M166" s="94"/>
      <c r="N166" s="93"/>
      <c r="O166" s="85"/>
      <c r="Q166" s="94"/>
      <c r="R166" s="93"/>
      <c r="S166" s="85"/>
      <c r="U166" s="94"/>
      <c r="V166" s="93"/>
      <c r="W166" s="85"/>
      <c r="Y166" s="94"/>
      <c r="Z166" s="93"/>
      <c r="AA166" s="85"/>
      <c r="AC166" s="94"/>
      <c r="AD166" s="93"/>
      <c r="AE166" s="85"/>
    </row>
    <row r="167" spans="7:31" x14ac:dyDescent="0.35">
      <c r="G167" s="85"/>
      <c r="H167" s="87"/>
      <c r="K167" s="85"/>
      <c r="M167" s="94"/>
      <c r="N167" s="93"/>
      <c r="O167" s="85"/>
      <c r="Q167" s="94"/>
      <c r="R167" s="93"/>
      <c r="S167" s="85"/>
      <c r="U167" s="94"/>
      <c r="V167" s="93"/>
      <c r="W167" s="85"/>
      <c r="Y167" s="94"/>
      <c r="Z167" s="93"/>
      <c r="AA167" s="85"/>
      <c r="AC167" s="94"/>
      <c r="AD167" s="93"/>
      <c r="AE167" s="85"/>
    </row>
    <row r="168" spans="7:31" x14ac:dyDescent="0.35">
      <c r="G168" s="85"/>
      <c r="H168" s="87"/>
      <c r="K168" s="85"/>
      <c r="M168" s="94"/>
      <c r="N168" s="93"/>
      <c r="O168" s="85"/>
      <c r="Q168" s="94"/>
      <c r="R168" s="93"/>
      <c r="S168" s="85"/>
      <c r="U168" s="94"/>
      <c r="V168" s="93"/>
      <c r="W168" s="85"/>
      <c r="Y168" s="94"/>
      <c r="Z168" s="93"/>
      <c r="AA168" s="85"/>
      <c r="AC168" s="94"/>
      <c r="AD168" s="93"/>
      <c r="AE168" s="85"/>
    </row>
    <row r="169" spans="7:31" x14ac:dyDescent="0.35">
      <c r="G169" s="85"/>
      <c r="H169" s="87"/>
      <c r="K169" s="85"/>
      <c r="M169" s="94"/>
      <c r="N169" s="93"/>
      <c r="O169" s="85"/>
      <c r="Q169" s="94"/>
      <c r="R169" s="93"/>
      <c r="S169" s="85"/>
      <c r="U169" s="94"/>
      <c r="V169" s="93"/>
      <c r="W169" s="85"/>
      <c r="Y169" s="94"/>
      <c r="Z169" s="93"/>
      <c r="AA169" s="85"/>
      <c r="AC169" s="94"/>
      <c r="AD169" s="93"/>
      <c r="AE169" s="85"/>
    </row>
    <row r="170" spans="7:31" x14ac:dyDescent="0.35">
      <c r="G170" s="85"/>
      <c r="H170" s="87"/>
      <c r="K170" s="85"/>
      <c r="M170" s="94"/>
      <c r="N170" s="93"/>
      <c r="O170" s="85"/>
      <c r="Q170" s="94"/>
      <c r="R170" s="93"/>
      <c r="S170" s="85"/>
      <c r="U170" s="94"/>
      <c r="V170" s="93"/>
      <c r="W170" s="85"/>
      <c r="Y170" s="94"/>
      <c r="Z170" s="93"/>
      <c r="AA170" s="85"/>
      <c r="AC170" s="94"/>
      <c r="AD170" s="93"/>
      <c r="AE170" s="85"/>
    </row>
    <row r="171" spans="7:31" x14ac:dyDescent="0.35">
      <c r="G171" s="85"/>
      <c r="H171" s="87"/>
      <c r="K171" s="85"/>
      <c r="M171" s="94"/>
      <c r="N171" s="93"/>
      <c r="O171" s="85"/>
      <c r="Q171" s="94"/>
      <c r="R171" s="93"/>
      <c r="S171" s="85"/>
      <c r="U171" s="94"/>
      <c r="V171" s="93"/>
      <c r="W171" s="85"/>
      <c r="Y171" s="94"/>
      <c r="Z171" s="93"/>
      <c r="AA171" s="85"/>
      <c r="AC171" s="94"/>
      <c r="AD171" s="93"/>
      <c r="AE171" s="85"/>
    </row>
    <row r="172" spans="7:31" x14ac:dyDescent="0.35">
      <c r="G172" s="85"/>
      <c r="H172" s="87"/>
      <c r="K172" s="85"/>
      <c r="M172" s="94"/>
      <c r="N172" s="93"/>
      <c r="O172" s="85"/>
      <c r="Q172" s="94"/>
      <c r="R172" s="93"/>
      <c r="S172" s="85"/>
      <c r="U172" s="94"/>
      <c r="V172" s="93"/>
      <c r="W172" s="85"/>
      <c r="Y172" s="94"/>
      <c r="Z172" s="93"/>
      <c r="AA172" s="85"/>
      <c r="AC172" s="94"/>
      <c r="AD172" s="93"/>
      <c r="AE172" s="85"/>
    </row>
    <row r="173" spans="7:31" x14ac:dyDescent="0.35">
      <c r="G173" s="85"/>
      <c r="H173" s="87"/>
      <c r="K173" s="85"/>
      <c r="M173" s="94"/>
      <c r="N173" s="93"/>
      <c r="O173" s="85"/>
      <c r="Q173" s="94"/>
      <c r="R173" s="93"/>
      <c r="S173" s="85"/>
      <c r="U173" s="94"/>
      <c r="V173" s="93"/>
      <c r="W173" s="85"/>
      <c r="Y173" s="94"/>
      <c r="Z173" s="93"/>
      <c r="AA173" s="85"/>
      <c r="AC173" s="94"/>
      <c r="AD173" s="93"/>
      <c r="AE173" s="85"/>
    </row>
    <row r="174" spans="7:31" x14ac:dyDescent="0.35">
      <c r="G174" s="85"/>
      <c r="H174" s="87"/>
      <c r="K174" s="85"/>
      <c r="M174" s="94"/>
      <c r="N174" s="93"/>
      <c r="O174" s="85"/>
      <c r="Q174" s="94"/>
      <c r="R174" s="93"/>
      <c r="S174" s="85"/>
      <c r="U174" s="94"/>
      <c r="V174" s="93"/>
      <c r="W174" s="85"/>
      <c r="Y174" s="94"/>
      <c r="Z174" s="93"/>
      <c r="AA174" s="85"/>
      <c r="AC174" s="94"/>
      <c r="AD174" s="93"/>
      <c r="AE174" s="85"/>
    </row>
    <row r="175" spans="7:31" x14ac:dyDescent="0.35">
      <c r="G175" s="85"/>
      <c r="H175" s="87"/>
      <c r="K175" s="85"/>
      <c r="M175" s="94"/>
      <c r="N175" s="93"/>
      <c r="O175" s="85"/>
      <c r="Q175" s="94"/>
      <c r="R175" s="93"/>
      <c r="S175" s="85"/>
      <c r="U175" s="94"/>
      <c r="V175" s="93"/>
      <c r="W175" s="85"/>
      <c r="Y175" s="94"/>
      <c r="Z175" s="93"/>
      <c r="AA175" s="85"/>
      <c r="AC175" s="94"/>
      <c r="AD175" s="93"/>
      <c r="AE175" s="85"/>
    </row>
    <row r="176" spans="7:31" x14ac:dyDescent="0.35">
      <c r="G176" s="85"/>
      <c r="H176" s="87"/>
      <c r="K176" s="85"/>
      <c r="M176" s="94"/>
      <c r="N176" s="93"/>
      <c r="O176" s="85"/>
      <c r="Q176" s="94"/>
      <c r="R176" s="93"/>
      <c r="S176" s="85"/>
      <c r="U176" s="94"/>
      <c r="V176" s="93"/>
      <c r="W176" s="85"/>
      <c r="Y176" s="94"/>
      <c r="Z176" s="93"/>
      <c r="AA176" s="85"/>
      <c r="AC176" s="94"/>
      <c r="AD176" s="93"/>
      <c r="AE176" s="85"/>
    </row>
    <row r="177" spans="7:31" x14ac:dyDescent="0.35">
      <c r="G177" s="85"/>
      <c r="H177" s="87"/>
      <c r="K177" s="85"/>
      <c r="M177" s="94"/>
      <c r="N177" s="93"/>
      <c r="O177" s="85"/>
      <c r="Q177" s="94"/>
      <c r="R177" s="93"/>
      <c r="S177" s="85"/>
      <c r="U177" s="94"/>
      <c r="V177" s="93"/>
      <c r="W177" s="85"/>
      <c r="Y177" s="94"/>
      <c r="Z177" s="93"/>
      <c r="AA177" s="85"/>
      <c r="AC177" s="94"/>
      <c r="AD177" s="93"/>
      <c r="AE177" s="85"/>
    </row>
    <row r="178" spans="7:31" x14ac:dyDescent="0.35">
      <c r="G178" s="85"/>
      <c r="H178" s="87"/>
      <c r="K178" s="85"/>
      <c r="M178" s="94"/>
      <c r="N178" s="93"/>
      <c r="O178" s="85"/>
      <c r="Q178" s="94"/>
      <c r="R178" s="93"/>
      <c r="S178" s="85"/>
      <c r="U178" s="94"/>
      <c r="V178" s="93"/>
      <c r="W178" s="85"/>
      <c r="Y178" s="94"/>
      <c r="Z178" s="93"/>
      <c r="AA178" s="85"/>
      <c r="AC178" s="94"/>
      <c r="AD178" s="93"/>
      <c r="AE178" s="85"/>
    </row>
    <row r="179" spans="7:31" x14ac:dyDescent="0.35">
      <c r="G179" s="85"/>
      <c r="H179" s="87"/>
      <c r="K179" s="85"/>
      <c r="M179" s="94"/>
      <c r="N179" s="93"/>
      <c r="O179" s="85"/>
      <c r="Q179" s="94"/>
      <c r="R179" s="93"/>
      <c r="S179" s="85"/>
      <c r="U179" s="94"/>
      <c r="V179" s="93"/>
      <c r="W179" s="85"/>
      <c r="Y179" s="94"/>
      <c r="Z179" s="93"/>
      <c r="AA179" s="85"/>
      <c r="AC179" s="94"/>
      <c r="AD179" s="93"/>
      <c r="AE179" s="85"/>
    </row>
    <row r="180" spans="7:31" x14ac:dyDescent="0.35">
      <c r="G180" s="85"/>
      <c r="H180" s="87"/>
      <c r="K180" s="85"/>
      <c r="M180" s="94"/>
      <c r="N180" s="93"/>
      <c r="O180" s="85"/>
      <c r="Q180" s="94"/>
      <c r="R180" s="93"/>
      <c r="S180" s="85"/>
      <c r="U180" s="94"/>
      <c r="V180" s="93"/>
      <c r="W180" s="85"/>
      <c r="Y180" s="94"/>
      <c r="Z180" s="93"/>
      <c r="AA180" s="85"/>
      <c r="AC180" s="94"/>
      <c r="AD180" s="93"/>
      <c r="AE180" s="85"/>
    </row>
    <row r="181" spans="7:31" x14ac:dyDescent="0.35">
      <c r="G181" s="85"/>
      <c r="H181" s="87"/>
      <c r="K181" s="85"/>
      <c r="M181" s="94"/>
      <c r="N181" s="93"/>
      <c r="O181" s="85"/>
      <c r="Q181" s="94"/>
      <c r="R181" s="93"/>
      <c r="S181" s="85"/>
      <c r="U181" s="94"/>
      <c r="V181" s="93"/>
      <c r="W181" s="85"/>
      <c r="Y181" s="94"/>
      <c r="Z181" s="93"/>
      <c r="AA181" s="85"/>
      <c r="AC181" s="94"/>
      <c r="AD181" s="93"/>
      <c r="AE181" s="85"/>
    </row>
    <row r="182" spans="7:31" x14ac:dyDescent="0.35">
      <c r="G182" s="85"/>
      <c r="H182" s="87"/>
      <c r="K182" s="85"/>
      <c r="M182" s="94"/>
      <c r="N182" s="93"/>
      <c r="O182" s="85"/>
      <c r="Q182" s="94"/>
      <c r="R182" s="93"/>
      <c r="S182" s="85"/>
      <c r="U182" s="94"/>
      <c r="V182" s="93"/>
      <c r="W182" s="85"/>
      <c r="Y182" s="94"/>
      <c r="Z182" s="93"/>
      <c r="AA182" s="85"/>
      <c r="AC182" s="94"/>
      <c r="AD182" s="93"/>
      <c r="AE182" s="85"/>
    </row>
    <row r="183" spans="7:31" x14ac:dyDescent="0.35">
      <c r="G183" s="85"/>
      <c r="H183" s="87"/>
      <c r="K183" s="85"/>
      <c r="M183" s="94"/>
      <c r="N183" s="93"/>
      <c r="O183" s="85"/>
      <c r="Q183" s="94"/>
      <c r="R183" s="93"/>
      <c r="S183" s="85"/>
      <c r="U183" s="94"/>
      <c r="V183" s="93"/>
      <c r="W183" s="85"/>
      <c r="Y183" s="94"/>
      <c r="Z183" s="93"/>
      <c r="AA183" s="85"/>
      <c r="AC183" s="94"/>
      <c r="AD183" s="93"/>
      <c r="AE183" s="85"/>
    </row>
    <row r="184" spans="7:31" x14ac:dyDescent="0.35">
      <c r="G184" s="85"/>
      <c r="H184" s="87"/>
      <c r="K184" s="85"/>
      <c r="M184" s="94"/>
      <c r="N184" s="93"/>
      <c r="O184" s="85"/>
      <c r="Q184" s="94"/>
      <c r="R184" s="93"/>
      <c r="S184" s="85"/>
      <c r="U184" s="94"/>
      <c r="V184" s="93"/>
      <c r="W184" s="85"/>
      <c r="Y184" s="94"/>
      <c r="Z184" s="93"/>
      <c r="AA184" s="85"/>
      <c r="AC184" s="94"/>
      <c r="AD184" s="93"/>
      <c r="AE184" s="85"/>
    </row>
    <row r="185" spans="7:31" x14ac:dyDescent="0.35">
      <c r="G185" s="85"/>
      <c r="H185" s="87"/>
      <c r="K185" s="85"/>
      <c r="M185" s="94"/>
      <c r="N185" s="93"/>
      <c r="O185" s="85"/>
      <c r="Q185" s="94"/>
      <c r="R185" s="93"/>
      <c r="S185" s="85"/>
      <c r="U185" s="94"/>
      <c r="V185" s="93"/>
      <c r="W185" s="85"/>
      <c r="Y185" s="94"/>
      <c r="Z185" s="93"/>
      <c r="AA185" s="85"/>
      <c r="AC185" s="94"/>
      <c r="AD185" s="93"/>
      <c r="AE185" s="85"/>
    </row>
    <row r="186" spans="7:31" x14ac:dyDescent="0.35">
      <c r="G186" s="85"/>
      <c r="H186" s="87"/>
      <c r="K186" s="85"/>
      <c r="M186" s="94"/>
      <c r="N186" s="93"/>
      <c r="O186" s="85"/>
      <c r="Q186" s="94"/>
      <c r="R186" s="93"/>
      <c r="S186" s="85"/>
      <c r="U186" s="94"/>
      <c r="V186" s="93"/>
      <c r="W186" s="85"/>
      <c r="Y186" s="94"/>
      <c r="Z186" s="93"/>
      <c r="AA186" s="85"/>
      <c r="AC186" s="94"/>
      <c r="AD186" s="93"/>
      <c r="AE186" s="85"/>
    </row>
    <row r="187" spans="7:31" x14ac:dyDescent="0.35">
      <c r="G187" s="85"/>
      <c r="H187" s="87"/>
      <c r="K187" s="85"/>
      <c r="M187" s="94"/>
      <c r="N187" s="93"/>
      <c r="O187" s="85"/>
      <c r="Q187" s="94"/>
      <c r="R187" s="93"/>
      <c r="S187" s="85"/>
      <c r="U187" s="94"/>
      <c r="V187" s="93"/>
      <c r="W187" s="85"/>
      <c r="Y187" s="94"/>
      <c r="Z187" s="93"/>
      <c r="AA187" s="85"/>
      <c r="AC187" s="94"/>
      <c r="AD187" s="93"/>
      <c r="AE187" s="85"/>
    </row>
    <row r="188" spans="7:31" x14ac:dyDescent="0.35">
      <c r="G188" s="85"/>
      <c r="H188" s="87"/>
      <c r="K188" s="85"/>
      <c r="M188" s="94"/>
      <c r="N188" s="93"/>
      <c r="O188" s="85"/>
      <c r="Q188" s="94"/>
      <c r="R188" s="93"/>
      <c r="S188" s="85"/>
      <c r="U188" s="94"/>
      <c r="V188" s="93"/>
      <c r="W188" s="85"/>
      <c r="Y188" s="94"/>
      <c r="Z188" s="93"/>
      <c r="AA188" s="85"/>
      <c r="AC188" s="94"/>
      <c r="AD188" s="93"/>
      <c r="AE188" s="85"/>
    </row>
    <row r="189" spans="7:31" x14ac:dyDescent="0.35">
      <c r="G189" s="85"/>
      <c r="H189" s="87"/>
      <c r="K189" s="85"/>
      <c r="M189" s="94"/>
      <c r="N189" s="93"/>
      <c r="O189" s="85"/>
      <c r="Q189" s="94"/>
      <c r="R189" s="93"/>
      <c r="S189" s="85"/>
      <c r="U189" s="94"/>
      <c r="V189" s="93"/>
      <c r="W189" s="85"/>
      <c r="Y189" s="94"/>
      <c r="Z189" s="93"/>
      <c r="AA189" s="85"/>
      <c r="AC189" s="94"/>
      <c r="AD189" s="93"/>
      <c r="AE189" s="85"/>
    </row>
    <row r="190" spans="7:31" x14ac:dyDescent="0.35">
      <c r="G190" s="85"/>
      <c r="H190" s="87"/>
      <c r="K190" s="85"/>
      <c r="M190" s="94"/>
      <c r="N190" s="93"/>
      <c r="O190" s="85"/>
      <c r="Q190" s="94"/>
      <c r="R190" s="93"/>
      <c r="S190" s="85"/>
      <c r="U190" s="94"/>
      <c r="V190" s="93"/>
      <c r="W190" s="85"/>
      <c r="Y190" s="94"/>
      <c r="Z190" s="93"/>
      <c r="AA190" s="85"/>
      <c r="AC190" s="94"/>
      <c r="AD190" s="93"/>
      <c r="AE190" s="85"/>
    </row>
    <row r="191" spans="7:31" x14ac:dyDescent="0.35">
      <c r="G191" s="85"/>
      <c r="H191" s="87"/>
      <c r="K191" s="85"/>
      <c r="M191" s="94"/>
      <c r="N191" s="93"/>
      <c r="O191" s="85"/>
      <c r="Q191" s="94"/>
      <c r="R191" s="93"/>
      <c r="S191" s="85"/>
      <c r="U191" s="94"/>
      <c r="V191" s="93"/>
      <c r="W191" s="85"/>
      <c r="Y191" s="94"/>
      <c r="Z191" s="93"/>
      <c r="AA191" s="85"/>
      <c r="AC191" s="94"/>
      <c r="AD191" s="93"/>
      <c r="AE191" s="85"/>
    </row>
    <row r="192" spans="7:31" x14ac:dyDescent="0.35">
      <c r="G192" s="85"/>
      <c r="H192" s="87"/>
      <c r="K192" s="85"/>
      <c r="M192" s="94"/>
      <c r="N192" s="93"/>
      <c r="O192" s="85"/>
      <c r="Q192" s="94"/>
      <c r="R192" s="93"/>
      <c r="S192" s="85"/>
      <c r="U192" s="94"/>
      <c r="V192" s="93"/>
      <c r="W192" s="85"/>
      <c r="Y192" s="94"/>
      <c r="Z192" s="93"/>
      <c r="AA192" s="85"/>
      <c r="AC192" s="94"/>
      <c r="AD192" s="93"/>
      <c r="AE192" s="85"/>
    </row>
    <row r="193" spans="7:31" x14ac:dyDescent="0.35">
      <c r="G193" s="85"/>
      <c r="H193" s="87"/>
      <c r="K193" s="85"/>
      <c r="M193" s="94"/>
      <c r="N193" s="93"/>
      <c r="O193" s="85"/>
      <c r="Q193" s="94"/>
      <c r="R193" s="93"/>
      <c r="S193" s="85"/>
      <c r="U193" s="94"/>
      <c r="V193" s="93"/>
      <c r="W193" s="85"/>
      <c r="Y193" s="94"/>
      <c r="Z193" s="93"/>
      <c r="AA193" s="85"/>
      <c r="AC193" s="94"/>
      <c r="AD193" s="93"/>
      <c r="AE193" s="85"/>
    </row>
    <row r="194" spans="7:31" x14ac:dyDescent="0.35">
      <c r="G194" s="85"/>
      <c r="H194" s="87"/>
      <c r="K194" s="85"/>
      <c r="M194" s="94"/>
      <c r="N194" s="93"/>
      <c r="O194" s="85"/>
      <c r="Q194" s="94"/>
      <c r="R194" s="93"/>
      <c r="S194" s="85"/>
      <c r="U194" s="94"/>
      <c r="V194" s="93"/>
      <c r="W194" s="85"/>
      <c r="Y194" s="94"/>
      <c r="Z194" s="93"/>
      <c r="AA194" s="85"/>
      <c r="AC194" s="94"/>
      <c r="AD194" s="93"/>
      <c r="AE194" s="85"/>
    </row>
    <row r="195" spans="7:31" x14ac:dyDescent="0.35">
      <c r="G195" s="85"/>
      <c r="H195" s="87"/>
      <c r="K195" s="85"/>
      <c r="M195" s="94"/>
      <c r="N195" s="93"/>
      <c r="O195" s="85"/>
      <c r="Q195" s="94"/>
      <c r="R195" s="93"/>
      <c r="S195" s="85"/>
      <c r="U195" s="94"/>
      <c r="V195" s="93"/>
      <c r="W195" s="85"/>
      <c r="Y195" s="94"/>
      <c r="Z195" s="93"/>
      <c r="AA195" s="85"/>
      <c r="AC195" s="94"/>
      <c r="AD195" s="93"/>
      <c r="AE195" s="85"/>
    </row>
    <row r="196" spans="7:31" x14ac:dyDescent="0.35">
      <c r="G196" s="85"/>
      <c r="H196" s="87"/>
      <c r="K196" s="85"/>
      <c r="M196" s="94"/>
      <c r="N196" s="93"/>
      <c r="O196" s="85"/>
      <c r="Q196" s="94"/>
      <c r="R196" s="93"/>
      <c r="S196" s="85"/>
      <c r="U196" s="94"/>
      <c r="V196" s="93"/>
      <c r="W196" s="85"/>
      <c r="Y196" s="94"/>
      <c r="Z196" s="93"/>
      <c r="AA196" s="85"/>
      <c r="AC196" s="94"/>
      <c r="AD196" s="93"/>
      <c r="AE196" s="85"/>
    </row>
    <row r="197" spans="7:31" x14ac:dyDescent="0.35">
      <c r="G197" s="85"/>
      <c r="H197" s="87"/>
      <c r="K197" s="85"/>
      <c r="M197" s="94"/>
      <c r="N197" s="93"/>
      <c r="O197" s="85"/>
      <c r="Q197" s="94"/>
      <c r="R197" s="93"/>
      <c r="S197" s="85"/>
      <c r="U197" s="94"/>
      <c r="V197" s="93"/>
      <c r="W197" s="85"/>
      <c r="Y197" s="94"/>
      <c r="Z197" s="93"/>
      <c r="AA197" s="85"/>
      <c r="AC197" s="94"/>
      <c r="AD197" s="93"/>
      <c r="AE197" s="85"/>
    </row>
    <row r="198" spans="7:31" x14ac:dyDescent="0.35">
      <c r="G198" s="85"/>
      <c r="H198" s="87"/>
      <c r="K198" s="85"/>
      <c r="M198" s="94"/>
      <c r="N198" s="93"/>
      <c r="O198" s="85"/>
      <c r="Q198" s="94"/>
      <c r="R198" s="93"/>
      <c r="S198" s="85"/>
      <c r="U198" s="94"/>
      <c r="V198" s="93"/>
      <c r="W198" s="85"/>
      <c r="Y198" s="94"/>
      <c r="Z198" s="93"/>
      <c r="AA198" s="85"/>
      <c r="AC198" s="94"/>
      <c r="AD198" s="93"/>
      <c r="AE198" s="85"/>
    </row>
    <row r="199" spans="7:31" x14ac:dyDescent="0.35">
      <c r="G199" s="85"/>
      <c r="H199" s="87"/>
      <c r="K199" s="85"/>
      <c r="M199" s="94"/>
      <c r="N199" s="93"/>
      <c r="O199" s="85"/>
      <c r="Q199" s="94"/>
      <c r="R199" s="93"/>
      <c r="S199" s="85"/>
      <c r="U199" s="94"/>
      <c r="V199" s="93"/>
      <c r="W199" s="85"/>
      <c r="Y199" s="94"/>
      <c r="Z199" s="93"/>
      <c r="AA199" s="85"/>
      <c r="AC199" s="94"/>
      <c r="AD199" s="93"/>
      <c r="AE199" s="85"/>
    </row>
    <row r="200" spans="7:31" x14ac:dyDescent="0.35">
      <c r="G200" s="85"/>
      <c r="H200" s="87"/>
      <c r="K200" s="85"/>
      <c r="M200" s="94"/>
      <c r="N200" s="93"/>
      <c r="O200" s="85"/>
      <c r="Q200" s="94"/>
      <c r="R200" s="93"/>
      <c r="S200" s="85"/>
      <c r="U200" s="94"/>
      <c r="V200" s="93"/>
      <c r="W200" s="85"/>
      <c r="Y200" s="94"/>
      <c r="Z200" s="93"/>
      <c r="AA200" s="85"/>
      <c r="AC200" s="94"/>
      <c r="AD200" s="93"/>
      <c r="AE200" s="85"/>
    </row>
    <row r="201" spans="7:31" x14ac:dyDescent="0.35">
      <c r="G201" s="85"/>
      <c r="H201" s="87"/>
      <c r="K201" s="85"/>
      <c r="M201" s="94"/>
      <c r="N201" s="93"/>
      <c r="O201" s="85"/>
      <c r="Q201" s="94"/>
      <c r="R201" s="93"/>
      <c r="S201" s="85"/>
      <c r="U201" s="94"/>
      <c r="V201" s="93"/>
      <c r="W201" s="85"/>
      <c r="Y201" s="94"/>
      <c r="Z201" s="93"/>
      <c r="AA201" s="85"/>
      <c r="AC201" s="94"/>
      <c r="AD201" s="93"/>
      <c r="AE201" s="85"/>
    </row>
    <row r="202" spans="7:31" x14ac:dyDescent="0.35">
      <c r="G202" s="85"/>
      <c r="H202" s="87"/>
      <c r="K202" s="85"/>
      <c r="M202" s="94"/>
      <c r="N202" s="93"/>
      <c r="O202" s="85"/>
      <c r="Q202" s="94"/>
      <c r="R202" s="93"/>
      <c r="S202" s="85"/>
      <c r="U202" s="94"/>
      <c r="V202" s="93"/>
      <c r="W202" s="85"/>
      <c r="Y202" s="94"/>
      <c r="Z202" s="93"/>
      <c r="AA202" s="85"/>
      <c r="AC202" s="94"/>
      <c r="AD202" s="93"/>
      <c r="AE202" s="85"/>
    </row>
    <row r="203" spans="7:31" x14ac:dyDescent="0.35">
      <c r="G203" s="85"/>
      <c r="H203" s="87"/>
      <c r="K203" s="85"/>
      <c r="M203" s="94"/>
      <c r="N203" s="93"/>
      <c r="O203" s="85"/>
      <c r="Q203" s="94"/>
      <c r="R203" s="93"/>
      <c r="S203" s="85"/>
      <c r="U203" s="94"/>
      <c r="V203" s="93"/>
      <c r="W203" s="85"/>
      <c r="Y203" s="94"/>
      <c r="Z203" s="93"/>
      <c r="AA203" s="85"/>
      <c r="AC203" s="94"/>
      <c r="AD203" s="93"/>
      <c r="AE203" s="85"/>
    </row>
    <row r="204" spans="7:31" x14ac:dyDescent="0.35">
      <c r="G204" s="85"/>
      <c r="H204" s="87"/>
      <c r="K204" s="85"/>
      <c r="M204" s="94"/>
      <c r="N204" s="93"/>
      <c r="O204" s="85"/>
      <c r="Q204" s="94"/>
      <c r="R204" s="93"/>
      <c r="S204" s="85"/>
      <c r="U204" s="94"/>
      <c r="V204" s="93"/>
      <c r="W204" s="85"/>
      <c r="Y204" s="94"/>
      <c r="Z204" s="93"/>
      <c r="AA204" s="85"/>
      <c r="AC204" s="94"/>
      <c r="AD204" s="93"/>
      <c r="AE204" s="85"/>
    </row>
    <row r="205" spans="7:31" x14ac:dyDescent="0.35">
      <c r="G205" s="85"/>
      <c r="H205" s="87"/>
      <c r="K205" s="85"/>
      <c r="M205" s="94"/>
      <c r="N205" s="93"/>
      <c r="O205" s="85"/>
      <c r="Q205" s="94"/>
      <c r="R205" s="93"/>
      <c r="S205" s="85"/>
      <c r="U205" s="94"/>
      <c r="V205" s="93"/>
      <c r="W205" s="85"/>
      <c r="Y205" s="94"/>
      <c r="Z205" s="93"/>
      <c r="AA205" s="85"/>
      <c r="AC205" s="94"/>
      <c r="AD205" s="93"/>
      <c r="AE205" s="85"/>
    </row>
    <row r="206" spans="7:31" x14ac:dyDescent="0.35">
      <c r="G206" s="85"/>
      <c r="H206" s="87"/>
      <c r="K206" s="85"/>
      <c r="M206" s="94"/>
      <c r="N206" s="93"/>
      <c r="O206" s="85"/>
      <c r="Q206" s="94"/>
      <c r="R206" s="93"/>
      <c r="S206" s="85"/>
      <c r="U206" s="94"/>
      <c r="V206" s="93"/>
      <c r="W206" s="85"/>
      <c r="Y206" s="94"/>
      <c r="Z206" s="93"/>
      <c r="AA206" s="85"/>
      <c r="AC206" s="94"/>
      <c r="AD206" s="93"/>
      <c r="AE206" s="85"/>
    </row>
    <row r="207" spans="7:31" x14ac:dyDescent="0.35">
      <c r="G207" s="85"/>
      <c r="H207" s="87"/>
      <c r="K207" s="85"/>
      <c r="M207" s="94"/>
      <c r="N207" s="93"/>
      <c r="O207" s="85"/>
      <c r="Q207" s="94"/>
      <c r="R207" s="93"/>
      <c r="S207" s="85"/>
      <c r="U207" s="94"/>
      <c r="V207" s="93"/>
      <c r="W207" s="85"/>
      <c r="Y207" s="94"/>
      <c r="Z207" s="93"/>
      <c r="AA207" s="85"/>
      <c r="AC207" s="94"/>
      <c r="AD207" s="93"/>
      <c r="AE207" s="85"/>
    </row>
    <row r="208" spans="7:31" x14ac:dyDescent="0.35">
      <c r="G208" s="85"/>
      <c r="H208" s="87"/>
      <c r="K208" s="85"/>
      <c r="M208" s="94"/>
      <c r="N208" s="93"/>
      <c r="O208" s="85"/>
      <c r="Q208" s="94"/>
      <c r="R208" s="93"/>
      <c r="S208" s="85"/>
      <c r="U208" s="94"/>
      <c r="V208" s="93"/>
      <c r="W208" s="85"/>
      <c r="Y208" s="94"/>
      <c r="Z208" s="93"/>
      <c r="AA208" s="85"/>
      <c r="AC208" s="94"/>
      <c r="AD208" s="93"/>
      <c r="AE208" s="85"/>
    </row>
    <row r="209" spans="7:31" x14ac:dyDescent="0.35">
      <c r="G209" s="85"/>
      <c r="H209" s="87"/>
      <c r="K209" s="85"/>
      <c r="M209" s="94"/>
      <c r="N209" s="93"/>
      <c r="O209" s="85"/>
      <c r="Q209" s="94"/>
      <c r="R209" s="93"/>
      <c r="S209" s="85"/>
      <c r="U209" s="94"/>
      <c r="V209" s="93"/>
      <c r="W209" s="85"/>
      <c r="Y209" s="94"/>
      <c r="Z209" s="93"/>
      <c r="AA209" s="85"/>
      <c r="AC209" s="94"/>
      <c r="AD209" s="93"/>
      <c r="AE209" s="85"/>
    </row>
    <row r="210" spans="7:31" x14ac:dyDescent="0.35">
      <c r="G210" s="85"/>
      <c r="H210" s="87"/>
      <c r="K210" s="85"/>
      <c r="M210" s="94"/>
      <c r="N210" s="93"/>
      <c r="O210" s="85"/>
      <c r="Q210" s="94"/>
      <c r="R210" s="93"/>
      <c r="S210" s="85"/>
      <c r="U210" s="94"/>
      <c r="V210" s="93"/>
      <c r="W210" s="85"/>
      <c r="Y210" s="94"/>
      <c r="Z210" s="93"/>
      <c r="AA210" s="85"/>
      <c r="AC210" s="94"/>
      <c r="AD210" s="93"/>
      <c r="AE210" s="85"/>
    </row>
    <row r="211" spans="7:31" x14ac:dyDescent="0.35">
      <c r="G211" s="85"/>
      <c r="H211" s="87"/>
      <c r="K211" s="85"/>
      <c r="M211" s="94"/>
      <c r="N211" s="93"/>
      <c r="O211" s="85"/>
      <c r="Q211" s="94"/>
      <c r="R211" s="93"/>
      <c r="S211" s="85"/>
      <c r="U211" s="94"/>
      <c r="V211" s="93"/>
      <c r="W211" s="85"/>
      <c r="Y211" s="94"/>
      <c r="Z211" s="93"/>
      <c r="AA211" s="85"/>
      <c r="AC211" s="94"/>
      <c r="AD211" s="93"/>
      <c r="AE211" s="85"/>
    </row>
    <row r="212" spans="7:31" x14ac:dyDescent="0.35">
      <c r="G212" s="85"/>
      <c r="H212" s="87"/>
      <c r="K212" s="85"/>
      <c r="M212" s="94"/>
      <c r="N212" s="93"/>
      <c r="O212" s="85"/>
      <c r="Q212" s="94"/>
      <c r="R212" s="93"/>
      <c r="S212" s="85"/>
      <c r="U212" s="94"/>
      <c r="V212" s="93"/>
      <c r="W212" s="85"/>
      <c r="Y212" s="94"/>
      <c r="Z212" s="93"/>
      <c r="AA212" s="85"/>
      <c r="AC212" s="94"/>
      <c r="AD212" s="93"/>
      <c r="AE212" s="85"/>
    </row>
    <row r="213" spans="7:31" x14ac:dyDescent="0.35">
      <c r="G213" s="85"/>
      <c r="H213" s="87"/>
      <c r="K213" s="85"/>
      <c r="M213" s="94"/>
      <c r="N213" s="93"/>
      <c r="O213" s="85"/>
      <c r="Q213" s="94"/>
      <c r="R213" s="93"/>
      <c r="S213" s="85"/>
      <c r="U213" s="94"/>
      <c r="V213" s="93"/>
      <c r="W213" s="85"/>
      <c r="Y213" s="94"/>
      <c r="Z213" s="93"/>
      <c r="AA213" s="85"/>
      <c r="AC213" s="94"/>
      <c r="AD213" s="93"/>
      <c r="AE213" s="85"/>
    </row>
    <row r="214" spans="7:31" x14ac:dyDescent="0.35">
      <c r="G214" s="85"/>
      <c r="H214" s="87"/>
      <c r="K214" s="85"/>
      <c r="M214" s="94"/>
      <c r="N214" s="93"/>
      <c r="O214" s="85"/>
      <c r="Q214" s="94"/>
      <c r="R214" s="93"/>
      <c r="S214" s="85"/>
      <c r="U214" s="94"/>
      <c r="V214" s="93"/>
      <c r="W214" s="85"/>
      <c r="Y214" s="94"/>
      <c r="Z214" s="93"/>
      <c r="AA214" s="85"/>
      <c r="AC214" s="94"/>
      <c r="AD214" s="93"/>
      <c r="AE214" s="85"/>
    </row>
    <row r="215" spans="7:31" x14ac:dyDescent="0.35">
      <c r="G215" s="85"/>
      <c r="H215" s="87"/>
      <c r="K215" s="85"/>
      <c r="M215" s="94"/>
      <c r="N215" s="93"/>
      <c r="O215" s="85"/>
      <c r="Q215" s="94"/>
      <c r="R215" s="93"/>
      <c r="S215" s="85"/>
      <c r="U215" s="94"/>
      <c r="V215" s="93"/>
      <c r="W215" s="85"/>
      <c r="Y215" s="94"/>
      <c r="Z215" s="93"/>
      <c r="AA215" s="85"/>
      <c r="AC215" s="94"/>
      <c r="AD215" s="93"/>
      <c r="AE215" s="85"/>
    </row>
    <row r="216" spans="7:31" x14ac:dyDescent="0.35">
      <c r="G216" s="85"/>
      <c r="H216" s="87"/>
      <c r="K216" s="85"/>
      <c r="M216" s="94"/>
      <c r="N216" s="93"/>
      <c r="O216" s="85"/>
      <c r="Q216" s="94"/>
      <c r="R216" s="93"/>
      <c r="S216" s="85"/>
      <c r="U216" s="94"/>
      <c r="V216" s="93"/>
      <c r="W216" s="85"/>
      <c r="Y216" s="94"/>
      <c r="Z216" s="93"/>
      <c r="AA216" s="85"/>
      <c r="AC216" s="94"/>
      <c r="AD216" s="93"/>
      <c r="AE216" s="85"/>
    </row>
    <row r="217" spans="7:31" x14ac:dyDescent="0.35">
      <c r="G217" s="85"/>
      <c r="H217" s="87"/>
      <c r="K217" s="85"/>
      <c r="M217" s="94"/>
      <c r="N217" s="93"/>
      <c r="O217" s="85"/>
      <c r="Q217" s="94"/>
      <c r="R217" s="93"/>
      <c r="S217" s="85"/>
      <c r="U217" s="94"/>
      <c r="V217" s="93"/>
      <c r="W217" s="85"/>
      <c r="Y217" s="94"/>
      <c r="Z217" s="93"/>
      <c r="AA217" s="85"/>
      <c r="AC217" s="94"/>
      <c r="AD217" s="93"/>
      <c r="AE217" s="85"/>
    </row>
    <row r="218" spans="7:31" x14ac:dyDescent="0.35">
      <c r="G218" s="85"/>
      <c r="H218" s="87"/>
      <c r="K218" s="85"/>
      <c r="M218" s="94"/>
      <c r="N218" s="93"/>
      <c r="O218" s="85"/>
      <c r="Q218" s="94"/>
      <c r="R218" s="93"/>
      <c r="S218" s="85"/>
      <c r="U218" s="94"/>
      <c r="V218" s="93"/>
      <c r="W218" s="85"/>
      <c r="Y218" s="94"/>
      <c r="Z218" s="93"/>
      <c r="AA218" s="85"/>
      <c r="AC218" s="94"/>
      <c r="AD218" s="93"/>
      <c r="AE218" s="85"/>
    </row>
    <row r="219" spans="7:31" x14ac:dyDescent="0.35">
      <c r="G219" s="85"/>
      <c r="H219" s="87"/>
      <c r="K219" s="85"/>
      <c r="M219" s="94"/>
      <c r="N219" s="93"/>
      <c r="O219" s="85"/>
      <c r="Q219" s="94"/>
      <c r="R219" s="93"/>
      <c r="S219" s="85"/>
      <c r="U219" s="94"/>
      <c r="V219" s="93"/>
      <c r="W219" s="85"/>
      <c r="Y219" s="94"/>
      <c r="Z219" s="93"/>
      <c r="AA219" s="85"/>
      <c r="AC219" s="94"/>
      <c r="AD219" s="93"/>
      <c r="AE219" s="85"/>
    </row>
    <row r="220" spans="7:31" x14ac:dyDescent="0.35">
      <c r="G220" s="85"/>
      <c r="H220" s="87"/>
      <c r="K220" s="85"/>
      <c r="M220" s="94"/>
      <c r="N220" s="93"/>
      <c r="O220" s="85"/>
      <c r="Q220" s="94"/>
      <c r="R220" s="93"/>
      <c r="S220" s="85"/>
      <c r="U220" s="94"/>
      <c r="V220" s="93"/>
      <c r="W220" s="85"/>
      <c r="Y220" s="94"/>
      <c r="Z220" s="93"/>
      <c r="AA220" s="85"/>
      <c r="AC220" s="94"/>
      <c r="AD220" s="93"/>
      <c r="AE220" s="85"/>
    </row>
    <row r="221" spans="7:31" x14ac:dyDescent="0.35">
      <c r="G221" s="85"/>
      <c r="H221" s="87"/>
      <c r="K221" s="85"/>
      <c r="M221" s="94"/>
      <c r="N221" s="93"/>
      <c r="O221" s="85"/>
      <c r="Q221" s="94"/>
      <c r="R221" s="93"/>
      <c r="S221" s="85"/>
      <c r="U221" s="94"/>
      <c r="V221" s="93"/>
      <c r="W221" s="85"/>
      <c r="Y221" s="94"/>
      <c r="Z221" s="93"/>
      <c r="AA221" s="85"/>
      <c r="AC221" s="94"/>
      <c r="AD221" s="93"/>
      <c r="AE221" s="85"/>
    </row>
    <row r="222" spans="7:31" x14ac:dyDescent="0.35">
      <c r="G222" s="85"/>
      <c r="H222" s="87"/>
      <c r="K222" s="85"/>
      <c r="M222" s="94"/>
      <c r="N222" s="93"/>
      <c r="O222" s="85"/>
      <c r="Q222" s="94"/>
      <c r="R222" s="93"/>
      <c r="S222" s="85"/>
      <c r="U222" s="94"/>
      <c r="V222" s="93"/>
      <c r="W222" s="85"/>
      <c r="Y222" s="94"/>
      <c r="Z222" s="93"/>
      <c r="AA222" s="85"/>
      <c r="AC222" s="94"/>
      <c r="AD222" s="93"/>
      <c r="AE222" s="85"/>
    </row>
    <row r="223" spans="7:31" x14ac:dyDescent="0.35">
      <c r="G223" s="85"/>
      <c r="H223" s="87"/>
      <c r="K223" s="85"/>
      <c r="M223" s="94"/>
      <c r="N223" s="93"/>
      <c r="O223" s="85"/>
      <c r="Q223" s="94"/>
      <c r="R223" s="93"/>
      <c r="S223" s="85"/>
      <c r="U223" s="94"/>
      <c r="V223" s="93"/>
      <c r="W223" s="85"/>
      <c r="Y223" s="94"/>
      <c r="Z223" s="93"/>
      <c r="AA223" s="85"/>
      <c r="AC223" s="94"/>
      <c r="AD223" s="93"/>
      <c r="AE223" s="85"/>
    </row>
    <row r="224" spans="7:31" x14ac:dyDescent="0.35">
      <c r="G224" s="85"/>
      <c r="H224" s="87"/>
      <c r="K224" s="85"/>
      <c r="M224" s="94"/>
      <c r="N224" s="93"/>
      <c r="O224" s="85"/>
      <c r="Q224" s="94"/>
      <c r="R224" s="93"/>
      <c r="S224" s="85"/>
      <c r="U224" s="94"/>
      <c r="V224" s="93"/>
      <c r="W224" s="85"/>
      <c r="Y224" s="94"/>
      <c r="Z224" s="93"/>
      <c r="AA224" s="85"/>
      <c r="AC224" s="94"/>
      <c r="AD224" s="93"/>
      <c r="AE224" s="85"/>
    </row>
    <row r="225" spans="7:31" x14ac:dyDescent="0.35">
      <c r="G225" s="85"/>
      <c r="H225" s="87"/>
      <c r="K225" s="85"/>
      <c r="M225" s="94"/>
      <c r="N225" s="93"/>
      <c r="O225" s="85"/>
      <c r="Q225" s="94"/>
      <c r="R225" s="93"/>
      <c r="S225" s="85"/>
      <c r="U225" s="94"/>
      <c r="V225" s="93"/>
      <c r="W225" s="85"/>
      <c r="Y225" s="94"/>
      <c r="Z225" s="93"/>
      <c r="AA225" s="85"/>
      <c r="AC225" s="94"/>
      <c r="AD225" s="93"/>
      <c r="AE225" s="85"/>
    </row>
    <row r="226" spans="7:31" x14ac:dyDescent="0.35">
      <c r="G226" s="85"/>
      <c r="H226" s="87"/>
      <c r="K226" s="85"/>
      <c r="M226" s="94"/>
      <c r="N226" s="93"/>
      <c r="O226" s="85"/>
      <c r="Q226" s="94"/>
      <c r="R226" s="93"/>
      <c r="S226" s="85"/>
      <c r="U226" s="94"/>
      <c r="V226" s="93"/>
      <c r="W226" s="85"/>
      <c r="Y226" s="94"/>
      <c r="Z226" s="93"/>
      <c r="AA226" s="85"/>
      <c r="AC226" s="94"/>
      <c r="AD226" s="93"/>
      <c r="AE226" s="85"/>
    </row>
    <row r="227" spans="7:31" x14ac:dyDescent="0.35">
      <c r="G227" s="85"/>
      <c r="H227" s="87"/>
      <c r="K227" s="85"/>
      <c r="M227" s="94"/>
      <c r="N227" s="93"/>
      <c r="O227" s="85"/>
      <c r="Q227" s="94"/>
      <c r="R227" s="93"/>
      <c r="S227" s="85"/>
      <c r="U227" s="94"/>
      <c r="V227" s="93"/>
      <c r="W227" s="85"/>
      <c r="Y227" s="94"/>
      <c r="Z227" s="93"/>
      <c r="AA227" s="85"/>
      <c r="AC227" s="94"/>
      <c r="AD227" s="93"/>
      <c r="AE227" s="85"/>
    </row>
    <row r="228" spans="7:31" x14ac:dyDescent="0.35">
      <c r="G228" s="85"/>
      <c r="H228" s="87"/>
      <c r="K228" s="85"/>
      <c r="M228" s="94"/>
      <c r="N228" s="93"/>
      <c r="O228" s="85"/>
      <c r="Q228" s="94"/>
      <c r="R228" s="93"/>
      <c r="S228" s="85"/>
      <c r="U228" s="94"/>
      <c r="V228" s="93"/>
      <c r="W228" s="85"/>
      <c r="Y228" s="94"/>
      <c r="Z228" s="93"/>
      <c r="AA228" s="85"/>
      <c r="AC228" s="94"/>
      <c r="AD228" s="93"/>
      <c r="AE228" s="85"/>
    </row>
    <row r="229" spans="7:31" x14ac:dyDescent="0.35">
      <c r="G229" s="85"/>
      <c r="H229" s="87"/>
      <c r="K229" s="85"/>
      <c r="M229" s="94"/>
      <c r="N229" s="93"/>
      <c r="O229" s="85"/>
      <c r="Q229" s="94"/>
      <c r="R229" s="93"/>
      <c r="S229" s="85"/>
      <c r="U229" s="94"/>
      <c r="V229" s="93"/>
      <c r="W229" s="85"/>
      <c r="Y229" s="94"/>
      <c r="Z229" s="93"/>
      <c r="AA229" s="85"/>
      <c r="AC229" s="94"/>
      <c r="AD229" s="93"/>
      <c r="AE229" s="85"/>
    </row>
    <row r="230" spans="7:31" x14ac:dyDescent="0.35">
      <c r="G230" s="85"/>
      <c r="H230" s="87"/>
      <c r="K230" s="85"/>
      <c r="M230" s="94"/>
      <c r="N230" s="93"/>
      <c r="O230" s="85"/>
      <c r="Q230" s="94"/>
      <c r="R230" s="93"/>
      <c r="S230" s="85"/>
      <c r="U230" s="94"/>
      <c r="V230" s="93"/>
      <c r="W230" s="85"/>
      <c r="Y230" s="94"/>
      <c r="Z230" s="93"/>
      <c r="AA230" s="85"/>
      <c r="AC230" s="94"/>
      <c r="AD230" s="93"/>
      <c r="AE230" s="85"/>
    </row>
    <row r="231" spans="7:31" x14ac:dyDescent="0.35">
      <c r="G231" s="85"/>
      <c r="H231" s="87"/>
      <c r="K231" s="85"/>
      <c r="M231" s="94"/>
      <c r="N231" s="93"/>
      <c r="O231" s="85"/>
      <c r="Q231" s="94"/>
      <c r="R231" s="93"/>
      <c r="S231" s="85"/>
      <c r="U231" s="94"/>
      <c r="V231" s="93"/>
      <c r="W231" s="85"/>
      <c r="Y231" s="94"/>
      <c r="Z231" s="93"/>
      <c r="AA231" s="85"/>
      <c r="AC231" s="94"/>
      <c r="AD231" s="93"/>
      <c r="AE231" s="85"/>
    </row>
    <row r="232" spans="7:31" x14ac:dyDescent="0.35">
      <c r="G232" s="85"/>
      <c r="H232" s="87"/>
      <c r="K232" s="85"/>
      <c r="M232" s="94"/>
      <c r="N232" s="93"/>
      <c r="O232" s="85"/>
      <c r="Q232" s="94"/>
      <c r="R232" s="93"/>
      <c r="S232" s="85"/>
      <c r="U232" s="94"/>
      <c r="V232" s="93"/>
      <c r="W232" s="85"/>
      <c r="Y232" s="94"/>
      <c r="Z232" s="93"/>
      <c r="AA232" s="85"/>
      <c r="AC232" s="94"/>
      <c r="AD232" s="93"/>
      <c r="AE232" s="85"/>
    </row>
    <row r="233" spans="7:31" x14ac:dyDescent="0.35">
      <c r="G233" s="85"/>
      <c r="H233" s="87"/>
      <c r="K233" s="85"/>
      <c r="M233" s="94"/>
      <c r="N233" s="93"/>
      <c r="O233" s="85"/>
      <c r="Q233" s="94"/>
      <c r="R233" s="93"/>
      <c r="S233" s="85"/>
      <c r="U233" s="94"/>
      <c r="V233" s="93"/>
      <c r="W233" s="85"/>
      <c r="Y233" s="94"/>
      <c r="Z233" s="93"/>
      <c r="AA233" s="85"/>
      <c r="AC233" s="94"/>
      <c r="AD233" s="93"/>
      <c r="AE233" s="85"/>
    </row>
    <row r="234" spans="7:31" x14ac:dyDescent="0.35">
      <c r="G234" s="85"/>
      <c r="H234" s="87"/>
      <c r="K234" s="85"/>
      <c r="M234" s="94"/>
      <c r="N234" s="93"/>
      <c r="O234" s="85"/>
      <c r="Q234" s="94"/>
      <c r="R234" s="93"/>
      <c r="S234" s="85"/>
      <c r="U234" s="94"/>
      <c r="V234" s="93"/>
      <c r="W234" s="85"/>
      <c r="Y234" s="94"/>
      <c r="Z234" s="93"/>
      <c r="AA234" s="85"/>
      <c r="AC234" s="94"/>
      <c r="AD234" s="93"/>
      <c r="AE234" s="85"/>
    </row>
    <row r="235" spans="7:31" x14ac:dyDescent="0.35">
      <c r="G235" s="85"/>
      <c r="H235" s="87"/>
      <c r="K235" s="85"/>
      <c r="M235" s="94"/>
      <c r="N235" s="93"/>
      <c r="O235" s="85"/>
      <c r="Q235" s="94"/>
      <c r="R235" s="93"/>
      <c r="S235" s="85"/>
      <c r="U235" s="94"/>
      <c r="V235" s="93"/>
      <c r="W235" s="85"/>
      <c r="Y235" s="94"/>
      <c r="Z235" s="93"/>
      <c r="AA235" s="85"/>
      <c r="AC235" s="94"/>
      <c r="AD235" s="93"/>
      <c r="AE235" s="85"/>
    </row>
    <row r="236" spans="7:31" x14ac:dyDescent="0.35">
      <c r="G236" s="85"/>
      <c r="H236" s="87"/>
      <c r="K236" s="85"/>
      <c r="M236" s="94"/>
      <c r="N236" s="93"/>
      <c r="O236" s="85"/>
      <c r="Q236" s="94"/>
      <c r="R236" s="93"/>
      <c r="S236" s="85"/>
      <c r="U236" s="94"/>
      <c r="V236" s="93"/>
      <c r="W236" s="85"/>
      <c r="Y236" s="94"/>
      <c r="Z236" s="93"/>
      <c r="AA236" s="85"/>
      <c r="AC236" s="94"/>
      <c r="AD236" s="93"/>
      <c r="AE236" s="85"/>
    </row>
    <row r="237" spans="7:31" x14ac:dyDescent="0.35">
      <c r="G237" s="85"/>
      <c r="H237" s="87"/>
      <c r="K237" s="85"/>
      <c r="M237" s="94"/>
      <c r="N237" s="93"/>
      <c r="O237" s="85"/>
      <c r="Q237" s="94"/>
      <c r="R237" s="93"/>
      <c r="S237" s="85"/>
      <c r="U237" s="94"/>
      <c r="V237" s="93"/>
      <c r="W237" s="85"/>
      <c r="Y237" s="94"/>
      <c r="Z237" s="93"/>
      <c r="AA237" s="85"/>
      <c r="AC237" s="94"/>
      <c r="AD237" s="93"/>
      <c r="AE237" s="85"/>
    </row>
    <row r="238" spans="7:31" x14ac:dyDescent="0.35">
      <c r="G238" s="85"/>
      <c r="H238" s="87"/>
      <c r="K238" s="85"/>
      <c r="M238" s="94"/>
      <c r="N238" s="93"/>
      <c r="O238" s="85"/>
      <c r="Q238" s="94"/>
      <c r="R238" s="93"/>
      <c r="S238" s="85"/>
      <c r="U238" s="94"/>
      <c r="V238" s="93"/>
      <c r="W238" s="85"/>
      <c r="Y238" s="94"/>
      <c r="Z238" s="93"/>
      <c r="AA238" s="85"/>
      <c r="AC238" s="94"/>
      <c r="AD238" s="93"/>
      <c r="AE238" s="85"/>
    </row>
    <row r="239" spans="7:31" x14ac:dyDescent="0.35">
      <c r="G239" s="85"/>
      <c r="H239" s="87"/>
      <c r="K239" s="85"/>
      <c r="M239" s="94"/>
      <c r="N239" s="93"/>
      <c r="O239" s="85"/>
      <c r="Q239" s="94"/>
      <c r="R239" s="93"/>
      <c r="S239" s="85"/>
      <c r="U239" s="94"/>
      <c r="V239" s="93"/>
      <c r="W239" s="85"/>
      <c r="Y239" s="94"/>
      <c r="Z239" s="93"/>
      <c r="AA239" s="85"/>
      <c r="AC239" s="94"/>
      <c r="AD239" s="93"/>
      <c r="AE239" s="85"/>
    </row>
    <row r="240" spans="7:31" x14ac:dyDescent="0.35">
      <c r="G240" s="85"/>
      <c r="H240" s="87"/>
      <c r="K240" s="85"/>
      <c r="M240" s="94"/>
      <c r="N240" s="93"/>
      <c r="O240" s="85"/>
      <c r="Q240" s="94"/>
      <c r="R240" s="93"/>
      <c r="S240" s="85"/>
      <c r="U240" s="94"/>
      <c r="V240" s="93"/>
      <c r="W240" s="85"/>
      <c r="Y240" s="94"/>
      <c r="Z240" s="93"/>
      <c r="AA240" s="85"/>
      <c r="AC240" s="94"/>
      <c r="AD240" s="93"/>
      <c r="AE240" s="85"/>
    </row>
    <row r="241" spans="7:31" x14ac:dyDescent="0.35">
      <c r="G241" s="85"/>
      <c r="H241" s="87"/>
      <c r="K241" s="85"/>
      <c r="M241" s="94"/>
      <c r="N241" s="93"/>
      <c r="O241" s="85"/>
      <c r="Q241" s="94"/>
      <c r="R241" s="93"/>
      <c r="S241" s="85"/>
      <c r="U241" s="94"/>
      <c r="V241" s="93"/>
      <c r="W241" s="85"/>
      <c r="Y241" s="94"/>
      <c r="Z241" s="93"/>
      <c r="AA241" s="85"/>
      <c r="AC241" s="94"/>
      <c r="AD241" s="93"/>
      <c r="AE241" s="85"/>
    </row>
    <row r="242" spans="7:31" x14ac:dyDescent="0.35">
      <c r="G242" s="85"/>
      <c r="H242" s="87"/>
      <c r="K242" s="85"/>
      <c r="M242" s="94"/>
      <c r="N242" s="93"/>
      <c r="O242" s="85"/>
      <c r="Q242" s="94"/>
      <c r="R242" s="93"/>
      <c r="S242" s="85"/>
      <c r="U242" s="94"/>
      <c r="V242" s="93"/>
      <c r="W242" s="85"/>
      <c r="Y242" s="94"/>
      <c r="Z242" s="93"/>
      <c r="AA242" s="85"/>
      <c r="AC242" s="94"/>
      <c r="AD242" s="93"/>
      <c r="AE242" s="85"/>
    </row>
    <row r="243" spans="7:31" x14ac:dyDescent="0.35">
      <c r="G243" s="85"/>
      <c r="H243" s="87"/>
      <c r="K243" s="85"/>
      <c r="M243" s="94"/>
      <c r="N243" s="93"/>
      <c r="O243" s="85"/>
      <c r="Q243" s="94"/>
      <c r="R243" s="93"/>
      <c r="S243" s="85"/>
      <c r="U243" s="94"/>
      <c r="V243" s="93"/>
      <c r="W243" s="85"/>
      <c r="Y243" s="94"/>
      <c r="Z243" s="93"/>
      <c r="AA243" s="85"/>
      <c r="AC243" s="94"/>
      <c r="AD243" s="93"/>
      <c r="AE243" s="85"/>
    </row>
    <row r="244" spans="7:31" x14ac:dyDescent="0.35">
      <c r="G244" s="85"/>
      <c r="H244" s="87"/>
      <c r="K244" s="85"/>
      <c r="M244" s="94"/>
      <c r="N244" s="93"/>
      <c r="O244" s="85"/>
      <c r="Q244" s="94"/>
      <c r="R244" s="93"/>
      <c r="S244" s="85"/>
      <c r="U244" s="94"/>
      <c r="V244" s="93"/>
      <c r="W244" s="85"/>
      <c r="Y244" s="94"/>
      <c r="Z244" s="93"/>
      <c r="AA244" s="85"/>
      <c r="AC244" s="94"/>
      <c r="AD244" s="93"/>
      <c r="AE244" s="85"/>
    </row>
    <row r="245" spans="7:31" x14ac:dyDescent="0.35">
      <c r="G245" s="85"/>
      <c r="H245" s="87"/>
      <c r="K245" s="85"/>
      <c r="M245" s="94"/>
      <c r="N245" s="93"/>
      <c r="O245" s="85"/>
      <c r="Q245" s="94"/>
      <c r="R245" s="93"/>
      <c r="S245" s="85"/>
      <c r="U245" s="94"/>
      <c r="V245" s="93"/>
      <c r="W245" s="85"/>
      <c r="Y245" s="94"/>
      <c r="Z245" s="93"/>
      <c r="AA245" s="85"/>
      <c r="AC245" s="94"/>
      <c r="AD245" s="93"/>
      <c r="AE245" s="85"/>
    </row>
    <row r="246" spans="7:31" x14ac:dyDescent="0.35">
      <c r="G246" s="85"/>
      <c r="H246" s="87"/>
      <c r="K246" s="85"/>
      <c r="M246" s="94"/>
      <c r="N246" s="93"/>
      <c r="O246" s="85"/>
      <c r="Q246" s="94"/>
      <c r="R246" s="93"/>
      <c r="S246" s="85"/>
      <c r="U246" s="94"/>
      <c r="V246" s="93"/>
      <c r="W246" s="85"/>
      <c r="Y246" s="94"/>
      <c r="Z246" s="93"/>
      <c r="AA246" s="85"/>
      <c r="AC246" s="94"/>
      <c r="AD246" s="93"/>
      <c r="AE246" s="85"/>
    </row>
    <row r="247" spans="7:31" x14ac:dyDescent="0.35">
      <c r="G247" s="85"/>
      <c r="H247" s="87"/>
      <c r="K247" s="85"/>
      <c r="M247" s="94"/>
      <c r="N247" s="93"/>
      <c r="O247" s="85"/>
      <c r="Q247" s="94"/>
      <c r="R247" s="93"/>
      <c r="S247" s="85"/>
      <c r="U247" s="94"/>
      <c r="V247" s="93"/>
      <c r="W247" s="85"/>
      <c r="Y247" s="94"/>
      <c r="Z247" s="93"/>
      <c r="AA247" s="85"/>
      <c r="AC247" s="94"/>
      <c r="AD247" s="93"/>
      <c r="AE247" s="85"/>
    </row>
    <row r="248" spans="7:31" x14ac:dyDescent="0.35">
      <c r="G248" s="85"/>
      <c r="H248" s="87"/>
      <c r="K248" s="85"/>
      <c r="M248" s="94"/>
      <c r="N248" s="93"/>
      <c r="O248" s="85"/>
      <c r="Q248" s="94"/>
      <c r="R248" s="93"/>
      <c r="S248" s="85"/>
      <c r="U248" s="94"/>
      <c r="V248" s="93"/>
      <c r="W248" s="85"/>
      <c r="Y248" s="94"/>
      <c r="Z248" s="93"/>
      <c r="AA248" s="85"/>
      <c r="AC248" s="94"/>
      <c r="AD248" s="93"/>
      <c r="AE248" s="85"/>
    </row>
    <row r="249" spans="7:31" x14ac:dyDescent="0.35">
      <c r="G249" s="85"/>
      <c r="H249" s="87"/>
      <c r="K249" s="85"/>
      <c r="M249" s="94"/>
      <c r="N249" s="93"/>
      <c r="O249" s="85"/>
      <c r="Q249" s="94"/>
      <c r="R249" s="93"/>
      <c r="S249" s="85"/>
      <c r="U249" s="94"/>
      <c r="V249" s="93"/>
      <c r="W249" s="85"/>
      <c r="Y249" s="94"/>
      <c r="Z249" s="93"/>
      <c r="AA249" s="85"/>
      <c r="AC249" s="94"/>
      <c r="AD249" s="93"/>
      <c r="AE249" s="85"/>
    </row>
    <row r="250" spans="7:31" x14ac:dyDescent="0.35">
      <c r="G250" s="85"/>
      <c r="H250" s="87"/>
      <c r="K250" s="85"/>
      <c r="M250" s="94"/>
      <c r="N250" s="93"/>
      <c r="O250" s="85"/>
      <c r="Q250" s="94"/>
      <c r="R250" s="93"/>
      <c r="S250" s="85"/>
      <c r="U250" s="94"/>
      <c r="V250" s="93"/>
      <c r="W250" s="85"/>
      <c r="Y250" s="94"/>
      <c r="Z250" s="93"/>
      <c r="AA250" s="85"/>
      <c r="AC250" s="94"/>
      <c r="AD250" s="93"/>
      <c r="AE250" s="85"/>
    </row>
    <row r="251" spans="7:31" x14ac:dyDescent="0.35">
      <c r="G251" s="85"/>
      <c r="H251" s="87"/>
      <c r="K251" s="85"/>
      <c r="M251" s="94"/>
      <c r="N251" s="93"/>
      <c r="O251" s="85"/>
      <c r="Q251" s="94"/>
      <c r="R251" s="93"/>
      <c r="S251" s="85"/>
      <c r="U251" s="94"/>
      <c r="V251" s="93"/>
      <c r="W251" s="85"/>
      <c r="Y251" s="94"/>
      <c r="Z251" s="93"/>
      <c r="AA251" s="85"/>
      <c r="AC251" s="94"/>
      <c r="AD251" s="93"/>
      <c r="AE251" s="85"/>
    </row>
    <row r="252" spans="7:31" x14ac:dyDescent="0.35">
      <c r="G252" s="85"/>
      <c r="H252" s="87"/>
      <c r="K252" s="85"/>
      <c r="M252" s="94"/>
      <c r="N252" s="93"/>
      <c r="O252" s="85"/>
      <c r="Q252" s="94"/>
      <c r="R252" s="93"/>
      <c r="S252" s="85"/>
      <c r="U252" s="94"/>
      <c r="V252" s="93"/>
      <c r="W252" s="85"/>
      <c r="Y252" s="94"/>
      <c r="Z252" s="93"/>
      <c r="AA252" s="85"/>
      <c r="AC252" s="94"/>
      <c r="AD252" s="93"/>
      <c r="AE252" s="85"/>
    </row>
    <row r="253" spans="7:31" x14ac:dyDescent="0.35">
      <c r="G253" s="85"/>
      <c r="H253" s="87"/>
      <c r="K253" s="85"/>
      <c r="M253" s="94"/>
      <c r="N253" s="93"/>
      <c r="O253" s="85"/>
      <c r="Q253" s="94"/>
      <c r="R253" s="93"/>
      <c r="S253" s="85"/>
      <c r="U253" s="94"/>
      <c r="V253" s="93"/>
      <c r="W253" s="85"/>
      <c r="Y253" s="94"/>
      <c r="Z253" s="93"/>
      <c r="AA253" s="85"/>
      <c r="AC253" s="94"/>
      <c r="AD253" s="93"/>
      <c r="AE253" s="85"/>
    </row>
    <row r="254" spans="7:31" x14ac:dyDescent="0.35">
      <c r="G254" s="85"/>
      <c r="H254" s="87"/>
      <c r="K254" s="85"/>
      <c r="M254" s="94"/>
      <c r="N254" s="93"/>
      <c r="O254" s="85"/>
      <c r="Q254" s="94"/>
      <c r="R254" s="93"/>
      <c r="S254" s="85"/>
      <c r="U254" s="94"/>
      <c r="V254" s="93"/>
      <c r="W254" s="85"/>
      <c r="Y254" s="94"/>
      <c r="Z254" s="93"/>
      <c r="AA254" s="85"/>
      <c r="AC254" s="94"/>
      <c r="AD254" s="93"/>
      <c r="AE254" s="85"/>
    </row>
    <row r="255" spans="7:31" x14ac:dyDescent="0.35">
      <c r="G255" s="85"/>
      <c r="H255" s="87"/>
      <c r="K255" s="85"/>
      <c r="M255" s="94"/>
      <c r="N255" s="93"/>
      <c r="O255" s="85"/>
      <c r="Q255" s="94"/>
      <c r="R255" s="93"/>
      <c r="S255" s="85"/>
      <c r="U255" s="94"/>
      <c r="V255" s="93"/>
      <c r="W255" s="85"/>
      <c r="Y255" s="94"/>
      <c r="Z255" s="93"/>
      <c r="AA255" s="85"/>
      <c r="AC255" s="94"/>
      <c r="AD255" s="93"/>
      <c r="AE255" s="85"/>
    </row>
    <row r="256" spans="7:31" x14ac:dyDescent="0.35">
      <c r="G256" s="85"/>
      <c r="H256" s="87"/>
      <c r="K256" s="85"/>
      <c r="M256" s="94"/>
      <c r="N256" s="93"/>
      <c r="O256" s="85"/>
      <c r="Q256" s="94"/>
      <c r="R256" s="93"/>
      <c r="S256" s="85"/>
      <c r="U256" s="94"/>
      <c r="V256" s="93"/>
      <c r="W256" s="85"/>
      <c r="Y256" s="94"/>
      <c r="Z256" s="93"/>
      <c r="AA256" s="85"/>
      <c r="AC256" s="94"/>
      <c r="AD256" s="93"/>
      <c r="AE256" s="85"/>
    </row>
    <row r="257" spans="7:31" x14ac:dyDescent="0.35">
      <c r="G257" s="85"/>
      <c r="H257" s="87"/>
      <c r="K257" s="85"/>
      <c r="M257" s="94"/>
      <c r="N257" s="93"/>
      <c r="O257" s="85"/>
      <c r="Q257" s="94"/>
      <c r="R257" s="93"/>
      <c r="S257" s="85"/>
      <c r="U257" s="94"/>
      <c r="V257" s="93"/>
      <c r="W257" s="85"/>
      <c r="Y257" s="94"/>
      <c r="Z257" s="93"/>
      <c r="AA257" s="85"/>
      <c r="AC257" s="94"/>
      <c r="AD257" s="93"/>
      <c r="AE257" s="85"/>
    </row>
    <row r="258" spans="7:31" x14ac:dyDescent="0.35">
      <c r="G258" s="85"/>
      <c r="H258" s="87"/>
      <c r="K258" s="85"/>
      <c r="M258" s="94"/>
      <c r="N258" s="93"/>
      <c r="O258" s="85"/>
      <c r="Q258" s="94"/>
      <c r="R258" s="93"/>
      <c r="S258" s="85"/>
      <c r="U258" s="94"/>
      <c r="V258" s="93"/>
      <c r="W258" s="85"/>
      <c r="Y258" s="94"/>
      <c r="Z258" s="93"/>
      <c r="AA258" s="85"/>
      <c r="AC258" s="94"/>
      <c r="AD258" s="93"/>
      <c r="AE258" s="85"/>
    </row>
    <row r="259" spans="7:31" x14ac:dyDescent="0.35">
      <c r="G259" s="85"/>
      <c r="H259" s="87"/>
      <c r="K259" s="85"/>
      <c r="M259" s="94"/>
      <c r="N259" s="93"/>
      <c r="O259" s="85"/>
      <c r="Q259" s="94"/>
      <c r="R259" s="93"/>
      <c r="S259" s="85"/>
      <c r="U259" s="94"/>
      <c r="V259" s="93"/>
      <c r="W259" s="85"/>
      <c r="Y259" s="94"/>
      <c r="Z259" s="93"/>
      <c r="AA259" s="85"/>
      <c r="AC259" s="94"/>
      <c r="AD259" s="93"/>
      <c r="AE259" s="85"/>
    </row>
    <row r="260" spans="7:31" x14ac:dyDescent="0.35">
      <c r="G260" s="85"/>
      <c r="H260" s="87"/>
      <c r="K260" s="85"/>
      <c r="M260" s="94"/>
      <c r="N260" s="93"/>
      <c r="O260" s="85"/>
      <c r="Q260" s="94"/>
      <c r="R260" s="93"/>
      <c r="S260" s="85"/>
      <c r="U260" s="94"/>
      <c r="V260" s="93"/>
      <c r="W260" s="85"/>
      <c r="Y260" s="94"/>
      <c r="Z260" s="93"/>
      <c r="AA260" s="85"/>
      <c r="AC260" s="94"/>
      <c r="AD260" s="93"/>
      <c r="AE260" s="85"/>
    </row>
    <row r="261" spans="7:31" x14ac:dyDescent="0.35">
      <c r="G261" s="85"/>
      <c r="H261" s="87"/>
      <c r="K261" s="85"/>
      <c r="M261" s="94"/>
      <c r="N261" s="93"/>
      <c r="O261" s="85"/>
      <c r="Q261" s="94"/>
      <c r="R261" s="93"/>
      <c r="S261" s="85"/>
      <c r="U261" s="94"/>
      <c r="V261" s="93"/>
      <c r="W261" s="85"/>
      <c r="Y261" s="94"/>
      <c r="Z261" s="93"/>
      <c r="AA261" s="85"/>
      <c r="AC261" s="94"/>
      <c r="AD261" s="93"/>
      <c r="AE261" s="85"/>
    </row>
    <row r="262" spans="7:31" x14ac:dyDescent="0.35">
      <c r="G262" s="85"/>
      <c r="H262" s="87"/>
      <c r="K262" s="85"/>
      <c r="M262" s="94"/>
      <c r="N262" s="93"/>
      <c r="O262" s="85"/>
      <c r="Q262" s="94"/>
      <c r="R262" s="93"/>
      <c r="S262" s="85"/>
      <c r="U262" s="94"/>
      <c r="V262" s="93"/>
      <c r="W262" s="85"/>
      <c r="Y262" s="94"/>
      <c r="Z262" s="93"/>
      <c r="AA262" s="85"/>
      <c r="AC262" s="94"/>
      <c r="AD262" s="93"/>
      <c r="AE262" s="85"/>
    </row>
    <row r="263" spans="7:31" x14ac:dyDescent="0.35">
      <c r="G263" s="85"/>
      <c r="H263" s="87"/>
      <c r="K263" s="85"/>
      <c r="M263" s="94"/>
      <c r="N263" s="93"/>
      <c r="O263" s="85"/>
      <c r="Q263" s="94"/>
      <c r="R263" s="93"/>
      <c r="S263" s="85"/>
      <c r="U263" s="94"/>
      <c r="V263" s="93"/>
      <c r="W263" s="85"/>
      <c r="Y263" s="94"/>
      <c r="Z263" s="93"/>
      <c r="AA263" s="85"/>
      <c r="AC263" s="94"/>
      <c r="AD263" s="93"/>
      <c r="AE263" s="85"/>
    </row>
    <row r="264" spans="7:31" x14ac:dyDescent="0.35">
      <c r="G264" s="85"/>
      <c r="H264" s="87"/>
      <c r="K264" s="85"/>
      <c r="M264" s="94"/>
      <c r="N264" s="93"/>
      <c r="O264" s="85"/>
      <c r="Q264" s="94"/>
      <c r="R264" s="93"/>
      <c r="S264" s="85"/>
      <c r="U264" s="94"/>
      <c r="V264" s="93"/>
      <c r="W264" s="85"/>
      <c r="Y264" s="94"/>
      <c r="Z264" s="93"/>
      <c r="AA264" s="85"/>
      <c r="AC264" s="94"/>
      <c r="AD264" s="93"/>
      <c r="AE264" s="85"/>
    </row>
    <row r="265" spans="7:31" x14ac:dyDescent="0.35">
      <c r="G265" s="85"/>
      <c r="H265" s="87"/>
      <c r="K265" s="85"/>
      <c r="M265" s="94"/>
      <c r="N265" s="93"/>
      <c r="O265" s="85"/>
      <c r="Q265" s="94"/>
      <c r="R265" s="93"/>
      <c r="S265" s="85"/>
      <c r="U265" s="94"/>
      <c r="V265" s="93"/>
      <c r="W265" s="85"/>
      <c r="Y265" s="94"/>
      <c r="Z265" s="93"/>
      <c r="AA265" s="85"/>
      <c r="AC265" s="94"/>
      <c r="AD265" s="93"/>
      <c r="AE265" s="85"/>
    </row>
    <row r="266" spans="7:31" x14ac:dyDescent="0.35">
      <c r="G266" s="85"/>
      <c r="H266" s="87"/>
      <c r="K266" s="85"/>
      <c r="M266" s="94"/>
      <c r="N266" s="93"/>
      <c r="O266" s="85"/>
      <c r="Q266" s="94"/>
      <c r="R266" s="93"/>
      <c r="S266" s="85"/>
      <c r="U266" s="94"/>
      <c r="V266" s="93"/>
      <c r="W266" s="85"/>
      <c r="Y266" s="94"/>
      <c r="Z266" s="93"/>
      <c r="AA266" s="85"/>
      <c r="AC266" s="94"/>
      <c r="AD266" s="93"/>
      <c r="AE266" s="85"/>
    </row>
    <row r="267" spans="7:31" x14ac:dyDescent="0.35">
      <c r="G267" s="85"/>
      <c r="H267" s="87"/>
      <c r="K267" s="85"/>
      <c r="M267" s="94"/>
      <c r="N267" s="93"/>
      <c r="O267" s="85"/>
      <c r="Q267" s="94"/>
      <c r="R267" s="93"/>
      <c r="S267" s="85"/>
      <c r="U267" s="94"/>
      <c r="V267" s="93"/>
      <c r="W267" s="85"/>
      <c r="Y267" s="94"/>
      <c r="Z267" s="93"/>
      <c r="AA267" s="85"/>
      <c r="AC267" s="94"/>
      <c r="AD267" s="93"/>
      <c r="AE267" s="85"/>
    </row>
    <row r="268" spans="7:31" x14ac:dyDescent="0.35">
      <c r="G268" s="85"/>
      <c r="H268" s="87"/>
      <c r="K268" s="85"/>
      <c r="M268" s="94"/>
      <c r="N268" s="93"/>
      <c r="O268" s="85"/>
      <c r="Q268" s="94"/>
      <c r="R268" s="93"/>
      <c r="S268" s="85"/>
      <c r="U268" s="94"/>
      <c r="V268" s="93"/>
      <c r="W268" s="85"/>
      <c r="Y268" s="94"/>
      <c r="Z268" s="93"/>
      <c r="AA268" s="85"/>
      <c r="AC268" s="94"/>
      <c r="AD268" s="93"/>
      <c r="AE268" s="85"/>
    </row>
    <row r="269" spans="7:31" x14ac:dyDescent="0.35">
      <c r="G269" s="85"/>
      <c r="H269" s="87"/>
      <c r="K269" s="85"/>
      <c r="M269" s="94"/>
      <c r="N269" s="93"/>
      <c r="O269" s="85"/>
      <c r="Q269" s="94"/>
      <c r="R269" s="93"/>
      <c r="S269" s="85"/>
      <c r="U269" s="94"/>
      <c r="V269" s="93"/>
      <c r="W269" s="85"/>
      <c r="Y269" s="94"/>
      <c r="Z269" s="93"/>
      <c r="AA269" s="85"/>
      <c r="AC269" s="94"/>
      <c r="AD269" s="93"/>
      <c r="AE269" s="85"/>
    </row>
    <row r="270" spans="7:31" x14ac:dyDescent="0.35">
      <c r="G270" s="85"/>
      <c r="H270" s="87"/>
      <c r="K270" s="85"/>
      <c r="M270" s="94"/>
      <c r="N270" s="93"/>
      <c r="O270" s="85"/>
      <c r="Q270" s="94"/>
      <c r="R270" s="93"/>
      <c r="S270" s="85"/>
      <c r="U270" s="94"/>
      <c r="V270" s="93"/>
      <c r="W270" s="85"/>
      <c r="Y270" s="94"/>
      <c r="Z270" s="93"/>
      <c r="AA270" s="85"/>
      <c r="AC270" s="94"/>
      <c r="AD270" s="93"/>
      <c r="AE270" s="85"/>
    </row>
    <row r="271" spans="7:31" x14ac:dyDescent="0.35">
      <c r="G271" s="85"/>
      <c r="H271" s="87"/>
      <c r="K271" s="85"/>
      <c r="M271" s="94"/>
      <c r="N271" s="93"/>
      <c r="O271" s="85"/>
      <c r="Q271" s="94"/>
      <c r="R271" s="93"/>
      <c r="S271" s="85"/>
      <c r="U271" s="94"/>
      <c r="V271" s="93"/>
      <c r="W271" s="85"/>
      <c r="Y271" s="94"/>
      <c r="Z271" s="93"/>
      <c r="AA271" s="85"/>
      <c r="AC271" s="94"/>
      <c r="AD271" s="93"/>
      <c r="AE271" s="85"/>
    </row>
    <row r="272" spans="7:31" x14ac:dyDescent="0.35">
      <c r="G272" s="85"/>
      <c r="H272" s="87"/>
      <c r="K272" s="85"/>
      <c r="M272" s="94"/>
      <c r="N272" s="93"/>
      <c r="O272" s="85"/>
      <c r="Q272" s="94"/>
      <c r="R272" s="93"/>
      <c r="S272" s="85"/>
      <c r="U272" s="94"/>
      <c r="V272" s="93"/>
      <c r="W272" s="85"/>
      <c r="Y272" s="94"/>
      <c r="Z272" s="93"/>
      <c r="AA272" s="85"/>
      <c r="AC272" s="94"/>
      <c r="AD272" s="93"/>
      <c r="AE272" s="85"/>
    </row>
    <row r="273" spans="7:31" x14ac:dyDescent="0.35">
      <c r="G273" s="85"/>
      <c r="H273" s="87"/>
      <c r="K273" s="85"/>
      <c r="M273" s="94"/>
      <c r="N273" s="93"/>
      <c r="O273" s="85"/>
      <c r="Q273" s="94"/>
      <c r="R273" s="93"/>
      <c r="S273" s="85"/>
      <c r="U273" s="94"/>
      <c r="V273" s="93"/>
      <c r="W273" s="85"/>
      <c r="Y273" s="94"/>
      <c r="Z273" s="93"/>
      <c r="AA273" s="85"/>
      <c r="AC273" s="94"/>
      <c r="AD273" s="93"/>
      <c r="AE273" s="85"/>
    </row>
    <row r="274" spans="7:31" x14ac:dyDescent="0.35">
      <c r="G274" s="85"/>
      <c r="H274" s="87"/>
      <c r="K274" s="85"/>
      <c r="M274" s="94"/>
      <c r="N274" s="93"/>
      <c r="O274" s="85"/>
      <c r="Q274" s="94"/>
      <c r="R274" s="93"/>
      <c r="S274" s="85"/>
      <c r="U274" s="94"/>
      <c r="V274" s="93"/>
      <c r="W274" s="85"/>
      <c r="Y274" s="94"/>
      <c r="Z274" s="93"/>
      <c r="AA274" s="85"/>
      <c r="AC274" s="94"/>
      <c r="AD274" s="93"/>
      <c r="AE274" s="85"/>
    </row>
    <row r="275" spans="7:31" x14ac:dyDescent="0.35">
      <c r="G275" s="85"/>
      <c r="H275" s="87"/>
      <c r="K275" s="85"/>
      <c r="M275" s="94"/>
      <c r="N275" s="93"/>
      <c r="O275" s="85"/>
      <c r="Q275" s="94"/>
      <c r="R275" s="93"/>
      <c r="S275" s="85"/>
      <c r="U275" s="94"/>
      <c r="V275" s="93"/>
      <c r="W275" s="85"/>
      <c r="Y275" s="94"/>
      <c r="Z275" s="93"/>
      <c r="AA275" s="85"/>
      <c r="AC275" s="94"/>
      <c r="AD275" s="93"/>
      <c r="AE275" s="85"/>
    </row>
    <row r="276" spans="7:31" x14ac:dyDescent="0.35">
      <c r="G276" s="85"/>
      <c r="H276" s="87"/>
      <c r="K276" s="85"/>
      <c r="M276" s="94"/>
      <c r="N276" s="93"/>
      <c r="O276" s="85"/>
      <c r="Q276" s="94"/>
      <c r="R276" s="93"/>
      <c r="S276" s="85"/>
      <c r="U276" s="94"/>
      <c r="V276" s="93"/>
      <c r="W276" s="85"/>
      <c r="Y276" s="94"/>
      <c r="Z276" s="93"/>
      <c r="AA276" s="85"/>
      <c r="AC276" s="94"/>
      <c r="AD276" s="93"/>
      <c r="AE276" s="85"/>
    </row>
    <row r="277" spans="7:31" x14ac:dyDescent="0.35">
      <c r="G277" s="85"/>
      <c r="H277" s="87"/>
      <c r="K277" s="85"/>
      <c r="M277" s="94"/>
      <c r="N277" s="93"/>
      <c r="O277" s="85"/>
      <c r="Q277" s="94"/>
      <c r="R277" s="93"/>
      <c r="S277" s="85"/>
      <c r="U277" s="94"/>
      <c r="V277" s="93"/>
      <c r="W277" s="85"/>
      <c r="Y277" s="94"/>
      <c r="Z277" s="93"/>
      <c r="AA277" s="85"/>
      <c r="AC277" s="94"/>
      <c r="AD277" s="93"/>
      <c r="AE277" s="85"/>
    </row>
    <row r="278" spans="7:31" x14ac:dyDescent="0.35">
      <c r="G278" s="85"/>
      <c r="H278" s="87"/>
      <c r="K278" s="85"/>
      <c r="M278" s="94"/>
      <c r="N278" s="93"/>
      <c r="O278" s="85"/>
      <c r="Q278" s="94"/>
      <c r="R278" s="93"/>
      <c r="S278" s="85"/>
      <c r="U278" s="94"/>
      <c r="V278" s="93"/>
      <c r="W278" s="85"/>
      <c r="Y278" s="94"/>
      <c r="Z278" s="93"/>
      <c r="AA278" s="85"/>
      <c r="AC278" s="94"/>
      <c r="AD278" s="93"/>
      <c r="AE278" s="85"/>
    </row>
    <row r="279" spans="7:31" x14ac:dyDescent="0.35">
      <c r="G279" s="85"/>
      <c r="H279" s="87"/>
      <c r="K279" s="85"/>
      <c r="M279" s="94"/>
      <c r="N279" s="93"/>
      <c r="O279" s="85"/>
      <c r="Q279" s="94"/>
      <c r="R279" s="93"/>
      <c r="S279" s="85"/>
      <c r="U279" s="94"/>
      <c r="V279" s="93"/>
      <c r="W279" s="85"/>
      <c r="Y279" s="94"/>
      <c r="Z279" s="93"/>
      <c r="AA279" s="85"/>
      <c r="AC279" s="94"/>
      <c r="AD279" s="93"/>
      <c r="AE279" s="85"/>
    </row>
    <row r="280" spans="7:31" x14ac:dyDescent="0.35">
      <c r="G280" s="85"/>
      <c r="H280" s="87"/>
      <c r="K280" s="85"/>
      <c r="M280" s="94"/>
      <c r="N280" s="93"/>
      <c r="O280" s="85"/>
      <c r="Q280" s="94"/>
      <c r="R280" s="93"/>
      <c r="S280" s="85"/>
      <c r="U280" s="94"/>
      <c r="V280" s="93"/>
      <c r="W280" s="85"/>
      <c r="Y280" s="94"/>
      <c r="Z280" s="93"/>
      <c r="AA280" s="85"/>
      <c r="AC280" s="94"/>
      <c r="AD280" s="93"/>
      <c r="AE280" s="85"/>
    </row>
    <row r="281" spans="7:31" x14ac:dyDescent="0.35">
      <c r="G281" s="85"/>
      <c r="H281" s="87"/>
      <c r="K281" s="85"/>
      <c r="M281" s="94"/>
      <c r="N281" s="93"/>
      <c r="O281" s="85"/>
      <c r="Q281" s="94"/>
      <c r="R281" s="93"/>
      <c r="S281" s="85"/>
      <c r="U281" s="94"/>
      <c r="V281" s="93"/>
      <c r="W281" s="85"/>
      <c r="Y281" s="94"/>
      <c r="Z281" s="93"/>
      <c r="AA281" s="85"/>
      <c r="AC281" s="94"/>
      <c r="AD281" s="93"/>
      <c r="AE281" s="85"/>
    </row>
    <row r="282" spans="7:31" x14ac:dyDescent="0.35">
      <c r="G282" s="85"/>
      <c r="H282" s="87"/>
      <c r="K282" s="85"/>
      <c r="M282" s="94"/>
      <c r="N282" s="93"/>
      <c r="O282" s="85"/>
      <c r="Q282" s="94"/>
      <c r="R282" s="93"/>
      <c r="S282" s="85"/>
      <c r="U282" s="94"/>
      <c r="V282" s="93"/>
      <c r="W282" s="85"/>
      <c r="Y282" s="94"/>
      <c r="Z282" s="93"/>
      <c r="AA282" s="85"/>
      <c r="AC282" s="94"/>
      <c r="AD282" s="93"/>
      <c r="AE282" s="85"/>
    </row>
    <row r="283" spans="7:31" x14ac:dyDescent="0.35">
      <c r="G283" s="85"/>
      <c r="H283" s="87"/>
      <c r="K283" s="85"/>
      <c r="M283" s="94"/>
      <c r="N283" s="93"/>
      <c r="O283" s="85"/>
      <c r="Q283" s="94"/>
      <c r="R283" s="93"/>
      <c r="S283" s="85"/>
      <c r="U283" s="94"/>
      <c r="V283" s="93"/>
      <c r="W283" s="85"/>
      <c r="Y283" s="94"/>
      <c r="Z283" s="93"/>
      <c r="AA283" s="85"/>
      <c r="AC283" s="94"/>
      <c r="AD283" s="93"/>
      <c r="AE283" s="85"/>
    </row>
    <row r="284" spans="7:31" x14ac:dyDescent="0.35">
      <c r="G284" s="85"/>
      <c r="H284" s="87"/>
      <c r="K284" s="85"/>
      <c r="M284" s="94"/>
      <c r="N284" s="93"/>
      <c r="O284" s="85"/>
      <c r="Q284" s="94"/>
      <c r="R284" s="93"/>
      <c r="S284" s="85"/>
      <c r="U284" s="94"/>
      <c r="V284" s="93"/>
      <c r="W284" s="85"/>
      <c r="Y284" s="94"/>
      <c r="Z284" s="93"/>
      <c r="AA284" s="85"/>
      <c r="AC284" s="94"/>
      <c r="AD284" s="93"/>
      <c r="AE284" s="85"/>
    </row>
    <row r="285" spans="7:31" x14ac:dyDescent="0.35">
      <c r="G285" s="85"/>
      <c r="H285" s="87"/>
      <c r="K285" s="85"/>
      <c r="M285" s="94"/>
      <c r="N285" s="93"/>
      <c r="O285" s="85"/>
      <c r="Q285" s="94"/>
      <c r="R285" s="93"/>
      <c r="S285" s="85"/>
      <c r="U285" s="94"/>
      <c r="V285" s="93"/>
      <c r="W285" s="85"/>
      <c r="Y285" s="94"/>
      <c r="Z285" s="93"/>
      <c r="AA285" s="85"/>
      <c r="AC285" s="94"/>
      <c r="AD285" s="93"/>
      <c r="AE285" s="85"/>
    </row>
    <row r="286" spans="7:31" x14ac:dyDescent="0.35">
      <c r="G286" s="85"/>
      <c r="H286" s="87"/>
      <c r="K286" s="85"/>
      <c r="M286" s="94"/>
      <c r="N286" s="93"/>
      <c r="O286" s="85"/>
      <c r="Q286" s="94"/>
      <c r="R286" s="93"/>
      <c r="S286" s="85"/>
      <c r="U286" s="94"/>
      <c r="V286" s="93"/>
      <c r="W286" s="85"/>
      <c r="Y286" s="94"/>
      <c r="Z286" s="93"/>
      <c r="AA286" s="85"/>
      <c r="AC286" s="94"/>
      <c r="AD286" s="93"/>
      <c r="AE286" s="85"/>
    </row>
    <row r="287" spans="7:31" x14ac:dyDescent="0.35">
      <c r="G287" s="85"/>
      <c r="H287" s="87"/>
      <c r="K287" s="85"/>
      <c r="M287" s="94"/>
      <c r="N287" s="93"/>
      <c r="O287" s="85"/>
      <c r="Q287" s="94"/>
      <c r="R287" s="93"/>
      <c r="S287" s="85"/>
      <c r="U287" s="94"/>
      <c r="V287" s="93"/>
      <c r="W287" s="85"/>
      <c r="Y287" s="94"/>
      <c r="Z287" s="93"/>
      <c r="AA287" s="85"/>
      <c r="AC287" s="94"/>
      <c r="AD287" s="93"/>
      <c r="AE287" s="85"/>
    </row>
    <row r="288" spans="7:31" x14ac:dyDescent="0.35">
      <c r="G288" s="85"/>
      <c r="H288" s="87"/>
      <c r="K288" s="85"/>
      <c r="M288" s="94"/>
      <c r="N288" s="93"/>
      <c r="O288" s="85"/>
      <c r="Q288" s="94"/>
      <c r="R288" s="93"/>
      <c r="S288" s="85"/>
      <c r="U288" s="94"/>
      <c r="V288" s="93"/>
      <c r="W288" s="85"/>
      <c r="Y288" s="94"/>
      <c r="Z288" s="93"/>
      <c r="AA288" s="85"/>
      <c r="AC288" s="94"/>
      <c r="AD288" s="93"/>
      <c r="AE288" s="85"/>
    </row>
    <row r="289" spans="7:31" x14ac:dyDescent="0.35">
      <c r="G289" s="85"/>
      <c r="H289" s="87"/>
      <c r="K289" s="85"/>
      <c r="M289" s="94"/>
      <c r="N289" s="93"/>
      <c r="O289" s="85"/>
      <c r="Q289" s="94"/>
      <c r="R289" s="93"/>
      <c r="S289" s="85"/>
      <c r="U289" s="94"/>
      <c r="V289" s="93"/>
      <c r="W289" s="85"/>
      <c r="Y289" s="94"/>
      <c r="Z289" s="93"/>
      <c r="AA289" s="85"/>
      <c r="AC289" s="94"/>
      <c r="AD289" s="93"/>
      <c r="AE289" s="85"/>
    </row>
    <row r="290" spans="7:31" x14ac:dyDescent="0.35">
      <c r="G290" s="85"/>
      <c r="H290" s="87"/>
      <c r="K290" s="85"/>
      <c r="M290" s="94"/>
      <c r="N290" s="93"/>
      <c r="O290" s="85"/>
      <c r="Q290" s="94"/>
      <c r="R290" s="93"/>
      <c r="S290" s="85"/>
      <c r="U290" s="94"/>
      <c r="V290" s="93"/>
      <c r="W290" s="85"/>
      <c r="Y290" s="94"/>
      <c r="Z290" s="93"/>
      <c r="AA290" s="85"/>
      <c r="AC290" s="94"/>
      <c r="AD290" s="93"/>
      <c r="AE290" s="85"/>
    </row>
    <row r="291" spans="7:31" x14ac:dyDescent="0.35">
      <c r="G291" s="85"/>
      <c r="H291" s="87"/>
      <c r="K291" s="85"/>
      <c r="M291" s="94"/>
      <c r="N291" s="93"/>
      <c r="O291" s="85"/>
      <c r="Q291" s="94"/>
      <c r="R291" s="93"/>
      <c r="S291" s="85"/>
      <c r="U291" s="94"/>
      <c r="V291" s="93"/>
      <c r="W291" s="85"/>
      <c r="Y291" s="94"/>
      <c r="Z291" s="93"/>
      <c r="AA291" s="85"/>
      <c r="AC291" s="94"/>
      <c r="AD291" s="93"/>
      <c r="AE291" s="85"/>
    </row>
    <row r="292" spans="7:31" x14ac:dyDescent="0.35">
      <c r="G292" s="85"/>
      <c r="H292" s="87"/>
      <c r="K292" s="85"/>
      <c r="M292" s="94"/>
      <c r="N292" s="93"/>
      <c r="O292" s="85"/>
      <c r="Q292" s="94"/>
      <c r="R292" s="93"/>
      <c r="S292" s="85"/>
      <c r="U292" s="94"/>
      <c r="V292" s="93"/>
      <c r="W292" s="85"/>
      <c r="Y292" s="94"/>
      <c r="Z292" s="93"/>
      <c r="AA292" s="85"/>
      <c r="AC292" s="94"/>
      <c r="AD292" s="93"/>
      <c r="AE292" s="85"/>
    </row>
    <row r="293" spans="7:31" x14ac:dyDescent="0.35">
      <c r="G293" s="85"/>
      <c r="H293" s="87"/>
      <c r="K293" s="85"/>
      <c r="M293" s="94"/>
      <c r="N293" s="93"/>
      <c r="O293" s="85"/>
      <c r="Q293" s="94"/>
      <c r="R293" s="93"/>
      <c r="S293" s="85"/>
      <c r="U293" s="94"/>
      <c r="V293" s="93"/>
      <c r="W293" s="85"/>
      <c r="Y293" s="94"/>
      <c r="Z293" s="93"/>
      <c r="AA293" s="85"/>
      <c r="AC293" s="94"/>
      <c r="AD293" s="93"/>
      <c r="AE293" s="85"/>
    </row>
    <row r="294" spans="7:31" x14ac:dyDescent="0.35">
      <c r="G294" s="85"/>
      <c r="H294" s="87"/>
      <c r="K294" s="85"/>
      <c r="M294" s="94"/>
      <c r="N294" s="93"/>
      <c r="O294" s="85"/>
      <c r="Q294" s="94"/>
      <c r="R294" s="93"/>
      <c r="S294" s="85"/>
      <c r="U294" s="94"/>
      <c r="V294" s="93"/>
      <c r="W294" s="85"/>
      <c r="Y294" s="94"/>
      <c r="Z294" s="93"/>
      <c r="AA294" s="85"/>
      <c r="AC294" s="94"/>
      <c r="AD294" s="93"/>
      <c r="AE294" s="85"/>
    </row>
    <row r="295" spans="7:31" x14ac:dyDescent="0.35">
      <c r="G295" s="85"/>
      <c r="H295" s="87"/>
      <c r="K295" s="85"/>
      <c r="M295" s="94"/>
      <c r="N295" s="93"/>
      <c r="O295" s="85"/>
      <c r="Q295" s="94"/>
      <c r="R295" s="93"/>
      <c r="S295" s="85"/>
      <c r="U295" s="94"/>
      <c r="V295" s="93"/>
      <c r="W295" s="85"/>
      <c r="Y295" s="94"/>
      <c r="Z295" s="93"/>
      <c r="AA295" s="85"/>
      <c r="AC295" s="94"/>
      <c r="AD295" s="93"/>
      <c r="AE295" s="85"/>
    </row>
    <row r="296" spans="7:31" x14ac:dyDescent="0.35">
      <c r="G296" s="85"/>
      <c r="H296" s="87"/>
      <c r="K296" s="85"/>
      <c r="M296" s="94"/>
      <c r="N296" s="93"/>
      <c r="O296" s="85"/>
      <c r="Q296" s="94"/>
      <c r="R296" s="93"/>
      <c r="S296" s="85"/>
      <c r="U296" s="94"/>
      <c r="V296" s="93"/>
      <c r="W296" s="85"/>
      <c r="Y296" s="94"/>
      <c r="Z296" s="93"/>
      <c r="AA296" s="85"/>
      <c r="AC296" s="94"/>
      <c r="AD296" s="93"/>
      <c r="AE296" s="85"/>
    </row>
    <row r="297" spans="7:31" x14ac:dyDescent="0.35">
      <c r="G297" s="85"/>
      <c r="H297" s="87"/>
      <c r="K297" s="85"/>
      <c r="M297" s="94"/>
      <c r="N297" s="93"/>
      <c r="O297" s="85"/>
      <c r="Q297" s="94"/>
      <c r="R297" s="93"/>
      <c r="S297" s="85"/>
      <c r="U297" s="94"/>
      <c r="V297" s="93"/>
      <c r="W297" s="85"/>
      <c r="Y297" s="94"/>
      <c r="Z297" s="93"/>
      <c r="AA297" s="85"/>
      <c r="AC297" s="94"/>
      <c r="AD297" s="93"/>
      <c r="AE297" s="85"/>
    </row>
    <row r="298" spans="7:31" x14ac:dyDescent="0.35">
      <c r="G298" s="85"/>
      <c r="H298" s="87"/>
      <c r="K298" s="85"/>
      <c r="M298" s="94"/>
      <c r="N298" s="93"/>
      <c r="O298" s="85"/>
      <c r="Q298" s="94"/>
      <c r="R298" s="93"/>
      <c r="S298" s="85"/>
      <c r="U298" s="94"/>
      <c r="V298" s="93"/>
      <c r="W298" s="85"/>
      <c r="Y298" s="94"/>
      <c r="Z298" s="93"/>
      <c r="AA298" s="85"/>
      <c r="AC298" s="94"/>
      <c r="AD298" s="93"/>
      <c r="AE298" s="85"/>
    </row>
    <row r="299" spans="7:31" x14ac:dyDescent="0.35">
      <c r="G299" s="85"/>
      <c r="H299" s="87"/>
      <c r="K299" s="85"/>
      <c r="M299" s="94"/>
      <c r="N299" s="93"/>
      <c r="O299" s="85"/>
      <c r="Q299" s="94"/>
      <c r="R299" s="93"/>
      <c r="S299" s="85"/>
      <c r="U299" s="94"/>
      <c r="V299" s="93"/>
      <c r="W299" s="85"/>
      <c r="Y299" s="94"/>
      <c r="Z299" s="93"/>
      <c r="AA299" s="85"/>
      <c r="AC299" s="94"/>
      <c r="AD299" s="93"/>
      <c r="AE299" s="85"/>
    </row>
    <row r="300" spans="7:31" x14ac:dyDescent="0.35">
      <c r="G300" s="85"/>
      <c r="H300" s="87"/>
      <c r="K300" s="85"/>
      <c r="M300" s="94"/>
      <c r="N300" s="93"/>
      <c r="O300" s="85"/>
      <c r="Q300" s="94"/>
      <c r="R300" s="93"/>
      <c r="S300" s="85"/>
      <c r="U300" s="94"/>
      <c r="V300" s="93"/>
      <c r="W300" s="85"/>
      <c r="Y300" s="94"/>
      <c r="Z300" s="93"/>
      <c r="AA300" s="85"/>
      <c r="AC300" s="94"/>
      <c r="AD300" s="93"/>
      <c r="AE300" s="85"/>
    </row>
    <row r="301" spans="7:31" x14ac:dyDescent="0.35">
      <c r="G301" s="85"/>
      <c r="H301" s="87"/>
      <c r="K301" s="85"/>
      <c r="M301" s="94"/>
      <c r="N301" s="93"/>
      <c r="O301" s="85"/>
      <c r="Q301" s="94"/>
      <c r="R301" s="93"/>
      <c r="S301" s="85"/>
      <c r="U301" s="94"/>
      <c r="V301" s="93"/>
      <c r="W301" s="85"/>
      <c r="Y301" s="94"/>
      <c r="Z301" s="93"/>
      <c r="AA301" s="85"/>
      <c r="AC301" s="94"/>
      <c r="AD301" s="93"/>
      <c r="AE301" s="85"/>
    </row>
    <row r="302" spans="7:31" x14ac:dyDescent="0.35">
      <c r="G302" s="85"/>
      <c r="H302" s="87"/>
      <c r="K302" s="85"/>
      <c r="M302" s="94"/>
      <c r="N302" s="93"/>
      <c r="O302" s="85"/>
      <c r="Q302" s="94"/>
      <c r="R302" s="93"/>
      <c r="S302" s="85"/>
      <c r="U302" s="94"/>
      <c r="V302" s="93"/>
      <c r="W302" s="85"/>
      <c r="Y302" s="94"/>
      <c r="Z302" s="93"/>
      <c r="AA302" s="85"/>
      <c r="AC302" s="94"/>
      <c r="AD302" s="93"/>
      <c r="AE302" s="85"/>
    </row>
    <row r="303" spans="7:31" x14ac:dyDescent="0.35">
      <c r="G303" s="85"/>
      <c r="H303" s="87"/>
      <c r="K303" s="85"/>
      <c r="M303" s="94"/>
      <c r="N303" s="93"/>
      <c r="O303" s="85"/>
      <c r="Q303" s="94"/>
      <c r="R303" s="93"/>
      <c r="S303" s="85"/>
      <c r="U303" s="94"/>
      <c r="V303" s="93"/>
      <c r="W303" s="85"/>
      <c r="Y303" s="94"/>
      <c r="Z303" s="93"/>
      <c r="AA303" s="85"/>
      <c r="AC303" s="94"/>
      <c r="AD303" s="93"/>
      <c r="AE303" s="85"/>
    </row>
    <row r="304" spans="7:31" x14ac:dyDescent="0.35">
      <c r="G304" s="85"/>
      <c r="H304" s="87"/>
      <c r="K304" s="85"/>
      <c r="M304" s="94"/>
      <c r="N304" s="93"/>
      <c r="O304" s="85"/>
      <c r="Q304" s="94"/>
      <c r="R304" s="93"/>
      <c r="S304" s="85"/>
      <c r="U304" s="94"/>
      <c r="V304" s="93"/>
      <c r="W304" s="85"/>
      <c r="Y304" s="94"/>
      <c r="Z304" s="93"/>
      <c r="AA304" s="85"/>
      <c r="AC304" s="94"/>
      <c r="AD304" s="93"/>
      <c r="AE304" s="85"/>
    </row>
    <row r="305" spans="7:31" x14ac:dyDescent="0.35">
      <c r="G305" s="85"/>
      <c r="H305" s="87"/>
      <c r="K305" s="85"/>
      <c r="M305" s="94"/>
      <c r="N305" s="93"/>
      <c r="O305" s="85"/>
      <c r="Q305" s="94"/>
      <c r="R305" s="93"/>
      <c r="S305" s="85"/>
      <c r="U305" s="94"/>
      <c r="V305" s="93"/>
      <c r="W305" s="85"/>
      <c r="Y305" s="94"/>
      <c r="Z305" s="93"/>
      <c r="AA305" s="85"/>
      <c r="AC305" s="94"/>
      <c r="AD305" s="93"/>
      <c r="AE305" s="85"/>
    </row>
    <row r="306" spans="7:31" x14ac:dyDescent="0.35">
      <c r="G306" s="85"/>
      <c r="H306" s="87"/>
      <c r="K306" s="85"/>
      <c r="M306" s="94"/>
      <c r="N306" s="93"/>
      <c r="O306" s="85"/>
      <c r="Q306" s="94"/>
      <c r="R306" s="93"/>
      <c r="S306" s="85"/>
      <c r="U306" s="94"/>
      <c r="V306" s="93"/>
      <c r="W306" s="85"/>
      <c r="Y306" s="94"/>
      <c r="Z306" s="93"/>
      <c r="AA306" s="85"/>
      <c r="AC306" s="94"/>
      <c r="AD306" s="93"/>
      <c r="AE306" s="85"/>
    </row>
    <row r="307" spans="7:31" x14ac:dyDescent="0.35">
      <c r="G307" s="85"/>
      <c r="H307" s="87"/>
      <c r="K307" s="85"/>
      <c r="M307" s="94"/>
      <c r="N307" s="93"/>
      <c r="O307" s="85"/>
      <c r="Q307" s="94"/>
      <c r="R307" s="93"/>
      <c r="S307" s="85"/>
      <c r="U307" s="94"/>
      <c r="V307" s="93"/>
      <c r="W307" s="85"/>
      <c r="Y307" s="94"/>
      <c r="Z307" s="93"/>
      <c r="AA307" s="85"/>
      <c r="AC307" s="94"/>
      <c r="AD307" s="93"/>
      <c r="AE307" s="85"/>
    </row>
    <row r="308" spans="7:31" x14ac:dyDescent="0.35">
      <c r="G308" s="85"/>
      <c r="H308" s="87"/>
      <c r="K308" s="85"/>
      <c r="M308" s="94"/>
      <c r="N308" s="93"/>
      <c r="O308" s="85"/>
      <c r="Q308" s="94"/>
      <c r="R308" s="93"/>
      <c r="S308" s="85"/>
      <c r="U308" s="94"/>
      <c r="V308" s="93"/>
      <c r="W308" s="85"/>
      <c r="Y308" s="94"/>
      <c r="Z308" s="93"/>
      <c r="AA308" s="85"/>
      <c r="AC308" s="94"/>
      <c r="AD308" s="93"/>
      <c r="AE308" s="85"/>
    </row>
    <row r="309" spans="7:31" x14ac:dyDescent="0.35">
      <c r="G309" s="85"/>
      <c r="H309" s="87"/>
      <c r="K309" s="85"/>
      <c r="M309" s="94"/>
      <c r="N309" s="93"/>
      <c r="O309" s="85"/>
      <c r="Q309" s="94"/>
      <c r="R309" s="93"/>
      <c r="S309" s="85"/>
      <c r="U309" s="94"/>
      <c r="V309" s="93"/>
      <c r="W309" s="85"/>
      <c r="Y309" s="94"/>
      <c r="Z309" s="93"/>
      <c r="AA309" s="85"/>
      <c r="AC309" s="94"/>
      <c r="AD309" s="93"/>
      <c r="AE309" s="85"/>
    </row>
    <row r="310" spans="7:31" x14ac:dyDescent="0.35">
      <c r="G310" s="85"/>
      <c r="H310" s="87"/>
      <c r="K310" s="85"/>
      <c r="M310" s="94"/>
      <c r="N310" s="93"/>
      <c r="O310" s="85"/>
      <c r="Q310" s="94"/>
      <c r="R310" s="93"/>
      <c r="S310" s="85"/>
      <c r="U310" s="94"/>
      <c r="V310" s="93"/>
      <c r="W310" s="85"/>
      <c r="Y310" s="94"/>
      <c r="Z310" s="93"/>
      <c r="AA310" s="85"/>
      <c r="AC310" s="94"/>
      <c r="AD310" s="93"/>
      <c r="AE310" s="85"/>
    </row>
    <row r="311" spans="7:31" x14ac:dyDescent="0.35">
      <c r="G311" s="85"/>
      <c r="H311" s="87"/>
      <c r="K311" s="85"/>
      <c r="M311" s="94"/>
      <c r="N311" s="93"/>
      <c r="O311" s="85"/>
      <c r="Q311" s="94"/>
      <c r="R311" s="93"/>
      <c r="S311" s="85"/>
      <c r="U311" s="94"/>
      <c r="V311" s="93"/>
      <c r="W311" s="85"/>
      <c r="Y311" s="94"/>
      <c r="Z311" s="93"/>
      <c r="AA311" s="85"/>
      <c r="AC311" s="94"/>
      <c r="AD311" s="93"/>
      <c r="AE311" s="85"/>
    </row>
    <row r="312" spans="7:31" x14ac:dyDescent="0.35">
      <c r="G312" s="85"/>
      <c r="H312" s="87"/>
      <c r="K312" s="85"/>
      <c r="M312" s="94"/>
      <c r="N312" s="93"/>
      <c r="O312" s="85"/>
      <c r="Q312" s="94"/>
      <c r="R312" s="93"/>
      <c r="S312" s="85"/>
      <c r="U312" s="94"/>
      <c r="V312" s="93"/>
      <c r="W312" s="85"/>
      <c r="Y312" s="94"/>
      <c r="Z312" s="93"/>
      <c r="AA312" s="85"/>
      <c r="AC312" s="94"/>
      <c r="AD312" s="93"/>
      <c r="AE312" s="85"/>
    </row>
    <row r="313" spans="7:31" x14ac:dyDescent="0.35">
      <c r="G313" s="85"/>
      <c r="H313" s="87"/>
      <c r="K313" s="85"/>
      <c r="M313" s="94"/>
      <c r="N313" s="93"/>
      <c r="O313" s="85"/>
      <c r="Q313" s="94"/>
      <c r="R313" s="93"/>
      <c r="S313" s="85"/>
      <c r="U313" s="94"/>
      <c r="V313" s="93"/>
      <c r="W313" s="85"/>
      <c r="Y313" s="94"/>
      <c r="Z313" s="93"/>
      <c r="AA313" s="85"/>
      <c r="AC313" s="94"/>
      <c r="AD313" s="93"/>
      <c r="AE313" s="85"/>
    </row>
    <row r="314" spans="7:31" x14ac:dyDescent="0.35">
      <c r="G314" s="85"/>
      <c r="H314" s="87"/>
      <c r="K314" s="85"/>
      <c r="M314" s="94"/>
      <c r="N314" s="93"/>
      <c r="O314" s="85"/>
      <c r="Q314" s="94"/>
      <c r="R314" s="93"/>
      <c r="S314" s="85"/>
      <c r="U314" s="94"/>
      <c r="V314" s="93"/>
      <c r="W314" s="85"/>
      <c r="Y314" s="94"/>
      <c r="Z314" s="93"/>
      <c r="AA314" s="85"/>
      <c r="AC314" s="94"/>
      <c r="AD314" s="93"/>
      <c r="AE314" s="85"/>
    </row>
    <row r="315" spans="7:31" x14ac:dyDescent="0.35">
      <c r="G315" s="85"/>
      <c r="H315" s="87"/>
      <c r="K315" s="85"/>
      <c r="M315" s="94"/>
      <c r="N315" s="93"/>
      <c r="O315" s="85"/>
      <c r="Q315" s="94"/>
      <c r="R315" s="93"/>
      <c r="S315" s="85"/>
      <c r="U315" s="94"/>
      <c r="V315" s="93"/>
      <c r="W315" s="85"/>
      <c r="Y315" s="94"/>
      <c r="Z315" s="93"/>
      <c r="AA315" s="85"/>
      <c r="AC315" s="94"/>
      <c r="AD315" s="93"/>
      <c r="AE315" s="85"/>
    </row>
    <row r="316" spans="7:31" x14ac:dyDescent="0.35">
      <c r="G316" s="85"/>
      <c r="H316" s="87"/>
      <c r="K316" s="85"/>
      <c r="M316" s="94"/>
      <c r="N316" s="93"/>
      <c r="O316" s="85"/>
      <c r="Q316" s="94"/>
      <c r="R316" s="93"/>
      <c r="S316" s="85"/>
      <c r="U316" s="94"/>
      <c r="V316" s="93"/>
      <c r="W316" s="85"/>
      <c r="Y316" s="94"/>
      <c r="Z316" s="93"/>
      <c r="AA316" s="85"/>
      <c r="AC316" s="94"/>
      <c r="AD316" s="93"/>
      <c r="AE316" s="85"/>
    </row>
    <row r="317" spans="7:31" x14ac:dyDescent="0.35">
      <c r="G317" s="85"/>
      <c r="H317" s="87"/>
      <c r="K317" s="85"/>
      <c r="M317" s="94"/>
      <c r="N317" s="93"/>
      <c r="O317" s="85"/>
      <c r="Q317" s="94"/>
      <c r="R317" s="93"/>
      <c r="S317" s="85"/>
      <c r="U317" s="94"/>
      <c r="V317" s="93"/>
      <c r="W317" s="85"/>
      <c r="Y317" s="94"/>
      <c r="Z317" s="93"/>
      <c r="AA317" s="85"/>
      <c r="AC317" s="94"/>
      <c r="AD317" s="93"/>
      <c r="AE317" s="85"/>
    </row>
    <row r="318" spans="7:31" x14ac:dyDescent="0.35">
      <c r="G318" s="85"/>
      <c r="H318" s="87"/>
      <c r="K318" s="85"/>
      <c r="M318" s="94"/>
      <c r="N318" s="93"/>
      <c r="O318" s="85"/>
      <c r="Q318" s="94"/>
      <c r="R318" s="93"/>
      <c r="S318" s="85"/>
      <c r="U318" s="94"/>
      <c r="V318" s="93"/>
      <c r="W318" s="85"/>
      <c r="Y318" s="94"/>
      <c r="Z318" s="93"/>
      <c r="AA318" s="85"/>
      <c r="AC318" s="94"/>
      <c r="AD318" s="93"/>
      <c r="AE318" s="85"/>
    </row>
    <row r="319" spans="7:31" x14ac:dyDescent="0.35">
      <c r="G319" s="85"/>
      <c r="H319" s="87"/>
      <c r="K319" s="85"/>
      <c r="M319" s="94"/>
      <c r="N319" s="93"/>
      <c r="O319" s="85"/>
      <c r="Q319" s="94"/>
      <c r="R319" s="93"/>
      <c r="S319" s="85"/>
      <c r="U319" s="94"/>
      <c r="V319" s="93"/>
      <c r="W319" s="85"/>
      <c r="Y319" s="94"/>
      <c r="Z319" s="93"/>
      <c r="AA319" s="85"/>
      <c r="AC319" s="94"/>
      <c r="AD319" s="93"/>
      <c r="AE319" s="85"/>
    </row>
    <row r="320" spans="7:31" x14ac:dyDescent="0.35">
      <c r="G320" s="85"/>
      <c r="H320" s="87"/>
      <c r="K320" s="85"/>
      <c r="M320" s="94"/>
      <c r="N320" s="93"/>
      <c r="O320" s="85"/>
      <c r="Q320" s="94"/>
      <c r="R320" s="93"/>
      <c r="S320" s="85"/>
      <c r="U320" s="94"/>
      <c r="V320" s="93"/>
      <c r="W320" s="85"/>
      <c r="Y320" s="94"/>
      <c r="Z320" s="93"/>
      <c r="AA320" s="85"/>
      <c r="AC320" s="94"/>
      <c r="AD320" s="93"/>
      <c r="AE320" s="85"/>
    </row>
    <row r="321" spans="7:31" x14ac:dyDescent="0.35">
      <c r="G321" s="85"/>
      <c r="H321" s="87"/>
      <c r="K321" s="85"/>
      <c r="M321" s="94"/>
      <c r="N321" s="93"/>
      <c r="O321" s="85"/>
      <c r="Q321" s="94"/>
      <c r="R321" s="93"/>
      <c r="S321" s="85"/>
      <c r="U321" s="94"/>
      <c r="V321" s="93"/>
      <c r="W321" s="85"/>
      <c r="Y321" s="94"/>
      <c r="Z321" s="93"/>
      <c r="AA321" s="85"/>
      <c r="AC321" s="94"/>
      <c r="AD321" s="93"/>
      <c r="AE321" s="85"/>
    </row>
    <row r="322" spans="7:31" x14ac:dyDescent="0.35">
      <c r="G322" s="85"/>
      <c r="H322" s="87"/>
      <c r="K322" s="85"/>
      <c r="M322" s="94"/>
      <c r="N322" s="93"/>
      <c r="O322" s="85"/>
      <c r="Q322" s="94"/>
      <c r="R322" s="93"/>
      <c r="S322" s="85"/>
      <c r="U322" s="94"/>
      <c r="V322" s="93"/>
      <c r="W322" s="85"/>
      <c r="Y322" s="94"/>
      <c r="Z322" s="93"/>
      <c r="AA322" s="85"/>
      <c r="AC322" s="94"/>
      <c r="AD322" s="93"/>
      <c r="AE322" s="85"/>
    </row>
    <row r="323" spans="7:31" x14ac:dyDescent="0.35">
      <c r="G323" s="85"/>
      <c r="H323" s="87"/>
      <c r="K323" s="85"/>
      <c r="M323" s="94"/>
      <c r="N323" s="93"/>
      <c r="O323" s="85"/>
      <c r="Q323" s="94"/>
      <c r="R323" s="93"/>
      <c r="S323" s="85"/>
      <c r="U323" s="94"/>
      <c r="V323" s="93"/>
      <c r="W323" s="85"/>
      <c r="Y323" s="94"/>
      <c r="Z323" s="93"/>
      <c r="AA323" s="85"/>
      <c r="AC323" s="94"/>
      <c r="AD323" s="93"/>
      <c r="AE323" s="85"/>
    </row>
    <row r="324" spans="7:31" x14ac:dyDescent="0.35">
      <c r="G324" s="85"/>
      <c r="H324" s="87"/>
      <c r="K324" s="85"/>
      <c r="M324" s="94"/>
      <c r="N324" s="93"/>
      <c r="O324" s="85"/>
      <c r="Q324" s="94"/>
      <c r="R324" s="93"/>
      <c r="S324" s="85"/>
      <c r="U324" s="94"/>
      <c r="V324" s="93"/>
      <c r="W324" s="85"/>
      <c r="Y324" s="94"/>
      <c r="Z324" s="93"/>
      <c r="AA324" s="85"/>
      <c r="AC324" s="94"/>
      <c r="AD324" s="93"/>
      <c r="AE324" s="85"/>
    </row>
    <row r="325" spans="7:31" x14ac:dyDescent="0.35">
      <c r="G325" s="85"/>
      <c r="H325" s="87"/>
      <c r="K325" s="85"/>
      <c r="M325" s="94"/>
      <c r="N325" s="93"/>
      <c r="O325" s="85"/>
      <c r="Q325" s="94"/>
      <c r="R325" s="93"/>
      <c r="S325" s="85"/>
      <c r="U325" s="94"/>
      <c r="V325" s="93"/>
      <c r="W325" s="85"/>
      <c r="Y325" s="94"/>
      <c r="Z325" s="93"/>
      <c r="AA325" s="85"/>
      <c r="AC325" s="94"/>
      <c r="AD325" s="93"/>
      <c r="AE325" s="85"/>
    </row>
    <row r="326" spans="7:31" x14ac:dyDescent="0.35">
      <c r="G326" s="85"/>
      <c r="H326" s="87"/>
      <c r="K326" s="85"/>
      <c r="M326" s="94"/>
      <c r="N326" s="93"/>
      <c r="O326" s="85"/>
      <c r="Q326" s="94"/>
      <c r="R326" s="93"/>
      <c r="S326" s="85"/>
      <c r="U326" s="94"/>
      <c r="V326" s="93"/>
      <c r="W326" s="85"/>
      <c r="Y326" s="94"/>
      <c r="Z326" s="93"/>
      <c r="AA326" s="85"/>
      <c r="AC326" s="94"/>
      <c r="AD326" s="93"/>
      <c r="AE326" s="85"/>
    </row>
    <row r="327" spans="7:31" x14ac:dyDescent="0.35">
      <c r="G327" s="85"/>
      <c r="H327" s="87"/>
      <c r="K327" s="85"/>
      <c r="M327" s="94"/>
      <c r="N327" s="93"/>
      <c r="O327" s="85"/>
      <c r="Q327" s="94"/>
      <c r="R327" s="93"/>
      <c r="S327" s="85"/>
      <c r="U327" s="94"/>
      <c r="V327" s="93"/>
      <c r="W327" s="85"/>
      <c r="Y327" s="94"/>
      <c r="Z327" s="93"/>
      <c r="AA327" s="85"/>
      <c r="AC327" s="94"/>
      <c r="AD327" s="93"/>
      <c r="AE327" s="85"/>
    </row>
    <row r="328" spans="7:31" x14ac:dyDescent="0.35">
      <c r="G328" s="85"/>
      <c r="H328" s="87"/>
      <c r="K328" s="85"/>
      <c r="M328" s="94"/>
      <c r="N328" s="93"/>
      <c r="O328" s="85"/>
      <c r="Q328" s="94"/>
      <c r="R328" s="93"/>
      <c r="S328" s="85"/>
      <c r="U328" s="94"/>
      <c r="V328" s="93"/>
      <c r="W328" s="85"/>
      <c r="Y328" s="94"/>
      <c r="Z328" s="93"/>
      <c r="AA328" s="85"/>
      <c r="AC328" s="94"/>
      <c r="AD328" s="93"/>
      <c r="AE328" s="85"/>
    </row>
    <row r="329" spans="7:31" x14ac:dyDescent="0.35">
      <c r="G329" s="85"/>
      <c r="H329" s="87"/>
      <c r="K329" s="85"/>
      <c r="M329" s="94"/>
      <c r="N329" s="93"/>
      <c r="O329" s="85"/>
      <c r="Q329" s="94"/>
      <c r="R329" s="93"/>
      <c r="S329" s="85"/>
      <c r="U329" s="94"/>
      <c r="V329" s="93"/>
      <c r="W329" s="85"/>
      <c r="Y329" s="94"/>
      <c r="Z329" s="93"/>
      <c r="AA329" s="85"/>
      <c r="AC329" s="94"/>
      <c r="AD329" s="93"/>
      <c r="AE329" s="85"/>
    </row>
    <row r="330" spans="7:31" x14ac:dyDescent="0.35">
      <c r="G330" s="85"/>
      <c r="H330" s="87"/>
      <c r="K330" s="85"/>
      <c r="M330" s="94"/>
      <c r="N330" s="93"/>
      <c r="O330" s="85"/>
      <c r="Q330" s="94"/>
      <c r="R330" s="93"/>
      <c r="S330" s="85"/>
      <c r="U330" s="94"/>
      <c r="V330" s="93"/>
      <c r="W330" s="85"/>
      <c r="Y330" s="94"/>
      <c r="Z330" s="93"/>
      <c r="AA330" s="85"/>
      <c r="AC330" s="94"/>
      <c r="AD330" s="93"/>
      <c r="AE330" s="85"/>
    </row>
    <row r="331" spans="7:31" x14ac:dyDescent="0.35">
      <c r="G331" s="85"/>
      <c r="H331" s="87"/>
      <c r="K331" s="85"/>
      <c r="M331" s="94"/>
      <c r="N331" s="93"/>
      <c r="O331" s="85"/>
      <c r="Q331" s="94"/>
      <c r="R331" s="93"/>
      <c r="S331" s="85"/>
      <c r="U331" s="94"/>
      <c r="V331" s="93"/>
      <c r="W331" s="85"/>
      <c r="Y331" s="94"/>
      <c r="Z331" s="93"/>
      <c r="AA331" s="85"/>
      <c r="AC331" s="94"/>
      <c r="AD331" s="93"/>
      <c r="AE331" s="85"/>
    </row>
    <row r="332" spans="7:31" x14ac:dyDescent="0.35">
      <c r="G332" s="85"/>
      <c r="H332" s="87"/>
      <c r="K332" s="85"/>
      <c r="M332" s="94"/>
      <c r="N332" s="93"/>
      <c r="O332" s="85"/>
      <c r="Q332" s="94"/>
      <c r="R332" s="93"/>
      <c r="S332" s="85"/>
      <c r="U332" s="94"/>
      <c r="V332" s="93"/>
      <c r="W332" s="85"/>
      <c r="Y332" s="94"/>
      <c r="Z332" s="93"/>
      <c r="AA332" s="85"/>
      <c r="AC332" s="94"/>
      <c r="AD332" s="93"/>
      <c r="AE332" s="85"/>
    </row>
    <row r="333" spans="7:31" x14ac:dyDescent="0.35">
      <c r="G333" s="85"/>
      <c r="H333" s="87"/>
      <c r="K333" s="85"/>
      <c r="M333" s="94"/>
      <c r="N333" s="93"/>
      <c r="O333" s="85"/>
      <c r="Q333" s="94"/>
      <c r="R333" s="93"/>
      <c r="S333" s="85"/>
      <c r="U333" s="94"/>
      <c r="V333" s="93"/>
      <c r="W333" s="85"/>
      <c r="Y333" s="94"/>
      <c r="Z333" s="93"/>
      <c r="AA333" s="85"/>
      <c r="AC333" s="94"/>
      <c r="AD333" s="93"/>
      <c r="AE333" s="85"/>
    </row>
    <row r="334" spans="7:31" x14ac:dyDescent="0.35">
      <c r="G334" s="85"/>
      <c r="H334" s="87"/>
      <c r="K334" s="85"/>
      <c r="M334" s="94"/>
      <c r="N334" s="93"/>
      <c r="O334" s="85"/>
      <c r="Q334" s="94"/>
      <c r="R334" s="93"/>
      <c r="S334" s="85"/>
      <c r="U334" s="94"/>
      <c r="V334" s="93"/>
      <c r="W334" s="85"/>
      <c r="Y334" s="94"/>
      <c r="Z334" s="93"/>
      <c r="AA334" s="85"/>
      <c r="AC334" s="94"/>
      <c r="AD334" s="93"/>
      <c r="AE334" s="85"/>
    </row>
    <row r="335" spans="7:31" x14ac:dyDescent="0.35">
      <c r="G335" s="85"/>
      <c r="H335" s="87"/>
      <c r="K335" s="85"/>
      <c r="M335" s="94"/>
      <c r="N335" s="93"/>
      <c r="O335" s="85"/>
      <c r="Q335" s="94"/>
      <c r="R335" s="93"/>
      <c r="S335" s="85"/>
      <c r="U335" s="94"/>
      <c r="V335" s="93"/>
      <c r="W335" s="85"/>
      <c r="Y335" s="94"/>
      <c r="Z335" s="93"/>
      <c r="AA335" s="85"/>
      <c r="AC335" s="94"/>
      <c r="AD335" s="93"/>
      <c r="AE335" s="85"/>
    </row>
    <row r="336" spans="7:31" x14ac:dyDescent="0.35">
      <c r="G336" s="85"/>
      <c r="H336" s="87"/>
      <c r="K336" s="85"/>
      <c r="M336" s="94"/>
      <c r="N336" s="93"/>
      <c r="O336" s="85"/>
      <c r="Q336" s="94"/>
      <c r="R336" s="93"/>
      <c r="S336" s="85"/>
      <c r="U336" s="94"/>
      <c r="V336" s="93"/>
      <c r="W336" s="85"/>
      <c r="Y336" s="94"/>
      <c r="Z336" s="93"/>
      <c r="AA336" s="85"/>
      <c r="AC336" s="94"/>
      <c r="AD336" s="93"/>
      <c r="AE336" s="85"/>
    </row>
    <row r="337" spans="7:31" x14ac:dyDescent="0.35">
      <c r="G337" s="85"/>
      <c r="H337" s="87"/>
      <c r="K337" s="85"/>
      <c r="M337" s="94"/>
      <c r="N337" s="93"/>
      <c r="O337" s="85"/>
      <c r="Q337" s="94"/>
      <c r="R337" s="93"/>
      <c r="S337" s="85"/>
      <c r="U337" s="94"/>
      <c r="V337" s="93"/>
      <c r="W337" s="85"/>
      <c r="Y337" s="94"/>
      <c r="Z337" s="93"/>
      <c r="AA337" s="85"/>
      <c r="AC337" s="94"/>
      <c r="AD337" s="93"/>
      <c r="AE337" s="85"/>
    </row>
    <row r="338" spans="7:31" x14ac:dyDescent="0.35">
      <c r="G338" s="85"/>
      <c r="H338" s="87"/>
      <c r="K338" s="85"/>
      <c r="M338" s="94"/>
      <c r="N338" s="93"/>
      <c r="O338" s="85"/>
      <c r="Q338" s="94"/>
      <c r="R338" s="93"/>
      <c r="S338" s="85"/>
      <c r="U338" s="94"/>
      <c r="V338" s="93"/>
      <c r="W338" s="85"/>
      <c r="Y338" s="94"/>
      <c r="Z338" s="93"/>
      <c r="AA338" s="85"/>
      <c r="AC338" s="94"/>
      <c r="AD338" s="93"/>
      <c r="AE338" s="85"/>
    </row>
    <row r="339" spans="7:31" x14ac:dyDescent="0.35">
      <c r="G339" s="85"/>
      <c r="H339" s="87"/>
      <c r="K339" s="85"/>
      <c r="M339" s="94"/>
      <c r="N339" s="93"/>
      <c r="O339" s="85"/>
      <c r="Q339" s="94"/>
      <c r="R339" s="93"/>
      <c r="S339" s="85"/>
      <c r="U339" s="94"/>
      <c r="V339" s="93"/>
      <c r="W339" s="85"/>
      <c r="Y339" s="94"/>
      <c r="Z339" s="93"/>
      <c r="AA339" s="85"/>
      <c r="AC339" s="94"/>
      <c r="AD339" s="93"/>
      <c r="AE339" s="85"/>
    </row>
    <row r="340" spans="7:31" x14ac:dyDescent="0.35">
      <c r="G340" s="85"/>
      <c r="H340" s="87"/>
      <c r="K340" s="85"/>
      <c r="M340" s="94"/>
      <c r="N340" s="93"/>
      <c r="O340" s="85"/>
      <c r="Q340" s="94"/>
      <c r="R340" s="93"/>
      <c r="S340" s="85"/>
      <c r="U340" s="94"/>
      <c r="V340" s="93"/>
      <c r="W340" s="85"/>
      <c r="Y340" s="94"/>
      <c r="Z340" s="93"/>
      <c r="AA340" s="85"/>
      <c r="AC340" s="94"/>
      <c r="AD340" s="93"/>
      <c r="AE340" s="85"/>
    </row>
    <row r="341" spans="7:31" x14ac:dyDescent="0.35">
      <c r="G341" s="85"/>
      <c r="H341" s="87"/>
      <c r="K341" s="85"/>
      <c r="M341" s="94"/>
      <c r="N341" s="93"/>
      <c r="O341" s="85"/>
      <c r="Q341" s="94"/>
      <c r="R341" s="93"/>
      <c r="S341" s="85"/>
      <c r="U341" s="94"/>
      <c r="V341" s="93"/>
      <c r="W341" s="85"/>
      <c r="Y341" s="94"/>
      <c r="Z341" s="93"/>
      <c r="AA341" s="85"/>
      <c r="AC341" s="94"/>
      <c r="AD341" s="93"/>
      <c r="AE341" s="85"/>
    </row>
    <row r="342" spans="7:31" x14ac:dyDescent="0.35">
      <c r="G342" s="85"/>
      <c r="H342" s="87"/>
      <c r="K342" s="85"/>
      <c r="M342" s="94"/>
      <c r="N342" s="93"/>
      <c r="O342" s="85"/>
      <c r="Q342" s="94"/>
      <c r="R342" s="93"/>
      <c r="S342" s="85"/>
      <c r="U342" s="94"/>
      <c r="V342" s="93"/>
      <c r="W342" s="85"/>
      <c r="Y342" s="94"/>
      <c r="Z342" s="93"/>
      <c r="AA342" s="85"/>
      <c r="AC342" s="94"/>
      <c r="AD342" s="93"/>
      <c r="AE342" s="85"/>
    </row>
    <row r="343" spans="7:31" x14ac:dyDescent="0.35">
      <c r="G343" s="85"/>
      <c r="H343" s="87"/>
      <c r="K343" s="85"/>
      <c r="M343" s="94"/>
      <c r="N343" s="93"/>
      <c r="O343" s="85"/>
      <c r="Q343" s="94"/>
      <c r="R343" s="93"/>
      <c r="S343" s="85"/>
      <c r="U343" s="94"/>
      <c r="V343" s="93"/>
      <c r="W343" s="85"/>
      <c r="Y343" s="94"/>
      <c r="Z343" s="93"/>
      <c r="AA343" s="85"/>
      <c r="AC343" s="94"/>
      <c r="AD343" s="93"/>
      <c r="AE343" s="85"/>
    </row>
    <row r="344" spans="7:31" x14ac:dyDescent="0.35">
      <c r="G344" s="85"/>
      <c r="H344" s="87"/>
      <c r="K344" s="85"/>
      <c r="M344" s="94"/>
      <c r="N344" s="93"/>
      <c r="O344" s="85"/>
      <c r="Q344" s="94"/>
      <c r="R344" s="93"/>
      <c r="S344" s="85"/>
      <c r="U344" s="94"/>
      <c r="V344" s="93"/>
      <c r="W344" s="85"/>
      <c r="Y344" s="94"/>
      <c r="Z344" s="93"/>
      <c r="AA344" s="85"/>
      <c r="AC344" s="94"/>
      <c r="AD344" s="93"/>
      <c r="AE344" s="85"/>
    </row>
    <row r="345" spans="7:31" x14ac:dyDescent="0.35">
      <c r="G345" s="85"/>
      <c r="H345" s="87"/>
      <c r="K345" s="85"/>
      <c r="M345" s="94"/>
      <c r="N345" s="93"/>
      <c r="O345" s="85"/>
      <c r="Q345" s="94"/>
      <c r="R345" s="93"/>
      <c r="S345" s="85"/>
      <c r="U345" s="94"/>
      <c r="V345" s="93"/>
      <c r="W345" s="85"/>
      <c r="Y345" s="94"/>
      <c r="Z345" s="93"/>
      <c r="AA345" s="85"/>
      <c r="AC345" s="94"/>
      <c r="AD345" s="93"/>
      <c r="AE345" s="85"/>
    </row>
    <row r="346" spans="7:31" x14ac:dyDescent="0.35">
      <c r="G346" s="85"/>
      <c r="H346" s="87"/>
      <c r="K346" s="85"/>
      <c r="M346" s="94"/>
      <c r="N346" s="93"/>
      <c r="O346" s="85"/>
      <c r="Q346" s="94"/>
      <c r="R346" s="93"/>
      <c r="S346" s="85"/>
      <c r="U346" s="94"/>
      <c r="V346" s="93"/>
      <c r="W346" s="85"/>
      <c r="Y346" s="94"/>
      <c r="Z346" s="93"/>
      <c r="AA346" s="85"/>
      <c r="AC346" s="94"/>
      <c r="AD346" s="93"/>
      <c r="AE346" s="85"/>
    </row>
    <row r="347" spans="7:31" x14ac:dyDescent="0.35">
      <c r="G347" s="85"/>
      <c r="H347" s="87"/>
      <c r="K347" s="85"/>
      <c r="M347" s="94"/>
      <c r="N347" s="93"/>
      <c r="O347" s="85"/>
      <c r="Q347" s="94"/>
      <c r="R347" s="93"/>
      <c r="S347" s="85"/>
      <c r="U347" s="94"/>
      <c r="V347" s="93"/>
      <c r="W347" s="85"/>
      <c r="Y347" s="94"/>
      <c r="Z347" s="93"/>
      <c r="AA347" s="85"/>
      <c r="AC347" s="94"/>
      <c r="AD347" s="93"/>
      <c r="AE347" s="85"/>
    </row>
    <row r="348" spans="7:31" x14ac:dyDescent="0.35">
      <c r="G348" s="85"/>
      <c r="H348" s="87"/>
      <c r="K348" s="85"/>
      <c r="M348" s="94"/>
      <c r="N348" s="93"/>
      <c r="O348" s="85"/>
      <c r="Q348" s="94"/>
      <c r="R348" s="93"/>
      <c r="S348" s="85"/>
      <c r="U348" s="94"/>
      <c r="V348" s="93"/>
      <c r="W348" s="85"/>
      <c r="Y348" s="94"/>
      <c r="Z348" s="93"/>
      <c r="AA348" s="85"/>
      <c r="AC348" s="94"/>
      <c r="AD348" s="93"/>
      <c r="AE348" s="85"/>
    </row>
    <row r="349" spans="7:31" x14ac:dyDescent="0.35">
      <c r="G349" s="85"/>
      <c r="H349" s="87"/>
      <c r="K349" s="85"/>
      <c r="M349" s="94"/>
      <c r="N349" s="93"/>
      <c r="O349" s="85"/>
      <c r="Q349" s="94"/>
      <c r="R349" s="93"/>
      <c r="S349" s="85"/>
      <c r="U349" s="94"/>
      <c r="V349" s="93"/>
      <c r="W349" s="85"/>
      <c r="Y349" s="94"/>
      <c r="Z349" s="93"/>
      <c r="AA349" s="85"/>
      <c r="AC349" s="94"/>
      <c r="AD349" s="93"/>
      <c r="AE349" s="85"/>
    </row>
    <row r="350" spans="7:31" x14ac:dyDescent="0.35">
      <c r="G350" s="85"/>
      <c r="H350" s="87"/>
      <c r="K350" s="85"/>
      <c r="M350" s="94"/>
      <c r="N350" s="93"/>
      <c r="O350" s="85"/>
      <c r="Q350" s="94"/>
      <c r="R350" s="93"/>
      <c r="S350" s="85"/>
      <c r="U350" s="94"/>
      <c r="V350" s="93"/>
      <c r="W350" s="85"/>
      <c r="Y350" s="94"/>
      <c r="Z350" s="93"/>
      <c r="AA350" s="85"/>
      <c r="AC350" s="94"/>
      <c r="AD350" s="93"/>
      <c r="AE350" s="85"/>
    </row>
    <row r="351" spans="7:31" x14ac:dyDescent="0.35">
      <c r="G351" s="85"/>
      <c r="H351" s="87"/>
      <c r="K351" s="85"/>
      <c r="M351" s="94"/>
      <c r="N351" s="93"/>
      <c r="O351" s="85"/>
      <c r="Q351" s="94"/>
      <c r="R351" s="93"/>
      <c r="S351" s="85"/>
      <c r="U351" s="94"/>
      <c r="V351" s="93"/>
      <c r="W351" s="85"/>
      <c r="Y351" s="94"/>
      <c r="Z351" s="93"/>
      <c r="AA351" s="85"/>
      <c r="AC351" s="94"/>
      <c r="AD351" s="93"/>
      <c r="AE351" s="85"/>
    </row>
    <row r="352" spans="7:31" x14ac:dyDescent="0.35">
      <c r="G352" s="85"/>
      <c r="H352" s="87"/>
      <c r="K352" s="85"/>
      <c r="M352" s="94"/>
      <c r="N352" s="93"/>
      <c r="O352" s="85"/>
      <c r="Q352" s="94"/>
      <c r="R352" s="93"/>
      <c r="S352" s="85"/>
      <c r="U352" s="94"/>
      <c r="V352" s="93"/>
      <c r="W352" s="85"/>
      <c r="Y352" s="94"/>
      <c r="Z352" s="93"/>
      <c r="AA352" s="85"/>
      <c r="AC352" s="94"/>
      <c r="AD352" s="93"/>
      <c r="AE352" s="85"/>
    </row>
    <row r="353" spans="7:31" x14ac:dyDescent="0.35">
      <c r="G353" s="85"/>
      <c r="H353" s="87"/>
      <c r="K353" s="85"/>
      <c r="M353" s="94"/>
      <c r="N353" s="93"/>
      <c r="O353" s="85"/>
      <c r="Q353" s="94"/>
      <c r="R353" s="93"/>
      <c r="S353" s="85"/>
      <c r="U353" s="94"/>
      <c r="V353" s="93"/>
      <c r="W353" s="85"/>
      <c r="Y353" s="94"/>
      <c r="Z353" s="93"/>
      <c r="AA353" s="85"/>
      <c r="AC353" s="94"/>
      <c r="AD353" s="93"/>
      <c r="AE353" s="85"/>
    </row>
    <row r="354" spans="7:31" x14ac:dyDescent="0.35">
      <c r="G354" s="85"/>
      <c r="H354" s="87"/>
      <c r="K354" s="85"/>
      <c r="M354" s="94"/>
      <c r="N354" s="93"/>
      <c r="O354" s="85"/>
      <c r="Q354" s="94"/>
      <c r="R354" s="93"/>
      <c r="S354" s="85"/>
      <c r="U354" s="94"/>
      <c r="V354" s="93"/>
      <c r="W354" s="85"/>
      <c r="Y354" s="94"/>
      <c r="Z354" s="93"/>
      <c r="AA354" s="85"/>
      <c r="AC354" s="94"/>
      <c r="AD354" s="93"/>
      <c r="AE354" s="85"/>
    </row>
    <row r="355" spans="7:31" x14ac:dyDescent="0.35">
      <c r="G355" s="85"/>
      <c r="H355" s="87"/>
      <c r="K355" s="85"/>
      <c r="M355" s="94"/>
      <c r="N355" s="93"/>
      <c r="O355" s="85"/>
      <c r="Q355" s="94"/>
      <c r="R355" s="93"/>
      <c r="S355" s="85"/>
      <c r="U355" s="94"/>
      <c r="V355" s="93"/>
      <c r="W355" s="85"/>
      <c r="Y355" s="94"/>
      <c r="Z355" s="93"/>
      <c r="AA355" s="85"/>
      <c r="AC355" s="94"/>
      <c r="AD355" s="93"/>
      <c r="AE355" s="85"/>
    </row>
    <row r="356" spans="7:31" x14ac:dyDescent="0.35">
      <c r="G356" s="85"/>
      <c r="H356" s="87"/>
      <c r="K356" s="85"/>
      <c r="M356" s="94"/>
      <c r="N356" s="93"/>
      <c r="O356" s="85"/>
      <c r="Q356" s="94"/>
      <c r="R356" s="93"/>
      <c r="S356" s="85"/>
      <c r="U356" s="94"/>
      <c r="V356" s="93"/>
      <c r="W356" s="85"/>
      <c r="Y356" s="94"/>
      <c r="Z356" s="93"/>
      <c r="AA356" s="85"/>
      <c r="AC356" s="94"/>
      <c r="AD356" s="93"/>
      <c r="AE356" s="85"/>
    </row>
    <row r="357" spans="7:31" x14ac:dyDescent="0.35">
      <c r="G357" s="85"/>
      <c r="H357" s="87"/>
      <c r="K357" s="85"/>
      <c r="M357" s="94"/>
      <c r="N357" s="93"/>
      <c r="O357" s="85"/>
      <c r="Q357" s="94"/>
      <c r="R357" s="93"/>
      <c r="S357" s="85"/>
      <c r="U357" s="94"/>
      <c r="V357" s="93"/>
      <c r="W357" s="85"/>
      <c r="Y357" s="94"/>
      <c r="Z357" s="93"/>
      <c r="AA357" s="85"/>
      <c r="AC357" s="94"/>
      <c r="AD357" s="93"/>
      <c r="AE357" s="85"/>
    </row>
    <row r="358" spans="7:31" x14ac:dyDescent="0.35">
      <c r="G358" s="85"/>
      <c r="H358" s="87"/>
      <c r="K358" s="85"/>
      <c r="M358" s="94"/>
      <c r="N358" s="93"/>
      <c r="O358" s="85"/>
      <c r="Q358" s="94"/>
      <c r="R358" s="93"/>
      <c r="S358" s="85"/>
      <c r="U358" s="94"/>
      <c r="V358" s="93"/>
      <c r="W358" s="85"/>
      <c r="Y358" s="94"/>
      <c r="Z358" s="93"/>
      <c r="AA358" s="85"/>
      <c r="AC358" s="94"/>
      <c r="AD358" s="93"/>
      <c r="AE358" s="85"/>
    </row>
    <row r="359" spans="7:31" x14ac:dyDescent="0.35">
      <c r="G359" s="85"/>
      <c r="H359" s="87"/>
      <c r="K359" s="85"/>
      <c r="M359" s="94"/>
      <c r="N359" s="93"/>
      <c r="O359" s="85"/>
      <c r="Q359" s="94"/>
      <c r="R359" s="93"/>
      <c r="S359" s="85"/>
      <c r="U359" s="94"/>
      <c r="V359" s="93"/>
      <c r="W359" s="85"/>
      <c r="Y359" s="94"/>
      <c r="Z359" s="93"/>
      <c r="AA359" s="85"/>
      <c r="AC359" s="94"/>
      <c r="AD359" s="93"/>
      <c r="AE359" s="85"/>
    </row>
    <row r="360" spans="7:31" x14ac:dyDescent="0.35">
      <c r="G360" s="85"/>
      <c r="H360" s="87"/>
      <c r="K360" s="85"/>
      <c r="M360" s="94"/>
      <c r="N360" s="93"/>
      <c r="O360" s="85"/>
      <c r="Q360" s="94"/>
      <c r="R360" s="93"/>
      <c r="S360" s="85"/>
      <c r="U360" s="94"/>
      <c r="V360" s="93"/>
      <c r="W360" s="85"/>
      <c r="Y360" s="94"/>
      <c r="Z360" s="93"/>
      <c r="AA360" s="85"/>
      <c r="AC360" s="94"/>
      <c r="AD360" s="93"/>
      <c r="AE360" s="85"/>
    </row>
    <row r="361" spans="7:31" x14ac:dyDescent="0.35">
      <c r="G361" s="85"/>
      <c r="H361" s="87"/>
      <c r="K361" s="85"/>
      <c r="M361" s="94"/>
      <c r="N361" s="93"/>
      <c r="O361" s="85"/>
      <c r="Q361" s="94"/>
      <c r="R361" s="93"/>
      <c r="S361" s="85"/>
      <c r="U361" s="94"/>
      <c r="V361" s="93"/>
      <c r="W361" s="85"/>
      <c r="Y361" s="94"/>
      <c r="Z361" s="93"/>
      <c r="AA361" s="85"/>
      <c r="AC361" s="94"/>
      <c r="AD361" s="93"/>
      <c r="AE361" s="85"/>
    </row>
    <row r="362" spans="7:31" x14ac:dyDescent="0.35">
      <c r="G362" s="85"/>
      <c r="H362" s="87"/>
      <c r="K362" s="85"/>
      <c r="M362" s="94"/>
      <c r="N362" s="93"/>
      <c r="O362" s="85"/>
      <c r="Q362" s="94"/>
      <c r="R362" s="93"/>
      <c r="S362" s="85"/>
      <c r="U362" s="94"/>
      <c r="V362" s="93"/>
      <c r="W362" s="85"/>
      <c r="Y362" s="94"/>
      <c r="Z362" s="93"/>
      <c r="AA362" s="85"/>
      <c r="AC362" s="94"/>
      <c r="AD362" s="93"/>
      <c r="AE362" s="85"/>
    </row>
    <row r="363" spans="7:31" x14ac:dyDescent="0.35">
      <c r="G363" s="85"/>
      <c r="H363" s="87"/>
      <c r="K363" s="85"/>
      <c r="M363" s="94"/>
      <c r="N363" s="93"/>
      <c r="O363" s="85"/>
      <c r="Q363" s="94"/>
      <c r="R363" s="93"/>
      <c r="S363" s="85"/>
      <c r="U363" s="94"/>
      <c r="V363" s="93"/>
      <c r="W363" s="85"/>
      <c r="Y363" s="94"/>
      <c r="Z363" s="93"/>
      <c r="AA363" s="85"/>
      <c r="AC363" s="94"/>
      <c r="AD363" s="93"/>
      <c r="AE363" s="85"/>
    </row>
    <row r="364" spans="7:31" x14ac:dyDescent="0.35">
      <c r="G364" s="85"/>
      <c r="H364" s="87"/>
      <c r="K364" s="85"/>
      <c r="M364" s="94"/>
      <c r="N364" s="93"/>
      <c r="O364" s="85"/>
      <c r="Q364" s="94"/>
      <c r="R364" s="93"/>
      <c r="S364" s="85"/>
      <c r="U364" s="94"/>
      <c r="V364" s="93"/>
      <c r="W364" s="85"/>
      <c r="Y364" s="94"/>
      <c r="Z364" s="93"/>
      <c r="AA364" s="85"/>
      <c r="AC364" s="94"/>
      <c r="AD364" s="93"/>
      <c r="AE364" s="85"/>
    </row>
    <row r="365" spans="7:31" x14ac:dyDescent="0.35">
      <c r="G365" s="85"/>
      <c r="H365" s="87"/>
      <c r="K365" s="85"/>
      <c r="M365" s="94"/>
      <c r="N365" s="93"/>
      <c r="O365" s="85"/>
      <c r="Q365" s="94"/>
      <c r="R365" s="93"/>
      <c r="S365" s="85"/>
      <c r="U365" s="94"/>
      <c r="V365" s="93"/>
      <c r="W365" s="85"/>
      <c r="Y365" s="94"/>
      <c r="Z365" s="93"/>
      <c r="AA365" s="85"/>
      <c r="AC365" s="94"/>
      <c r="AD365" s="93"/>
      <c r="AE365" s="85"/>
    </row>
    <row r="366" spans="7:31" x14ac:dyDescent="0.35">
      <c r="G366" s="85"/>
      <c r="H366" s="87"/>
      <c r="K366" s="85"/>
      <c r="M366" s="94"/>
      <c r="N366" s="93"/>
      <c r="O366" s="85"/>
      <c r="Q366" s="94"/>
      <c r="R366" s="93"/>
      <c r="S366" s="85"/>
      <c r="U366" s="94"/>
      <c r="V366" s="93"/>
      <c r="W366" s="85"/>
      <c r="Y366" s="94"/>
      <c r="Z366" s="93"/>
      <c r="AA366" s="85"/>
      <c r="AC366" s="94"/>
      <c r="AD366" s="93"/>
      <c r="AE366" s="85"/>
    </row>
    <row r="367" spans="7:31" x14ac:dyDescent="0.35">
      <c r="G367" s="85"/>
      <c r="H367" s="87"/>
      <c r="K367" s="85"/>
      <c r="M367" s="94"/>
      <c r="N367" s="93"/>
      <c r="O367" s="85"/>
      <c r="Q367" s="94"/>
      <c r="R367" s="93"/>
      <c r="S367" s="85"/>
      <c r="U367" s="94"/>
      <c r="V367" s="93"/>
      <c r="W367" s="85"/>
      <c r="Y367" s="94"/>
      <c r="Z367" s="93"/>
      <c r="AA367" s="85"/>
      <c r="AC367" s="94"/>
      <c r="AD367" s="93"/>
      <c r="AE367" s="85"/>
    </row>
    <row r="368" spans="7:31" x14ac:dyDescent="0.35">
      <c r="G368" s="85"/>
      <c r="H368" s="87"/>
      <c r="K368" s="85"/>
      <c r="M368" s="94"/>
      <c r="N368" s="93"/>
      <c r="O368" s="85"/>
      <c r="Q368" s="94"/>
      <c r="R368" s="93"/>
      <c r="S368" s="85"/>
      <c r="U368" s="94"/>
      <c r="V368" s="93"/>
      <c r="W368" s="85"/>
      <c r="Y368" s="94"/>
      <c r="Z368" s="93"/>
      <c r="AA368" s="85"/>
      <c r="AC368" s="94"/>
      <c r="AD368" s="93"/>
      <c r="AE368" s="85"/>
    </row>
    <row r="369" spans="7:31" x14ac:dyDescent="0.35">
      <c r="G369" s="85"/>
      <c r="H369" s="87"/>
      <c r="K369" s="85"/>
      <c r="M369" s="94"/>
      <c r="N369" s="93"/>
      <c r="O369" s="85"/>
      <c r="Q369" s="94"/>
      <c r="R369" s="93"/>
      <c r="S369" s="85"/>
      <c r="U369" s="94"/>
      <c r="V369" s="93"/>
      <c r="W369" s="85"/>
      <c r="Y369" s="94"/>
      <c r="Z369" s="93"/>
      <c r="AA369" s="85"/>
      <c r="AC369" s="94"/>
      <c r="AD369" s="93"/>
      <c r="AE369" s="85"/>
    </row>
    <row r="370" spans="7:31" x14ac:dyDescent="0.35">
      <c r="G370" s="85"/>
      <c r="H370" s="87"/>
      <c r="K370" s="85"/>
      <c r="M370" s="94"/>
      <c r="N370" s="93"/>
      <c r="O370" s="85"/>
      <c r="Q370" s="94"/>
      <c r="R370" s="93"/>
      <c r="S370" s="85"/>
      <c r="U370" s="94"/>
      <c r="V370" s="93"/>
      <c r="W370" s="85"/>
      <c r="Y370" s="94"/>
      <c r="Z370" s="93"/>
      <c r="AA370" s="85"/>
      <c r="AC370" s="94"/>
      <c r="AD370" s="93"/>
      <c r="AE370" s="85"/>
    </row>
    <row r="371" spans="7:31" x14ac:dyDescent="0.35">
      <c r="G371" s="85"/>
      <c r="H371" s="87"/>
      <c r="K371" s="85"/>
      <c r="M371" s="94"/>
      <c r="N371" s="93"/>
      <c r="O371" s="85"/>
      <c r="Q371" s="94"/>
      <c r="R371" s="93"/>
      <c r="S371" s="85"/>
      <c r="U371" s="94"/>
      <c r="V371" s="93"/>
      <c r="W371" s="85"/>
      <c r="Y371" s="94"/>
      <c r="Z371" s="93"/>
      <c r="AA371" s="85"/>
      <c r="AC371" s="94"/>
      <c r="AD371" s="93"/>
      <c r="AE371" s="85"/>
    </row>
    <row r="372" spans="7:31" x14ac:dyDescent="0.35">
      <c r="G372" s="85"/>
      <c r="H372" s="87"/>
      <c r="K372" s="85"/>
      <c r="M372" s="94"/>
      <c r="N372" s="93"/>
      <c r="O372" s="85"/>
      <c r="Q372" s="94"/>
      <c r="R372" s="93"/>
      <c r="S372" s="85"/>
      <c r="U372" s="94"/>
      <c r="V372" s="93"/>
      <c r="W372" s="85"/>
      <c r="Y372" s="94"/>
      <c r="Z372" s="93"/>
      <c r="AA372" s="85"/>
      <c r="AC372" s="94"/>
      <c r="AD372" s="93"/>
      <c r="AE372" s="85"/>
    </row>
    <row r="373" spans="7:31" x14ac:dyDescent="0.35">
      <c r="G373" s="85"/>
      <c r="H373" s="87"/>
      <c r="K373" s="85"/>
      <c r="M373" s="94"/>
      <c r="N373" s="93"/>
      <c r="O373" s="85"/>
      <c r="Q373" s="94"/>
      <c r="R373" s="93"/>
      <c r="S373" s="85"/>
      <c r="U373" s="94"/>
      <c r="V373" s="93"/>
      <c r="W373" s="85"/>
      <c r="Y373" s="94"/>
      <c r="Z373" s="93"/>
      <c r="AA373" s="85"/>
      <c r="AC373" s="94"/>
      <c r="AD373" s="93"/>
      <c r="AE373" s="85"/>
    </row>
    <row r="374" spans="7:31" x14ac:dyDescent="0.35">
      <c r="G374" s="85"/>
      <c r="H374" s="87"/>
      <c r="K374" s="85"/>
      <c r="M374" s="94"/>
      <c r="N374" s="93"/>
      <c r="O374" s="85"/>
      <c r="Q374" s="94"/>
      <c r="R374" s="93"/>
      <c r="S374" s="85"/>
      <c r="U374" s="94"/>
      <c r="V374" s="93"/>
      <c r="W374" s="85"/>
      <c r="Y374" s="94"/>
      <c r="Z374" s="93"/>
      <c r="AA374" s="85"/>
      <c r="AC374" s="94"/>
      <c r="AD374" s="93"/>
      <c r="AE374" s="85"/>
    </row>
    <row r="375" spans="7:31" x14ac:dyDescent="0.35">
      <c r="G375" s="85"/>
      <c r="H375" s="87"/>
      <c r="K375" s="85"/>
      <c r="M375" s="94"/>
      <c r="N375" s="93"/>
      <c r="O375" s="85"/>
      <c r="Q375" s="94"/>
      <c r="R375" s="93"/>
      <c r="S375" s="85"/>
      <c r="U375" s="94"/>
      <c r="V375" s="93"/>
      <c r="W375" s="85"/>
      <c r="Y375" s="94"/>
      <c r="Z375" s="93"/>
      <c r="AA375" s="85"/>
      <c r="AC375" s="94"/>
      <c r="AD375" s="93"/>
      <c r="AE375" s="85"/>
    </row>
    <row r="376" spans="7:31" x14ac:dyDescent="0.35">
      <c r="G376" s="85"/>
      <c r="H376" s="87"/>
      <c r="K376" s="85"/>
      <c r="M376" s="94"/>
      <c r="N376" s="93"/>
      <c r="O376" s="85"/>
      <c r="Q376" s="94"/>
      <c r="R376" s="93"/>
      <c r="S376" s="85"/>
      <c r="U376" s="94"/>
      <c r="V376" s="93"/>
      <c r="W376" s="85"/>
      <c r="Y376" s="94"/>
      <c r="Z376" s="93"/>
      <c r="AA376" s="85"/>
      <c r="AC376" s="94"/>
      <c r="AD376" s="93"/>
      <c r="AE376" s="85"/>
    </row>
    <row r="377" spans="7:31" x14ac:dyDescent="0.35">
      <c r="G377" s="85"/>
      <c r="H377" s="87"/>
      <c r="K377" s="85"/>
      <c r="M377" s="94"/>
      <c r="N377" s="93"/>
      <c r="O377" s="85"/>
      <c r="Q377" s="94"/>
      <c r="R377" s="93"/>
      <c r="S377" s="85"/>
      <c r="U377" s="94"/>
      <c r="V377" s="93"/>
      <c r="W377" s="85"/>
      <c r="Y377" s="94"/>
      <c r="Z377" s="93"/>
      <c r="AA377" s="85"/>
      <c r="AC377" s="94"/>
      <c r="AD377" s="93"/>
      <c r="AE377" s="85"/>
    </row>
    <row r="378" spans="7:31" x14ac:dyDescent="0.35">
      <c r="G378" s="85"/>
      <c r="H378" s="87"/>
      <c r="K378" s="85"/>
      <c r="M378" s="94"/>
      <c r="N378" s="93"/>
      <c r="O378" s="85"/>
      <c r="Q378" s="94"/>
      <c r="R378" s="93"/>
      <c r="S378" s="85"/>
      <c r="U378" s="94"/>
      <c r="V378" s="93"/>
      <c r="W378" s="85"/>
      <c r="Y378" s="94"/>
      <c r="Z378" s="93"/>
      <c r="AA378" s="85"/>
      <c r="AC378" s="94"/>
      <c r="AD378" s="93"/>
      <c r="AE378" s="85"/>
    </row>
    <row r="379" spans="7:31" x14ac:dyDescent="0.35">
      <c r="G379" s="85"/>
      <c r="H379" s="87"/>
      <c r="K379" s="85"/>
      <c r="M379" s="94"/>
      <c r="N379" s="93"/>
      <c r="O379" s="85"/>
      <c r="Q379" s="94"/>
      <c r="R379" s="93"/>
      <c r="S379" s="85"/>
      <c r="U379" s="94"/>
      <c r="V379" s="93"/>
      <c r="W379" s="85"/>
      <c r="Y379" s="94"/>
      <c r="Z379" s="93"/>
      <c r="AA379" s="85"/>
      <c r="AC379" s="94"/>
      <c r="AD379" s="93"/>
      <c r="AE379" s="85"/>
    </row>
    <row r="380" spans="7:31" x14ac:dyDescent="0.35">
      <c r="G380" s="85"/>
      <c r="H380" s="87"/>
      <c r="K380" s="85"/>
      <c r="M380" s="94"/>
      <c r="N380" s="93"/>
      <c r="O380" s="85"/>
      <c r="Q380" s="94"/>
      <c r="R380" s="93"/>
      <c r="S380" s="85"/>
      <c r="U380" s="94"/>
      <c r="V380" s="93"/>
      <c r="W380" s="85"/>
      <c r="Y380" s="94"/>
      <c r="Z380" s="93"/>
      <c r="AA380" s="85"/>
      <c r="AC380" s="94"/>
      <c r="AD380" s="93"/>
      <c r="AE380" s="85"/>
    </row>
    <row r="381" spans="7:31" x14ac:dyDescent="0.35">
      <c r="G381" s="85"/>
      <c r="H381" s="87"/>
      <c r="K381" s="85"/>
      <c r="M381" s="94"/>
      <c r="N381" s="93"/>
      <c r="O381" s="85"/>
      <c r="Q381" s="94"/>
      <c r="R381" s="93"/>
      <c r="S381" s="85"/>
      <c r="U381" s="94"/>
      <c r="V381" s="93"/>
      <c r="W381" s="85"/>
      <c r="Y381" s="94"/>
      <c r="Z381" s="93"/>
      <c r="AA381" s="85"/>
      <c r="AC381" s="94"/>
      <c r="AD381" s="93"/>
      <c r="AE381" s="85"/>
    </row>
    <row r="382" spans="7:31" x14ac:dyDescent="0.35">
      <c r="G382" s="85"/>
      <c r="H382" s="87"/>
      <c r="K382" s="85"/>
      <c r="M382" s="94"/>
      <c r="N382" s="93"/>
      <c r="O382" s="85"/>
      <c r="Q382" s="94"/>
      <c r="R382" s="93"/>
      <c r="S382" s="85"/>
      <c r="U382" s="94"/>
      <c r="V382" s="93"/>
      <c r="W382" s="85"/>
      <c r="Y382" s="94"/>
      <c r="Z382" s="93"/>
      <c r="AA382" s="85"/>
      <c r="AC382" s="94"/>
      <c r="AD382" s="93"/>
      <c r="AE382" s="85"/>
    </row>
    <row r="383" spans="7:31" x14ac:dyDescent="0.35">
      <c r="G383" s="85"/>
      <c r="H383" s="87"/>
      <c r="K383" s="85"/>
      <c r="M383" s="94"/>
      <c r="N383" s="93"/>
      <c r="O383" s="85"/>
      <c r="Q383" s="94"/>
      <c r="R383" s="93"/>
      <c r="S383" s="85"/>
      <c r="U383" s="94"/>
      <c r="V383" s="93"/>
      <c r="W383" s="85"/>
      <c r="Y383" s="94"/>
      <c r="Z383" s="93"/>
      <c r="AA383" s="85"/>
      <c r="AC383" s="94"/>
      <c r="AD383" s="93"/>
      <c r="AE383" s="85"/>
    </row>
    <row r="384" spans="7:31" x14ac:dyDescent="0.35">
      <c r="G384" s="85"/>
      <c r="H384" s="87"/>
      <c r="K384" s="85"/>
      <c r="M384" s="94"/>
      <c r="N384" s="93"/>
      <c r="O384" s="85"/>
      <c r="Q384" s="94"/>
      <c r="R384" s="93"/>
      <c r="S384" s="85"/>
      <c r="U384" s="94"/>
      <c r="V384" s="93"/>
      <c r="W384" s="85"/>
      <c r="Y384" s="94"/>
      <c r="Z384" s="93"/>
      <c r="AA384" s="85"/>
      <c r="AC384" s="94"/>
      <c r="AD384" s="93"/>
      <c r="AE384" s="85"/>
    </row>
    <row r="385" spans="7:31" x14ac:dyDescent="0.35">
      <c r="G385" s="85"/>
      <c r="H385" s="87"/>
      <c r="K385" s="85"/>
      <c r="M385" s="94"/>
      <c r="N385" s="93"/>
      <c r="O385" s="85"/>
      <c r="Q385" s="94"/>
      <c r="R385" s="93"/>
      <c r="S385" s="85"/>
      <c r="U385" s="94"/>
      <c r="V385" s="93"/>
      <c r="W385" s="85"/>
      <c r="Y385" s="94"/>
      <c r="Z385" s="93"/>
      <c r="AA385" s="85"/>
      <c r="AC385" s="94"/>
      <c r="AD385" s="93"/>
      <c r="AE385" s="85"/>
    </row>
    <row r="386" spans="7:31" x14ac:dyDescent="0.35">
      <c r="G386" s="85"/>
      <c r="H386" s="87"/>
      <c r="K386" s="85"/>
      <c r="M386" s="94"/>
      <c r="N386" s="93"/>
      <c r="O386" s="85"/>
      <c r="Q386" s="94"/>
      <c r="R386" s="93"/>
      <c r="S386" s="85"/>
      <c r="U386" s="94"/>
      <c r="V386" s="93"/>
      <c r="W386" s="85"/>
      <c r="Y386" s="94"/>
      <c r="Z386" s="93"/>
      <c r="AA386" s="85"/>
      <c r="AC386" s="94"/>
      <c r="AD386" s="93"/>
      <c r="AE386" s="85"/>
    </row>
    <row r="387" spans="7:31" x14ac:dyDescent="0.35">
      <c r="G387" s="85"/>
      <c r="H387" s="87"/>
      <c r="K387" s="85"/>
      <c r="M387" s="94"/>
      <c r="N387" s="93"/>
      <c r="O387" s="85"/>
      <c r="Q387" s="94"/>
      <c r="R387" s="93"/>
      <c r="S387" s="85"/>
      <c r="U387" s="94"/>
      <c r="V387" s="93"/>
      <c r="W387" s="85"/>
      <c r="Y387" s="94"/>
      <c r="Z387" s="93"/>
      <c r="AA387" s="85"/>
      <c r="AC387" s="94"/>
      <c r="AD387" s="93"/>
      <c r="AE387" s="85"/>
    </row>
    <row r="388" spans="7:31" x14ac:dyDescent="0.35">
      <c r="G388" s="85"/>
      <c r="H388" s="87"/>
      <c r="K388" s="85"/>
      <c r="M388" s="94"/>
      <c r="N388" s="93"/>
      <c r="O388" s="85"/>
      <c r="Q388" s="94"/>
      <c r="R388" s="93"/>
      <c r="S388" s="85"/>
      <c r="U388" s="94"/>
      <c r="V388" s="93"/>
      <c r="W388" s="85"/>
      <c r="Y388" s="94"/>
      <c r="Z388" s="93"/>
      <c r="AA388" s="85"/>
      <c r="AC388" s="94"/>
      <c r="AD388" s="93"/>
      <c r="AE388" s="85"/>
    </row>
    <row r="389" spans="7:31" x14ac:dyDescent="0.35">
      <c r="G389" s="85"/>
      <c r="H389" s="87"/>
      <c r="K389" s="85"/>
      <c r="M389" s="94"/>
      <c r="N389" s="93"/>
      <c r="O389" s="85"/>
      <c r="Q389" s="94"/>
      <c r="R389" s="93"/>
      <c r="S389" s="85"/>
      <c r="U389" s="94"/>
      <c r="V389" s="93"/>
      <c r="W389" s="85"/>
      <c r="Y389" s="94"/>
      <c r="Z389" s="93"/>
      <c r="AA389" s="85"/>
      <c r="AC389" s="94"/>
      <c r="AD389" s="93"/>
      <c r="AE389" s="85"/>
    </row>
    <row r="390" spans="7:31" x14ac:dyDescent="0.35">
      <c r="G390" s="85"/>
      <c r="H390" s="87"/>
      <c r="K390" s="85"/>
      <c r="M390" s="94"/>
      <c r="N390" s="93"/>
      <c r="O390" s="85"/>
      <c r="Q390" s="94"/>
      <c r="R390" s="93"/>
      <c r="S390" s="85"/>
      <c r="U390" s="94"/>
      <c r="V390" s="93"/>
      <c r="W390" s="85"/>
      <c r="Y390" s="94"/>
      <c r="Z390" s="93"/>
      <c r="AA390" s="85"/>
      <c r="AC390" s="94"/>
      <c r="AD390" s="93"/>
      <c r="AE390" s="85"/>
    </row>
    <row r="391" spans="7:31" x14ac:dyDescent="0.35">
      <c r="G391" s="85"/>
      <c r="H391" s="87"/>
      <c r="K391" s="85"/>
      <c r="M391" s="94"/>
      <c r="N391" s="93"/>
      <c r="O391" s="85"/>
      <c r="Q391" s="94"/>
      <c r="R391" s="93"/>
      <c r="S391" s="85"/>
      <c r="U391" s="94"/>
      <c r="V391" s="93"/>
      <c r="W391" s="85"/>
      <c r="Y391" s="94"/>
      <c r="Z391" s="93"/>
      <c r="AA391" s="85"/>
      <c r="AC391" s="94"/>
      <c r="AD391" s="93"/>
      <c r="AE391" s="85"/>
    </row>
    <row r="392" spans="7:31" x14ac:dyDescent="0.35">
      <c r="G392" s="85"/>
      <c r="H392" s="87"/>
      <c r="K392" s="85"/>
      <c r="M392" s="94"/>
      <c r="N392" s="93"/>
      <c r="O392" s="85"/>
      <c r="Q392" s="94"/>
      <c r="R392" s="93"/>
      <c r="S392" s="85"/>
      <c r="U392" s="94"/>
      <c r="V392" s="93"/>
      <c r="W392" s="85"/>
      <c r="Y392" s="94"/>
      <c r="Z392" s="93"/>
      <c r="AA392" s="85"/>
      <c r="AC392" s="94"/>
      <c r="AD392" s="93"/>
      <c r="AE392" s="85"/>
    </row>
    <row r="393" spans="7:31" x14ac:dyDescent="0.35">
      <c r="G393" s="85"/>
      <c r="H393" s="87"/>
      <c r="K393" s="85"/>
      <c r="M393" s="94"/>
      <c r="N393" s="93"/>
      <c r="O393" s="85"/>
      <c r="Q393" s="94"/>
      <c r="R393" s="93"/>
      <c r="S393" s="85"/>
      <c r="U393" s="94"/>
      <c r="V393" s="93"/>
      <c r="W393" s="85"/>
      <c r="Y393" s="94"/>
      <c r="Z393" s="93"/>
      <c r="AA393" s="85"/>
      <c r="AC393" s="94"/>
      <c r="AD393" s="93"/>
      <c r="AE393" s="85"/>
    </row>
    <row r="394" spans="7:31" x14ac:dyDescent="0.35">
      <c r="G394" s="85"/>
      <c r="H394" s="87"/>
      <c r="K394" s="85"/>
      <c r="M394" s="94"/>
      <c r="N394" s="93"/>
      <c r="O394" s="85"/>
      <c r="Q394" s="94"/>
      <c r="R394" s="93"/>
      <c r="S394" s="85"/>
      <c r="U394" s="94"/>
      <c r="V394" s="93"/>
      <c r="W394" s="85"/>
      <c r="Y394" s="94"/>
      <c r="Z394" s="93"/>
      <c r="AA394" s="85"/>
      <c r="AC394" s="94"/>
      <c r="AD394" s="93"/>
      <c r="AE394" s="85"/>
    </row>
    <row r="395" spans="7:31" x14ac:dyDescent="0.35">
      <c r="G395" s="85"/>
      <c r="H395" s="87"/>
      <c r="K395" s="85"/>
      <c r="M395" s="94"/>
      <c r="N395" s="93"/>
      <c r="O395" s="85"/>
      <c r="Q395" s="94"/>
      <c r="R395" s="93"/>
      <c r="S395" s="85"/>
      <c r="U395" s="94"/>
      <c r="V395" s="93"/>
      <c r="W395" s="85"/>
      <c r="Y395" s="94"/>
      <c r="Z395" s="93"/>
      <c r="AA395" s="85"/>
      <c r="AC395" s="94"/>
      <c r="AD395" s="93"/>
      <c r="AE395" s="85"/>
    </row>
    <row r="396" spans="7:31" x14ac:dyDescent="0.35">
      <c r="G396" s="85"/>
      <c r="H396" s="87"/>
      <c r="K396" s="85"/>
      <c r="M396" s="94"/>
      <c r="N396" s="93"/>
      <c r="O396" s="85"/>
      <c r="Q396" s="94"/>
      <c r="R396" s="93"/>
      <c r="S396" s="85"/>
      <c r="U396" s="94"/>
      <c r="V396" s="93"/>
      <c r="W396" s="85"/>
      <c r="Y396" s="94"/>
      <c r="Z396" s="93"/>
      <c r="AA396" s="85"/>
      <c r="AC396" s="94"/>
      <c r="AD396" s="93"/>
      <c r="AE396" s="85"/>
    </row>
    <row r="397" spans="7:31" x14ac:dyDescent="0.35">
      <c r="G397" s="85"/>
      <c r="H397" s="87"/>
      <c r="K397" s="85"/>
      <c r="M397" s="94"/>
      <c r="N397" s="93"/>
      <c r="O397" s="85"/>
      <c r="Q397" s="94"/>
      <c r="R397" s="93"/>
      <c r="S397" s="85"/>
      <c r="U397" s="94"/>
      <c r="V397" s="93"/>
      <c r="W397" s="85"/>
      <c r="Y397" s="94"/>
      <c r="Z397" s="93"/>
      <c r="AA397" s="85"/>
      <c r="AC397" s="94"/>
      <c r="AD397" s="93"/>
      <c r="AE397" s="85"/>
    </row>
    <row r="398" spans="7:31" x14ac:dyDescent="0.35">
      <c r="G398" s="85"/>
      <c r="H398" s="87"/>
      <c r="K398" s="85"/>
      <c r="M398" s="94"/>
      <c r="N398" s="93"/>
      <c r="O398" s="85"/>
      <c r="Q398" s="94"/>
      <c r="R398" s="93"/>
      <c r="S398" s="85"/>
      <c r="U398" s="94"/>
      <c r="V398" s="93"/>
      <c r="W398" s="85"/>
      <c r="Y398" s="94"/>
      <c r="Z398" s="93"/>
      <c r="AA398" s="85"/>
      <c r="AC398" s="94"/>
      <c r="AD398" s="93"/>
      <c r="AE398" s="85"/>
    </row>
    <row r="399" spans="7:31" x14ac:dyDescent="0.35">
      <c r="G399" s="85"/>
      <c r="H399" s="87"/>
      <c r="K399" s="85"/>
      <c r="M399" s="94"/>
      <c r="N399" s="93"/>
      <c r="O399" s="85"/>
      <c r="Q399" s="94"/>
      <c r="R399" s="93"/>
      <c r="S399" s="85"/>
      <c r="U399" s="94"/>
      <c r="V399" s="93"/>
      <c r="W399" s="85"/>
      <c r="Y399" s="94"/>
      <c r="Z399" s="93"/>
      <c r="AA399" s="85"/>
      <c r="AC399" s="94"/>
      <c r="AD399" s="93"/>
      <c r="AE399" s="85"/>
    </row>
    <row r="400" spans="7:31" x14ac:dyDescent="0.35">
      <c r="G400" s="85"/>
      <c r="H400" s="87"/>
      <c r="K400" s="85"/>
      <c r="M400" s="94"/>
      <c r="N400" s="93"/>
      <c r="O400" s="85"/>
      <c r="Q400" s="94"/>
      <c r="R400" s="93"/>
      <c r="S400" s="85"/>
      <c r="U400" s="94"/>
      <c r="V400" s="93"/>
      <c r="W400" s="85"/>
      <c r="Y400" s="94"/>
      <c r="Z400" s="93"/>
      <c r="AA400" s="85"/>
      <c r="AC400" s="94"/>
      <c r="AD400" s="93"/>
      <c r="AE400" s="85"/>
    </row>
    <row r="401" spans="7:31" x14ac:dyDescent="0.35">
      <c r="G401" s="85"/>
      <c r="H401" s="87"/>
      <c r="K401" s="85"/>
      <c r="M401" s="94"/>
      <c r="N401" s="93"/>
      <c r="O401" s="85"/>
      <c r="Q401" s="94"/>
      <c r="R401" s="93"/>
      <c r="S401" s="85"/>
      <c r="U401" s="94"/>
      <c r="V401" s="93"/>
      <c r="W401" s="85"/>
      <c r="Y401" s="94"/>
      <c r="Z401" s="93"/>
      <c r="AA401" s="85"/>
      <c r="AC401" s="94"/>
      <c r="AD401" s="93"/>
      <c r="AE401" s="85"/>
    </row>
    <row r="402" spans="7:31" x14ac:dyDescent="0.35">
      <c r="G402" s="85"/>
      <c r="H402" s="87"/>
      <c r="K402" s="85"/>
      <c r="M402" s="94"/>
      <c r="N402" s="93"/>
      <c r="O402" s="85"/>
      <c r="Q402" s="94"/>
      <c r="R402" s="93"/>
      <c r="S402" s="85"/>
      <c r="U402" s="94"/>
      <c r="V402" s="93"/>
      <c r="W402" s="85"/>
      <c r="Y402" s="94"/>
      <c r="Z402" s="93"/>
      <c r="AA402" s="85"/>
      <c r="AC402" s="94"/>
      <c r="AD402" s="93"/>
      <c r="AE402" s="85"/>
    </row>
    <row r="403" spans="7:31" x14ac:dyDescent="0.35">
      <c r="G403" s="85"/>
      <c r="H403" s="87"/>
      <c r="K403" s="85"/>
      <c r="M403" s="94"/>
      <c r="N403" s="93"/>
      <c r="O403" s="85"/>
      <c r="Q403" s="94"/>
      <c r="R403" s="93"/>
      <c r="S403" s="85"/>
      <c r="U403" s="94"/>
      <c r="V403" s="93"/>
      <c r="W403" s="85"/>
      <c r="Y403" s="94"/>
      <c r="Z403" s="93"/>
      <c r="AA403" s="85"/>
      <c r="AC403" s="94"/>
      <c r="AD403" s="93"/>
      <c r="AE403" s="85"/>
    </row>
    <row r="404" spans="7:31" x14ac:dyDescent="0.35">
      <c r="G404" s="85"/>
      <c r="H404" s="87"/>
      <c r="K404" s="85"/>
      <c r="M404" s="94"/>
      <c r="N404" s="93"/>
      <c r="O404" s="85"/>
      <c r="Q404" s="94"/>
      <c r="R404" s="93"/>
      <c r="S404" s="85"/>
      <c r="U404" s="94"/>
      <c r="V404" s="93"/>
      <c r="W404" s="85"/>
      <c r="Y404" s="94"/>
      <c r="Z404" s="93"/>
      <c r="AA404" s="85"/>
      <c r="AC404" s="94"/>
      <c r="AD404" s="93"/>
      <c r="AE404" s="85"/>
    </row>
    <row r="405" spans="7:31" x14ac:dyDescent="0.35">
      <c r="G405" s="85"/>
      <c r="H405" s="87"/>
      <c r="K405" s="85"/>
      <c r="M405" s="94"/>
      <c r="N405" s="93"/>
      <c r="O405" s="85"/>
      <c r="Q405" s="94"/>
      <c r="R405" s="93"/>
      <c r="S405" s="85"/>
      <c r="U405" s="94"/>
      <c r="V405" s="93"/>
      <c r="W405" s="85"/>
      <c r="Y405" s="94"/>
      <c r="Z405" s="93"/>
      <c r="AA405" s="85"/>
      <c r="AC405" s="94"/>
      <c r="AD405" s="93"/>
      <c r="AE405" s="85"/>
    </row>
    <row r="406" spans="7:31" x14ac:dyDescent="0.35">
      <c r="G406" s="85"/>
      <c r="H406" s="87"/>
      <c r="K406" s="85"/>
      <c r="M406" s="94"/>
      <c r="N406" s="93"/>
      <c r="O406" s="85"/>
      <c r="Q406" s="94"/>
      <c r="R406" s="93"/>
      <c r="S406" s="85"/>
      <c r="U406" s="94"/>
      <c r="V406" s="93"/>
      <c r="W406" s="85"/>
      <c r="Y406" s="94"/>
      <c r="Z406" s="93"/>
      <c r="AA406" s="85"/>
      <c r="AC406" s="94"/>
      <c r="AD406" s="93"/>
      <c r="AE406" s="85"/>
    </row>
    <row r="407" spans="7:31" x14ac:dyDescent="0.35">
      <c r="G407" s="85"/>
      <c r="H407" s="87"/>
      <c r="K407" s="85"/>
      <c r="M407" s="94"/>
      <c r="N407" s="93"/>
      <c r="O407" s="85"/>
      <c r="Q407" s="94"/>
      <c r="R407" s="93"/>
      <c r="S407" s="85"/>
      <c r="U407" s="94"/>
      <c r="V407" s="93"/>
      <c r="W407" s="85"/>
      <c r="Y407" s="94"/>
      <c r="Z407" s="93"/>
      <c r="AA407" s="85"/>
      <c r="AC407" s="94"/>
      <c r="AD407" s="93"/>
      <c r="AE407" s="85"/>
    </row>
    <row r="408" spans="7:31" x14ac:dyDescent="0.35">
      <c r="G408" s="85"/>
      <c r="H408" s="87"/>
      <c r="K408" s="85"/>
      <c r="M408" s="94"/>
      <c r="N408" s="93"/>
      <c r="O408" s="85"/>
      <c r="Q408" s="94"/>
      <c r="R408" s="93"/>
      <c r="S408" s="85"/>
      <c r="U408" s="94"/>
      <c r="V408" s="93"/>
      <c r="W408" s="85"/>
      <c r="Y408" s="94"/>
      <c r="Z408" s="93"/>
      <c r="AA408" s="85"/>
      <c r="AC408" s="94"/>
      <c r="AD408" s="93"/>
      <c r="AE408" s="85"/>
    </row>
    <row r="409" spans="7:31" x14ac:dyDescent="0.35">
      <c r="G409" s="85"/>
      <c r="H409" s="87"/>
      <c r="K409" s="85"/>
      <c r="M409" s="94"/>
      <c r="N409" s="93"/>
      <c r="O409" s="85"/>
      <c r="Q409" s="94"/>
      <c r="R409" s="93"/>
      <c r="S409" s="85"/>
      <c r="U409" s="94"/>
      <c r="V409" s="93"/>
      <c r="W409" s="85"/>
      <c r="Y409" s="94"/>
      <c r="Z409" s="93"/>
      <c r="AA409" s="85"/>
      <c r="AC409" s="94"/>
      <c r="AD409" s="93"/>
      <c r="AE409" s="85"/>
    </row>
    <row r="410" spans="7:31" x14ac:dyDescent="0.35">
      <c r="G410" s="85"/>
      <c r="H410" s="87"/>
      <c r="K410" s="85"/>
      <c r="M410" s="94"/>
      <c r="N410" s="93"/>
      <c r="O410" s="85"/>
      <c r="Q410" s="94"/>
      <c r="R410" s="93"/>
      <c r="S410" s="85"/>
      <c r="U410" s="94"/>
      <c r="V410" s="93"/>
      <c r="W410" s="85"/>
      <c r="Y410" s="94"/>
      <c r="Z410" s="93"/>
      <c r="AA410" s="85"/>
      <c r="AC410" s="94"/>
      <c r="AD410" s="93"/>
      <c r="AE410" s="85"/>
    </row>
    <row r="411" spans="7:31" x14ac:dyDescent="0.35">
      <c r="G411" s="85"/>
      <c r="H411" s="87"/>
      <c r="K411" s="85"/>
      <c r="M411" s="94"/>
      <c r="N411" s="93"/>
      <c r="O411" s="85"/>
      <c r="Q411" s="94"/>
      <c r="R411" s="93"/>
      <c r="S411" s="85"/>
      <c r="U411" s="94"/>
      <c r="V411" s="93"/>
      <c r="W411" s="85"/>
      <c r="Y411" s="94"/>
      <c r="Z411" s="93"/>
      <c r="AA411" s="85"/>
      <c r="AC411" s="94"/>
      <c r="AD411" s="93"/>
      <c r="AE411" s="85"/>
    </row>
    <row r="412" spans="7:31" x14ac:dyDescent="0.35">
      <c r="G412" s="85"/>
      <c r="H412" s="87"/>
      <c r="K412" s="85"/>
      <c r="M412" s="94"/>
      <c r="N412" s="93"/>
      <c r="O412" s="85"/>
      <c r="Q412" s="94"/>
      <c r="R412" s="93"/>
      <c r="S412" s="85"/>
      <c r="U412" s="94"/>
      <c r="V412" s="93"/>
      <c r="W412" s="85"/>
      <c r="Y412" s="94"/>
      <c r="Z412" s="93"/>
      <c r="AA412" s="85"/>
      <c r="AC412" s="94"/>
      <c r="AD412" s="93"/>
      <c r="AE412" s="85"/>
    </row>
    <row r="413" spans="7:31" x14ac:dyDescent="0.35">
      <c r="G413" s="85"/>
      <c r="H413" s="87"/>
      <c r="K413" s="85"/>
      <c r="M413" s="94"/>
      <c r="N413" s="93"/>
      <c r="O413" s="85"/>
      <c r="Q413" s="94"/>
      <c r="R413" s="93"/>
      <c r="S413" s="85"/>
      <c r="U413" s="94"/>
      <c r="V413" s="93"/>
      <c r="W413" s="85"/>
      <c r="Y413" s="94"/>
      <c r="Z413" s="93"/>
      <c r="AA413" s="85"/>
      <c r="AC413" s="94"/>
      <c r="AD413" s="93"/>
      <c r="AE413" s="85"/>
    </row>
    <row r="414" spans="7:31" x14ac:dyDescent="0.35">
      <c r="G414" s="85"/>
      <c r="H414" s="87"/>
      <c r="K414" s="85"/>
      <c r="M414" s="94"/>
      <c r="N414" s="93"/>
      <c r="O414" s="85"/>
      <c r="Q414" s="94"/>
      <c r="R414" s="93"/>
      <c r="S414" s="85"/>
      <c r="U414" s="94"/>
      <c r="V414" s="93"/>
      <c r="W414" s="85"/>
      <c r="Y414" s="94"/>
      <c r="Z414" s="93"/>
      <c r="AA414" s="85"/>
      <c r="AC414" s="94"/>
      <c r="AD414" s="93"/>
      <c r="AE414" s="85"/>
    </row>
    <row r="415" spans="7:31" x14ac:dyDescent="0.35">
      <c r="G415" s="85"/>
      <c r="H415" s="87"/>
      <c r="K415" s="85"/>
      <c r="M415" s="94"/>
      <c r="N415" s="93"/>
      <c r="O415" s="85"/>
      <c r="Q415" s="94"/>
      <c r="R415" s="93"/>
      <c r="S415" s="85"/>
      <c r="U415" s="94"/>
      <c r="V415" s="93"/>
      <c r="W415" s="85"/>
      <c r="Y415" s="94"/>
      <c r="Z415" s="93"/>
      <c r="AA415" s="85"/>
      <c r="AC415" s="94"/>
      <c r="AD415" s="93"/>
      <c r="AE415" s="85"/>
    </row>
    <row r="416" spans="7:31" x14ac:dyDescent="0.35">
      <c r="G416" s="85"/>
      <c r="H416" s="87"/>
      <c r="K416" s="85"/>
      <c r="M416" s="94"/>
      <c r="N416" s="93"/>
      <c r="O416" s="85"/>
      <c r="Q416" s="94"/>
      <c r="R416" s="93"/>
      <c r="S416" s="85"/>
      <c r="U416" s="94"/>
      <c r="V416" s="93"/>
      <c r="W416" s="85"/>
      <c r="Y416" s="94"/>
      <c r="Z416" s="93"/>
      <c r="AA416" s="85"/>
      <c r="AC416" s="94"/>
      <c r="AD416" s="93"/>
      <c r="AE416" s="85"/>
    </row>
    <row r="417" spans="7:31" x14ac:dyDescent="0.35">
      <c r="G417" s="85"/>
      <c r="H417" s="87"/>
      <c r="K417" s="85"/>
      <c r="M417" s="94"/>
      <c r="N417" s="93"/>
      <c r="O417" s="85"/>
      <c r="Q417" s="94"/>
      <c r="R417" s="93"/>
      <c r="S417" s="85"/>
      <c r="U417" s="94"/>
      <c r="V417" s="93"/>
      <c r="W417" s="85"/>
      <c r="Y417" s="94"/>
      <c r="Z417" s="93"/>
      <c r="AA417" s="85"/>
      <c r="AC417" s="94"/>
      <c r="AD417" s="93"/>
      <c r="AE417" s="85"/>
    </row>
    <row r="418" spans="7:31" x14ac:dyDescent="0.35">
      <c r="G418" s="85"/>
      <c r="H418" s="87"/>
      <c r="K418" s="85"/>
      <c r="M418" s="94"/>
      <c r="N418" s="93"/>
      <c r="O418" s="85"/>
      <c r="Q418" s="94"/>
      <c r="R418" s="93"/>
      <c r="S418" s="85"/>
      <c r="U418" s="94"/>
      <c r="V418" s="93"/>
      <c r="W418" s="85"/>
      <c r="Y418" s="94"/>
      <c r="Z418" s="93"/>
      <c r="AA418" s="85"/>
      <c r="AC418" s="94"/>
      <c r="AD418" s="93"/>
      <c r="AE418" s="85"/>
    </row>
    <row r="419" spans="7:31" x14ac:dyDescent="0.35">
      <c r="G419" s="85"/>
      <c r="H419" s="87"/>
      <c r="K419" s="85"/>
      <c r="M419" s="94"/>
      <c r="N419" s="93"/>
      <c r="O419" s="85"/>
      <c r="Q419" s="94"/>
      <c r="R419" s="93"/>
      <c r="S419" s="85"/>
      <c r="U419" s="94"/>
      <c r="V419" s="93"/>
      <c r="W419" s="85"/>
      <c r="Y419" s="94"/>
      <c r="Z419" s="93"/>
      <c r="AA419" s="85"/>
      <c r="AC419" s="94"/>
      <c r="AD419" s="93"/>
      <c r="AE419" s="85"/>
    </row>
    <row r="420" spans="7:31" x14ac:dyDescent="0.35">
      <c r="G420" s="85"/>
      <c r="H420" s="87"/>
      <c r="K420" s="85"/>
      <c r="M420" s="94"/>
      <c r="N420" s="93"/>
      <c r="O420" s="85"/>
      <c r="Q420" s="94"/>
      <c r="R420" s="93"/>
      <c r="S420" s="85"/>
      <c r="U420" s="94"/>
      <c r="V420" s="93"/>
      <c r="W420" s="85"/>
      <c r="Y420" s="94"/>
      <c r="Z420" s="93"/>
      <c r="AA420" s="85"/>
      <c r="AC420" s="94"/>
      <c r="AD420" s="93"/>
      <c r="AE420" s="85"/>
    </row>
    <row r="421" spans="7:31" x14ac:dyDescent="0.35">
      <c r="G421" s="85"/>
      <c r="H421" s="87"/>
      <c r="K421" s="85"/>
      <c r="M421" s="94"/>
      <c r="N421" s="93"/>
      <c r="O421" s="85"/>
      <c r="Q421" s="94"/>
      <c r="R421" s="93"/>
      <c r="S421" s="85"/>
      <c r="U421" s="94"/>
      <c r="V421" s="93"/>
      <c r="W421" s="85"/>
      <c r="Y421" s="94"/>
      <c r="Z421" s="93"/>
      <c r="AA421" s="85"/>
      <c r="AC421" s="94"/>
      <c r="AD421" s="93"/>
      <c r="AE421" s="85"/>
    </row>
    <row r="422" spans="7:31" x14ac:dyDescent="0.35">
      <c r="G422" s="85"/>
      <c r="H422" s="87"/>
      <c r="K422" s="85"/>
      <c r="M422" s="94"/>
      <c r="N422" s="93"/>
      <c r="O422" s="85"/>
      <c r="Q422" s="94"/>
      <c r="R422" s="93"/>
      <c r="S422" s="85"/>
      <c r="U422" s="94"/>
      <c r="V422" s="93"/>
      <c r="W422" s="85"/>
      <c r="Y422" s="94"/>
      <c r="Z422" s="93"/>
      <c r="AA422" s="85"/>
      <c r="AC422" s="94"/>
      <c r="AD422" s="93"/>
      <c r="AE422" s="85"/>
    </row>
    <row r="423" spans="7:31" x14ac:dyDescent="0.35">
      <c r="G423" s="85"/>
      <c r="H423" s="87"/>
      <c r="K423" s="85"/>
      <c r="M423" s="94"/>
      <c r="N423" s="93"/>
      <c r="O423" s="85"/>
      <c r="Q423" s="94"/>
      <c r="R423" s="93"/>
      <c r="S423" s="85"/>
      <c r="U423" s="94"/>
      <c r="V423" s="93"/>
      <c r="W423" s="85"/>
      <c r="Y423" s="94"/>
      <c r="Z423" s="93"/>
      <c r="AA423" s="85"/>
      <c r="AC423" s="94"/>
      <c r="AD423" s="93"/>
      <c r="AE423" s="85"/>
    </row>
    <row r="424" spans="7:31" x14ac:dyDescent="0.35">
      <c r="G424" s="85"/>
      <c r="H424" s="87"/>
      <c r="K424" s="85"/>
      <c r="M424" s="94"/>
      <c r="N424" s="93"/>
      <c r="O424" s="85"/>
      <c r="Q424" s="94"/>
      <c r="R424" s="93"/>
      <c r="S424" s="85"/>
      <c r="U424" s="94"/>
      <c r="V424" s="93"/>
      <c r="W424" s="85"/>
      <c r="Y424" s="94"/>
      <c r="Z424" s="93"/>
      <c r="AA424" s="85"/>
      <c r="AC424" s="94"/>
      <c r="AD424" s="93"/>
      <c r="AE424" s="85"/>
    </row>
    <row r="425" spans="7:31" x14ac:dyDescent="0.35">
      <c r="G425" s="85"/>
      <c r="H425" s="87"/>
      <c r="K425" s="85"/>
      <c r="M425" s="94"/>
      <c r="N425" s="93"/>
      <c r="O425" s="85"/>
      <c r="Q425" s="94"/>
      <c r="R425" s="93"/>
      <c r="S425" s="85"/>
      <c r="U425" s="94"/>
      <c r="V425" s="93"/>
      <c r="W425" s="85"/>
      <c r="Y425" s="94"/>
      <c r="Z425" s="93"/>
      <c r="AA425" s="85"/>
      <c r="AC425" s="94"/>
      <c r="AD425" s="93"/>
      <c r="AE425" s="85"/>
    </row>
    <row r="426" spans="7:31" x14ac:dyDescent="0.35">
      <c r="G426" s="85"/>
      <c r="H426" s="87"/>
      <c r="K426" s="85"/>
      <c r="M426" s="94"/>
      <c r="N426" s="93"/>
      <c r="O426" s="85"/>
      <c r="Q426" s="94"/>
      <c r="R426" s="93"/>
      <c r="S426" s="85"/>
      <c r="U426" s="94"/>
      <c r="V426" s="93"/>
      <c r="W426" s="85"/>
      <c r="Y426" s="94"/>
      <c r="Z426" s="93"/>
      <c r="AA426" s="85"/>
      <c r="AC426" s="94"/>
      <c r="AD426" s="93"/>
      <c r="AE426" s="85"/>
    </row>
    <row r="427" spans="7:31" x14ac:dyDescent="0.35">
      <c r="G427" s="85"/>
      <c r="H427" s="87"/>
      <c r="K427" s="85"/>
      <c r="M427" s="94"/>
      <c r="N427" s="93"/>
      <c r="O427" s="85"/>
      <c r="Q427" s="94"/>
      <c r="R427" s="93"/>
      <c r="S427" s="85"/>
      <c r="U427" s="94"/>
      <c r="V427" s="93"/>
      <c r="W427" s="85"/>
      <c r="Y427" s="94"/>
      <c r="Z427" s="93"/>
      <c r="AA427" s="85"/>
      <c r="AC427" s="94"/>
      <c r="AD427" s="93"/>
      <c r="AE427" s="85"/>
    </row>
    <row r="428" spans="7:31" x14ac:dyDescent="0.35">
      <c r="G428" s="85"/>
      <c r="H428" s="87"/>
      <c r="K428" s="85"/>
      <c r="M428" s="94"/>
      <c r="N428" s="93"/>
      <c r="O428" s="85"/>
      <c r="Q428" s="94"/>
      <c r="R428" s="93"/>
      <c r="S428" s="85"/>
      <c r="U428" s="94"/>
      <c r="V428" s="93"/>
      <c r="W428" s="85"/>
      <c r="Y428" s="94"/>
      <c r="Z428" s="93"/>
      <c r="AA428" s="85"/>
      <c r="AC428" s="94"/>
      <c r="AD428" s="93"/>
      <c r="AE428" s="85"/>
    </row>
    <row r="429" spans="7:31" x14ac:dyDescent="0.35">
      <c r="G429" s="85"/>
      <c r="H429" s="87"/>
      <c r="K429" s="85"/>
      <c r="M429" s="94"/>
      <c r="N429" s="93"/>
      <c r="O429" s="85"/>
      <c r="Q429" s="94"/>
      <c r="R429" s="93"/>
      <c r="S429" s="85"/>
      <c r="U429" s="94"/>
      <c r="V429" s="93"/>
      <c r="W429" s="85"/>
      <c r="Y429" s="94"/>
      <c r="Z429" s="93"/>
      <c r="AA429" s="85"/>
      <c r="AC429" s="94"/>
      <c r="AD429" s="93"/>
      <c r="AE429" s="85"/>
    </row>
    <row r="430" spans="7:31" x14ac:dyDescent="0.35">
      <c r="G430" s="85"/>
      <c r="H430" s="87"/>
      <c r="K430" s="85"/>
      <c r="M430" s="94"/>
      <c r="N430" s="93"/>
      <c r="O430" s="85"/>
      <c r="Q430" s="94"/>
      <c r="R430" s="93"/>
      <c r="S430" s="85"/>
      <c r="U430" s="94"/>
      <c r="V430" s="93"/>
      <c r="W430" s="85"/>
      <c r="Y430" s="94"/>
      <c r="Z430" s="93"/>
      <c r="AA430" s="85"/>
      <c r="AC430" s="94"/>
      <c r="AD430" s="93"/>
      <c r="AE430" s="85"/>
    </row>
    <row r="431" spans="7:31" x14ac:dyDescent="0.35">
      <c r="G431" s="85"/>
      <c r="H431" s="87"/>
      <c r="K431" s="85"/>
      <c r="M431" s="94"/>
      <c r="N431" s="93"/>
      <c r="O431" s="85"/>
      <c r="Q431" s="94"/>
      <c r="R431" s="93"/>
      <c r="S431" s="85"/>
      <c r="U431" s="94"/>
      <c r="V431" s="93"/>
      <c r="W431" s="85"/>
      <c r="Y431" s="94"/>
      <c r="Z431" s="93"/>
      <c r="AA431" s="85"/>
      <c r="AC431" s="94"/>
      <c r="AD431" s="93"/>
      <c r="AE431" s="85"/>
    </row>
    <row r="432" spans="7:31" x14ac:dyDescent="0.35">
      <c r="G432" s="85"/>
      <c r="H432" s="87"/>
      <c r="K432" s="85"/>
      <c r="M432" s="94"/>
      <c r="N432" s="93"/>
      <c r="O432" s="85"/>
      <c r="Q432" s="94"/>
      <c r="R432" s="93"/>
      <c r="S432" s="85"/>
      <c r="U432" s="94"/>
      <c r="V432" s="93"/>
      <c r="W432" s="85"/>
      <c r="Y432" s="94"/>
      <c r="Z432" s="93"/>
      <c r="AA432" s="85"/>
      <c r="AC432" s="94"/>
      <c r="AD432" s="93"/>
      <c r="AE432" s="85"/>
    </row>
    <row r="433" spans="7:31" x14ac:dyDescent="0.35">
      <c r="G433" s="85"/>
      <c r="H433" s="87"/>
      <c r="K433" s="85"/>
      <c r="M433" s="94"/>
      <c r="N433" s="93"/>
      <c r="O433" s="85"/>
      <c r="Q433" s="94"/>
      <c r="R433" s="93"/>
      <c r="S433" s="85"/>
      <c r="U433" s="94"/>
      <c r="V433" s="93"/>
      <c r="W433" s="85"/>
      <c r="Y433" s="94"/>
      <c r="Z433" s="93"/>
      <c r="AA433" s="85"/>
      <c r="AC433" s="94"/>
      <c r="AD433" s="93"/>
      <c r="AE433" s="85"/>
    </row>
    <row r="434" spans="7:31" x14ac:dyDescent="0.35">
      <c r="G434" s="85"/>
      <c r="H434" s="87"/>
      <c r="K434" s="85"/>
      <c r="M434" s="94"/>
      <c r="N434" s="93"/>
      <c r="O434" s="85"/>
      <c r="Q434" s="94"/>
      <c r="R434" s="93"/>
      <c r="S434" s="85"/>
      <c r="U434" s="94"/>
      <c r="V434" s="93"/>
      <c r="W434" s="85"/>
      <c r="Y434" s="94"/>
      <c r="Z434" s="93"/>
      <c r="AA434" s="85"/>
      <c r="AC434" s="94"/>
      <c r="AD434" s="93"/>
      <c r="AE434" s="85"/>
    </row>
    <row r="435" spans="7:31" x14ac:dyDescent="0.35">
      <c r="G435" s="85"/>
      <c r="H435" s="87"/>
      <c r="K435" s="85"/>
      <c r="M435" s="94"/>
      <c r="N435" s="93"/>
      <c r="O435" s="85"/>
      <c r="Q435" s="94"/>
      <c r="R435" s="93"/>
      <c r="S435" s="85"/>
      <c r="U435" s="94"/>
      <c r="V435" s="93"/>
      <c r="W435" s="85"/>
      <c r="Y435" s="94"/>
      <c r="Z435" s="93"/>
      <c r="AA435" s="85"/>
      <c r="AC435" s="94"/>
      <c r="AD435" s="93"/>
      <c r="AE435" s="85"/>
    </row>
    <row r="436" spans="7:31" x14ac:dyDescent="0.35">
      <c r="G436" s="85"/>
      <c r="H436" s="87"/>
      <c r="K436" s="85"/>
      <c r="M436" s="94"/>
      <c r="N436" s="93"/>
      <c r="O436" s="85"/>
      <c r="Q436" s="94"/>
      <c r="R436" s="93"/>
      <c r="S436" s="85"/>
      <c r="U436" s="94"/>
      <c r="V436" s="93"/>
      <c r="W436" s="85"/>
      <c r="Y436" s="94"/>
      <c r="Z436" s="93"/>
      <c r="AA436" s="85"/>
      <c r="AC436" s="94"/>
      <c r="AD436" s="93"/>
      <c r="AE436" s="85"/>
    </row>
    <row r="437" spans="7:31" x14ac:dyDescent="0.35">
      <c r="G437" s="85"/>
      <c r="H437" s="87"/>
      <c r="K437" s="85"/>
      <c r="M437" s="94"/>
      <c r="N437" s="93"/>
      <c r="O437" s="85"/>
      <c r="Q437" s="94"/>
      <c r="R437" s="93"/>
      <c r="S437" s="85"/>
      <c r="U437" s="94"/>
      <c r="V437" s="93"/>
      <c r="W437" s="85"/>
      <c r="Y437" s="94"/>
      <c r="Z437" s="93"/>
      <c r="AA437" s="85"/>
      <c r="AC437" s="94"/>
      <c r="AD437" s="93"/>
      <c r="AE437" s="85"/>
    </row>
    <row r="438" spans="7:31" x14ac:dyDescent="0.35">
      <c r="G438" s="85"/>
      <c r="H438" s="87"/>
      <c r="K438" s="85"/>
      <c r="M438" s="94"/>
      <c r="N438" s="93"/>
      <c r="O438" s="85"/>
      <c r="Q438" s="94"/>
      <c r="R438" s="93"/>
      <c r="S438" s="85"/>
      <c r="U438" s="94"/>
      <c r="V438" s="93"/>
      <c r="W438" s="85"/>
      <c r="Y438" s="94"/>
      <c r="Z438" s="93"/>
      <c r="AA438" s="85"/>
      <c r="AC438" s="94"/>
      <c r="AD438" s="93"/>
      <c r="AE438" s="85"/>
    </row>
    <row r="439" spans="7:31" x14ac:dyDescent="0.35">
      <c r="G439" s="85"/>
      <c r="H439" s="87"/>
      <c r="K439" s="85"/>
      <c r="M439" s="94"/>
      <c r="N439" s="93"/>
      <c r="O439" s="85"/>
      <c r="Q439" s="94"/>
      <c r="R439" s="93"/>
      <c r="S439" s="85"/>
      <c r="U439" s="94"/>
      <c r="V439" s="93"/>
      <c r="W439" s="85"/>
      <c r="Y439" s="94"/>
      <c r="Z439" s="93"/>
      <c r="AA439" s="85"/>
      <c r="AC439" s="94"/>
      <c r="AD439" s="93"/>
      <c r="AE439" s="85"/>
    </row>
    <row r="440" spans="7:31" x14ac:dyDescent="0.35">
      <c r="G440" s="85"/>
      <c r="H440" s="87"/>
      <c r="K440" s="85"/>
      <c r="M440" s="94"/>
      <c r="N440" s="93"/>
      <c r="O440" s="85"/>
      <c r="Q440" s="94"/>
      <c r="R440" s="93"/>
      <c r="S440" s="85"/>
      <c r="U440" s="94"/>
      <c r="V440" s="93"/>
      <c r="W440" s="85"/>
      <c r="Y440" s="94"/>
      <c r="Z440" s="93"/>
      <c r="AA440" s="85"/>
      <c r="AC440" s="94"/>
      <c r="AD440" s="93"/>
      <c r="AE440" s="85"/>
    </row>
    <row r="441" spans="7:31" x14ac:dyDescent="0.35">
      <c r="G441" s="85"/>
      <c r="H441" s="87"/>
      <c r="K441" s="85"/>
      <c r="M441" s="94"/>
      <c r="N441" s="93"/>
      <c r="O441" s="85"/>
      <c r="Q441" s="94"/>
      <c r="R441" s="93"/>
      <c r="S441" s="85"/>
      <c r="U441" s="94"/>
      <c r="V441" s="93"/>
      <c r="W441" s="85"/>
      <c r="Y441" s="94"/>
      <c r="Z441" s="93"/>
      <c r="AA441" s="85"/>
      <c r="AC441" s="94"/>
      <c r="AD441" s="93"/>
      <c r="AE441" s="85"/>
    </row>
    <row r="442" spans="7:31" x14ac:dyDescent="0.35">
      <c r="G442" s="85"/>
      <c r="H442" s="87"/>
      <c r="K442" s="85"/>
      <c r="M442" s="94"/>
      <c r="N442" s="93"/>
      <c r="O442" s="85"/>
      <c r="Q442" s="94"/>
      <c r="R442" s="93"/>
      <c r="S442" s="85"/>
      <c r="U442" s="94"/>
      <c r="V442" s="93"/>
      <c r="W442" s="85"/>
      <c r="Y442" s="94"/>
      <c r="Z442" s="93"/>
      <c r="AA442" s="85"/>
      <c r="AC442" s="94"/>
      <c r="AD442" s="93"/>
      <c r="AE442" s="85"/>
    </row>
    <row r="443" spans="7:31" x14ac:dyDescent="0.35">
      <c r="G443" s="85"/>
      <c r="H443" s="87"/>
      <c r="K443" s="85"/>
      <c r="M443" s="94"/>
      <c r="N443" s="93"/>
      <c r="O443" s="85"/>
      <c r="Q443" s="94"/>
      <c r="R443" s="93"/>
      <c r="S443" s="85"/>
      <c r="U443" s="94"/>
      <c r="V443" s="93"/>
      <c r="W443" s="85"/>
      <c r="Y443" s="94"/>
      <c r="Z443" s="93"/>
      <c r="AA443" s="85"/>
      <c r="AC443" s="94"/>
      <c r="AD443" s="93"/>
      <c r="AE443" s="85"/>
    </row>
    <row r="444" spans="7:31" x14ac:dyDescent="0.35">
      <c r="G444" s="85"/>
      <c r="H444" s="87"/>
      <c r="K444" s="85"/>
      <c r="M444" s="94"/>
      <c r="N444" s="93"/>
      <c r="O444" s="85"/>
      <c r="Q444" s="94"/>
      <c r="R444" s="93"/>
      <c r="S444" s="85"/>
      <c r="U444" s="94"/>
      <c r="V444" s="93"/>
      <c r="W444" s="85"/>
      <c r="Y444" s="94"/>
      <c r="Z444" s="93"/>
      <c r="AA444" s="85"/>
      <c r="AC444" s="94"/>
      <c r="AD444" s="93"/>
      <c r="AE444" s="85"/>
    </row>
    <row r="445" spans="7:31" x14ac:dyDescent="0.35">
      <c r="G445" s="85"/>
      <c r="H445" s="87"/>
      <c r="K445" s="85"/>
      <c r="M445" s="94"/>
      <c r="N445" s="93"/>
      <c r="O445" s="85"/>
      <c r="Q445" s="94"/>
      <c r="R445" s="93"/>
      <c r="S445" s="85"/>
      <c r="U445" s="94"/>
      <c r="V445" s="93"/>
      <c r="W445" s="85"/>
      <c r="Y445" s="94"/>
      <c r="Z445" s="93"/>
      <c r="AA445" s="85"/>
      <c r="AC445" s="94"/>
      <c r="AD445" s="93"/>
      <c r="AE445" s="85"/>
    </row>
    <row r="446" spans="7:31" x14ac:dyDescent="0.35">
      <c r="G446" s="85"/>
      <c r="H446" s="87"/>
      <c r="K446" s="85"/>
      <c r="M446" s="94"/>
      <c r="N446" s="93"/>
      <c r="O446" s="85"/>
      <c r="Q446" s="94"/>
      <c r="R446" s="93"/>
      <c r="S446" s="85"/>
      <c r="U446" s="94"/>
      <c r="V446" s="93"/>
      <c r="W446" s="85"/>
      <c r="Y446" s="94"/>
      <c r="Z446" s="93"/>
      <c r="AA446" s="85"/>
      <c r="AC446" s="94"/>
      <c r="AD446" s="93"/>
      <c r="AE446" s="85"/>
    </row>
    <row r="447" spans="7:31" x14ac:dyDescent="0.35">
      <c r="G447" s="85"/>
      <c r="H447" s="87"/>
      <c r="K447" s="85"/>
      <c r="M447" s="94"/>
      <c r="N447" s="93"/>
      <c r="O447" s="85"/>
      <c r="Q447" s="94"/>
      <c r="R447" s="93"/>
      <c r="S447" s="85"/>
      <c r="U447" s="94"/>
      <c r="V447" s="93"/>
      <c r="W447" s="85"/>
      <c r="Y447" s="94"/>
      <c r="Z447" s="93"/>
      <c r="AA447" s="85"/>
      <c r="AC447" s="94"/>
      <c r="AD447" s="93"/>
      <c r="AE447" s="85"/>
    </row>
    <row r="448" spans="7:31" x14ac:dyDescent="0.35">
      <c r="G448" s="85"/>
      <c r="H448" s="87"/>
      <c r="K448" s="85"/>
      <c r="M448" s="94"/>
      <c r="N448" s="93"/>
      <c r="O448" s="85"/>
      <c r="Q448" s="94"/>
      <c r="R448" s="93"/>
      <c r="S448" s="85"/>
      <c r="U448" s="94"/>
      <c r="V448" s="93"/>
      <c r="W448" s="85"/>
      <c r="Y448" s="94"/>
      <c r="Z448" s="93"/>
      <c r="AA448" s="85"/>
      <c r="AC448" s="94"/>
      <c r="AD448" s="93"/>
      <c r="AE448" s="85"/>
    </row>
    <row r="449" spans="7:31" x14ac:dyDescent="0.35">
      <c r="G449" s="85"/>
      <c r="H449" s="87"/>
      <c r="K449" s="85"/>
      <c r="M449" s="94"/>
      <c r="N449" s="93"/>
      <c r="O449" s="85"/>
      <c r="Q449" s="94"/>
      <c r="R449" s="93"/>
      <c r="S449" s="85"/>
      <c r="U449" s="94"/>
      <c r="V449" s="93"/>
      <c r="W449" s="85"/>
      <c r="Y449" s="94"/>
      <c r="Z449" s="93"/>
      <c r="AA449" s="85"/>
      <c r="AC449" s="94"/>
      <c r="AD449" s="93"/>
      <c r="AE449" s="85"/>
    </row>
    <row r="450" spans="7:31" x14ac:dyDescent="0.35">
      <c r="G450" s="85"/>
      <c r="H450" s="87"/>
      <c r="K450" s="85"/>
      <c r="M450" s="94"/>
      <c r="N450" s="93"/>
      <c r="O450" s="85"/>
      <c r="Q450" s="94"/>
      <c r="R450" s="93"/>
      <c r="S450" s="85"/>
      <c r="U450" s="94"/>
      <c r="V450" s="93"/>
      <c r="W450" s="85"/>
      <c r="Y450" s="94"/>
      <c r="Z450" s="93"/>
      <c r="AA450" s="85"/>
      <c r="AC450" s="94"/>
      <c r="AD450" s="93"/>
      <c r="AE450" s="85"/>
    </row>
    <row r="451" spans="7:31" x14ac:dyDescent="0.35">
      <c r="G451" s="85"/>
      <c r="H451" s="87"/>
      <c r="K451" s="85"/>
      <c r="M451" s="94"/>
      <c r="N451" s="93"/>
      <c r="O451" s="85"/>
      <c r="Q451" s="94"/>
      <c r="R451" s="93"/>
      <c r="S451" s="85"/>
      <c r="U451" s="94"/>
      <c r="V451" s="93"/>
      <c r="W451" s="85"/>
      <c r="Y451" s="94"/>
      <c r="Z451" s="93"/>
      <c r="AA451" s="85"/>
      <c r="AC451" s="94"/>
      <c r="AD451" s="93"/>
      <c r="AE451" s="85"/>
    </row>
    <row r="452" spans="7:31" x14ac:dyDescent="0.35">
      <c r="G452" s="85"/>
      <c r="H452" s="87"/>
      <c r="K452" s="85"/>
      <c r="M452" s="94"/>
      <c r="N452" s="93"/>
      <c r="O452" s="85"/>
      <c r="Q452" s="94"/>
      <c r="R452" s="93"/>
      <c r="S452" s="85"/>
      <c r="U452" s="94"/>
      <c r="V452" s="93"/>
      <c r="W452" s="85"/>
      <c r="Y452" s="94"/>
      <c r="Z452" s="93"/>
      <c r="AA452" s="85"/>
      <c r="AC452" s="94"/>
      <c r="AD452" s="93"/>
      <c r="AE452" s="85"/>
    </row>
    <row r="453" spans="7:31" x14ac:dyDescent="0.35">
      <c r="G453" s="85"/>
      <c r="H453" s="87"/>
      <c r="K453" s="85"/>
      <c r="M453" s="94"/>
      <c r="N453" s="93"/>
      <c r="O453" s="85"/>
      <c r="Q453" s="94"/>
      <c r="R453" s="93"/>
      <c r="S453" s="85"/>
      <c r="U453" s="94"/>
      <c r="V453" s="93"/>
      <c r="W453" s="85"/>
      <c r="Y453" s="94"/>
      <c r="Z453" s="93"/>
      <c r="AA453" s="85"/>
      <c r="AC453" s="94"/>
      <c r="AD453" s="93"/>
      <c r="AE453" s="85"/>
    </row>
    <row r="454" spans="7:31" x14ac:dyDescent="0.35">
      <c r="G454" s="85"/>
      <c r="H454" s="87"/>
      <c r="K454" s="85"/>
      <c r="M454" s="94"/>
      <c r="N454" s="93"/>
      <c r="O454" s="85"/>
      <c r="Q454" s="94"/>
      <c r="R454" s="93"/>
      <c r="S454" s="85"/>
      <c r="U454" s="94"/>
      <c r="V454" s="93"/>
      <c r="W454" s="85"/>
      <c r="Y454" s="94"/>
      <c r="Z454" s="93"/>
      <c r="AA454" s="85"/>
      <c r="AC454" s="94"/>
      <c r="AD454" s="93"/>
      <c r="AE454" s="85"/>
    </row>
    <row r="455" spans="7:31" x14ac:dyDescent="0.35">
      <c r="G455" s="85"/>
      <c r="H455" s="87"/>
      <c r="K455" s="85"/>
      <c r="M455" s="94"/>
      <c r="N455" s="93"/>
      <c r="O455" s="85"/>
      <c r="Q455" s="94"/>
      <c r="R455" s="93"/>
      <c r="S455" s="85"/>
      <c r="U455" s="94"/>
      <c r="V455" s="93"/>
      <c r="W455" s="85"/>
      <c r="Y455" s="94"/>
      <c r="Z455" s="93"/>
      <c r="AA455" s="85"/>
      <c r="AC455" s="94"/>
      <c r="AD455" s="93"/>
      <c r="AE455" s="85"/>
    </row>
    <row r="456" spans="7:31" x14ac:dyDescent="0.35">
      <c r="G456" s="85"/>
      <c r="H456" s="87"/>
      <c r="K456" s="85"/>
      <c r="M456" s="94"/>
      <c r="N456" s="93"/>
      <c r="O456" s="85"/>
      <c r="Q456" s="94"/>
      <c r="R456" s="93"/>
      <c r="S456" s="85"/>
      <c r="U456" s="94"/>
      <c r="V456" s="93"/>
      <c r="W456" s="85"/>
      <c r="Y456" s="94"/>
      <c r="Z456" s="93"/>
      <c r="AA456" s="85"/>
      <c r="AC456" s="94"/>
      <c r="AD456" s="93"/>
      <c r="AE456" s="85"/>
    </row>
    <row r="457" spans="7:31" x14ac:dyDescent="0.35">
      <c r="G457" s="85"/>
      <c r="H457" s="87"/>
      <c r="K457" s="85"/>
      <c r="M457" s="94"/>
      <c r="N457" s="93"/>
      <c r="O457" s="85"/>
      <c r="Q457" s="94"/>
      <c r="R457" s="93"/>
      <c r="S457" s="85"/>
      <c r="U457" s="94"/>
      <c r="V457" s="93"/>
      <c r="W457" s="85"/>
      <c r="Y457" s="94"/>
      <c r="Z457" s="93"/>
      <c r="AA457" s="85"/>
      <c r="AC457" s="94"/>
      <c r="AD457" s="93"/>
      <c r="AE457" s="85"/>
    </row>
    <row r="458" spans="7:31" x14ac:dyDescent="0.35">
      <c r="G458" s="85"/>
      <c r="H458" s="87"/>
      <c r="K458" s="85"/>
      <c r="M458" s="94"/>
      <c r="N458" s="93"/>
      <c r="O458" s="85"/>
      <c r="Q458" s="94"/>
      <c r="R458" s="93"/>
      <c r="S458" s="85"/>
      <c r="U458" s="94"/>
      <c r="V458" s="93"/>
      <c r="W458" s="85"/>
      <c r="Y458" s="94"/>
      <c r="Z458" s="93"/>
      <c r="AA458" s="85"/>
      <c r="AC458" s="94"/>
      <c r="AD458" s="93"/>
      <c r="AE458" s="85"/>
    </row>
    <row r="459" spans="7:31" x14ac:dyDescent="0.35">
      <c r="G459" s="85"/>
      <c r="H459" s="87"/>
      <c r="K459" s="85"/>
      <c r="M459" s="94"/>
      <c r="N459" s="93"/>
      <c r="O459" s="85"/>
      <c r="Q459" s="94"/>
      <c r="R459" s="93"/>
      <c r="S459" s="85"/>
      <c r="U459" s="94"/>
      <c r="V459" s="93"/>
      <c r="W459" s="85"/>
      <c r="Y459" s="94"/>
      <c r="Z459" s="93"/>
      <c r="AA459" s="85"/>
      <c r="AC459" s="94"/>
      <c r="AD459" s="93"/>
      <c r="AE459" s="85"/>
    </row>
    <row r="460" spans="7:31" x14ac:dyDescent="0.35">
      <c r="G460" s="85"/>
      <c r="H460" s="87"/>
      <c r="K460" s="85"/>
      <c r="M460" s="94"/>
      <c r="N460" s="93"/>
      <c r="O460" s="85"/>
      <c r="Q460" s="94"/>
      <c r="R460" s="93"/>
      <c r="S460" s="85"/>
      <c r="U460" s="94"/>
      <c r="V460" s="93"/>
      <c r="W460" s="85"/>
      <c r="Y460" s="94"/>
      <c r="Z460" s="93"/>
      <c r="AA460" s="85"/>
      <c r="AC460" s="94"/>
      <c r="AD460" s="93"/>
      <c r="AE460" s="85"/>
    </row>
    <row r="461" spans="7:31" x14ac:dyDescent="0.35">
      <c r="G461" s="85"/>
      <c r="H461" s="87"/>
      <c r="K461" s="85"/>
      <c r="M461" s="94"/>
      <c r="N461" s="93"/>
      <c r="O461" s="85"/>
      <c r="Q461" s="94"/>
      <c r="R461" s="93"/>
      <c r="S461" s="85"/>
      <c r="U461" s="94"/>
      <c r="V461" s="93"/>
      <c r="W461" s="85"/>
      <c r="Y461" s="94"/>
      <c r="Z461" s="93"/>
      <c r="AA461" s="85"/>
      <c r="AC461" s="94"/>
      <c r="AD461" s="93"/>
      <c r="AE461" s="85"/>
    </row>
    <row r="462" spans="7:31" x14ac:dyDescent="0.35">
      <c r="G462" s="85"/>
      <c r="H462" s="87"/>
      <c r="K462" s="85"/>
      <c r="M462" s="94"/>
      <c r="N462" s="93"/>
      <c r="O462" s="85"/>
      <c r="Q462" s="94"/>
      <c r="R462" s="93"/>
      <c r="S462" s="85"/>
      <c r="U462" s="94"/>
      <c r="V462" s="93"/>
      <c r="W462" s="85"/>
      <c r="Y462" s="94"/>
      <c r="Z462" s="93"/>
      <c r="AA462" s="85"/>
      <c r="AC462" s="94"/>
      <c r="AD462" s="93"/>
      <c r="AE462" s="85"/>
    </row>
    <row r="463" spans="7:31" x14ac:dyDescent="0.35">
      <c r="G463" s="85"/>
      <c r="H463" s="87"/>
      <c r="K463" s="85"/>
      <c r="M463" s="94"/>
      <c r="N463" s="93"/>
      <c r="O463" s="85"/>
      <c r="Q463" s="94"/>
      <c r="R463" s="93"/>
      <c r="S463" s="85"/>
      <c r="U463" s="94"/>
      <c r="V463" s="93"/>
      <c r="W463" s="85"/>
      <c r="Y463" s="94"/>
      <c r="Z463" s="93"/>
      <c r="AA463" s="85"/>
      <c r="AC463" s="94"/>
      <c r="AD463" s="93"/>
      <c r="AE463" s="85"/>
    </row>
    <row r="464" spans="7:31" x14ac:dyDescent="0.35">
      <c r="G464" s="85"/>
      <c r="H464" s="87"/>
      <c r="K464" s="85"/>
      <c r="M464" s="94"/>
      <c r="N464" s="93"/>
      <c r="O464" s="85"/>
      <c r="Q464" s="94"/>
      <c r="R464" s="93"/>
      <c r="S464" s="85"/>
      <c r="U464" s="94"/>
      <c r="V464" s="93"/>
      <c r="W464" s="85"/>
      <c r="Y464" s="94"/>
      <c r="Z464" s="93"/>
      <c r="AA464" s="85"/>
      <c r="AC464" s="94"/>
      <c r="AD464" s="93"/>
      <c r="AE464" s="85"/>
    </row>
    <row r="465" spans="7:31" x14ac:dyDescent="0.35">
      <c r="G465" s="85"/>
      <c r="H465" s="87"/>
      <c r="K465" s="85"/>
      <c r="M465" s="94"/>
      <c r="N465" s="93"/>
      <c r="O465" s="85"/>
      <c r="Q465" s="94"/>
      <c r="R465" s="93"/>
      <c r="S465" s="85"/>
      <c r="U465" s="94"/>
      <c r="V465" s="93"/>
      <c r="W465" s="85"/>
      <c r="Y465" s="94"/>
      <c r="Z465" s="93"/>
      <c r="AA465" s="85"/>
      <c r="AC465" s="94"/>
      <c r="AD465" s="93"/>
      <c r="AE465" s="85"/>
    </row>
    <row r="466" spans="7:31" x14ac:dyDescent="0.35">
      <c r="G466" s="85"/>
      <c r="H466" s="87"/>
      <c r="K466" s="85"/>
      <c r="M466" s="94"/>
      <c r="N466" s="93"/>
      <c r="O466" s="85"/>
      <c r="Q466" s="94"/>
      <c r="R466" s="93"/>
      <c r="S466" s="85"/>
      <c r="U466" s="94"/>
      <c r="V466" s="93"/>
      <c r="W466" s="85"/>
      <c r="Y466" s="94"/>
      <c r="Z466" s="93"/>
      <c r="AA466" s="85"/>
      <c r="AC466" s="94"/>
      <c r="AD466" s="93"/>
      <c r="AE466" s="85"/>
    </row>
    <row r="467" spans="7:31" x14ac:dyDescent="0.35">
      <c r="G467" s="85"/>
      <c r="H467" s="87"/>
      <c r="K467" s="85"/>
      <c r="M467" s="94"/>
      <c r="N467" s="93"/>
      <c r="O467" s="85"/>
      <c r="Q467" s="94"/>
      <c r="R467" s="93"/>
      <c r="S467" s="85"/>
      <c r="U467" s="94"/>
      <c r="V467" s="93"/>
      <c r="W467" s="85"/>
      <c r="Y467" s="94"/>
      <c r="Z467" s="93"/>
      <c r="AA467" s="85"/>
      <c r="AC467" s="94"/>
      <c r="AD467" s="93"/>
      <c r="AE467" s="85"/>
    </row>
    <row r="468" spans="7:31" x14ac:dyDescent="0.35">
      <c r="G468" s="85"/>
      <c r="H468" s="87"/>
      <c r="K468" s="85"/>
      <c r="M468" s="94"/>
      <c r="N468" s="93"/>
      <c r="O468" s="85"/>
      <c r="Q468" s="94"/>
      <c r="R468" s="93"/>
      <c r="S468" s="85"/>
      <c r="U468" s="94"/>
      <c r="V468" s="93"/>
      <c r="W468" s="85"/>
      <c r="Y468" s="94"/>
      <c r="Z468" s="93"/>
      <c r="AA468" s="85"/>
      <c r="AC468" s="94"/>
      <c r="AD468" s="93"/>
      <c r="AE468" s="85"/>
    </row>
    <row r="469" spans="7:31" x14ac:dyDescent="0.35">
      <c r="G469" s="85"/>
      <c r="H469" s="87"/>
      <c r="K469" s="85"/>
      <c r="M469" s="94"/>
      <c r="N469" s="93"/>
      <c r="O469" s="85"/>
      <c r="Q469" s="94"/>
      <c r="R469" s="93"/>
      <c r="S469" s="85"/>
      <c r="U469" s="94"/>
      <c r="V469" s="93"/>
      <c r="W469" s="85"/>
      <c r="Y469" s="94"/>
      <c r="Z469" s="93"/>
      <c r="AA469" s="85"/>
      <c r="AC469" s="94"/>
      <c r="AD469" s="93"/>
      <c r="AE469" s="85"/>
    </row>
    <row r="470" spans="7:31" x14ac:dyDescent="0.35">
      <c r="G470" s="85"/>
      <c r="H470" s="87"/>
      <c r="K470" s="85"/>
      <c r="M470" s="94"/>
      <c r="N470" s="93"/>
      <c r="O470" s="85"/>
      <c r="Q470" s="94"/>
      <c r="R470" s="93"/>
      <c r="S470" s="85"/>
      <c r="U470" s="94"/>
      <c r="V470" s="93"/>
      <c r="W470" s="85"/>
      <c r="Y470" s="94"/>
      <c r="Z470" s="93"/>
      <c r="AA470" s="85"/>
      <c r="AC470" s="94"/>
      <c r="AD470" s="93"/>
      <c r="AE470" s="85"/>
    </row>
    <row r="471" spans="7:31" x14ac:dyDescent="0.35">
      <c r="G471" s="85"/>
      <c r="H471" s="87"/>
      <c r="K471" s="85"/>
      <c r="M471" s="94"/>
      <c r="N471" s="93"/>
      <c r="O471" s="85"/>
      <c r="Q471" s="94"/>
      <c r="R471" s="93"/>
      <c r="S471" s="85"/>
      <c r="U471" s="94"/>
      <c r="V471" s="93"/>
      <c r="W471" s="85"/>
      <c r="Y471" s="94"/>
      <c r="Z471" s="93"/>
      <c r="AA471" s="85"/>
      <c r="AC471" s="94"/>
      <c r="AD471" s="93"/>
      <c r="AE471" s="85"/>
    </row>
    <row r="472" spans="7:31" x14ac:dyDescent="0.35">
      <c r="G472" s="85"/>
      <c r="H472" s="87"/>
      <c r="K472" s="85"/>
      <c r="M472" s="94"/>
      <c r="N472" s="93"/>
      <c r="O472" s="85"/>
      <c r="Q472" s="94"/>
      <c r="R472" s="93"/>
      <c r="S472" s="85"/>
      <c r="U472" s="94"/>
      <c r="V472" s="93"/>
      <c r="W472" s="85"/>
      <c r="Y472" s="94"/>
      <c r="Z472" s="93"/>
      <c r="AA472" s="85"/>
      <c r="AC472" s="94"/>
      <c r="AD472" s="93"/>
      <c r="AE472" s="85"/>
    </row>
    <row r="473" spans="7:31" x14ac:dyDescent="0.35">
      <c r="G473" s="85"/>
      <c r="H473" s="87"/>
      <c r="K473" s="85"/>
      <c r="M473" s="94"/>
      <c r="N473" s="93"/>
      <c r="O473" s="85"/>
      <c r="Q473" s="94"/>
      <c r="R473" s="93"/>
      <c r="S473" s="85"/>
      <c r="U473" s="94"/>
      <c r="V473" s="93"/>
      <c r="W473" s="85"/>
      <c r="Y473" s="94"/>
      <c r="Z473" s="93"/>
      <c r="AA473" s="85"/>
      <c r="AC473" s="94"/>
      <c r="AD473" s="93"/>
      <c r="AE473" s="85"/>
    </row>
    <row r="474" spans="7:31" x14ac:dyDescent="0.35">
      <c r="G474" s="85"/>
      <c r="H474" s="87"/>
      <c r="K474" s="85"/>
      <c r="M474" s="94"/>
      <c r="N474" s="93"/>
      <c r="O474" s="85"/>
      <c r="Q474" s="94"/>
      <c r="R474" s="93"/>
      <c r="S474" s="85"/>
      <c r="U474" s="94"/>
      <c r="V474" s="93"/>
      <c r="W474" s="85"/>
      <c r="Y474" s="94"/>
      <c r="Z474" s="93"/>
      <c r="AA474" s="85"/>
      <c r="AC474" s="94"/>
      <c r="AD474" s="93"/>
      <c r="AE474" s="85"/>
    </row>
    <row r="475" spans="7:31" x14ac:dyDescent="0.35">
      <c r="G475" s="85"/>
      <c r="H475" s="87"/>
      <c r="K475" s="85"/>
      <c r="M475" s="94"/>
      <c r="N475" s="93"/>
      <c r="O475" s="85"/>
      <c r="Q475" s="94"/>
      <c r="R475" s="93"/>
      <c r="S475" s="85"/>
      <c r="U475" s="94"/>
      <c r="V475" s="93"/>
      <c r="W475" s="85"/>
      <c r="Y475" s="94"/>
      <c r="Z475" s="93"/>
      <c r="AA475" s="85"/>
      <c r="AC475" s="94"/>
      <c r="AD475" s="93"/>
      <c r="AE475" s="85"/>
    </row>
    <row r="476" spans="7:31" x14ac:dyDescent="0.35">
      <c r="G476" s="85"/>
      <c r="H476" s="87"/>
      <c r="K476" s="85"/>
      <c r="M476" s="94"/>
      <c r="N476" s="93"/>
      <c r="O476" s="85"/>
      <c r="Q476" s="94"/>
      <c r="R476" s="93"/>
      <c r="S476" s="85"/>
      <c r="U476" s="94"/>
      <c r="V476" s="93"/>
      <c r="W476" s="85"/>
      <c r="Y476" s="94"/>
      <c r="Z476" s="93"/>
      <c r="AA476" s="85"/>
      <c r="AC476" s="94"/>
      <c r="AD476" s="93"/>
      <c r="AE476" s="85"/>
    </row>
    <row r="477" spans="7:31" x14ac:dyDescent="0.35">
      <c r="G477" s="85"/>
      <c r="H477" s="87"/>
      <c r="K477" s="85"/>
      <c r="M477" s="94"/>
      <c r="N477" s="93"/>
      <c r="O477" s="85"/>
      <c r="Q477" s="94"/>
      <c r="R477" s="93"/>
      <c r="S477" s="85"/>
      <c r="U477" s="94"/>
      <c r="V477" s="93"/>
      <c r="W477" s="85"/>
      <c r="Y477" s="94"/>
      <c r="Z477" s="93"/>
      <c r="AA477" s="85"/>
      <c r="AC477" s="94"/>
      <c r="AD477" s="93"/>
      <c r="AE477" s="85"/>
    </row>
    <row r="478" spans="7:31" x14ac:dyDescent="0.35">
      <c r="G478" s="85"/>
      <c r="H478" s="87"/>
      <c r="K478" s="85"/>
      <c r="M478" s="94"/>
      <c r="N478" s="93"/>
      <c r="O478" s="85"/>
      <c r="Q478" s="94"/>
      <c r="R478" s="93"/>
      <c r="S478" s="85"/>
      <c r="U478" s="94"/>
      <c r="V478" s="93"/>
      <c r="W478" s="85"/>
      <c r="Y478" s="94"/>
      <c r="Z478" s="93"/>
      <c r="AA478" s="85"/>
      <c r="AC478" s="94"/>
      <c r="AD478" s="93"/>
      <c r="AE478" s="85"/>
    </row>
    <row r="479" spans="7:31" x14ac:dyDescent="0.35">
      <c r="G479" s="85"/>
      <c r="H479" s="87"/>
      <c r="K479" s="85"/>
      <c r="M479" s="94"/>
      <c r="N479" s="93"/>
      <c r="O479" s="85"/>
      <c r="Q479" s="94"/>
      <c r="R479" s="93"/>
      <c r="S479" s="85"/>
      <c r="U479" s="94"/>
      <c r="V479" s="93"/>
      <c r="W479" s="85"/>
      <c r="Y479" s="94"/>
      <c r="Z479" s="93"/>
      <c r="AA479" s="85"/>
      <c r="AC479" s="94"/>
      <c r="AD479" s="93"/>
      <c r="AE479" s="85"/>
    </row>
    <row r="480" spans="7:31" x14ac:dyDescent="0.35">
      <c r="G480" s="85"/>
      <c r="H480" s="87"/>
      <c r="K480" s="85"/>
      <c r="M480" s="94"/>
      <c r="N480" s="93"/>
      <c r="O480" s="85"/>
      <c r="Q480" s="94"/>
      <c r="R480" s="93"/>
      <c r="S480" s="85"/>
      <c r="U480" s="94"/>
      <c r="V480" s="93"/>
      <c r="W480" s="85"/>
      <c r="Y480" s="94"/>
      <c r="Z480" s="93"/>
      <c r="AA480" s="85"/>
      <c r="AC480" s="94"/>
      <c r="AD480" s="93"/>
      <c r="AE480" s="85"/>
    </row>
    <row r="481" spans="7:31" x14ac:dyDescent="0.35">
      <c r="G481" s="85"/>
      <c r="H481" s="87"/>
      <c r="K481" s="85"/>
      <c r="M481" s="94"/>
      <c r="N481" s="93"/>
      <c r="O481" s="85"/>
      <c r="Q481" s="94"/>
      <c r="R481" s="93"/>
      <c r="S481" s="85"/>
      <c r="U481" s="94"/>
      <c r="V481" s="93"/>
      <c r="W481" s="85"/>
      <c r="Y481" s="94"/>
      <c r="Z481" s="93"/>
      <c r="AA481" s="85"/>
      <c r="AC481" s="94"/>
      <c r="AD481" s="93"/>
      <c r="AE481" s="85"/>
    </row>
    <row r="482" spans="7:31" x14ac:dyDescent="0.35">
      <c r="G482" s="85"/>
      <c r="H482" s="87"/>
      <c r="K482" s="85"/>
      <c r="M482" s="94"/>
      <c r="N482" s="93"/>
      <c r="O482" s="85"/>
      <c r="Q482" s="94"/>
      <c r="R482" s="93"/>
      <c r="S482" s="85"/>
      <c r="U482" s="94"/>
      <c r="V482" s="93"/>
      <c r="W482" s="85"/>
      <c r="Y482" s="94"/>
      <c r="Z482" s="93"/>
      <c r="AA482" s="85"/>
      <c r="AC482" s="94"/>
      <c r="AD482" s="93"/>
      <c r="AE482" s="85"/>
    </row>
    <row r="483" spans="7:31" x14ac:dyDescent="0.35">
      <c r="G483" s="85"/>
      <c r="H483" s="87"/>
      <c r="K483" s="85"/>
      <c r="M483" s="94"/>
      <c r="N483" s="93"/>
      <c r="O483" s="85"/>
      <c r="Q483" s="94"/>
      <c r="R483" s="93"/>
      <c r="S483" s="85"/>
      <c r="U483" s="94"/>
      <c r="V483" s="93"/>
      <c r="W483" s="85"/>
      <c r="Y483" s="94"/>
      <c r="Z483" s="93"/>
      <c r="AA483" s="85"/>
      <c r="AC483" s="94"/>
      <c r="AD483" s="93"/>
      <c r="AE483" s="85"/>
    </row>
    <row r="484" spans="7:31" x14ac:dyDescent="0.35">
      <c r="G484" s="85"/>
      <c r="H484" s="87"/>
      <c r="K484" s="85"/>
      <c r="M484" s="94"/>
      <c r="N484" s="93"/>
      <c r="O484" s="85"/>
      <c r="Q484" s="94"/>
      <c r="R484" s="93"/>
      <c r="S484" s="85"/>
      <c r="U484" s="94"/>
      <c r="V484" s="93"/>
      <c r="W484" s="85"/>
      <c r="Y484" s="94"/>
      <c r="Z484" s="93"/>
      <c r="AA484" s="85"/>
      <c r="AC484" s="94"/>
      <c r="AD484" s="93"/>
      <c r="AE484" s="85"/>
    </row>
    <row r="485" spans="7:31" x14ac:dyDescent="0.35">
      <c r="G485" s="85"/>
      <c r="H485" s="87"/>
      <c r="K485" s="85"/>
      <c r="M485" s="94"/>
      <c r="N485" s="93"/>
      <c r="O485" s="85"/>
      <c r="Q485" s="94"/>
      <c r="R485" s="93"/>
      <c r="S485" s="85"/>
      <c r="U485" s="94"/>
      <c r="V485" s="93"/>
      <c r="W485" s="85"/>
      <c r="Y485" s="94"/>
      <c r="Z485" s="93"/>
      <c r="AA485" s="85"/>
      <c r="AC485" s="94"/>
      <c r="AD485" s="93"/>
      <c r="AE485" s="85"/>
    </row>
    <row r="486" spans="7:31" x14ac:dyDescent="0.35">
      <c r="G486" s="85"/>
      <c r="H486" s="87"/>
      <c r="K486" s="85"/>
      <c r="M486" s="94"/>
      <c r="N486" s="93"/>
      <c r="O486" s="85"/>
      <c r="Q486" s="94"/>
      <c r="R486" s="93"/>
      <c r="S486" s="85"/>
      <c r="U486" s="94"/>
      <c r="V486" s="93"/>
      <c r="W486" s="85"/>
      <c r="Y486" s="94"/>
      <c r="Z486" s="93"/>
      <c r="AA486" s="85"/>
      <c r="AC486" s="94"/>
      <c r="AD486" s="93"/>
      <c r="AE486" s="85"/>
    </row>
    <row r="487" spans="7:31" x14ac:dyDescent="0.35">
      <c r="G487" s="85"/>
      <c r="H487" s="87"/>
      <c r="K487" s="85"/>
      <c r="M487" s="94"/>
      <c r="N487" s="93"/>
      <c r="O487" s="85"/>
      <c r="Q487" s="94"/>
      <c r="R487" s="93"/>
      <c r="S487" s="85"/>
      <c r="U487" s="94"/>
      <c r="V487" s="93"/>
      <c r="W487" s="85"/>
      <c r="Y487" s="94"/>
      <c r="Z487" s="93"/>
      <c r="AA487" s="85"/>
      <c r="AC487" s="94"/>
      <c r="AD487" s="93"/>
      <c r="AE487" s="85"/>
    </row>
    <row r="488" spans="7:31" x14ac:dyDescent="0.35">
      <c r="G488" s="85"/>
      <c r="H488" s="87"/>
      <c r="K488" s="85"/>
      <c r="M488" s="94"/>
      <c r="N488" s="93"/>
      <c r="O488" s="85"/>
      <c r="Q488" s="94"/>
      <c r="R488" s="93"/>
      <c r="S488" s="85"/>
      <c r="U488" s="94"/>
      <c r="V488" s="93"/>
      <c r="W488" s="85"/>
      <c r="Y488" s="94"/>
      <c r="Z488" s="93"/>
      <c r="AA488" s="85"/>
      <c r="AC488" s="94"/>
      <c r="AD488" s="93"/>
      <c r="AE488" s="85"/>
    </row>
    <row r="489" spans="7:31" x14ac:dyDescent="0.35">
      <c r="G489" s="85"/>
      <c r="H489" s="87"/>
      <c r="K489" s="85"/>
      <c r="M489" s="94"/>
      <c r="N489" s="93"/>
      <c r="O489" s="85"/>
      <c r="Q489" s="94"/>
      <c r="R489" s="93"/>
      <c r="S489" s="85"/>
      <c r="U489" s="94"/>
      <c r="V489" s="93"/>
      <c r="W489" s="85"/>
      <c r="Y489" s="94"/>
      <c r="Z489" s="93"/>
      <c r="AA489" s="85"/>
      <c r="AC489" s="94"/>
      <c r="AD489" s="93"/>
      <c r="AE489" s="85"/>
    </row>
    <row r="490" spans="7:31" x14ac:dyDescent="0.35">
      <c r="G490" s="85"/>
      <c r="H490" s="87"/>
      <c r="K490" s="85"/>
      <c r="M490" s="94"/>
      <c r="N490" s="93"/>
      <c r="O490" s="85"/>
      <c r="Q490" s="94"/>
      <c r="R490" s="93"/>
      <c r="S490" s="85"/>
      <c r="U490" s="94"/>
      <c r="V490" s="93"/>
      <c r="W490" s="85"/>
      <c r="Y490" s="94"/>
      <c r="Z490" s="93"/>
      <c r="AA490" s="85"/>
      <c r="AC490" s="94"/>
      <c r="AD490" s="93"/>
      <c r="AE490" s="85"/>
    </row>
    <row r="491" spans="7:31" x14ac:dyDescent="0.35">
      <c r="G491" s="85"/>
      <c r="H491" s="87"/>
      <c r="K491" s="85"/>
      <c r="M491" s="94"/>
      <c r="N491" s="93"/>
      <c r="O491" s="85"/>
      <c r="Q491" s="94"/>
      <c r="R491" s="93"/>
      <c r="S491" s="85"/>
      <c r="U491" s="94"/>
      <c r="V491" s="93"/>
      <c r="W491" s="85"/>
      <c r="Y491" s="94"/>
      <c r="Z491" s="93"/>
      <c r="AA491" s="85"/>
      <c r="AC491" s="94"/>
      <c r="AD491" s="93"/>
      <c r="AE491" s="85"/>
    </row>
    <row r="492" spans="7:31" x14ac:dyDescent="0.35">
      <c r="G492" s="85"/>
      <c r="H492" s="87"/>
      <c r="K492" s="85"/>
      <c r="M492" s="94"/>
      <c r="N492" s="93"/>
      <c r="O492" s="85"/>
      <c r="Q492" s="94"/>
      <c r="R492" s="93"/>
      <c r="S492" s="85"/>
      <c r="U492" s="94"/>
      <c r="V492" s="93"/>
      <c r="W492" s="85"/>
      <c r="Y492" s="94"/>
      <c r="Z492" s="93"/>
      <c r="AA492" s="85"/>
      <c r="AC492" s="94"/>
      <c r="AD492" s="93"/>
      <c r="AE492" s="85"/>
    </row>
    <row r="493" spans="7:31" x14ac:dyDescent="0.35">
      <c r="G493" s="85"/>
      <c r="H493" s="87"/>
      <c r="K493" s="85"/>
      <c r="M493" s="94"/>
      <c r="N493" s="93"/>
      <c r="O493" s="85"/>
      <c r="Q493" s="94"/>
      <c r="R493" s="93"/>
      <c r="S493" s="85"/>
      <c r="U493" s="94"/>
      <c r="V493" s="93"/>
      <c r="W493" s="85"/>
      <c r="Y493" s="94"/>
      <c r="Z493" s="93"/>
      <c r="AA493" s="85"/>
      <c r="AC493" s="94"/>
      <c r="AD493" s="93"/>
      <c r="AE493" s="85"/>
    </row>
    <row r="494" spans="7:31" x14ac:dyDescent="0.35">
      <c r="G494" s="85"/>
      <c r="H494" s="87"/>
      <c r="K494" s="85"/>
      <c r="M494" s="94"/>
      <c r="N494" s="93"/>
      <c r="O494" s="85"/>
      <c r="Q494" s="94"/>
      <c r="R494" s="93"/>
      <c r="S494" s="85"/>
      <c r="U494" s="94"/>
      <c r="V494" s="93"/>
      <c r="W494" s="85"/>
      <c r="Y494" s="94"/>
      <c r="Z494" s="93"/>
      <c r="AA494" s="85"/>
      <c r="AC494" s="94"/>
      <c r="AD494" s="93"/>
      <c r="AE494" s="85"/>
    </row>
    <row r="495" spans="7:31" x14ac:dyDescent="0.35">
      <c r="G495" s="85"/>
      <c r="H495" s="87"/>
      <c r="K495" s="85"/>
      <c r="M495" s="94"/>
      <c r="N495" s="93"/>
      <c r="O495" s="85"/>
      <c r="Q495" s="94"/>
      <c r="R495" s="93"/>
      <c r="S495" s="85"/>
      <c r="U495" s="94"/>
      <c r="V495" s="93"/>
      <c r="W495" s="85"/>
      <c r="Y495" s="94"/>
      <c r="Z495" s="93"/>
      <c r="AA495" s="85"/>
      <c r="AC495" s="94"/>
      <c r="AD495" s="93"/>
      <c r="AE495" s="85"/>
    </row>
    <row r="496" spans="7:31" x14ac:dyDescent="0.35">
      <c r="G496" s="85"/>
      <c r="H496" s="87"/>
      <c r="K496" s="85"/>
      <c r="M496" s="94"/>
      <c r="N496" s="93"/>
      <c r="O496" s="85"/>
      <c r="Q496" s="94"/>
      <c r="R496" s="93"/>
      <c r="S496" s="85"/>
      <c r="U496" s="94"/>
      <c r="V496" s="93"/>
      <c r="W496" s="85"/>
      <c r="Y496" s="94"/>
      <c r="Z496" s="93"/>
      <c r="AA496" s="85"/>
      <c r="AC496" s="94"/>
      <c r="AD496" s="93"/>
      <c r="AE496" s="85"/>
    </row>
    <row r="497" spans="7:31" x14ac:dyDescent="0.35">
      <c r="G497" s="85"/>
      <c r="H497" s="87"/>
      <c r="K497" s="85"/>
      <c r="M497" s="94"/>
      <c r="N497" s="93"/>
      <c r="O497" s="85"/>
      <c r="Q497" s="94"/>
      <c r="R497" s="93"/>
      <c r="S497" s="85"/>
      <c r="U497" s="94"/>
      <c r="V497" s="93"/>
      <c r="W497" s="85"/>
      <c r="Y497" s="94"/>
      <c r="Z497" s="93"/>
      <c r="AA497" s="85"/>
      <c r="AC497" s="94"/>
      <c r="AD497" s="93"/>
      <c r="AE497" s="85"/>
    </row>
    <row r="498" spans="7:31" x14ac:dyDescent="0.35">
      <c r="G498" s="85"/>
      <c r="H498" s="87"/>
      <c r="K498" s="85"/>
      <c r="M498" s="94"/>
      <c r="N498" s="93"/>
      <c r="O498" s="85"/>
      <c r="Q498" s="94"/>
      <c r="R498" s="93"/>
      <c r="S498" s="85"/>
      <c r="U498" s="94"/>
      <c r="V498" s="93"/>
      <c r="W498" s="85"/>
      <c r="Y498" s="94"/>
      <c r="Z498" s="93"/>
      <c r="AA498" s="85"/>
      <c r="AC498" s="94"/>
      <c r="AD498" s="93"/>
      <c r="AE498" s="85"/>
    </row>
    <row r="499" spans="7:31" x14ac:dyDescent="0.35">
      <c r="G499" s="85"/>
      <c r="H499" s="87"/>
      <c r="K499" s="85"/>
      <c r="M499" s="94"/>
      <c r="N499" s="93"/>
      <c r="O499" s="85"/>
      <c r="Q499" s="94"/>
      <c r="R499" s="93"/>
      <c r="S499" s="85"/>
      <c r="U499" s="94"/>
      <c r="V499" s="93"/>
      <c r="W499" s="85"/>
      <c r="Y499" s="94"/>
      <c r="Z499" s="93"/>
      <c r="AA499" s="85"/>
      <c r="AC499" s="94"/>
      <c r="AD499" s="93"/>
      <c r="AE499" s="85"/>
    </row>
    <row r="500" spans="7:31" x14ac:dyDescent="0.35">
      <c r="G500" s="85"/>
      <c r="H500" s="87"/>
      <c r="K500" s="85"/>
      <c r="M500" s="94"/>
      <c r="N500" s="93"/>
      <c r="O500" s="85"/>
      <c r="Q500" s="94"/>
      <c r="R500" s="93"/>
      <c r="S500" s="85"/>
      <c r="U500" s="94"/>
      <c r="V500" s="93"/>
      <c r="W500" s="85"/>
      <c r="Y500" s="94"/>
      <c r="Z500" s="93"/>
      <c r="AA500" s="85"/>
      <c r="AC500" s="94"/>
      <c r="AD500" s="93"/>
      <c r="AE500" s="85"/>
    </row>
    <row r="501" spans="7:31" x14ac:dyDescent="0.35">
      <c r="G501" s="85"/>
      <c r="H501" s="87"/>
      <c r="K501" s="85"/>
      <c r="M501" s="94"/>
      <c r="N501" s="93"/>
      <c r="O501" s="85"/>
      <c r="Q501" s="94"/>
      <c r="R501" s="93"/>
      <c r="S501" s="85"/>
      <c r="U501" s="94"/>
      <c r="V501" s="93"/>
      <c r="W501" s="85"/>
      <c r="Y501" s="94"/>
      <c r="Z501" s="93"/>
      <c r="AA501" s="85"/>
      <c r="AC501" s="94"/>
      <c r="AD501" s="93"/>
      <c r="AE501" s="85"/>
    </row>
    <row r="502" spans="7:31" x14ac:dyDescent="0.35">
      <c r="G502" s="85"/>
      <c r="H502" s="87"/>
      <c r="K502" s="85"/>
      <c r="M502" s="94"/>
      <c r="N502" s="93"/>
      <c r="O502" s="85"/>
      <c r="Q502" s="94"/>
      <c r="R502" s="93"/>
      <c r="S502" s="85"/>
      <c r="U502" s="94"/>
      <c r="V502" s="93"/>
      <c r="W502" s="85"/>
      <c r="Y502" s="94"/>
      <c r="Z502" s="93"/>
      <c r="AA502" s="85"/>
      <c r="AC502" s="94"/>
      <c r="AD502" s="93"/>
      <c r="AE502" s="85"/>
    </row>
    <row r="503" spans="7:31" x14ac:dyDescent="0.35">
      <c r="G503" s="85"/>
      <c r="H503" s="87"/>
      <c r="K503" s="85"/>
      <c r="M503" s="94"/>
      <c r="N503" s="93"/>
      <c r="O503" s="85"/>
      <c r="Q503" s="94"/>
      <c r="R503" s="93"/>
      <c r="S503" s="85"/>
      <c r="U503" s="94"/>
      <c r="V503" s="93"/>
      <c r="W503" s="85"/>
      <c r="Y503" s="94"/>
      <c r="Z503" s="93"/>
      <c r="AA503" s="85"/>
      <c r="AC503" s="94"/>
      <c r="AD503" s="93"/>
      <c r="AE503" s="85"/>
    </row>
    <row r="504" spans="7:31" x14ac:dyDescent="0.35">
      <c r="G504" s="85"/>
      <c r="H504" s="87"/>
      <c r="K504" s="85"/>
      <c r="M504" s="94"/>
      <c r="N504" s="93"/>
      <c r="O504" s="85"/>
      <c r="Q504" s="94"/>
      <c r="R504" s="93"/>
      <c r="S504" s="85"/>
      <c r="U504" s="94"/>
      <c r="V504" s="93"/>
      <c r="W504" s="85"/>
      <c r="Y504" s="94"/>
      <c r="Z504" s="93"/>
      <c r="AA504" s="85"/>
      <c r="AC504" s="94"/>
      <c r="AD504" s="93"/>
      <c r="AE504" s="85"/>
    </row>
    <row r="505" spans="7:31" x14ac:dyDescent="0.35">
      <c r="G505" s="85"/>
      <c r="H505" s="87"/>
      <c r="K505" s="85"/>
      <c r="M505" s="94"/>
      <c r="N505" s="93"/>
      <c r="O505" s="85"/>
      <c r="Q505" s="94"/>
      <c r="R505" s="93"/>
      <c r="S505" s="85"/>
      <c r="U505" s="94"/>
      <c r="V505" s="93"/>
      <c r="W505" s="85"/>
      <c r="Y505" s="94"/>
      <c r="Z505" s="93"/>
      <c r="AA505" s="85"/>
      <c r="AC505" s="94"/>
      <c r="AD505" s="93"/>
      <c r="AE505" s="85"/>
    </row>
    <row r="506" spans="7:31" x14ac:dyDescent="0.35">
      <c r="G506" s="85"/>
      <c r="H506" s="87"/>
      <c r="K506" s="85"/>
      <c r="M506" s="94"/>
      <c r="N506" s="93"/>
      <c r="O506" s="85"/>
      <c r="Q506" s="94"/>
      <c r="R506" s="93"/>
      <c r="S506" s="85"/>
      <c r="U506" s="94"/>
      <c r="V506" s="93"/>
      <c r="W506" s="85"/>
      <c r="Y506" s="94"/>
      <c r="Z506" s="93"/>
      <c r="AA506" s="85"/>
      <c r="AC506" s="94"/>
      <c r="AD506" s="93"/>
      <c r="AE506" s="85"/>
    </row>
    <row r="507" spans="7:31" x14ac:dyDescent="0.35">
      <c r="G507" s="85"/>
      <c r="H507" s="87"/>
      <c r="K507" s="85"/>
      <c r="M507" s="94"/>
      <c r="N507" s="93"/>
      <c r="O507" s="85"/>
      <c r="Q507" s="94"/>
      <c r="R507" s="93"/>
      <c r="S507" s="85"/>
      <c r="U507" s="94"/>
      <c r="V507" s="93"/>
      <c r="W507" s="85"/>
      <c r="Y507" s="94"/>
      <c r="Z507" s="93"/>
      <c r="AA507" s="85"/>
      <c r="AC507" s="94"/>
      <c r="AD507" s="93"/>
      <c r="AE507" s="85"/>
    </row>
    <row r="508" spans="7:31" x14ac:dyDescent="0.35">
      <c r="G508" s="85"/>
      <c r="H508" s="87"/>
      <c r="K508" s="85"/>
      <c r="M508" s="94"/>
      <c r="N508" s="93"/>
      <c r="O508" s="85"/>
      <c r="Q508" s="94"/>
      <c r="R508" s="93"/>
      <c r="S508" s="85"/>
      <c r="U508" s="94"/>
      <c r="V508" s="93"/>
      <c r="W508" s="85"/>
      <c r="Y508" s="94"/>
      <c r="Z508" s="93"/>
      <c r="AA508" s="85"/>
      <c r="AC508" s="94"/>
      <c r="AD508" s="93"/>
      <c r="AE508" s="85"/>
    </row>
    <row r="509" spans="7:31" x14ac:dyDescent="0.35">
      <c r="G509" s="85"/>
      <c r="H509" s="87"/>
      <c r="K509" s="85"/>
      <c r="M509" s="94"/>
      <c r="N509" s="93"/>
      <c r="O509" s="85"/>
      <c r="Q509" s="94"/>
      <c r="R509" s="93"/>
      <c r="S509" s="85"/>
      <c r="U509" s="94"/>
      <c r="V509" s="93"/>
      <c r="W509" s="85"/>
      <c r="Y509" s="94"/>
      <c r="Z509" s="93"/>
      <c r="AA509" s="85"/>
      <c r="AC509" s="94"/>
      <c r="AD509" s="93"/>
      <c r="AE509" s="85"/>
    </row>
    <row r="510" spans="7:31" x14ac:dyDescent="0.35">
      <c r="G510" s="85"/>
      <c r="H510" s="87"/>
      <c r="K510" s="85"/>
      <c r="M510" s="94"/>
      <c r="N510" s="93"/>
      <c r="O510" s="85"/>
      <c r="Q510" s="94"/>
      <c r="R510" s="93"/>
      <c r="S510" s="85"/>
      <c r="U510" s="94"/>
      <c r="V510" s="93"/>
      <c r="W510" s="85"/>
      <c r="Y510" s="94"/>
      <c r="Z510" s="93"/>
      <c r="AA510" s="85"/>
      <c r="AC510" s="94"/>
      <c r="AD510" s="93"/>
      <c r="AE510" s="85"/>
    </row>
    <row r="511" spans="7:31" x14ac:dyDescent="0.35">
      <c r="G511" s="85"/>
      <c r="H511" s="87"/>
      <c r="K511" s="85"/>
      <c r="M511" s="94"/>
      <c r="N511" s="93"/>
      <c r="O511" s="85"/>
      <c r="Q511" s="94"/>
      <c r="R511" s="93"/>
      <c r="S511" s="85"/>
      <c r="U511" s="94"/>
      <c r="V511" s="93"/>
      <c r="W511" s="85"/>
      <c r="Y511" s="94"/>
      <c r="Z511" s="93"/>
      <c r="AA511" s="85"/>
      <c r="AC511" s="94"/>
      <c r="AD511" s="93"/>
      <c r="AE511" s="85"/>
    </row>
    <row r="512" spans="7:31" x14ac:dyDescent="0.35">
      <c r="G512" s="85"/>
      <c r="H512" s="87"/>
      <c r="K512" s="85"/>
      <c r="M512" s="94"/>
      <c r="N512" s="93"/>
      <c r="O512" s="85"/>
      <c r="Q512" s="94"/>
      <c r="R512" s="93"/>
      <c r="S512" s="85"/>
      <c r="U512" s="94"/>
      <c r="V512" s="93"/>
      <c r="W512" s="85"/>
      <c r="Y512" s="94"/>
      <c r="Z512" s="93"/>
      <c r="AA512" s="85"/>
      <c r="AC512" s="94"/>
      <c r="AD512" s="93"/>
      <c r="AE512" s="85"/>
    </row>
    <row r="513" spans="7:31" x14ac:dyDescent="0.35">
      <c r="G513" s="85"/>
      <c r="H513" s="87"/>
      <c r="K513" s="85"/>
      <c r="M513" s="94"/>
      <c r="N513" s="93"/>
      <c r="O513" s="85"/>
      <c r="Q513" s="94"/>
      <c r="R513" s="93"/>
      <c r="S513" s="85"/>
      <c r="U513" s="94"/>
      <c r="V513" s="93"/>
      <c r="W513" s="85"/>
      <c r="Y513" s="94"/>
      <c r="Z513" s="93"/>
      <c r="AA513" s="85"/>
      <c r="AC513" s="94"/>
      <c r="AD513" s="93"/>
      <c r="AE513" s="85"/>
    </row>
    <row r="514" spans="7:31" x14ac:dyDescent="0.35">
      <c r="G514" s="85"/>
      <c r="H514" s="87"/>
      <c r="K514" s="85"/>
      <c r="M514" s="94"/>
      <c r="N514" s="93"/>
      <c r="O514" s="85"/>
      <c r="Q514" s="94"/>
      <c r="R514" s="93"/>
      <c r="S514" s="85"/>
      <c r="U514" s="94"/>
      <c r="V514" s="93"/>
      <c r="W514" s="85"/>
      <c r="Y514" s="94"/>
      <c r="Z514" s="93"/>
      <c r="AA514" s="85"/>
      <c r="AC514" s="94"/>
      <c r="AD514" s="93"/>
      <c r="AE514" s="85"/>
    </row>
    <row r="515" spans="7:31" x14ac:dyDescent="0.35">
      <c r="G515" s="85"/>
      <c r="H515" s="87"/>
      <c r="K515" s="85"/>
      <c r="M515" s="94"/>
      <c r="N515" s="93"/>
      <c r="O515" s="85"/>
      <c r="Q515" s="94"/>
      <c r="R515" s="93"/>
      <c r="S515" s="85"/>
      <c r="U515" s="94"/>
      <c r="V515" s="93"/>
      <c r="W515" s="85"/>
      <c r="Y515" s="94"/>
      <c r="Z515" s="93"/>
      <c r="AA515" s="85"/>
      <c r="AC515" s="94"/>
      <c r="AD515" s="93"/>
      <c r="AE515" s="85"/>
    </row>
    <row r="516" spans="7:31" x14ac:dyDescent="0.35">
      <c r="G516" s="85"/>
      <c r="H516" s="87"/>
      <c r="K516" s="85"/>
      <c r="M516" s="94"/>
      <c r="N516" s="93"/>
      <c r="O516" s="85"/>
      <c r="Q516" s="94"/>
      <c r="R516" s="93"/>
      <c r="S516" s="85"/>
      <c r="U516" s="94"/>
      <c r="V516" s="93"/>
      <c r="W516" s="85"/>
      <c r="Y516" s="94"/>
      <c r="Z516" s="93"/>
      <c r="AA516" s="85"/>
      <c r="AC516" s="94"/>
      <c r="AD516" s="93"/>
      <c r="AE516" s="85"/>
    </row>
    <row r="517" spans="7:31" x14ac:dyDescent="0.35">
      <c r="G517" s="85"/>
      <c r="H517" s="87"/>
      <c r="K517" s="85"/>
      <c r="M517" s="94"/>
      <c r="N517" s="93"/>
      <c r="O517" s="85"/>
      <c r="Q517" s="94"/>
      <c r="R517" s="93"/>
      <c r="S517" s="85"/>
      <c r="U517" s="94"/>
      <c r="V517" s="93"/>
      <c r="W517" s="85"/>
      <c r="Y517" s="94"/>
      <c r="Z517" s="93"/>
      <c r="AA517" s="85"/>
      <c r="AC517" s="94"/>
      <c r="AD517" s="93"/>
      <c r="AE517" s="85"/>
    </row>
    <row r="518" spans="7:31" x14ac:dyDescent="0.35">
      <c r="G518" s="85"/>
      <c r="H518" s="87"/>
      <c r="K518" s="85"/>
      <c r="M518" s="94"/>
      <c r="N518" s="93"/>
      <c r="O518" s="85"/>
      <c r="Q518" s="94"/>
      <c r="R518" s="93"/>
      <c r="S518" s="85"/>
      <c r="U518" s="94"/>
      <c r="V518" s="93"/>
      <c r="W518" s="85"/>
      <c r="Y518" s="94"/>
      <c r="Z518" s="93"/>
      <c r="AA518" s="85"/>
      <c r="AC518" s="94"/>
      <c r="AD518" s="93"/>
      <c r="AE518" s="85"/>
    </row>
    <row r="519" spans="7:31" x14ac:dyDescent="0.35">
      <c r="G519" s="85"/>
      <c r="H519" s="87"/>
      <c r="K519" s="85"/>
      <c r="M519" s="94"/>
      <c r="N519" s="93"/>
      <c r="O519" s="85"/>
      <c r="Q519" s="94"/>
      <c r="R519" s="93"/>
      <c r="S519" s="85"/>
      <c r="U519" s="94"/>
      <c r="V519" s="93"/>
      <c r="W519" s="85"/>
      <c r="Y519" s="94"/>
      <c r="Z519" s="93"/>
      <c r="AA519" s="85"/>
      <c r="AC519" s="94"/>
      <c r="AD519" s="93"/>
      <c r="AE519" s="85"/>
    </row>
    <row r="520" spans="7:31" x14ac:dyDescent="0.35">
      <c r="G520" s="85"/>
      <c r="H520" s="87"/>
      <c r="K520" s="85"/>
      <c r="M520" s="94"/>
      <c r="N520" s="93"/>
      <c r="O520" s="85"/>
      <c r="Q520" s="94"/>
      <c r="R520" s="93"/>
      <c r="S520" s="85"/>
      <c r="U520" s="94"/>
      <c r="V520" s="93"/>
      <c r="W520" s="85"/>
      <c r="Y520" s="94"/>
      <c r="Z520" s="93"/>
      <c r="AA520" s="85"/>
      <c r="AC520" s="94"/>
      <c r="AD520" s="93"/>
      <c r="AE520" s="85"/>
    </row>
    <row r="521" spans="7:31" x14ac:dyDescent="0.35">
      <c r="G521" s="85"/>
      <c r="H521" s="87"/>
      <c r="K521" s="85"/>
      <c r="M521" s="94"/>
      <c r="N521" s="93"/>
      <c r="O521" s="85"/>
      <c r="Q521" s="94"/>
      <c r="R521" s="93"/>
      <c r="S521" s="85"/>
      <c r="U521" s="94"/>
      <c r="V521" s="93"/>
      <c r="W521" s="85"/>
      <c r="Y521" s="94"/>
      <c r="Z521" s="93"/>
      <c r="AA521" s="85"/>
      <c r="AC521" s="94"/>
      <c r="AD521" s="93"/>
      <c r="AE521" s="85"/>
    </row>
    <row r="522" spans="7:31" x14ac:dyDescent="0.35">
      <c r="G522" s="85"/>
      <c r="H522" s="87"/>
      <c r="K522" s="85"/>
      <c r="M522" s="94"/>
      <c r="N522" s="93"/>
      <c r="O522" s="85"/>
      <c r="Q522" s="94"/>
      <c r="R522" s="93"/>
      <c r="S522" s="85"/>
      <c r="U522" s="94"/>
      <c r="V522" s="93"/>
      <c r="W522" s="85"/>
      <c r="Y522" s="94"/>
      <c r="Z522" s="93"/>
      <c r="AA522" s="85"/>
      <c r="AC522" s="94"/>
      <c r="AD522" s="93"/>
      <c r="AE522" s="85"/>
    </row>
    <row r="523" spans="7:31" x14ac:dyDescent="0.35">
      <c r="G523" s="85"/>
      <c r="H523" s="87"/>
      <c r="K523" s="85"/>
      <c r="M523" s="94"/>
      <c r="N523" s="93"/>
      <c r="O523" s="85"/>
      <c r="Q523" s="94"/>
      <c r="R523" s="93"/>
      <c r="S523" s="85"/>
      <c r="U523" s="94"/>
      <c r="V523" s="93"/>
      <c r="W523" s="85"/>
      <c r="Y523" s="94"/>
      <c r="Z523" s="93"/>
      <c r="AA523" s="85"/>
      <c r="AC523" s="94"/>
      <c r="AD523" s="93"/>
      <c r="AE523" s="85"/>
    </row>
    <row r="524" spans="7:31" x14ac:dyDescent="0.35">
      <c r="G524" s="85"/>
      <c r="H524" s="87"/>
      <c r="K524" s="85"/>
      <c r="M524" s="94"/>
      <c r="N524" s="93"/>
      <c r="O524" s="85"/>
      <c r="Q524" s="94"/>
      <c r="R524" s="93"/>
      <c r="S524" s="85"/>
      <c r="U524" s="94"/>
      <c r="V524" s="93"/>
      <c r="W524" s="85"/>
      <c r="Y524" s="94"/>
      <c r="Z524" s="93"/>
      <c r="AA524" s="85"/>
      <c r="AC524" s="94"/>
      <c r="AD524" s="93"/>
      <c r="AE524" s="85"/>
    </row>
    <row r="525" spans="7:31" x14ac:dyDescent="0.35">
      <c r="G525" s="85"/>
      <c r="H525" s="87"/>
      <c r="K525" s="85"/>
      <c r="M525" s="94"/>
      <c r="N525" s="93"/>
      <c r="O525" s="85"/>
      <c r="Q525" s="94"/>
      <c r="R525" s="93"/>
      <c r="S525" s="85"/>
      <c r="U525" s="94"/>
      <c r="V525" s="93"/>
      <c r="W525" s="85"/>
      <c r="Y525" s="94"/>
      <c r="Z525" s="93"/>
      <c r="AA525" s="85"/>
      <c r="AC525" s="94"/>
      <c r="AD525" s="93"/>
      <c r="AE525" s="85"/>
    </row>
    <row r="526" spans="7:31" x14ac:dyDescent="0.35">
      <c r="G526" s="85"/>
      <c r="H526" s="87"/>
      <c r="K526" s="85"/>
      <c r="M526" s="94"/>
      <c r="N526" s="93"/>
      <c r="O526" s="85"/>
      <c r="Q526" s="94"/>
      <c r="R526" s="93"/>
      <c r="S526" s="85"/>
      <c r="U526" s="94"/>
      <c r="V526" s="93"/>
      <c r="W526" s="85"/>
      <c r="Y526" s="94"/>
      <c r="Z526" s="93"/>
      <c r="AA526" s="85"/>
      <c r="AC526" s="94"/>
      <c r="AD526" s="93"/>
      <c r="AE526" s="85"/>
    </row>
    <row r="527" spans="7:31" x14ac:dyDescent="0.35">
      <c r="G527" s="85"/>
      <c r="H527" s="87"/>
      <c r="K527" s="85"/>
      <c r="M527" s="94"/>
      <c r="N527" s="93"/>
      <c r="O527" s="85"/>
      <c r="Q527" s="94"/>
      <c r="R527" s="93"/>
      <c r="S527" s="85"/>
      <c r="U527" s="94"/>
      <c r="V527" s="93"/>
      <c r="W527" s="85"/>
      <c r="Y527" s="94"/>
      <c r="Z527" s="93"/>
      <c r="AA527" s="85"/>
      <c r="AC527" s="94"/>
      <c r="AD527" s="93"/>
      <c r="AE527" s="85"/>
    </row>
    <row r="528" spans="7:31" x14ac:dyDescent="0.35">
      <c r="G528" s="85"/>
      <c r="H528" s="87"/>
      <c r="K528" s="85"/>
      <c r="M528" s="94"/>
      <c r="N528" s="93"/>
      <c r="O528" s="85"/>
      <c r="Q528" s="94"/>
      <c r="R528" s="93"/>
      <c r="S528" s="85"/>
      <c r="U528" s="94"/>
      <c r="V528" s="93"/>
      <c r="W528" s="85"/>
      <c r="Y528" s="94"/>
      <c r="Z528" s="93"/>
      <c r="AA528" s="85"/>
      <c r="AC528" s="94"/>
      <c r="AD528" s="93"/>
      <c r="AE528" s="85"/>
    </row>
    <row r="529" spans="7:31" x14ac:dyDescent="0.35">
      <c r="G529" s="85"/>
      <c r="H529" s="87"/>
      <c r="K529" s="85"/>
      <c r="M529" s="94"/>
      <c r="N529" s="93"/>
      <c r="O529" s="85"/>
      <c r="Q529" s="94"/>
      <c r="R529" s="93"/>
      <c r="S529" s="85"/>
      <c r="U529" s="94"/>
      <c r="V529" s="93"/>
      <c r="W529" s="85"/>
      <c r="Y529" s="94"/>
      <c r="Z529" s="93"/>
      <c r="AA529" s="85"/>
      <c r="AC529" s="94"/>
      <c r="AD529" s="93"/>
      <c r="AE529" s="85"/>
    </row>
    <row r="530" spans="7:31" x14ac:dyDescent="0.35">
      <c r="G530" s="85"/>
      <c r="H530" s="87"/>
      <c r="K530" s="85"/>
      <c r="M530" s="94"/>
      <c r="N530" s="93"/>
      <c r="O530" s="85"/>
      <c r="Q530" s="94"/>
      <c r="R530" s="93"/>
      <c r="S530" s="85"/>
      <c r="U530" s="94"/>
      <c r="V530" s="93"/>
      <c r="W530" s="85"/>
      <c r="Y530" s="94"/>
      <c r="Z530" s="93"/>
      <c r="AA530" s="85"/>
      <c r="AC530" s="94"/>
      <c r="AD530" s="93"/>
      <c r="AE530" s="85"/>
    </row>
    <row r="531" spans="7:31" x14ac:dyDescent="0.35">
      <c r="G531" s="85"/>
      <c r="H531" s="87"/>
      <c r="K531" s="85"/>
      <c r="M531" s="94"/>
      <c r="N531" s="93"/>
      <c r="O531" s="85"/>
      <c r="Q531" s="94"/>
      <c r="R531" s="93"/>
      <c r="S531" s="85"/>
      <c r="U531" s="94"/>
      <c r="V531" s="93"/>
      <c r="W531" s="85"/>
      <c r="Y531" s="94"/>
      <c r="Z531" s="93"/>
      <c r="AA531" s="85"/>
      <c r="AC531" s="94"/>
      <c r="AD531" s="93"/>
      <c r="AE531" s="85"/>
    </row>
    <row r="532" spans="7:31" x14ac:dyDescent="0.35">
      <c r="G532" s="85"/>
      <c r="H532" s="87"/>
      <c r="K532" s="85"/>
      <c r="M532" s="94"/>
      <c r="N532" s="93"/>
      <c r="O532" s="85"/>
      <c r="Q532" s="94"/>
      <c r="R532" s="93"/>
      <c r="S532" s="85"/>
      <c r="U532" s="94"/>
      <c r="V532" s="93"/>
      <c r="W532" s="85"/>
      <c r="Y532" s="94"/>
      <c r="Z532" s="93"/>
      <c r="AA532" s="85"/>
      <c r="AC532" s="94"/>
      <c r="AD532" s="93"/>
      <c r="AE532" s="85"/>
    </row>
    <row r="533" spans="7:31" x14ac:dyDescent="0.35">
      <c r="G533" s="85"/>
      <c r="H533" s="87"/>
      <c r="K533" s="85"/>
      <c r="M533" s="94"/>
      <c r="N533" s="93"/>
      <c r="O533" s="85"/>
      <c r="Q533" s="94"/>
      <c r="R533" s="93"/>
      <c r="S533" s="85"/>
      <c r="U533" s="94"/>
      <c r="V533" s="93"/>
      <c r="W533" s="85"/>
      <c r="Y533" s="94"/>
      <c r="Z533" s="93"/>
      <c r="AA533" s="85"/>
      <c r="AC533" s="94"/>
      <c r="AD533" s="93"/>
      <c r="AE533" s="85"/>
    </row>
    <row r="534" spans="7:31" x14ac:dyDescent="0.35">
      <c r="G534" s="85"/>
      <c r="H534" s="87"/>
      <c r="K534" s="85"/>
      <c r="M534" s="94"/>
      <c r="N534" s="93"/>
      <c r="O534" s="85"/>
      <c r="Q534" s="94"/>
      <c r="R534" s="93"/>
      <c r="S534" s="85"/>
      <c r="U534" s="94"/>
      <c r="V534" s="93"/>
      <c r="W534" s="85"/>
      <c r="Y534" s="94"/>
      <c r="Z534" s="93"/>
      <c r="AA534" s="85"/>
      <c r="AC534" s="94"/>
      <c r="AD534" s="93"/>
      <c r="AE534" s="85"/>
    </row>
    <row r="535" spans="7:31" x14ac:dyDescent="0.35">
      <c r="G535" s="85"/>
      <c r="H535" s="87"/>
      <c r="K535" s="85"/>
      <c r="M535" s="94"/>
      <c r="N535" s="93"/>
      <c r="O535" s="85"/>
      <c r="Q535" s="94"/>
      <c r="R535" s="93"/>
      <c r="S535" s="85"/>
      <c r="U535" s="94"/>
      <c r="V535" s="93"/>
      <c r="W535" s="85"/>
      <c r="Y535" s="94"/>
      <c r="Z535" s="93"/>
      <c r="AA535" s="85"/>
      <c r="AC535" s="94"/>
      <c r="AD535" s="93"/>
      <c r="AE535" s="85"/>
    </row>
    <row r="536" spans="7:31" x14ac:dyDescent="0.35">
      <c r="G536" s="85"/>
      <c r="H536" s="87"/>
      <c r="K536" s="85"/>
      <c r="M536" s="94"/>
      <c r="N536" s="93"/>
      <c r="O536" s="85"/>
      <c r="Q536" s="94"/>
      <c r="R536" s="93"/>
      <c r="S536" s="85"/>
      <c r="U536" s="94"/>
      <c r="V536" s="93"/>
      <c r="W536" s="85"/>
      <c r="Y536" s="94"/>
      <c r="Z536" s="93"/>
      <c r="AA536" s="85"/>
      <c r="AC536" s="94"/>
      <c r="AD536" s="93"/>
      <c r="AE536" s="85"/>
    </row>
    <row r="537" spans="7:31" x14ac:dyDescent="0.35">
      <c r="G537" s="85"/>
      <c r="H537" s="87"/>
      <c r="K537" s="85"/>
      <c r="M537" s="94"/>
      <c r="N537" s="93"/>
      <c r="O537" s="85"/>
      <c r="Q537" s="94"/>
      <c r="R537" s="93"/>
      <c r="S537" s="85"/>
      <c r="U537" s="94"/>
      <c r="V537" s="93"/>
      <c r="W537" s="85"/>
      <c r="Y537" s="94"/>
      <c r="Z537" s="93"/>
      <c r="AA537" s="85"/>
      <c r="AC537" s="94"/>
      <c r="AD537" s="93"/>
      <c r="AE537" s="85"/>
    </row>
    <row r="538" spans="7:31" x14ac:dyDescent="0.35">
      <c r="G538" s="85"/>
      <c r="H538" s="87"/>
      <c r="K538" s="85"/>
      <c r="M538" s="94"/>
      <c r="N538" s="93"/>
      <c r="O538" s="85"/>
      <c r="Q538" s="94"/>
      <c r="R538" s="93"/>
      <c r="S538" s="85"/>
      <c r="U538" s="94"/>
      <c r="V538" s="93"/>
      <c r="W538" s="85"/>
      <c r="Y538" s="94"/>
      <c r="Z538" s="93"/>
      <c r="AA538" s="85"/>
      <c r="AC538" s="94"/>
      <c r="AD538" s="93"/>
      <c r="AE538" s="85"/>
    </row>
    <row r="539" spans="7:31" x14ac:dyDescent="0.35">
      <c r="G539" s="85"/>
      <c r="H539" s="87"/>
      <c r="K539" s="85"/>
      <c r="M539" s="94"/>
      <c r="N539" s="93"/>
      <c r="O539" s="85"/>
      <c r="Q539" s="94"/>
      <c r="R539" s="93"/>
      <c r="S539" s="85"/>
      <c r="U539" s="94"/>
      <c r="V539" s="93"/>
      <c r="W539" s="85"/>
      <c r="Y539" s="94"/>
      <c r="Z539" s="93"/>
      <c r="AA539" s="85"/>
      <c r="AC539" s="94"/>
      <c r="AD539" s="93"/>
      <c r="AE539" s="85"/>
    </row>
    <row r="540" spans="7:31" x14ac:dyDescent="0.35">
      <c r="G540" s="85"/>
      <c r="H540" s="87"/>
      <c r="K540" s="85"/>
      <c r="M540" s="94"/>
      <c r="N540" s="93"/>
      <c r="O540" s="85"/>
      <c r="Q540" s="94"/>
      <c r="R540" s="93"/>
      <c r="S540" s="85"/>
      <c r="U540" s="94"/>
      <c r="V540" s="93"/>
      <c r="W540" s="85"/>
      <c r="Y540" s="94"/>
      <c r="Z540" s="93"/>
      <c r="AA540" s="85"/>
      <c r="AC540" s="94"/>
      <c r="AD540" s="93"/>
      <c r="AE540" s="85"/>
    </row>
    <row r="541" spans="7:31" x14ac:dyDescent="0.35">
      <c r="G541" s="85"/>
      <c r="H541" s="87"/>
      <c r="K541" s="85"/>
      <c r="M541" s="94"/>
      <c r="N541" s="93"/>
      <c r="O541" s="85"/>
      <c r="Q541" s="94"/>
      <c r="R541" s="93"/>
      <c r="S541" s="85"/>
      <c r="U541" s="94"/>
      <c r="V541" s="93"/>
      <c r="W541" s="85"/>
      <c r="Y541" s="94"/>
      <c r="Z541" s="93"/>
      <c r="AA541" s="85"/>
      <c r="AC541" s="94"/>
      <c r="AD541" s="93"/>
      <c r="AE541" s="85"/>
    </row>
    <row r="542" spans="7:31" x14ac:dyDescent="0.35">
      <c r="G542" s="85"/>
      <c r="H542" s="87"/>
      <c r="K542" s="85"/>
      <c r="M542" s="94"/>
      <c r="N542" s="93"/>
      <c r="O542" s="85"/>
      <c r="Q542" s="94"/>
      <c r="R542" s="93"/>
      <c r="S542" s="85"/>
      <c r="U542" s="94"/>
      <c r="V542" s="93"/>
      <c r="W542" s="85"/>
      <c r="Y542" s="94"/>
      <c r="Z542" s="93"/>
      <c r="AA542" s="85"/>
      <c r="AC542" s="94"/>
      <c r="AD542" s="93"/>
      <c r="AE542" s="85"/>
    </row>
    <row r="543" spans="7:31" x14ac:dyDescent="0.35">
      <c r="G543" s="85"/>
      <c r="H543" s="87"/>
      <c r="K543" s="85"/>
      <c r="M543" s="94"/>
      <c r="N543" s="93"/>
      <c r="O543" s="85"/>
      <c r="Q543" s="94"/>
      <c r="R543" s="93"/>
      <c r="S543" s="85"/>
      <c r="U543" s="94"/>
      <c r="V543" s="93"/>
      <c r="W543" s="85"/>
      <c r="Y543" s="94"/>
      <c r="Z543" s="93"/>
      <c r="AA543" s="85"/>
      <c r="AC543" s="94"/>
      <c r="AD543" s="93"/>
      <c r="AE543" s="85"/>
    </row>
    <row r="544" spans="7:31" x14ac:dyDescent="0.35">
      <c r="G544" s="85"/>
      <c r="H544" s="87"/>
      <c r="K544" s="85"/>
      <c r="M544" s="94"/>
      <c r="N544" s="93"/>
      <c r="O544" s="85"/>
      <c r="Q544" s="94"/>
      <c r="R544" s="93"/>
      <c r="S544" s="85"/>
      <c r="U544" s="94"/>
      <c r="V544" s="93"/>
      <c r="W544" s="85"/>
      <c r="Y544" s="94"/>
      <c r="Z544" s="93"/>
      <c r="AA544" s="85"/>
      <c r="AC544" s="94"/>
      <c r="AD544" s="93"/>
      <c r="AE544" s="85"/>
    </row>
    <row r="545" spans="7:31" x14ac:dyDescent="0.35">
      <c r="G545" s="85"/>
      <c r="H545" s="87"/>
      <c r="K545" s="85"/>
      <c r="M545" s="94"/>
      <c r="N545" s="93"/>
      <c r="O545" s="85"/>
      <c r="Q545" s="94"/>
      <c r="R545" s="93"/>
      <c r="S545" s="85"/>
      <c r="U545" s="94"/>
      <c r="V545" s="93"/>
      <c r="W545" s="85"/>
      <c r="Y545" s="94"/>
      <c r="Z545" s="93"/>
      <c r="AA545" s="85"/>
      <c r="AC545" s="94"/>
      <c r="AD545" s="93"/>
      <c r="AE545" s="85"/>
    </row>
    <row r="546" spans="7:31" x14ac:dyDescent="0.35">
      <c r="G546" s="85"/>
      <c r="H546" s="87"/>
      <c r="K546" s="85"/>
      <c r="M546" s="94"/>
      <c r="N546" s="93"/>
      <c r="O546" s="85"/>
      <c r="Q546" s="94"/>
      <c r="R546" s="93"/>
      <c r="S546" s="85"/>
      <c r="U546" s="94"/>
      <c r="V546" s="93"/>
      <c r="W546" s="85"/>
      <c r="Y546" s="94"/>
      <c r="Z546" s="93"/>
      <c r="AA546" s="85"/>
      <c r="AC546" s="94"/>
      <c r="AD546" s="93"/>
      <c r="AE546" s="85"/>
    </row>
    <row r="547" spans="7:31" x14ac:dyDescent="0.35">
      <c r="G547" s="85"/>
      <c r="H547" s="87"/>
      <c r="K547" s="85"/>
      <c r="M547" s="94"/>
      <c r="N547" s="93"/>
      <c r="O547" s="85"/>
      <c r="Q547" s="94"/>
      <c r="R547" s="93"/>
      <c r="S547" s="85"/>
      <c r="U547" s="94"/>
      <c r="V547" s="93"/>
      <c r="W547" s="85"/>
      <c r="Y547" s="94"/>
      <c r="Z547" s="93"/>
      <c r="AA547" s="85"/>
      <c r="AC547" s="94"/>
      <c r="AD547" s="93"/>
      <c r="AE547" s="85"/>
    </row>
    <row r="548" spans="7:31" x14ac:dyDescent="0.35">
      <c r="G548" s="85"/>
      <c r="H548" s="87"/>
      <c r="K548" s="85"/>
      <c r="M548" s="94"/>
      <c r="N548" s="93"/>
      <c r="O548" s="85"/>
      <c r="Q548" s="94"/>
      <c r="R548" s="93"/>
      <c r="S548" s="85"/>
      <c r="U548" s="94"/>
      <c r="V548" s="93"/>
      <c r="W548" s="85"/>
      <c r="Y548" s="94"/>
      <c r="Z548" s="93"/>
      <c r="AA548" s="85"/>
      <c r="AC548" s="94"/>
      <c r="AD548" s="93"/>
      <c r="AE548" s="85"/>
    </row>
    <row r="549" spans="7:31" x14ac:dyDescent="0.35">
      <c r="G549" s="85"/>
      <c r="H549" s="87"/>
      <c r="K549" s="85"/>
      <c r="M549" s="94"/>
      <c r="N549" s="93"/>
      <c r="O549" s="85"/>
      <c r="Q549" s="94"/>
      <c r="R549" s="93"/>
      <c r="S549" s="85"/>
      <c r="U549" s="94"/>
      <c r="V549" s="93"/>
      <c r="W549" s="85"/>
      <c r="Y549" s="94"/>
      <c r="Z549" s="93"/>
      <c r="AA549" s="85"/>
      <c r="AC549" s="94"/>
      <c r="AD549" s="93"/>
      <c r="AE549" s="85"/>
    </row>
    <row r="550" spans="7:31" x14ac:dyDescent="0.35">
      <c r="G550" s="85"/>
      <c r="H550" s="87"/>
      <c r="K550" s="85"/>
      <c r="M550" s="94"/>
      <c r="N550" s="93"/>
      <c r="O550" s="85"/>
      <c r="Q550" s="94"/>
      <c r="R550" s="93"/>
      <c r="S550" s="85"/>
      <c r="U550" s="94"/>
      <c r="V550" s="93"/>
      <c r="W550" s="85"/>
      <c r="Y550" s="94"/>
      <c r="Z550" s="93"/>
      <c r="AA550" s="85"/>
      <c r="AC550" s="94"/>
      <c r="AD550" s="93"/>
      <c r="AE550" s="85"/>
    </row>
    <row r="551" spans="7:31" x14ac:dyDescent="0.35">
      <c r="G551" s="85"/>
      <c r="H551" s="87"/>
      <c r="K551" s="85"/>
      <c r="M551" s="94"/>
      <c r="N551" s="93"/>
      <c r="O551" s="85"/>
      <c r="Q551" s="94"/>
      <c r="R551" s="93"/>
      <c r="S551" s="85"/>
      <c r="U551" s="94"/>
      <c r="V551" s="93"/>
      <c r="W551" s="85"/>
      <c r="Y551" s="94"/>
      <c r="Z551" s="93"/>
      <c r="AA551" s="85"/>
      <c r="AC551" s="94"/>
      <c r="AD551" s="93"/>
      <c r="AE551" s="85"/>
    </row>
    <row r="552" spans="7:31" x14ac:dyDescent="0.35">
      <c r="G552" s="85"/>
      <c r="H552" s="87"/>
      <c r="K552" s="85"/>
      <c r="M552" s="94"/>
      <c r="N552" s="93"/>
      <c r="O552" s="85"/>
      <c r="Q552" s="94"/>
      <c r="R552" s="93"/>
      <c r="S552" s="85"/>
      <c r="U552" s="94"/>
      <c r="V552" s="93"/>
      <c r="W552" s="85"/>
      <c r="Y552" s="94"/>
      <c r="Z552" s="93"/>
      <c r="AA552" s="85"/>
      <c r="AC552" s="94"/>
      <c r="AD552" s="93"/>
      <c r="AE552" s="85"/>
    </row>
    <row r="553" spans="7:31" x14ac:dyDescent="0.35">
      <c r="G553" s="85"/>
      <c r="H553" s="87"/>
      <c r="K553" s="85"/>
      <c r="M553" s="94"/>
      <c r="N553" s="93"/>
      <c r="O553" s="85"/>
      <c r="Q553" s="94"/>
      <c r="R553" s="93"/>
      <c r="S553" s="85"/>
      <c r="U553" s="94"/>
      <c r="V553" s="93"/>
      <c r="W553" s="85"/>
      <c r="Y553" s="94"/>
      <c r="Z553" s="93"/>
      <c r="AA553" s="85"/>
      <c r="AC553" s="94"/>
      <c r="AD553" s="93"/>
      <c r="AE553" s="85"/>
    </row>
    <row r="554" spans="7:31" x14ac:dyDescent="0.35">
      <c r="G554" s="85"/>
      <c r="H554" s="87"/>
      <c r="K554" s="85"/>
      <c r="M554" s="94"/>
      <c r="N554" s="93"/>
      <c r="O554" s="85"/>
      <c r="Q554" s="94"/>
      <c r="R554" s="93"/>
      <c r="S554" s="85"/>
      <c r="U554" s="94"/>
      <c r="V554" s="93"/>
      <c r="W554" s="85"/>
      <c r="Y554" s="94"/>
      <c r="Z554" s="93"/>
      <c r="AA554" s="85"/>
      <c r="AC554" s="94"/>
      <c r="AD554" s="93"/>
      <c r="AE554" s="85"/>
    </row>
    <row r="555" spans="7:31" x14ac:dyDescent="0.35">
      <c r="G555" s="85"/>
      <c r="H555" s="87"/>
      <c r="K555" s="85"/>
      <c r="M555" s="94"/>
      <c r="N555" s="93"/>
      <c r="O555" s="85"/>
      <c r="Q555" s="94"/>
      <c r="R555" s="93"/>
      <c r="S555" s="85"/>
      <c r="U555" s="94"/>
      <c r="V555" s="93"/>
      <c r="W555" s="85"/>
      <c r="Y555" s="94"/>
      <c r="Z555" s="93"/>
      <c r="AA555" s="85"/>
      <c r="AC555" s="94"/>
      <c r="AD555" s="93"/>
      <c r="AE555" s="85"/>
    </row>
    <row r="556" spans="7:31" x14ac:dyDescent="0.35">
      <c r="G556" s="85"/>
      <c r="H556" s="87"/>
      <c r="K556" s="85"/>
      <c r="M556" s="94"/>
      <c r="N556" s="93"/>
      <c r="O556" s="85"/>
      <c r="Q556" s="94"/>
      <c r="R556" s="93"/>
      <c r="S556" s="85"/>
      <c r="U556" s="94"/>
      <c r="V556" s="93"/>
      <c r="W556" s="85"/>
      <c r="Y556" s="94"/>
      <c r="Z556" s="93"/>
      <c r="AA556" s="85"/>
      <c r="AC556" s="94"/>
      <c r="AD556" s="93"/>
      <c r="AE556" s="85"/>
    </row>
    <row r="557" spans="7:31" x14ac:dyDescent="0.35">
      <c r="G557" s="85"/>
      <c r="H557" s="87"/>
      <c r="K557" s="85"/>
      <c r="M557" s="94"/>
      <c r="N557" s="93"/>
      <c r="O557" s="85"/>
      <c r="Q557" s="94"/>
      <c r="R557" s="93"/>
      <c r="S557" s="85"/>
      <c r="U557" s="94"/>
      <c r="V557" s="93"/>
      <c r="W557" s="85"/>
      <c r="Y557" s="94"/>
      <c r="Z557" s="93"/>
      <c r="AA557" s="85"/>
      <c r="AC557" s="94"/>
      <c r="AD557" s="93"/>
      <c r="AE557" s="85"/>
    </row>
    <row r="558" spans="7:31" x14ac:dyDescent="0.35">
      <c r="G558" s="85"/>
      <c r="H558" s="87"/>
      <c r="K558" s="85"/>
      <c r="M558" s="94"/>
      <c r="N558" s="93"/>
      <c r="O558" s="85"/>
      <c r="Q558" s="94"/>
      <c r="R558" s="93"/>
      <c r="S558" s="85"/>
      <c r="U558" s="94"/>
      <c r="V558" s="93"/>
      <c r="W558" s="85"/>
      <c r="Y558" s="94"/>
      <c r="Z558" s="93"/>
      <c r="AA558" s="85"/>
      <c r="AC558" s="94"/>
      <c r="AD558" s="93"/>
      <c r="AE558" s="85"/>
    </row>
    <row r="559" spans="7:31" x14ac:dyDescent="0.35">
      <c r="G559" s="85"/>
      <c r="H559" s="87"/>
      <c r="K559" s="85"/>
      <c r="M559" s="94"/>
      <c r="N559" s="93"/>
      <c r="O559" s="85"/>
      <c r="Q559" s="94"/>
      <c r="R559" s="93"/>
      <c r="S559" s="85"/>
      <c r="U559" s="94"/>
      <c r="V559" s="93"/>
      <c r="W559" s="85"/>
      <c r="Y559" s="94"/>
      <c r="Z559" s="93"/>
      <c r="AA559" s="85"/>
      <c r="AC559" s="94"/>
      <c r="AD559" s="93"/>
      <c r="AE559" s="85"/>
    </row>
    <row r="560" spans="7:31" x14ac:dyDescent="0.35">
      <c r="G560" s="85"/>
      <c r="H560" s="87"/>
      <c r="K560" s="85"/>
      <c r="M560" s="94"/>
      <c r="N560" s="93"/>
      <c r="O560" s="85"/>
      <c r="Q560" s="94"/>
      <c r="R560" s="93"/>
      <c r="S560" s="85"/>
      <c r="U560" s="94"/>
      <c r="V560" s="93"/>
      <c r="W560" s="85"/>
      <c r="Y560" s="94"/>
      <c r="Z560" s="93"/>
      <c r="AA560" s="85"/>
      <c r="AC560" s="94"/>
      <c r="AD560" s="93"/>
      <c r="AE560" s="85"/>
    </row>
    <row r="561" spans="7:31" x14ac:dyDescent="0.35">
      <c r="G561" s="85"/>
      <c r="H561" s="87"/>
      <c r="K561" s="85"/>
      <c r="M561" s="94"/>
      <c r="N561" s="93"/>
      <c r="O561" s="85"/>
      <c r="Q561" s="94"/>
      <c r="R561" s="93"/>
      <c r="S561" s="85"/>
      <c r="U561" s="94"/>
      <c r="V561" s="93"/>
      <c r="W561" s="85"/>
      <c r="Y561" s="94"/>
      <c r="Z561" s="93"/>
      <c r="AA561" s="85"/>
      <c r="AC561" s="94"/>
      <c r="AD561" s="93"/>
      <c r="AE561" s="85"/>
    </row>
    <row r="562" spans="7:31" x14ac:dyDescent="0.35">
      <c r="G562" s="85"/>
      <c r="H562" s="87"/>
      <c r="K562" s="85"/>
      <c r="M562" s="94"/>
      <c r="N562" s="93"/>
      <c r="O562" s="85"/>
      <c r="Q562" s="94"/>
      <c r="R562" s="93"/>
      <c r="S562" s="85"/>
      <c r="U562" s="94"/>
      <c r="V562" s="93"/>
      <c r="W562" s="85"/>
      <c r="Y562" s="94"/>
      <c r="Z562" s="93"/>
      <c r="AA562" s="85"/>
      <c r="AC562" s="94"/>
      <c r="AD562" s="93"/>
      <c r="AE562" s="85"/>
    </row>
    <row r="563" spans="7:31" x14ac:dyDescent="0.35">
      <c r="G563" s="85"/>
      <c r="H563" s="87"/>
      <c r="K563" s="85"/>
      <c r="M563" s="94"/>
      <c r="N563" s="93"/>
      <c r="O563" s="85"/>
      <c r="Q563" s="94"/>
      <c r="R563" s="93"/>
      <c r="S563" s="85"/>
      <c r="U563" s="94"/>
      <c r="V563" s="93"/>
      <c r="W563" s="85"/>
      <c r="Y563" s="94"/>
      <c r="Z563" s="93"/>
      <c r="AA563" s="85"/>
      <c r="AC563" s="94"/>
      <c r="AD563" s="93"/>
      <c r="AE563" s="85"/>
    </row>
    <row r="564" spans="7:31" x14ac:dyDescent="0.35">
      <c r="G564" s="85"/>
      <c r="H564" s="87"/>
      <c r="K564" s="85"/>
      <c r="M564" s="94"/>
      <c r="N564" s="93"/>
      <c r="O564" s="85"/>
      <c r="Q564" s="94"/>
      <c r="R564" s="93"/>
      <c r="S564" s="85"/>
      <c r="U564" s="94"/>
      <c r="V564" s="93"/>
      <c r="W564" s="85"/>
      <c r="Y564" s="94"/>
      <c r="Z564" s="93"/>
      <c r="AA564" s="85"/>
      <c r="AC564" s="94"/>
      <c r="AD564" s="93"/>
      <c r="AE564" s="85"/>
    </row>
    <row r="565" spans="7:31" x14ac:dyDescent="0.35">
      <c r="G565" s="85"/>
      <c r="H565" s="87"/>
      <c r="K565" s="85"/>
      <c r="M565" s="94"/>
      <c r="N565" s="93"/>
      <c r="O565" s="85"/>
      <c r="Q565" s="94"/>
      <c r="R565" s="93"/>
      <c r="S565" s="85"/>
      <c r="U565" s="94"/>
      <c r="V565" s="93"/>
      <c r="W565" s="85"/>
      <c r="Y565" s="94"/>
      <c r="Z565" s="93"/>
      <c r="AA565" s="85"/>
      <c r="AC565" s="94"/>
      <c r="AD565" s="93"/>
      <c r="AE565" s="85"/>
    </row>
    <row r="566" spans="7:31" x14ac:dyDescent="0.35">
      <c r="G566" s="85"/>
      <c r="H566" s="87"/>
      <c r="K566" s="85"/>
      <c r="M566" s="94"/>
      <c r="N566" s="93"/>
      <c r="O566" s="85"/>
      <c r="Q566" s="94"/>
      <c r="R566" s="93"/>
      <c r="S566" s="85"/>
      <c r="U566" s="94"/>
      <c r="V566" s="93"/>
      <c r="W566" s="85"/>
      <c r="Y566" s="94"/>
      <c r="Z566" s="93"/>
      <c r="AA566" s="85"/>
      <c r="AC566" s="94"/>
      <c r="AD566" s="93"/>
      <c r="AE566" s="85"/>
    </row>
    <row r="567" spans="7:31" x14ac:dyDescent="0.35">
      <c r="G567" s="85"/>
      <c r="H567" s="87"/>
      <c r="K567" s="85"/>
      <c r="M567" s="94"/>
      <c r="N567" s="93"/>
      <c r="O567" s="85"/>
      <c r="Q567" s="94"/>
      <c r="R567" s="93"/>
      <c r="S567" s="85"/>
      <c r="U567" s="94"/>
      <c r="V567" s="93"/>
      <c r="W567" s="85"/>
      <c r="Y567" s="94"/>
      <c r="Z567" s="93"/>
      <c r="AA567" s="85"/>
      <c r="AC567" s="94"/>
      <c r="AD567" s="93"/>
      <c r="AE567" s="85"/>
    </row>
    <row r="568" spans="7:31" x14ac:dyDescent="0.35">
      <c r="G568" s="85"/>
      <c r="H568" s="87"/>
      <c r="K568" s="85"/>
      <c r="M568" s="94"/>
      <c r="N568" s="93"/>
      <c r="O568" s="85"/>
      <c r="Q568" s="94"/>
      <c r="R568" s="93"/>
      <c r="S568" s="85"/>
      <c r="U568" s="94"/>
      <c r="V568" s="93"/>
      <c r="W568" s="85"/>
      <c r="Y568" s="94"/>
      <c r="Z568" s="93"/>
      <c r="AA568" s="85"/>
      <c r="AC568" s="94"/>
      <c r="AD568" s="93"/>
      <c r="AE568" s="85"/>
    </row>
    <row r="569" spans="7:31" x14ac:dyDescent="0.35">
      <c r="G569" s="85"/>
      <c r="H569" s="87"/>
      <c r="K569" s="85"/>
      <c r="M569" s="94"/>
      <c r="N569" s="93"/>
      <c r="O569" s="85"/>
      <c r="Q569" s="94"/>
      <c r="R569" s="93"/>
      <c r="S569" s="85"/>
      <c r="U569" s="94"/>
      <c r="V569" s="93"/>
      <c r="W569" s="85"/>
      <c r="Y569" s="94"/>
      <c r="Z569" s="93"/>
      <c r="AA569" s="85"/>
      <c r="AC569" s="94"/>
      <c r="AD569" s="93"/>
      <c r="AE569" s="85"/>
    </row>
    <row r="570" spans="7:31" x14ac:dyDescent="0.35">
      <c r="G570" s="85"/>
      <c r="H570" s="87"/>
      <c r="K570" s="85"/>
      <c r="M570" s="94"/>
      <c r="N570" s="93"/>
      <c r="O570" s="85"/>
      <c r="Q570" s="94"/>
      <c r="R570" s="93"/>
      <c r="S570" s="85"/>
      <c r="U570" s="94"/>
      <c r="V570" s="93"/>
      <c r="W570" s="85"/>
      <c r="Y570" s="94"/>
      <c r="Z570" s="93"/>
      <c r="AA570" s="85"/>
      <c r="AC570" s="94"/>
      <c r="AD570" s="93"/>
      <c r="AE570" s="85"/>
    </row>
    <row r="571" spans="7:31" x14ac:dyDescent="0.35">
      <c r="G571" s="85"/>
      <c r="H571" s="87"/>
      <c r="K571" s="85"/>
      <c r="M571" s="94"/>
      <c r="N571" s="93"/>
      <c r="O571" s="85"/>
      <c r="Q571" s="94"/>
      <c r="R571" s="93"/>
      <c r="S571" s="85"/>
      <c r="U571" s="94"/>
      <c r="V571" s="93"/>
      <c r="W571" s="85"/>
      <c r="Y571" s="94"/>
      <c r="Z571" s="93"/>
      <c r="AA571" s="85"/>
      <c r="AC571" s="94"/>
      <c r="AD571" s="93"/>
      <c r="AE571" s="85"/>
    </row>
    <row r="572" spans="7:31" x14ac:dyDescent="0.35">
      <c r="G572" s="85"/>
      <c r="H572" s="87"/>
      <c r="K572" s="85"/>
      <c r="M572" s="94"/>
      <c r="N572" s="93"/>
      <c r="O572" s="85"/>
      <c r="Q572" s="94"/>
      <c r="R572" s="93"/>
      <c r="S572" s="85"/>
      <c r="U572" s="94"/>
      <c r="V572" s="93"/>
      <c r="W572" s="85"/>
      <c r="Y572" s="94"/>
      <c r="Z572" s="93"/>
      <c r="AA572" s="85"/>
      <c r="AC572" s="94"/>
      <c r="AD572" s="93"/>
      <c r="AE572" s="85"/>
    </row>
    <row r="573" spans="7:31" x14ac:dyDescent="0.35">
      <c r="G573" s="85"/>
      <c r="H573" s="87"/>
      <c r="K573" s="85"/>
      <c r="M573" s="94"/>
      <c r="N573" s="93"/>
      <c r="O573" s="85"/>
      <c r="Q573" s="94"/>
      <c r="R573" s="93"/>
      <c r="S573" s="85"/>
      <c r="U573" s="94"/>
      <c r="V573" s="93"/>
      <c r="W573" s="85"/>
      <c r="Y573" s="94"/>
      <c r="Z573" s="93"/>
      <c r="AA573" s="85"/>
      <c r="AC573" s="94"/>
      <c r="AD573" s="93"/>
      <c r="AE573" s="85"/>
    </row>
    <row r="574" spans="7:31" x14ac:dyDescent="0.35">
      <c r="G574" s="85"/>
      <c r="H574" s="87"/>
      <c r="K574" s="85"/>
      <c r="M574" s="94"/>
      <c r="N574" s="93"/>
      <c r="O574" s="85"/>
      <c r="Q574" s="94"/>
      <c r="R574" s="93"/>
      <c r="S574" s="85"/>
      <c r="U574" s="94"/>
      <c r="V574" s="93"/>
      <c r="W574" s="85"/>
      <c r="Y574" s="94"/>
      <c r="Z574" s="93"/>
      <c r="AA574" s="85"/>
      <c r="AC574" s="94"/>
      <c r="AD574" s="93"/>
      <c r="AE574" s="85"/>
    </row>
    <row r="575" spans="7:31" x14ac:dyDescent="0.35">
      <c r="G575" s="85"/>
      <c r="H575" s="87"/>
      <c r="K575" s="85"/>
      <c r="M575" s="94"/>
      <c r="N575" s="93"/>
      <c r="O575" s="85"/>
      <c r="Q575" s="94"/>
      <c r="R575" s="93"/>
      <c r="S575" s="85"/>
      <c r="U575" s="94"/>
      <c r="V575" s="93"/>
      <c r="W575" s="85"/>
      <c r="Y575" s="94"/>
      <c r="Z575" s="93"/>
      <c r="AA575" s="85"/>
      <c r="AC575" s="94"/>
      <c r="AD575" s="93"/>
      <c r="AE575" s="85"/>
    </row>
    <row r="576" spans="7:31" x14ac:dyDescent="0.35">
      <c r="G576" s="85"/>
      <c r="H576" s="87"/>
      <c r="K576" s="85"/>
      <c r="M576" s="94"/>
      <c r="N576" s="93"/>
      <c r="O576" s="85"/>
      <c r="Q576" s="94"/>
      <c r="R576" s="93"/>
      <c r="S576" s="85"/>
      <c r="U576" s="94"/>
      <c r="V576" s="93"/>
      <c r="W576" s="85"/>
      <c r="Y576" s="94"/>
      <c r="Z576" s="93"/>
      <c r="AA576" s="85"/>
      <c r="AC576" s="94"/>
      <c r="AD576" s="93"/>
      <c r="AE576" s="85"/>
    </row>
    <row r="577" spans="7:31" x14ac:dyDescent="0.35">
      <c r="G577" s="85"/>
      <c r="H577" s="87"/>
      <c r="K577" s="85"/>
      <c r="M577" s="94"/>
      <c r="N577" s="93"/>
      <c r="O577" s="85"/>
      <c r="Q577" s="94"/>
      <c r="R577" s="93"/>
      <c r="S577" s="85"/>
      <c r="U577" s="94"/>
      <c r="V577" s="93"/>
      <c r="W577" s="85"/>
      <c r="Y577" s="94"/>
      <c r="Z577" s="93"/>
      <c r="AA577" s="85"/>
      <c r="AC577" s="94"/>
      <c r="AD577" s="93"/>
      <c r="AE577" s="85"/>
    </row>
    <row r="578" spans="7:31" x14ac:dyDescent="0.35">
      <c r="G578" s="85"/>
      <c r="H578" s="87"/>
      <c r="K578" s="85"/>
      <c r="M578" s="94"/>
      <c r="N578" s="93"/>
      <c r="O578" s="85"/>
      <c r="Q578" s="94"/>
      <c r="R578" s="93"/>
      <c r="S578" s="85"/>
      <c r="U578" s="94"/>
      <c r="V578" s="93"/>
      <c r="W578" s="85"/>
      <c r="Y578" s="94"/>
      <c r="Z578" s="93"/>
      <c r="AA578" s="85"/>
      <c r="AC578" s="94"/>
      <c r="AD578" s="93"/>
      <c r="AE578" s="85"/>
    </row>
    <row r="579" spans="7:31" x14ac:dyDescent="0.35">
      <c r="G579" s="85"/>
      <c r="H579" s="87"/>
      <c r="K579" s="85"/>
      <c r="M579" s="94"/>
      <c r="N579" s="93"/>
      <c r="O579" s="85"/>
      <c r="Q579" s="94"/>
      <c r="R579" s="93"/>
      <c r="S579" s="85"/>
      <c r="U579" s="94"/>
      <c r="V579" s="93"/>
      <c r="W579" s="85"/>
      <c r="Y579" s="94"/>
      <c r="Z579" s="93"/>
      <c r="AA579" s="85"/>
      <c r="AC579" s="94"/>
      <c r="AD579" s="93"/>
      <c r="AE579" s="85"/>
    </row>
    <row r="580" spans="7:31" x14ac:dyDescent="0.35">
      <c r="G580" s="85"/>
      <c r="H580" s="87"/>
      <c r="K580" s="85"/>
      <c r="M580" s="94"/>
      <c r="N580" s="93"/>
      <c r="O580" s="85"/>
      <c r="Q580" s="94"/>
      <c r="R580" s="93"/>
      <c r="S580" s="85"/>
      <c r="U580" s="94"/>
      <c r="V580" s="93"/>
      <c r="W580" s="85"/>
      <c r="Y580" s="94"/>
      <c r="Z580" s="93"/>
      <c r="AA580" s="85"/>
      <c r="AC580" s="94"/>
      <c r="AD580" s="93"/>
      <c r="AE580" s="85"/>
    </row>
    <row r="581" spans="7:31" x14ac:dyDescent="0.35">
      <c r="G581" s="85"/>
      <c r="H581" s="87"/>
      <c r="K581" s="85"/>
      <c r="M581" s="94"/>
      <c r="N581" s="93"/>
      <c r="O581" s="85"/>
      <c r="Q581" s="94"/>
      <c r="R581" s="93"/>
      <c r="S581" s="85"/>
      <c r="U581" s="94"/>
      <c r="V581" s="93"/>
      <c r="W581" s="85"/>
      <c r="Y581" s="94"/>
      <c r="Z581" s="93"/>
      <c r="AA581" s="85"/>
      <c r="AC581" s="94"/>
      <c r="AD581" s="93"/>
      <c r="AE581" s="85"/>
    </row>
    <row r="582" spans="7:31" x14ac:dyDescent="0.35">
      <c r="G582" s="85"/>
      <c r="H582" s="87"/>
      <c r="K582" s="85"/>
      <c r="M582" s="94"/>
      <c r="N582" s="93"/>
      <c r="O582" s="85"/>
      <c r="Q582" s="94"/>
      <c r="R582" s="93"/>
      <c r="S582" s="85"/>
      <c r="U582" s="94"/>
      <c r="V582" s="93"/>
      <c r="W582" s="85"/>
      <c r="Y582" s="94"/>
      <c r="Z582" s="93"/>
      <c r="AA582" s="85"/>
      <c r="AC582" s="94"/>
      <c r="AD582" s="93"/>
      <c r="AE582" s="85"/>
    </row>
    <row r="583" spans="7:31" x14ac:dyDescent="0.35">
      <c r="G583" s="85"/>
      <c r="H583" s="87"/>
      <c r="K583" s="85"/>
      <c r="M583" s="94"/>
      <c r="N583" s="93"/>
      <c r="O583" s="85"/>
      <c r="Q583" s="94"/>
      <c r="R583" s="93"/>
      <c r="S583" s="85"/>
      <c r="U583" s="94"/>
      <c r="V583" s="93"/>
      <c r="W583" s="85"/>
      <c r="Y583" s="94"/>
      <c r="Z583" s="93"/>
      <c r="AA583" s="85"/>
      <c r="AC583" s="94"/>
      <c r="AD583" s="93"/>
      <c r="AE583" s="85"/>
    </row>
    <row r="584" spans="7:31" x14ac:dyDescent="0.35">
      <c r="G584" s="85"/>
      <c r="H584" s="87"/>
      <c r="K584" s="85"/>
      <c r="M584" s="94"/>
      <c r="N584" s="93"/>
      <c r="O584" s="85"/>
      <c r="Q584" s="94"/>
      <c r="R584" s="93"/>
      <c r="S584" s="85"/>
      <c r="U584" s="94"/>
      <c r="V584" s="93"/>
      <c r="W584" s="85"/>
      <c r="Y584" s="94"/>
      <c r="Z584" s="93"/>
      <c r="AA584" s="85"/>
      <c r="AC584" s="94"/>
      <c r="AD584" s="93"/>
      <c r="AE584" s="85"/>
    </row>
    <row r="585" spans="7:31" x14ac:dyDescent="0.35">
      <c r="G585" s="85"/>
      <c r="H585" s="87"/>
      <c r="K585" s="85"/>
      <c r="M585" s="94"/>
      <c r="N585" s="93"/>
      <c r="O585" s="85"/>
      <c r="Q585" s="94"/>
      <c r="R585" s="93"/>
      <c r="S585" s="85"/>
      <c r="U585" s="94"/>
      <c r="V585" s="93"/>
      <c r="W585" s="85"/>
      <c r="Y585" s="94"/>
      <c r="Z585" s="93"/>
      <c r="AA585" s="85"/>
      <c r="AC585" s="94"/>
      <c r="AD585" s="93"/>
      <c r="AE585" s="85"/>
    </row>
    <row r="586" spans="7:31" x14ac:dyDescent="0.35">
      <c r="G586" s="85"/>
      <c r="H586" s="87"/>
      <c r="K586" s="85"/>
      <c r="M586" s="94"/>
      <c r="N586" s="93"/>
      <c r="O586" s="85"/>
      <c r="Q586" s="94"/>
      <c r="R586" s="93"/>
      <c r="S586" s="85"/>
      <c r="U586" s="94"/>
      <c r="V586" s="93"/>
      <c r="W586" s="85"/>
      <c r="Y586" s="94"/>
      <c r="Z586" s="93"/>
      <c r="AA586" s="85"/>
      <c r="AC586" s="94"/>
      <c r="AD586" s="93"/>
      <c r="AE586" s="85"/>
    </row>
    <row r="587" spans="7:31" x14ac:dyDescent="0.35">
      <c r="G587" s="85"/>
      <c r="H587" s="87"/>
      <c r="K587" s="85"/>
      <c r="M587" s="94"/>
      <c r="N587" s="93"/>
      <c r="O587" s="85"/>
      <c r="Q587" s="94"/>
      <c r="R587" s="93"/>
      <c r="S587" s="85"/>
      <c r="U587" s="94"/>
      <c r="V587" s="93"/>
      <c r="W587" s="85"/>
      <c r="Y587" s="94"/>
      <c r="Z587" s="93"/>
      <c r="AA587" s="85"/>
      <c r="AC587" s="94"/>
      <c r="AD587" s="93"/>
      <c r="AE587" s="85"/>
    </row>
    <row r="588" spans="7:31" x14ac:dyDescent="0.35">
      <c r="G588" s="85"/>
      <c r="H588" s="87"/>
      <c r="K588" s="85"/>
      <c r="M588" s="94"/>
      <c r="N588" s="93"/>
      <c r="O588" s="85"/>
      <c r="Q588" s="94"/>
      <c r="R588" s="93"/>
      <c r="S588" s="85"/>
      <c r="U588" s="94"/>
      <c r="V588" s="93"/>
      <c r="W588" s="85"/>
      <c r="Y588" s="94"/>
      <c r="Z588" s="93"/>
      <c r="AA588" s="85"/>
      <c r="AC588" s="94"/>
      <c r="AD588" s="93"/>
      <c r="AE588" s="85"/>
    </row>
    <row r="589" spans="7:31" x14ac:dyDescent="0.35">
      <c r="G589" s="85"/>
      <c r="H589" s="87"/>
      <c r="K589" s="85"/>
      <c r="M589" s="94"/>
      <c r="N589" s="93"/>
      <c r="O589" s="85"/>
      <c r="Q589" s="94"/>
      <c r="R589" s="93"/>
      <c r="S589" s="85"/>
      <c r="U589" s="94"/>
      <c r="V589" s="93"/>
      <c r="W589" s="85"/>
      <c r="Y589" s="94"/>
      <c r="Z589" s="93"/>
      <c r="AA589" s="85"/>
      <c r="AC589" s="94"/>
      <c r="AD589" s="93"/>
      <c r="AE589" s="85"/>
    </row>
    <row r="590" spans="7:31" x14ac:dyDescent="0.35">
      <c r="G590" s="85"/>
      <c r="H590" s="87"/>
      <c r="K590" s="85"/>
      <c r="M590" s="94"/>
      <c r="N590" s="93"/>
      <c r="O590" s="85"/>
      <c r="Q590" s="94"/>
      <c r="R590" s="93"/>
      <c r="S590" s="85"/>
      <c r="U590" s="94"/>
      <c r="V590" s="93"/>
      <c r="W590" s="85"/>
      <c r="Y590" s="94"/>
      <c r="Z590" s="93"/>
      <c r="AA590" s="85"/>
      <c r="AC590" s="94"/>
      <c r="AD590" s="93"/>
      <c r="AE590" s="85"/>
    </row>
    <row r="591" spans="7:31" x14ac:dyDescent="0.35">
      <c r="G591" s="85"/>
      <c r="H591" s="87"/>
      <c r="K591" s="85"/>
      <c r="M591" s="94"/>
      <c r="N591" s="93"/>
      <c r="O591" s="85"/>
      <c r="Q591" s="94"/>
      <c r="R591" s="93"/>
      <c r="S591" s="85"/>
      <c r="U591" s="94"/>
      <c r="V591" s="93"/>
      <c r="W591" s="85"/>
      <c r="Y591" s="94"/>
      <c r="Z591" s="93"/>
      <c r="AA591" s="85"/>
      <c r="AC591" s="94"/>
      <c r="AD591" s="93"/>
      <c r="AE591" s="85"/>
    </row>
    <row r="592" spans="7:31" x14ac:dyDescent="0.35">
      <c r="G592" s="85"/>
      <c r="H592" s="87"/>
      <c r="K592" s="85"/>
      <c r="M592" s="94"/>
      <c r="N592" s="93"/>
      <c r="O592" s="85"/>
      <c r="Q592" s="94"/>
      <c r="R592" s="93"/>
      <c r="S592" s="85"/>
      <c r="U592" s="94"/>
      <c r="V592" s="93"/>
      <c r="W592" s="85"/>
      <c r="Y592" s="94"/>
      <c r="Z592" s="93"/>
      <c r="AA592" s="85"/>
      <c r="AC592" s="94"/>
      <c r="AD592" s="93"/>
      <c r="AE592" s="85"/>
    </row>
    <row r="593" spans="7:31" x14ac:dyDescent="0.35">
      <c r="G593" s="85"/>
      <c r="H593" s="87"/>
      <c r="K593" s="85"/>
      <c r="M593" s="94"/>
      <c r="N593" s="93"/>
      <c r="O593" s="85"/>
      <c r="Q593" s="94"/>
      <c r="R593" s="93"/>
      <c r="S593" s="85"/>
      <c r="U593" s="94"/>
      <c r="V593" s="93"/>
      <c r="W593" s="85"/>
      <c r="Y593" s="94"/>
      <c r="Z593" s="93"/>
      <c r="AA593" s="85"/>
      <c r="AC593" s="94"/>
      <c r="AD593" s="93"/>
      <c r="AE593" s="85"/>
    </row>
    <row r="594" spans="7:31" x14ac:dyDescent="0.35">
      <c r="G594" s="85"/>
      <c r="H594" s="87"/>
      <c r="K594" s="85"/>
      <c r="M594" s="94"/>
      <c r="N594" s="93"/>
      <c r="O594" s="85"/>
      <c r="Q594" s="94"/>
      <c r="R594" s="93"/>
      <c r="S594" s="85"/>
      <c r="U594" s="94"/>
      <c r="V594" s="93"/>
      <c r="W594" s="85"/>
      <c r="Y594" s="94"/>
      <c r="Z594" s="93"/>
      <c r="AA594" s="85"/>
      <c r="AC594" s="94"/>
      <c r="AD594" s="93"/>
      <c r="AE594" s="85"/>
    </row>
    <row r="595" spans="7:31" x14ac:dyDescent="0.35">
      <c r="G595" s="85"/>
      <c r="H595" s="87"/>
      <c r="K595" s="85"/>
      <c r="M595" s="94"/>
      <c r="N595" s="93"/>
      <c r="O595" s="85"/>
      <c r="Q595" s="94"/>
      <c r="R595" s="93"/>
      <c r="S595" s="85"/>
      <c r="U595" s="94"/>
      <c r="V595" s="93"/>
      <c r="W595" s="85"/>
      <c r="Y595" s="94"/>
      <c r="Z595" s="93"/>
      <c r="AA595" s="85"/>
      <c r="AC595" s="94"/>
      <c r="AD595" s="93"/>
      <c r="AE595" s="85"/>
    </row>
    <row r="596" spans="7:31" x14ac:dyDescent="0.35">
      <c r="G596" s="85"/>
      <c r="H596" s="87"/>
      <c r="K596" s="85"/>
      <c r="M596" s="94"/>
      <c r="N596" s="93"/>
      <c r="O596" s="85"/>
      <c r="Q596" s="94"/>
      <c r="R596" s="93"/>
      <c r="S596" s="85"/>
      <c r="U596" s="94"/>
      <c r="V596" s="93"/>
      <c r="W596" s="85"/>
      <c r="Y596" s="94"/>
      <c r="Z596" s="93"/>
      <c r="AA596" s="85"/>
      <c r="AC596" s="94"/>
      <c r="AD596" s="93"/>
      <c r="AE596" s="85"/>
    </row>
    <row r="597" spans="7:31" x14ac:dyDescent="0.35">
      <c r="G597" s="85"/>
      <c r="H597" s="87"/>
      <c r="K597" s="85"/>
      <c r="M597" s="94"/>
      <c r="N597" s="93"/>
      <c r="O597" s="85"/>
      <c r="Q597" s="94"/>
      <c r="R597" s="93"/>
      <c r="S597" s="85"/>
      <c r="U597" s="94"/>
      <c r="V597" s="93"/>
      <c r="W597" s="85"/>
      <c r="Y597" s="94"/>
      <c r="Z597" s="93"/>
      <c r="AA597" s="85"/>
      <c r="AC597" s="94"/>
      <c r="AD597" s="93"/>
      <c r="AE597" s="85"/>
    </row>
    <row r="598" spans="7:31" x14ac:dyDescent="0.35">
      <c r="G598" s="85"/>
      <c r="H598" s="87"/>
      <c r="K598" s="85"/>
      <c r="M598" s="94"/>
      <c r="N598" s="93"/>
      <c r="O598" s="85"/>
      <c r="Q598" s="94"/>
      <c r="R598" s="93"/>
      <c r="S598" s="85"/>
      <c r="U598" s="94"/>
      <c r="V598" s="93"/>
      <c r="W598" s="85"/>
      <c r="Y598" s="94"/>
      <c r="Z598" s="93"/>
      <c r="AA598" s="85"/>
      <c r="AC598" s="94"/>
      <c r="AD598" s="93"/>
      <c r="AE598" s="85"/>
    </row>
    <row r="599" spans="7:31" x14ac:dyDescent="0.35">
      <c r="G599" s="85"/>
      <c r="H599" s="87"/>
      <c r="K599" s="85"/>
      <c r="M599" s="94"/>
      <c r="N599" s="93"/>
      <c r="O599" s="85"/>
      <c r="Q599" s="94"/>
      <c r="R599" s="93"/>
      <c r="S599" s="85"/>
      <c r="U599" s="94"/>
      <c r="V599" s="93"/>
      <c r="W599" s="85"/>
      <c r="Y599" s="94"/>
      <c r="Z599" s="93"/>
      <c r="AA599" s="85"/>
      <c r="AC599" s="94"/>
      <c r="AD599" s="93"/>
      <c r="AE599" s="85"/>
    </row>
    <row r="600" spans="7:31" x14ac:dyDescent="0.35">
      <c r="G600" s="85"/>
      <c r="H600" s="87"/>
      <c r="K600" s="85"/>
      <c r="M600" s="94"/>
      <c r="N600" s="93"/>
      <c r="O600" s="85"/>
      <c r="Q600" s="94"/>
      <c r="R600" s="93"/>
      <c r="S600" s="85"/>
      <c r="U600" s="94"/>
      <c r="V600" s="93"/>
      <c r="W600" s="85"/>
      <c r="Y600" s="94"/>
      <c r="Z600" s="93"/>
      <c r="AA600" s="85"/>
      <c r="AC600" s="94"/>
      <c r="AD600" s="93"/>
      <c r="AE600" s="85"/>
    </row>
    <row r="601" spans="7:31" x14ac:dyDescent="0.35">
      <c r="G601" s="85"/>
      <c r="H601" s="87"/>
      <c r="K601" s="85"/>
      <c r="M601" s="94"/>
      <c r="N601" s="93"/>
      <c r="O601" s="85"/>
      <c r="Q601" s="94"/>
      <c r="R601" s="93"/>
      <c r="S601" s="85"/>
      <c r="U601" s="94"/>
      <c r="V601" s="93"/>
      <c r="W601" s="85"/>
      <c r="Y601" s="94"/>
      <c r="Z601" s="93"/>
      <c r="AA601" s="85"/>
      <c r="AC601" s="94"/>
      <c r="AD601" s="93"/>
      <c r="AE601" s="85"/>
    </row>
    <row r="602" spans="7:31" x14ac:dyDescent="0.35">
      <c r="G602" s="85"/>
      <c r="H602" s="87"/>
      <c r="K602" s="85"/>
      <c r="M602" s="94"/>
      <c r="N602" s="93"/>
      <c r="O602" s="85"/>
      <c r="Q602" s="94"/>
      <c r="R602" s="93"/>
      <c r="S602" s="85"/>
      <c r="U602" s="94"/>
      <c r="V602" s="93"/>
      <c r="W602" s="85"/>
      <c r="Y602" s="94"/>
      <c r="Z602" s="93"/>
      <c r="AA602" s="85"/>
      <c r="AC602" s="94"/>
      <c r="AD602" s="93"/>
      <c r="AE602" s="85"/>
    </row>
    <row r="603" spans="7:31" x14ac:dyDescent="0.35">
      <c r="G603" s="85"/>
      <c r="H603" s="87"/>
      <c r="K603" s="85"/>
      <c r="M603" s="94"/>
      <c r="N603" s="93"/>
      <c r="O603" s="85"/>
      <c r="Q603" s="94"/>
      <c r="R603" s="93"/>
      <c r="S603" s="85"/>
      <c r="U603" s="94"/>
      <c r="V603" s="93"/>
      <c r="W603" s="85"/>
      <c r="Y603" s="94"/>
      <c r="Z603" s="93"/>
      <c r="AA603" s="85"/>
      <c r="AC603" s="94"/>
      <c r="AD603" s="93"/>
      <c r="AE603" s="85"/>
    </row>
    <row r="604" spans="7:31" x14ac:dyDescent="0.35">
      <c r="G604" s="85"/>
      <c r="H604" s="87"/>
      <c r="K604" s="85"/>
      <c r="M604" s="94"/>
      <c r="N604" s="93"/>
      <c r="O604" s="85"/>
      <c r="Q604" s="94"/>
      <c r="R604" s="93"/>
      <c r="S604" s="85"/>
      <c r="U604" s="94"/>
      <c r="V604" s="93"/>
      <c r="W604" s="85"/>
      <c r="Y604" s="94"/>
      <c r="Z604" s="93"/>
      <c r="AA604" s="85"/>
      <c r="AC604" s="94"/>
      <c r="AD604" s="93"/>
      <c r="AE604" s="85"/>
    </row>
    <row r="605" spans="7:31" x14ac:dyDescent="0.35">
      <c r="G605" s="85"/>
      <c r="H605" s="87"/>
      <c r="K605" s="85"/>
      <c r="M605" s="94"/>
      <c r="N605" s="93"/>
      <c r="O605" s="85"/>
      <c r="Q605" s="94"/>
      <c r="R605" s="93"/>
      <c r="S605" s="85"/>
      <c r="U605" s="94"/>
      <c r="V605" s="93"/>
      <c r="W605" s="85"/>
      <c r="Y605" s="94"/>
      <c r="Z605" s="93"/>
      <c r="AA605" s="85"/>
      <c r="AC605" s="94"/>
      <c r="AD605" s="93"/>
      <c r="AE605" s="85"/>
    </row>
    <row r="606" spans="7:31" x14ac:dyDescent="0.35">
      <c r="G606" s="85"/>
      <c r="H606" s="87"/>
      <c r="K606" s="85"/>
      <c r="M606" s="94"/>
      <c r="N606" s="93"/>
      <c r="O606" s="85"/>
      <c r="Q606" s="94"/>
      <c r="R606" s="93"/>
      <c r="S606" s="85"/>
      <c r="U606" s="94"/>
      <c r="V606" s="93"/>
      <c r="W606" s="85"/>
      <c r="Y606" s="94"/>
      <c r="Z606" s="93"/>
      <c r="AA606" s="85"/>
      <c r="AC606" s="94"/>
      <c r="AD606" s="93"/>
      <c r="AE606" s="85"/>
    </row>
    <row r="607" spans="7:31" x14ac:dyDescent="0.35">
      <c r="G607" s="85"/>
      <c r="H607" s="87"/>
      <c r="K607" s="85"/>
      <c r="M607" s="94"/>
      <c r="N607" s="93"/>
      <c r="O607" s="85"/>
      <c r="Q607" s="94"/>
      <c r="R607" s="93"/>
      <c r="S607" s="85"/>
      <c r="U607" s="94"/>
      <c r="V607" s="93"/>
      <c r="W607" s="85"/>
      <c r="Y607" s="94"/>
      <c r="Z607" s="93"/>
      <c r="AA607" s="85"/>
      <c r="AC607" s="94"/>
      <c r="AD607" s="93"/>
      <c r="AE607" s="85"/>
    </row>
    <row r="608" spans="7:31" x14ac:dyDescent="0.35">
      <c r="G608" s="85"/>
      <c r="H608" s="87"/>
      <c r="K608" s="85"/>
      <c r="M608" s="94"/>
      <c r="N608" s="93"/>
      <c r="O608" s="85"/>
      <c r="Q608" s="94"/>
      <c r="R608" s="93"/>
      <c r="S608" s="85"/>
      <c r="U608" s="94"/>
      <c r="V608" s="93"/>
      <c r="W608" s="85"/>
      <c r="Y608" s="94"/>
      <c r="Z608" s="93"/>
      <c r="AA608" s="85"/>
      <c r="AC608" s="94"/>
      <c r="AD608" s="93"/>
      <c r="AE608" s="85"/>
    </row>
    <row r="609" spans="7:31" x14ac:dyDescent="0.35">
      <c r="G609" s="85"/>
      <c r="H609" s="87"/>
      <c r="K609" s="85"/>
      <c r="M609" s="94"/>
      <c r="N609" s="93"/>
      <c r="O609" s="85"/>
      <c r="Q609" s="94"/>
      <c r="R609" s="93"/>
      <c r="S609" s="85"/>
      <c r="U609" s="94"/>
      <c r="V609" s="93"/>
      <c r="W609" s="85"/>
      <c r="Y609" s="94"/>
      <c r="Z609" s="93"/>
      <c r="AA609" s="85"/>
      <c r="AC609" s="94"/>
      <c r="AD609" s="93"/>
      <c r="AE609" s="85"/>
    </row>
    <row r="610" spans="7:31" x14ac:dyDescent="0.35">
      <c r="G610" s="85"/>
      <c r="H610" s="87"/>
      <c r="K610" s="85"/>
      <c r="M610" s="94"/>
      <c r="N610" s="93"/>
      <c r="O610" s="85"/>
      <c r="Q610" s="94"/>
      <c r="R610" s="93"/>
      <c r="S610" s="85"/>
      <c r="U610" s="94"/>
      <c r="V610" s="93"/>
      <c r="W610" s="85"/>
      <c r="Y610" s="94"/>
      <c r="Z610" s="93"/>
      <c r="AA610" s="85"/>
      <c r="AC610" s="94"/>
      <c r="AD610" s="93"/>
      <c r="AE610" s="85"/>
    </row>
    <row r="611" spans="7:31" x14ac:dyDescent="0.35">
      <c r="G611" s="85"/>
      <c r="H611" s="87"/>
      <c r="K611" s="85"/>
      <c r="M611" s="94"/>
      <c r="N611" s="93"/>
      <c r="O611" s="85"/>
      <c r="Q611" s="94"/>
      <c r="R611" s="93"/>
      <c r="S611" s="85"/>
      <c r="U611" s="94"/>
      <c r="V611" s="93"/>
      <c r="W611" s="85"/>
      <c r="Y611" s="94"/>
      <c r="Z611" s="93"/>
      <c r="AA611" s="85"/>
      <c r="AC611" s="94"/>
      <c r="AD611" s="93"/>
      <c r="AE611" s="85"/>
    </row>
    <row r="612" spans="7:31" x14ac:dyDescent="0.35">
      <c r="G612" s="85"/>
      <c r="H612" s="87"/>
      <c r="K612" s="85"/>
      <c r="M612" s="94"/>
      <c r="N612" s="93"/>
      <c r="O612" s="85"/>
      <c r="Q612" s="94"/>
      <c r="R612" s="93"/>
      <c r="S612" s="85"/>
      <c r="U612" s="94"/>
      <c r="V612" s="93"/>
      <c r="W612" s="85"/>
      <c r="Y612" s="94"/>
      <c r="Z612" s="93"/>
      <c r="AA612" s="85"/>
      <c r="AC612" s="94"/>
      <c r="AD612" s="93"/>
      <c r="AE612" s="85"/>
    </row>
    <row r="613" spans="7:31" x14ac:dyDescent="0.35">
      <c r="G613" s="85"/>
      <c r="H613" s="87"/>
      <c r="K613" s="85"/>
      <c r="M613" s="94"/>
      <c r="N613" s="93"/>
      <c r="O613" s="85"/>
      <c r="Q613" s="94"/>
      <c r="R613" s="93"/>
      <c r="S613" s="85"/>
      <c r="U613" s="94"/>
      <c r="V613" s="93"/>
      <c r="W613" s="85"/>
      <c r="Y613" s="94"/>
      <c r="Z613" s="93"/>
      <c r="AA613" s="85"/>
      <c r="AC613" s="94"/>
      <c r="AD613" s="93"/>
      <c r="AE613" s="85"/>
    </row>
    <row r="614" spans="7:31" x14ac:dyDescent="0.35">
      <c r="G614" s="85"/>
      <c r="H614" s="87"/>
      <c r="K614" s="85"/>
      <c r="M614" s="94"/>
      <c r="N614" s="93"/>
      <c r="O614" s="85"/>
      <c r="Q614" s="94"/>
      <c r="R614" s="93"/>
      <c r="S614" s="85"/>
      <c r="U614" s="94"/>
      <c r="V614" s="93"/>
      <c r="W614" s="85"/>
      <c r="Y614" s="94"/>
      <c r="Z614" s="93"/>
      <c r="AA614" s="85"/>
      <c r="AC614" s="94"/>
      <c r="AD614" s="93"/>
      <c r="AE614" s="85"/>
    </row>
    <row r="615" spans="7:31" x14ac:dyDescent="0.35">
      <c r="G615" s="85"/>
      <c r="H615" s="87"/>
      <c r="K615" s="85"/>
      <c r="M615" s="94"/>
      <c r="N615" s="93"/>
      <c r="O615" s="85"/>
      <c r="Q615" s="94"/>
      <c r="R615" s="93"/>
      <c r="S615" s="85"/>
      <c r="U615" s="94"/>
      <c r="V615" s="93"/>
      <c r="W615" s="85"/>
      <c r="Y615" s="94"/>
      <c r="Z615" s="93"/>
      <c r="AA615" s="85"/>
      <c r="AC615" s="94"/>
      <c r="AD615" s="93"/>
      <c r="AE615" s="85"/>
    </row>
    <row r="616" spans="7:31" x14ac:dyDescent="0.35">
      <c r="G616" s="85"/>
      <c r="H616" s="87"/>
      <c r="K616" s="85"/>
      <c r="M616" s="94"/>
      <c r="N616" s="93"/>
      <c r="O616" s="85"/>
      <c r="Q616" s="94"/>
      <c r="R616" s="93"/>
      <c r="S616" s="85"/>
      <c r="U616" s="94"/>
      <c r="V616" s="93"/>
      <c r="W616" s="85"/>
      <c r="Y616" s="94"/>
      <c r="Z616" s="93"/>
      <c r="AA616" s="85"/>
      <c r="AC616" s="94"/>
      <c r="AD616" s="93"/>
      <c r="AE616" s="85"/>
    </row>
    <row r="617" spans="7:31" x14ac:dyDescent="0.35">
      <c r="G617" s="85"/>
      <c r="H617" s="87"/>
      <c r="K617" s="85"/>
      <c r="M617" s="94"/>
      <c r="N617" s="93"/>
      <c r="O617" s="85"/>
      <c r="Q617" s="94"/>
      <c r="R617" s="93"/>
      <c r="S617" s="85"/>
      <c r="U617" s="94"/>
      <c r="V617" s="93"/>
      <c r="W617" s="85"/>
      <c r="Y617" s="94"/>
      <c r="Z617" s="93"/>
      <c r="AA617" s="85"/>
      <c r="AC617" s="94"/>
      <c r="AD617" s="93"/>
      <c r="AE617" s="85"/>
    </row>
    <row r="618" spans="7:31" x14ac:dyDescent="0.35">
      <c r="G618" s="85"/>
      <c r="H618" s="87"/>
      <c r="K618" s="85"/>
      <c r="M618" s="94"/>
      <c r="N618" s="93"/>
      <c r="O618" s="85"/>
      <c r="Q618" s="94"/>
      <c r="R618" s="93"/>
      <c r="S618" s="85"/>
      <c r="U618" s="94"/>
      <c r="V618" s="93"/>
      <c r="W618" s="85"/>
      <c r="Y618" s="94"/>
      <c r="Z618" s="93"/>
      <c r="AA618" s="85"/>
      <c r="AC618" s="94"/>
      <c r="AD618" s="93"/>
      <c r="AE618" s="85"/>
    </row>
    <row r="619" spans="7:31" x14ac:dyDescent="0.35">
      <c r="G619" s="85"/>
      <c r="H619" s="87"/>
      <c r="K619" s="85"/>
      <c r="M619" s="94"/>
      <c r="N619" s="93"/>
      <c r="O619" s="85"/>
      <c r="Q619" s="94"/>
      <c r="R619" s="93"/>
      <c r="S619" s="85"/>
      <c r="U619" s="94"/>
      <c r="V619" s="93"/>
      <c r="W619" s="85"/>
      <c r="Y619" s="94"/>
      <c r="Z619" s="93"/>
      <c r="AA619" s="85"/>
      <c r="AC619" s="94"/>
      <c r="AD619" s="93"/>
      <c r="AE619" s="85"/>
    </row>
    <row r="620" spans="7:31" x14ac:dyDescent="0.35">
      <c r="G620" s="85"/>
      <c r="H620" s="87"/>
      <c r="K620" s="85"/>
      <c r="M620" s="94"/>
      <c r="N620" s="93"/>
      <c r="O620" s="85"/>
      <c r="Q620" s="94"/>
      <c r="R620" s="93"/>
      <c r="S620" s="85"/>
      <c r="U620" s="94"/>
      <c r="V620" s="93"/>
      <c r="W620" s="85"/>
      <c r="Y620" s="94"/>
      <c r="Z620" s="93"/>
      <c r="AA620" s="85"/>
      <c r="AC620" s="94"/>
      <c r="AD620" s="93"/>
      <c r="AE620" s="85"/>
    </row>
    <row r="621" spans="7:31" x14ac:dyDescent="0.35">
      <c r="G621" s="85"/>
      <c r="H621" s="87"/>
      <c r="K621" s="85"/>
      <c r="M621" s="94"/>
      <c r="N621" s="93"/>
      <c r="O621" s="85"/>
      <c r="Q621" s="94"/>
      <c r="R621" s="93"/>
      <c r="S621" s="85"/>
      <c r="U621" s="94"/>
      <c r="V621" s="93"/>
      <c r="W621" s="85"/>
      <c r="Y621" s="94"/>
      <c r="Z621" s="93"/>
      <c r="AA621" s="85"/>
      <c r="AC621" s="94"/>
      <c r="AD621" s="93"/>
      <c r="AE621" s="85"/>
    </row>
    <row r="622" spans="7:31" x14ac:dyDescent="0.35">
      <c r="G622" s="85"/>
      <c r="H622" s="87"/>
      <c r="K622" s="85"/>
      <c r="M622" s="94"/>
      <c r="N622" s="93"/>
      <c r="O622" s="85"/>
      <c r="Q622" s="94"/>
      <c r="R622" s="93"/>
      <c r="S622" s="85"/>
      <c r="U622" s="94"/>
      <c r="V622" s="93"/>
      <c r="W622" s="85"/>
      <c r="Y622" s="94"/>
      <c r="Z622" s="93"/>
      <c r="AA622" s="85"/>
      <c r="AC622" s="94"/>
      <c r="AD622" s="93"/>
      <c r="AE622" s="85"/>
    </row>
    <row r="623" spans="7:31" x14ac:dyDescent="0.35">
      <c r="G623" s="85"/>
      <c r="H623" s="87"/>
      <c r="K623" s="85"/>
      <c r="M623" s="94"/>
      <c r="N623" s="93"/>
      <c r="O623" s="85"/>
      <c r="Q623" s="94"/>
      <c r="R623" s="93"/>
      <c r="S623" s="85"/>
      <c r="U623" s="94"/>
      <c r="V623" s="93"/>
      <c r="W623" s="85"/>
      <c r="Y623" s="94"/>
      <c r="Z623" s="93"/>
      <c r="AA623" s="85"/>
      <c r="AC623" s="94"/>
      <c r="AD623" s="93"/>
      <c r="AE623" s="85"/>
    </row>
    <row r="624" spans="7:31" x14ac:dyDescent="0.35">
      <c r="G624" s="85"/>
      <c r="H624" s="87"/>
      <c r="K624" s="85"/>
      <c r="M624" s="94"/>
      <c r="N624" s="93"/>
      <c r="O624" s="85"/>
      <c r="Q624" s="94"/>
      <c r="R624" s="93"/>
      <c r="S624" s="85"/>
      <c r="U624" s="94"/>
      <c r="V624" s="93"/>
      <c r="W624" s="85"/>
      <c r="Y624" s="94"/>
      <c r="Z624" s="93"/>
      <c r="AA624" s="85"/>
      <c r="AC624" s="94"/>
      <c r="AD624" s="93"/>
      <c r="AE624" s="85"/>
    </row>
    <row r="625" spans="7:31" x14ac:dyDescent="0.35">
      <c r="G625" s="85"/>
      <c r="H625" s="87"/>
      <c r="K625" s="85"/>
      <c r="M625" s="94"/>
      <c r="N625" s="93"/>
      <c r="O625" s="85"/>
      <c r="Q625" s="94"/>
      <c r="R625" s="93"/>
      <c r="S625" s="85"/>
      <c r="U625" s="94"/>
      <c r="V625" s="93"/>
      <c r="W625" s="85"/>
      <c r="Y625" s="94"/>
      <c r="Z625" s="93"/>
      <c r="AA625" s="85"/>
      <c r="AC625" s="94"/>
      <c r="AD625" s="93"/>
      <c r="AE625" s="85"/>
    </row>
    <row r="626" spans="7:31" x14ac:dyDescent="0.35">
      <c r="G626" s="85"/>
      <c r="H626" s="87"/>
      <c r="K626" s="85"/>
      <c r="M626" s="94"/>
      <c r="N626" s="93"/>
      <c r="O626" s="85"/>
      <c r="Q626" s="94"/>
      <c r="R626" s="93"/>
      <c r="S626" s="85"/>
      <c r="U626" s="94"/>
      <c r="V626" s="93"/>
      <c r="W626" s="85"/>
      <c r="Y626" s="94"/>
      <c r="Z626" s="93"/>
      <c r="AA626" s="85"/>
      <c r="AC626" s="94"/>
      <c r="AD626" s="93"/>
      <c r="AE626" s="85"/>
    </row>
    <row r="627" spans="7:31" x14ac:dyDescent="0.35">
      <c r="G627" s="85"/>
      <c r="H627" s="87"/>
      <c r="K627" s="85"/>
      <c r="M627" s="94"/>
      <c r="N627" s="93"/>
      <c r="O627" s="85"/>
      <c r="Q627" s="94"/>
      <c r="R627" s="93"/>
      <c r="S627" s="85"/>
      <c r="U627" s="94"/>
      <c r="V627" s="93"/>
      <c r="W627" s="85"/>
      <c r="Y627" s="94"/>
      <c r="Z627" s="93"/>
      <c r="AA627" s="85"/>
      <c r="AC627" s="94"/>
      <c r="AD627" s="93"/>
      <c r="AE627" s="85"/>
    </row>
    <row r="628" spans="7:31" x14ac:dyDescent="0.35">
      <c r="G628" s="85"/>
      <c r="H628" s="87"/>
      <c r="K628" s="85"/>
      <c r="M628" s="94"/>
      <c r="N628" s="93"/>
      <c r="O628" s="85"/>
      <c r="Q628" s="94"/>
      <c r="R628" s="93"/>
      <c r="S628" s="85"/>
      <c r="U628" s="94"/>
      <c r="V628" s="93"/>
      <c r="W628" s="85"/>
      <c r="Y628" s="94"/>
      <c r="Z628" s="93"/>
      <c r="AA628" s="85"/>
      <c r="AC628" s="94"/>
      <c r="AD628" s="93"/>
      <c r="AE628" s="85"/>
    </row>
    <row r="629" spans="7:31" x14ac:dyDescent="0.35">
      <c r="G629" s="85"/>
      <c r="H629" s="87"/>
      <c r="K629" s="85"/>
      <c r="M629" s="94"/>
      <c r="N629" s="93"/>
      <c r="O629" s="85"/>
      <c r="Q629" s="94"/>
      <c r="R629" s="93"/>
      <c r="S629" s="85"/>
      <c r="U629" s="94"/>
      <c r="V629" s="93"/>
      <c r="W629" s="85"/>
      <c r="Y629" s="94"/>
      <c r="Z629" s="93"/>
      <c r="AA629" s="85"/>
      <c r="AC629" s="94"/>
      <c r="AD629" s="93"/>
      <c r="AE629" s="85"/>
    </row>
    <row r="630" spans="7:31" x14ac:dyDescent="0.35">
      <c r="G630" s="85"/>
      <c r="H630" s="87"/>
      <c r="K630" s="85"/>
      <c r="M630" s="94"/>
      <c r="N630" s="93"/>
      <c r="O630" s="85"/>
      <c r="Q630" s="94"/>
      <c r="R630" s="93"/>
      <c r="S630" s="85"/>
      <c r="U630" s="94"/>
      <c r="V630" s="93"/>
      <c r="W630" s="85"/>
      <c r="Y630" s="94"/>
      <c r="Z630" s="93"/>
      <c r="AA630" s="85"/>
      <c r="AC630" s="94"/>
      <c r="AD630" s="93"/>
      <c r="AE630" s="85"/>
    </row>
    <row r="631" spans="7:31" x14ac:dyDescent="0.35">
      <c r="G631" s="85"/>
      <c r="H631" s="87"/>
      <c r="K631" s="85"/>
      <c r="M631" s="94"/>
      <c r="N631" s="93"/>
      <c r="O631" s="85"/>
      <c r="Q631" s="94"/>
      <c r="R631" s="93"/>
      <c r="S631" s="85"/>
      <c r="U631" s="94"/>
      <c r="V631" s="93"/>
      <c r="W631" s="85"/>
      <c r="Y631" s="94"/>
      <c r="Z631" s="93"/>
      <c r="AA631" s="85"/>
      <c r="AC631" s="94"/>
      <c r="AD631" s="93"/>
      <c r="AE631" s="85"/>
    </row>
    <row r="632" spans="7:31" x14ac:dyDescent="0.35">
      <c r="G632" s="85"/>
      <c r="H632" s="87"/>
      <c r="K632" s="85"/>
      <c r="M632" s="94"/>
      <c r="N632" s="93"/>
      <c r="O632" s="85"/>
      <c r="Q632" s="94"/>
      <c r="R632" s="93"/>
      <c r="S632" s="85"/>
      <c r="U632" s="94"/>
      <c r="V632" s="93"/>
      <c r="W632" s="85"/>
      <c r="Y632" s="94"/>
      <c r="Z632" s="93"/>
      <c r="AA632" s="85"/>
      <c r="AC632" s="94"/>
      <c r="AD632" s="93"/>
      <c r="AE632" s="85"/>
    </row>
    <row r="633" spans="7:31" x14ac:dyDescent="0.35">
      <c r="G633" s="85"/>
      <c r="H633" s="87"/>
      <c r="K633" s="85"/>
      <c r="M633" s="94"/>
      <c r="N633" s="93"/>
      <c r="O633" s="85"/>
      <c r="Q633" s="94"/>
      <c r="R633" s="93"/>
      <c r="S633" s="85"/>
      <c r="U633" s="94"/>
      <c r="V633" s="93"/>
      <c r="W633" s="85"/>
      <c r="Y633" s="94"/>
      <c r="Z633" s="93"/>
      <c r="AA633" s="85"/>
      <c r="AC633" s="94"/>
      <c r="AD633" s="93"/>
      <c r="AE633" s="85"/>
    </row>
    <row r="634" spans="7:31" x14ac:dyDescent="0.35">
      <c r="G634" s="85"/>
      <c r="H634" s="87"/>
      <c r="K634" s="85"/>
      <c r="M634" s="94"/>
      <c r="N634" s="93"/>
      <c r="O634" s="85"/>
      <c r="Q634" s="94"/>
      <c r="R634" s="93"/>
      <c r="S634" s="85"/>
      <c r="U634" s="94"/>
      <c r="V634" s="93"/>
      <c r="W634" s="85"/>
      <c r="Y634" s="94"/>
      <c r="Z634" s="93"/>
      <c r="AA634" s="85"/>
      <c r="AC634" s="94"/>
      <c r="AD634" s="93"/>
      <c r="AE634" s="85"/>
    </row>
    <row r="635" spans="7:31" x14ac:dyDescent="0.35">
      <c r="G635" s="85"/>
      <c r="H635" s="87"/>
      <c r="K635" s="85"/>
      <c r="M635" s="94"/>
      <c r="N635" s="93"/>
      <c r="O635" s="85"/>
      <c r="Q635" s="94"/>
      <c r="R635" s="93"/>
      <c r="S635" s="85"/>
      <c r="U635" s="94"/>
      <c r="V635" s="93"/>
      <c r="W635" s="85"/>
      <c r="Y635" s="94"/>
      <c r="Z635" s="93"/>
      <c r="AA635" s="85"/>
      <c r="AC635" s="94"/>
      <c r="AD635" s="93"/>
      <c r="AE635" s="85"/>
    </row>
    <row r="636" spans="7:31" x14ac:dyDescent="0.35">
      <c r="G636" s="85"/>
      <c r="H636" s="87"/>
      <c r="K636" s="85"/>
      <c r="M636" s="94"/>
      <c r="N636" s="93"/>
      <c r="O636" s="85"/>
      <c r="Q636" s="94"/>
      <c r="R636" s="93"/>
      <c r="S636" s="85"/>
      <c r="U636" s="94"/>
      <c r="V636" s="93"/>
      <c r="W636" s="85"/>
      <c r="Y636" s="94"/>
      <c r="Z636" s="93"/>
      <c r="AA636" s="85"/>
      <c r="AC636" s="94"/>
      <c r="AD636" s="93"/>
      <c r="AE636" s="85"/>
    </row>
    <row r="637" spans="7:31" x14ac:dyDescent="0.35">
      <c r="G637" s="85"/>
      <c r="H637" s="87"/>
      <c r="K637" s="85"/>
      <c r="M637" s="94"/>
      <c r="N637" s="93"/>
      <c r="O637" s="85"/>
      <c r="Q637" s="94"/>
      <c r="R637" s="93"/>
      <c r="S637" s="85"/>
      <c r="U637" s="94"/>
      <c r="V637" s="93"/>
      <c r="W637" s="85"/>
      <c r="Y637" s="94"/>
      <c r="Z637" s="93"/>
      <c r="AA637" s="85"/>
      <c r="AC637" s="94"/>
      <c r="AD637" s="93"/>
      <c r="AE637" s="85"/>
    </row>
    <row r="638" spans="7:31" x14ac:dyDescent="0.35">
      <c r="G638" s="85"/>
      <c r="H638" s="87"/>
      <c r="K638" s="85"/>
      <c r="M638" s="94"/>
      <c r="N638" s="93"/>
      <c r="O638" s="85"/>
      <c r="Q638" s="94"/>
      <c r="R638" s="93"/>
      <c r="S638" s="85"/>
      <c r="U638" s="94"/>
      <c r="V638" s="93"/>
      <c r="W638" s="85"/>
      <c r="Y638" s="94"/>
      <c r="Z638" s="93"/>
      <c r="AA638" s="85"/>
      <c r="AC638" s="94"/>
      <c r="AD638" s="93"/>
      <c r="AE638" s="85"/>
    </row>
    <row r="639" spans="7:31" x14ac:dyDescent="0.35">
      <c r="G639" s="85"/>
      <c r="H639" s="87"/>
      <c r="K639" s="85"/>
      <c r="M639" s="94"/>
      <c r="N639" s="93"/>
      <c r="O639" s="85"/>
      <c r="Q639" s="94"/>
      <c r="R639" s="93"/>
      <c r="S639" s="85"/>
      <c r="U639" s="94"/>
      <c r="V639" s="93"/>
      <c r="W639" s="85"/>
      <c r="Y639" s="94"/>
      <c r="Z639" s="93"/>
      <c r="AA639" s="85"/>
      <c r="AC639" s="94"/>
      <c r="AD639" s="93"/>
      <c r="AE639" s="85"/>
    </row>
    <row r="640" spans="7:31" x14ac:dyDescent="0.35">
      <c r="G640" s="85"/>
      <c r="H640" s="87"/>
      <c r="K640" s="85"/>
      <c r="M640" s="94"/>
      <c r="N640" s="93"/>
      <c r="O640" s="85"/>
      <c r="Q640" s="94"/>
      <c r="R640" s="93"/>
      <c r="S640" s="85"/>
      <c r="U640" s="94"/>
      <c r="V640" s="93"/>
      <c r="W640" s="85"/>
      <c r="Y640" s="94"/>
      <c r="Z640" s="93"/>
      <c r="AA640" s="85"/>
      <c r="AC640" s="94"/>
      <c r="AD640" s="93"/>
      <c r="AE640" s="85"/>
    </row>
    <row r="641" spans="7:31" x14ac:dyDescent="0.35">
      <c r="G641" s="85"/>
      <c r="H641" s="87"/>
      <c r="K641" s="85"/>
      <c r="M641" s="94"/>
      <c r="N641" s="93"/>
      <c r="O641" s="85"/>
      <c r="Q641" s="94"/>
      <c r="R641" s="93"/>
      <c r="S641" s="85"/>
      <c r="U641" s="94"/>
      <c r="V641" s="93"/>
      <c r="W641" s="85"/>
      <c r="Y641" s="94"/>
      <c r="Z641" s="93"/>
      <c r="AA641" s="85"/>
      <c r="AC641" s="94"/>
      <c r="AD641" s="93"/>
      <c r="AE641" s="85"/>
    </row>
    <row r="642" spans="7:31" x14ac:dyDescent="0.35">
      <c r="G642" s="85"/>
      <c r="H642" s="87"/>
      <c r="K642" s="85"/>
      <c r="M642" s="94"/>
      <c r="N642" s="93"/>
      <c r="O642" s="85"/>
      <c r="Q642" s="94"/>
      <c r="R642" s="93"/>
      <c r="S642" s="85"/>
      <c r="U642" s="94"/>
      <c r="V642" s="93"/>
      <c r="W642" s="85"/>
      <c r="Y642" s="94"/>
      <c r="Z642" s="93"/>
      <c r="AA642" s="85"/>
      <c r="AC642" s="94"/>
      <c r="AD642" s="93"/>
      <c r="AE642" s="85"/>
    </row>
    <row r="643" spans="7:31" x14ac:dyDescent="0.35">
      <c r="G643" s="85"/>
      <c r="H643" s="87"/>
      <c r="K643" s="85"/>
      <c r="M643" s="94"/>
      <c r="N643" s="93"/>
      <c r="O643" s="85"/>
      <c r="Q643" s="94"/>
      <c r="R643" s="93"/>
      <c r="S643" s="85"/>
      <c r="U643" s="94"/>
      <c r="V643" s="93"/>
      <c r="W643" s="85"/>
      <c r="Y643" s="94"/>
      <c r="Z643" s="93"/>
      <c r="AA643" s="85"/>
      <c r="AC643" s="94"/>
      <c r="AD643" s="93"/>
      <c r="AE643" s="85"/>
    </row>
    <row r="644" spans="7:31" x14ac:dyDescent="0.35">
      <c r="G644" s="85"/>
      <c r="H644" s="87"/>
      <c r="K644" s="85"/>
      <c r="M644" s="94"/>
      <c r="N644" s="93"/>
      <c r="O644" s="85"/>
      <c r="Q644" s="94"/>
      <c r="R644" s="93"/>
      <c r="S644" s="85"/>
      <c r="U644" s="94"/>
      <c r="V644" s="93"/>
      <c r="W644" s="85"/>
      <c r="Y644" s="94"/>
      <c r="Z644" s="93"/>
      <c r="AA644" s="85"/>
      <c r="AC644" s="94"/>
      <c r="AD644" s="93"/>
      <c r="AE644" s="85"/>
    </row>
    <row r="645" spans="7:31" x14ac:dyDescent="0.35">
      <c r="G645" s="85"/>
      <c r="H645" s="87"/>
      <c r="K645" s="85"/>
      <c r="M645" s="94"/>
      <c r="N645" s="93"/>
      <c r="O645" s="85"/>
      <c r="Q645" s="94"/>
      <c r="R645" s="93"/>
      <c r="S645" s="85"/>
      <c r="U645" s="94"/>
      <c r="V645" s="93"/>
      <c r="W645" s="85"/>
      <c r="Y645" s="94"/>
      <c r="Z645" s="93"/>
      <c r="AA645" s="85"/>
      <c r="AC645" s="94"/>
      <c r="AD645" s="93"/>
      <c r="AE645" s="85"/>
    </row>
    <row r="646" spans="7:31" x14ac:dyDescent="0.35">
      <c r="G646" s="85"/>
      <c r="H646" s="87"/>
      <c r="K646" s="85"/>
      <c r="M646" s="94"/>
      <c r="N646" s="93"/>
      <c r="O646" s="85"/>
      <c r="Q646" s="94"/>
      <c r="R646" s="93"/>
      <c r="S646" s="85"/>
      <c r="U646" s="94"/>
      <c r="V646" s="93"/>
      <c r="W646" s="85"/>
      <c r="Y646" s="94"/>
      <c r="Z646" s="93"/>
      <c r="AA646" s="85"/>
      <c r="AC646" s="94"/>
      <c r="AD646" s="93"/>
      <c r="AE646" s="85"/>
    </row>
    <row r="647" spans="7:31" x14ac:dyDescent="0.35">
      <c r="G647" s="85"/>
      <c r="H647" s="87"/>
      <c r="K647" s="85"/>
      <c r="M647" s="94"/>
      <c r="N647" s="93"/>
      <c r="O647" s="85"/>
      <c r="Q647" s="94"/>
      <c r="R647" s="93"/>
      <c r="S647" s="85"/>
      <c r="U647" s="94"/>
      <c r="V647" s="93"/>
      <c r="W647" s="85"/>
      <c r="Y647" s="94"/>
      <c r="Z647" s="93"/>
      <c r="AA647" s="85"/>
      <c r="AC647" s="94"/>
      <c r="AD647" s="93"/>
      <c r="AE647" s="85"/>
    </row>
    <row r="648" spans="7:31" x14ac:dyDescent="0.35">
      <c r="G648" s="85"/>
      <c r="H648" s="87"/>
      <c r="K648" s="85"/>
      <c r="M648" s="94"/>
      <c r="N648" s="93"/>
      <c r="O648" s="85"/>
      <c r="Q648" s="94"/>
      <c r="R648" s="93"/>
      <c r="S648" s="85"/>
      <c r="U648" s="94"/>
      <c r="V648" s="93"/>
      <c r="W648" s="85"/>
      <c r="Y648" s="94"/>
      <c r="Z648" s="93"/>
      <c r="AA648" s="85"/>
      <c r="AC648" s="94"/>
      <c r="AD648" s="93"/>
      <c r="AE648" s="85"/>
    </row>
    <row r="649" spans="7:31" x14ac:dyDescent="0.35">
      <c r="G649" s="85"/>
      <c r="H649" s="87"/>
      <c r="K649" s="85"/>
      <c r="M649" s="94"/>
      <c r="N649" s="93"/>
      <c r="O649" s="85"/>
      <c r="Q649" s="94"/>
      <c r="R649" s="93"/>
      <c r="S649" s="85"/>
      <c r="U649" s="94"/>
      <c r="V649" s="93"/>
      <c r="W649" s="85"/>
      <c r="Y649" s="94"/>
      <c r="Z649" s="93"/>
      <c r="AA649" s="85"/>
      <c r="AC649" s="94"/>
      <c r="AD649" s="93"/>
      <c r="AE649" s="85"/>
    </row>
    <row r="650" spans="7:31" x14ac:dyDescent="0.35">
      <c r="G650" s="85"/>
      <c r="H650" s="87"/>
      <c r="K650" s="85"/>
      <c r="M650" s="94"/>
      <c r="N650" s="93"/>
      <c r="O650" s="85"/>
      <c r="Q650" s="94"/>
      <c r="R650" s="93"/>
      <c r="S650" s="85"/>
      <c r="U650" s="94"/>
      <c r="V650" s="93"/>
      <c r="W650" s="85"/>
      <c r="Y650" s="94"/>
      <c r="Z650" s="93"/>
      <c r="AA650" s="85"/>
      <c r="AC650" s="94"/>
      <c r="AD650" s="93"/>
      <c r="AE650" s="85"/>
    </row>
    <row r="651" spans="7:31" x14ac:dyDescent="0.35">
      <c r="G651" s="85"/>
      <c r="H651" s="87"/>
      <c r="K651" s="85"/>
      <c r="M651" s="94"/>
      <c r="N651" s="93"/>
      <c r="O651" s="85"/>
      <c r="Q651" s="94"/>
      <c r="R651" s="93"/>
      <c r="S651" s="85"/>
      <c r="U651" s="94"/>
      <c r="V651" s="93"/>
      <c r="W651" s="85"/>
      <c r="Y651" s="94"/>
      <c r="Z651" s="93"/>
      <c r="AA651" s="85"/>
      <c r="AC651" s="94"/>
      <c r="AD651" s="93"/>
      <c r="AE651" s="85"/>
    </row>
    <row r="652" spans="7:31" x14ac:dyDescent="0.35">
      <c r="G652" s="85"/>
      <c r="H652" s="87"/>
      <c r="K652" s="85"/>
      <c r="M652" s="94"/>
      <c r="N652" s="93"/>
      <c r="O652" s="85"/>
      <c r="Q652" s="94"/>
      <c r="R652" s="93"/>
      <c r="S652" s="85"/>
      <c r="U652" s="94"/>
      <c r="V652" s="93"/>
      <c r="W652" s="85"/>
      <c r="Y652" s="94"/>
      <c r="Z652" s="93"/>
      <c r="AA652" s="85"/>
      <c r="AC652" s="94"/>
      <c r="AD652" s="93"/>
      <c r="AE652" s="85"/>
    </row>
    <row r="653" spans="7:31" x14ac:dyDescent="0.35">
      <c r="G653" s="85"/>
      <c r="H653" s="87"/>
      <c r="K653" s="85"/>
      <c r="M653" s="94"/>
      <c r="N653" s="93"/>
      <c r="O653" s="85"/>
      <c r="Q653" s="94"/>
      <c r="R653" s="93"/>
      <c r="S653" s="85"/>
      <c r="U653" s="94"/>
      <c r="V653" s="93"/>
      <c r="W653" s="85"/>
      <c r="Y653" s="94"/>
      <c r="Z653" s="93"/>
      <c r="AA653" s="85"/>
      <c r="AC653" s="94"/>
      <c r="AD653" s="93"/>
      <c r="AE653" s="85"/>
    </row>
    <row r="654" spans="7:31" x14ac:dyDescent="0.35">
      <c r="G654" s="85"/>
      <c r="H654" s="87"/>
      <c r="K654" s="85"/>
      <c r="M654" s="94"/>
      <c r="N654" s="93"/>
      <c r="O654" s="85"/>
      <c r="Q654" s="94"/>
      <c r="R654" s="93"/>
      <c r="S654" s="85"/>
      <c r="U654" s="94"/>
      <c r="V654" s="93"/>
      <c r="W654" s="85"/>
      <c r="Y654" s="94"/>
      <c r="Z654" s="93"/>
      <c r="AA654" s="85"/>
      <c r="AC654" s="94"/>
      <c r="AD654" s="93"/>
      <c r="AE654" s="85"/>
    </row>
    <row r="655" spans="7:31" x14ac:dyDescent="0.35">
      <c r="G655" s="85"/>
      <c r="H655" s="87"/>
      <c r="K655" s="85"/>
      <c r="M655" s="94"/>
      <c r="N655" s="93"/>
      <c r="O655" s="85"/>
      <c r="Q655" s="94"/>
      <c r="R655" s="93"/>
      <c r="S655" s="85"/>
      <c r="U655" s="94"/>
      <c r="V655" s="93"/>
      <c r="W655" s="85"/>
      <c r="Y655" s="94"/>
      <c r="Z655" s="93"/>
      <c r="AA655" s="85"/>
      <c r="AC655" s="94"/>
      <c r="AD655" s="93"/>
      <c r="AE655" s="85"/>
    </row>
    <row r="656" spans="7:31" x14ac:dyDescent="0.35">
      <c r="G656" s="85"/>
      <c r="H656" s="87"/>
      <c r="K656" s="85"/>
      <c r="M656" s="94"/>
      <c r="N656" s="93"/>
      <c r="O656" s="85"/>
      <c r="Q656" s="94"/>
      <c r="R656" s="93"/>
      <c r="S656" s="85"/>
      <c r="U656" s="94"/>
      <c r="V656" s="93"/>
      <c r="W656" s="85"/>
      <c r="Y656" s="94"/>
      <c r="Z656" s="93"/>
      <c r="AA656" s="85"/>
      <c r="AC656" s="94"/>
      <c r="AD656" s="93"/>
      <c r="AE656" s="85"/>
    </row>
    <row r="657" spans="7:31" x14ac:dyDescent="0.35">
      <c r="G657" s="85"/>
      <c r="H657" s="87"/>
      <c r="K657" s="85"/>
      <c r="M657" s="94"/>
      <c r="N657" s="93"/>
      <c r="O657" s="85"/>
      <c r="Q657" s="94"/>
      <c r="R657" s="93"/>
      <c r="S657" s="85"/>
      <c r="U657" s="94"/>
      <c r="V657" s="93"/>
      <c r="W657" s="85"/>
      <c r="Y657" s="94"/>
      <c r="Z657" s="93"/>
      <c r="AA657" s="85"/>
      <c r="AC657" s="94"/>
      <c r="AD657" s="93"/>
      <c r="AE657" s="85"/>
    </row>
    <row r="658" spans="7:31" x14ac:dyDescent="0.35">
      <c r="G658" s="85"/>
      <c r="H658" s="87"/>
      <c r="K658" s="85"/>
      <c r="M658" s="94"/>
      <c r="N658" s="93"/>
      <c r="O658" s="85"/>
      <c r="Q658" s="94"/>
      <c r="R658" s="93"/>
      <c r="S658" s="85"/>
      <c r="U658" s="94"/>
      <c r="V658" s="93"/>
      <c r="W658" s="85"/>
      <c r="Y658" s="94"/>
      <c r="Z658" s="93"/>
      <c r="AA658" s="85"/>
      <c r="AC658" s="94"/>
      <c r="AD658" s="93"/>
      <c r="AE658" s="85"/>
    </row>
    <row r="659" spans="7:31" x14ac:dyDescent="0.35">
      <c r="G659" s="85"/>
      <c r="H659" s="87"/>
      <c r="K659" s="85"/>
      <c r="M659" s="94"/>
      <c r="N659" s="93"/>
      <c r="O659" s="85"/>
      <c r="Q659" s="94"/>
      <c r="R659" s="93"/>
      <c r="S659" s="85"/>
      <c r="U659" s="94"/>
      <c r="V659" s="93"/>
      <c r="W659" s="85"/>
      <c r="Y659" s="94"/>
      <c r="Z659" s="93"/>
      <c r="AA659" s="85"/>
      <c r="AC659" s="94"/>
      <c r="AD659" s="93"/>
      <c r="AE659" s="85"/>
    </row>
    <row r="660" spans="7:31" x14ac:dyDescent="0.35">
      <c r="G660" s="85"/>
      <c r="H660" s="87"/>
      <c r="K660" s="85"/>
      <c r="M660" s="94"/>
      <c r="N660" s="93"/>
      <c r="O660" s="85"/>
      <c r="Q660" s="94"/>
      <c r="R660" s="93"/>
      <c r="S660" s="85"/>
      <c r="U660" s="94"/>
      <c r="V660" s="93"/>
      <c r="W660" s="85"/>
      <c r="Y660" s="94"/>
      <c r="Z660" s="93"/>
      <c r="AA660" s="85"/>
      <c r="AC660" s="94"/>
      <c r="AD660" s="93"/>
      <c r="AE660" s="85"/>
    </row>
    <row r="661" spans="7:31" x14ac:dyDescent="0.35">
      <c r="G661" s="85"/>
      <c r="H661" s="87"/>
      <c r="K661" s="85"/>
      <c r="M661" s="94"/>
      <c r="N661" s="93"/>
      <c r="O661" s="85"/>
      <c r="Q661" s="94"/>
      <c r="R661" s="93"/>
      <c r="S661" s="85"/>
      <c r="U661" s="94"/>
      <c r="V661" s="93"/>
      <c r="W661" s="85"/>
      <c r="Y661" s="94"/>
      <c r="Z661" s="93"/>
      <c r="AA661" s="85"/>
      <c r="AC661" s="94"/>
      <c r="AD661" s="93"/>
      <c r="AE661" s="85"/>
    </row>
    <row r="662" spans="7:31" x14ac:dyDescent="0.35">
      <c r="G662" s="85"/>
      <c r="H662" s="87"/>
      <c r="K662" s="85"/>
      <c r="M662" s="94"/>
      <c r="N662" s="93"/>
      <c r="O662" s="85"/>
      <c r="Q662" s="94"/>
      <c r="R662" s="93"/>
      <c r="S662" s="85"/>
      <c r="U662" s="94"/>
      <c r="V662" s="93"/>
      <c r="W662" s="85"/>
      <c r="Y662" s="94"/>
      <c r="Z662" s="93"/>
      <c r="AA662" s="85"/>
      <c r="AC662" s="94"/>
      <c r="AD662" s="93"/>
      <c r="AE662" s="85"/>
    </row>
    <row r="663" spans="7:31" x14ac:dyDescent="0.35">
      <c r="G663" s="85"/>
      <c r="H663" s="87"/>
      <c r="K663" s="85"/>
      <c r="M663" s="94"/>
      <c r="N663" s="93"/>
      <c r="O663" s="85"/>
      <c r="Q663" s="94"/>
      <c r="R663" s="93"/>
      <c r="S663" s="85"/>
      <c r="U663" s="94"/>
      <c r="V663" s="93"/>
      <c r="W663" s="85"/>
      <c r="Y663" s="94"/>
      <c r="Z663" s="93"/>
      <c r="AA663" s="85"/>
      <c r="AC663" s="94"/>
      <c r="AD663" s="93"/>
      <c r="AE663" s="85"/>
    </row>
    <row r="664" spans="7:31" x14ac:dyDescent="0.35">
      <c r="G664" s="85"/>
      <c r="H664" s="87"/>
      <c r="K664" s="85"/>
      <c r="M664" s="94"/>
      <c r="N664" s="93"/>
      <c r="O664" s="85"/>
      <c r="Q664" s="94"/>
      <c r="R664" s="93"/>
      <c r="S664" s="85"/>
      <c r="U664" s="94"/>
      <c r="V664" s="93"/>
      <c r="W664" s="85"/>
      <c r="Y664" s="94"/>
      <c r="Z664" s="93"/>
      <c r="AA664" s="85"/>
      <c r="AC664" s="94"/>
      <c r="AD664" s="93"/>
      <c r="AE664" s="85"/>
    </row>
    <row r="665" spans="7:31" x14ac:dyDescent="0.35">
      <c r="G665" s="85"/>
      <c r="H665" s="87"/>
      <c r="K665" s="85"/>
      <c r="M665" s="94"/>
      <c r="N665" s="93"/>
      <c r="O665" s="85"/>
      <c r="Q665" s="94"/>
      <c r="R665" s="93"/>
      <c r="S665" s="85"/>
      <c r="U665" s="94"/>
      <c r="V665" s="93"/>
      <c r="W665" s="85"/>
      <c r="Y665" s="94"/>
      <c r="Z665" s="93"/>
      <c r="AA665" s="85"/>
      <c r="AC665" s="94"/>
      <c r="AD665" s="93"/>
      <c r="AE665" s="85"/>
    </row>
    <row r="666" spans="7:31" x14ac:dyDescent="0.35">
      <c r="G666" s="85"/>
      <c r="H666" s="87"/>
      <c r="K666" s="85"/>
      <c r="M666" s="94"/>
      <c r="N666" s="93"/>
      <c r="O666" s="85"/>
      <c r="Q666" s="94"/>
      <c r="R666" s="93"/>
      <c r="S666" s="85"/>
      <c r="U666" s="94"/>
      <c r="V666" s="93"/>
      <c r="W666" s="85"/>
      <c r="Y666" s="94"/>
      <c r="Z666" s="93"/>
      <c r="AA666" s="85"/>
      <c r="AC666" s="94"/>
      <c r="AD666" s="93"/>
      <c r="AE666" s="85"/>
    </row>
    <row r="667" spans="7:31" x14ac:dyDescent="0.35">
      <c r="G667" s="85"/>
      <c r="H667" s="87"/>
      <c r="K667" s="85"/>
      <c r="M667" s="94"/>
      <c r="N667" s="93"/>
      <c r="O667" s="85"/>
      <c r="Q667" s="94"/>
      <c r="R667" s="93"/>
      <c r="S667" s="85"/>
      <c r="U667" s="94"/>
      <c r="V667" s="93"/>
      <c r="W667" s="85"/>
      <c r="Y667" s="94"/>
      <c r="Z667" s="93"/>
      <c r="AA667" s="85"/>
      <c r="AC667" s="94"/>
      <c r="AD667" s="93"/>
      <c r="AE667" s="85"/>
    </row>
    <row r="668" spans="7:31" x14ac:dyDescent="0.35">
      <c r="G668" s="85"/>
      <c r="H668" s="87"/>
      <c r="K668" s="85"/>
      <c r="M668" s="94"/>
      <c r="N668" s="93"/>
      <c r="O668" s="85"/>
      <c r="Q668" s="94"/>
      <c r="R668" s="93"/>
      <c r="S668" s="85"/>
      <c r="U668" s="94"/>
      <c r="V668" s="93"/>
      <c r="W668" s="85"/>
      <c r="Y668" s="94"/>
      <c r="Z668" s="93"/>
      <c r="AA668" s="85"/>
      <c r="AC668" s="94"/>
      <c r="AD668" s="93"/>
      <c r="AE668" s="85"/>
    </row>
    <row r="669" spans="7:31" x14ac:dyDescent="0.35">
      <c r="G669" s="85"/>
      <c r="H669" s="87"/>
      <c r="K669" s="85"/>
      <c r="M669" s="94"/>
      <c r="N669" s="93"/>
      <c r="O669" s="85"/>
      <c r="Q669" s="94"/>
      <c r="R669" s="93"/>
      <c r="S669" s="85"/>
      <c r="U669" s="94"/>
      <c r="V669" s="93"/>
      <c r="W669" s="85"/>
      <c r="Y669" s="94"/>
      <c r="Z669" s="93"/>
      <c r="AA669" s="85"/>
      <c r="AC669" s="94"/>
      <c r="AD669" s="93"/>
      <c r="AE669" s="85"/>
    </row>
    <row r="670" spans="7:31" x14ac:dyDescent="0.35">
      <c r="G670" s="85"/>
      <c r="H670" s="87"/>
      <c r="K670" s="85"/>
      <c r="M670" s="94"/>
      <c r="N670" s="93"/>
      <c r="O670" s="85"/>
      <c r="Q670" s="94"/>
      <c r="R670" s="93"/>
      <c r="S670" s="85"/>
      <c r="U670" s="94"/>
      <c r="V670" s="93"/>
      <c r="W670" s="85"/>
      <c r="Y670" s="94"/>
      <c r="Z670" s="93"/>
      <c r="AA670" s="85"/>
      <c r="AC670" s="94"/>
      <c r="AD670" s="93"/>
      <c r="AE670" s="85"/>
    </row>
    <row r="671" spans="7:31" x14ac:dyDescent="0.35">
      <c r="G671" s="85"/>
      <c r="H671" s="87"/>
      <c r="K671" s="85"/>
      <c r="M671" s="94"/>
      <c r="N671" s="93"/>
      <c r="O671" s="85"/>
      <c r="Q671" s="94"/>
      <c r="R671" s="93"/>
      <c r="S671" s="85"/>
      <c r="U671" s="94"/>
      <c r="V671" s="93"/>
      <c r="W671" s="85"/>
      <c r="Y671" s="94"/>
      <c r="Z671" s="93"/>
      <c r="AA671" s="85"/>
      <c r="AC671" s="94"/>
      <c r="AD671" s="93"/>
      <c r="AE671" s="85"/>
    </row>
    <row r="672" spans="7:31" x14ac:dyDescent="0.35">
      <c r="G672" s="85"/>
      <c r="H672" s="87"/>
      <c r="K672" s="85"/>
      <c r="M672" s="94"/>
      <c r="N672" s="93"/>
      <c r="O672" s="85"/>
      <c r="Q672" s="94"/>
      <c r="R672" s="93"/>
      <c r="S672" s="85"/>
      <c r="U672" s="94"/>
      <c r="V672" s="93"/>
      <c r="W672" s="85"/>
      <c r="Y672" s="94"/>
      <c r="Z672" s="93"/>
      <c r="AA672" s="85"/>
      <c r="AC672" s="94"/>
      <c r="AD672" s="93"/>
      <c r="AE672" s="85"/>
    </row>
    <row r="673" spans="7:31" x14ac:dyDescent="0.35">
      <c r="G673" s="85"/>
      <c r="H673" s="87"/>
      <c r="K673" s="85"/>
      <c r="M673" s="94"/>
      <c r="N673" s="93"/>
      <c r="O673" s="85"/>
      <c r="Q673" s="94"/>
      <c r="R673" s="93"/>
      <c r="S673" s="85"/>
      <c r="U673" s="94"/>
      <c r="V673" s="93"/>
      <c r="W673" s="85"/>
      <c r="Y673" s="94"/>
      <c r="Z673" s="93"/>
      <c r="AA673" s="85"/>
      <c r="AC673" s="94"/>
      <c r="AD673" s="93"/>
      <c r="AE673" s="85"/>
    </row>
    <row r="674" spans="7:31" x14ac:dyDescent="0.35">
      <c r="G674" s="85"/>
      <c r="H674" s="87"/>
      <c r="K674" s="85"/>
      <c r="M674" s="94"/>
      <c r="N674" s="93"/>
      <c r="O674" s="85"/>
      <c r="Q674" s="94"/>
      <c r="R674" s="93"/>
      <c r="S674" s="85"/>
      <c r="U674" s="94"/>
      <c r="V674" s="93"/>
      <c r="W674" s="85"/>
      <c r="Y674" s="94"/>
      <c r="Z674" s="93"/>
      <c r="AA674" s="85"/>
      <c r="AC674" s="94"/>
      <c r="AD674" s="93"/>
      <c r="AE674" s="85"/>
    </row>
    <row r="675" spans="7:31" x14ac:dyDescent="0.35">
      <c r="G675" s="85"/>
      <c r="H675" s="87"/>
      <c r="K675" s="85"/>
      <c r="M675" s="94"/>
      <c r="N675" s="93"/>
      <c r="O675" s="85"/>
      <c r="Q675" s="94"/>
      <c r="R675" s="93"/>
      <c r="S675" s="85"/>
      <c r="U675" s="94"/>
      <c r="V675" s="93"/>
      <c r="W675" s="85"/>
      <c r="Y675" s="94"/>
      <c r="Z675" s="93"/>
      <c r="AA675" s="85"/>
      <c r="AC675" s="94"/>
      <c r="AD675" s="93"/>
      <c r="AE675" s="85"/>
    </row>
    <row r="676" spans="7:31" x14ac:dyDescent="0.35">
      <c r="G676" s="85"/>
      <c r="H676" s="87"/>
      <c r="K676" s="85"/>
      <c r="M676" s="94"/>
      <c r="N676" s="93"/>
      <c r="O676" s="85"/>
      <c r="Q676" s="94"/>
      <c r="R676" s="93"/>
      <c r="S676" s="85"/>
      <c r="U676" s="94"/>
      <c r="V676" s="93"/>
      <c r="W676" s="85"/>
      <c r="Y676" s="94"/>
      <c r="Z676" s="93"/>
      <c r="AA676" s="85"/>
      <c r="AC676" s="94"/>
      <c r="AD676" s="93"/>
      <c r="AE676" s="85"/>
    </row>
    <row r="677" spans="7:31" x14ac:dyDescent="0.35">
      <c r="G677" s="85"/>
      <c r="H677" s="87"/>
      <c r="K677" s="85"/>
      <c r="M677" s="94"/>
      <c r="N677" s="93"/>
      <c r="O677" s="85"/>
      <c r="Q677" s="94"/>
      <c r="R677" s="93"/>
      <c r="S677" s="85"/>
      <c r="U677" s="94"/>
      <c r="V677" s="93"/>
      <c r="W677" s="85"/>
      <c r="Y677" s="94"/>
      <c r="Z677" s="93"/>
      <c r="AA677" s="85"/>
      <c r="AC677" s="94"/>
      <c r="AD677" s="93"/>
      <c r="AE677" s="85"/>
    </row>
    <row r="678" spans="7:31" x14ac:dyDescent="0.35">
      <c r="G678" s="85"/>
      <c r="H678" s="87"/>
      <c r="K678" s="85"/>
      <c r="M678" s="94"/>
      <c r="N678" s="93"/>
      <c r="O678" s="85"/>
      <c r="Q678" s="94"/>
      <c r="R678" s="93"/>
      <c r="S678" s="85"/>
      <c r="U678" s="94"/>
      <c r="V678" s="93"/>
      <c r="W678" s="85"/>
      <c r="Y678" s="94"/>
      <c r="Z678" s="93"/>
      <c r="AA678" s="85"/>
      <c r="AC678" s="94"/>
      <c r="AD678" s="93"/>
      <c r="AE678" s="85"/>
    </row>
    <row r="679" spans="7:31" x14ac:dyDescent="0.35">
      <c r="G679" s="85"/>
      <c r="H679" s="87"/>
      <c r="K679" s="85"/>
      <c r="M679" s="94"/>
      <c r="N679" s="93"/>
      <c r="O679" s="85"/>
      <c r="Q679" s="94"/>
      <c r="R679" s="93"/>
      <c r="S679" s="85"/>
      <c r="U679" s="94"/>
      <c r="V679" s="93"/>
      <c r="W679" s="85"/>
      <c r="Y679" s="94"/>
      <c r="Z679" s="93"/>
      <c r="AA679" s="85"/>
      <c r="AC679" s="94"/>
      <c r="AD679" s="93"/>
      <c r="AE679" s="85"/>
    </row>
    <row r="680" spans="7:31" x14ac:dyDescent="0.35">
      <c r="G680" s="85"/>
      <c r="H680" s="87"/>
      <c r="K680" s="85"/>
      <c r="M680" s="94"/>
      <c r="N680" s="93"/>
      <c r="O680" s="85"/>
      <c r="Q680" s="94"/>
      <c r="R680" s="93"/>
      <c r="S680" s="85"/>
      <c r="U680" s="94"/>
      <c r="V680" s="93"/>
      <c r="W680" s="85"/>
      <c r="Y680" s="94"/>
      <c r="Z680" s="93"/>
      <c r="AA680" s="85"/>
      <c r="AC680" s="94"/>
      <c r="AD680" s="93"/>
      <c r="AE680" s="85"/>
    </row>
    <row r="681" spans="7:31" x14ac:dyDescent="0.35">
      <c r="G681" s="85"/>
      <c r="H681" s="87"/>
      <c r="K681" s="85"/>
      <c r="M681" s="94"/>
      <c r="N681" s="93"/>
      <c r="O681" s="85"/>
      <c r="Q681" s="94"/>
      <c r="R681" s="93"/>
      <c r="S681" s="85"/>
      <c r="U681" s="94"/>
      <c r="V681" s="93"/>
      <c r="W681" s="85"/>
      <c r="Y681" s="94"/>
      <c r="Z681" s="93"/>
      <c r="AA681" s="85"/>
      <c r="AC681" s="94"/>
      <c r="AD681" s="93"/>
      <c r="AE681" s="85"/>
    </row>
    <row r="682" spans="7:31" x14ac:dyDescent="0.35">
      <c r="G682" s="85"/>
      <c r="H682" s="87"/>
      <c r="K682" s="85"/>
      <c r="M682" s="94"/>
      <c r="N682" s="93"/>
      <c r="O682" s="85"/>
      <c r="Q682" s="94"/>
      <c r="R682" s="93"/>
      <c r="S682" s="85"/>
      <c r="U682" s="94"/>
      <c r="V682" s="93"/>
      <c r="W682" s="85"/>
      <c r="Y682" s="94"/>
      <c r="Z682" s="93"/>
      <c r="AA682" s="85"/>
      <c r="AC682" s="94"/>
      <c r="AD682" s="93"/>
      <c r="AE682" s="85"/>
    </row>
    <row r="683" spans="7:31" x14ac:dyDescent="0.35">
      <c r="G683" s="85"/>
      <c r="H683" s="87"/>
      <c r="K683" s="85"/>
      <c r="M683" s="94"/>
      <c r="N683" s="93"/>
      <c r="O683" s="85"/>
      <c r="Q683" s="94"/>
      <c r="R683" s="93"/>
      <c r="S683" s="85"/>
      <c r="U683" s="94"/>
      <c r="V683" s="93"/>
      <c r="W683" s="85"/>
      <c r="Y683" s="94"/>
      <c r="Z683" s="93"/>
      <c r="AA683" s="85"/>
      <c r="AC683" s="94"/>
      <c r="AD683" s="93"/>
      <c r="AE683" s="85"/>
    </row>
    <row r="684" spans="7:31" x14ac:dyDescent="0.35">
      <c r="G684" s="85"/>
      <c r="H684" s="87"/>
      <c r="K684" s="85"/>
      <c r="M684" s="94"/>
      <c r="N684" s="93"/>
      <c r="O684" s="85"/>
      <c r="Q684" s="94"/>
      <c r="R684" s="93"/>
      <c r="S684" s="85"/>
      <c r="U684" s="94"/>
      <c r="V684" s="93"/>
      <c r="W684" s="85"/>
      <c r="Y684" s="94"/>
      <c r="Z684" s="93"/>
      <c r="AA684" s="85"/>
      <c r="AC684" s="94"/>
      <c r="AD684" s="93"/>
      <c r="AE684" s="85"/>
    </row>
    <row r="685" spans="7:31" x14ac:dyDescent="0.35">
      <c r="G685" s="85"/>
      <c r="H685" s="87"/>
      <c r="K685" s="85"/>
      <c r="M685" s="94"/>
      <c r="N685" s="93"/>
      <c r="O685" s="85"/>
      <c r="Q685" s="94"/>
      <c r="R685" s="93"/>
      <c r="S685" s="85"/>
      <c r="U685" s="94"/>
      <c r="V685" s="93"/>
      <c r="W685" s="85"/>
      <c r="Y685" s="94"/>
      <c r="Z685" s="93"/>
      <c r="AA685" s="85"/>
      <c r="AC685" s="94"/>
      <c r="AD685" s="93"/>
      <c r="AE685" s="85"/>
    </row>
    <row r="686" spans="7:31" x14ac:dyDescent="0.35">
      <c r="G686" s="85"/>
      <c r="H686" s="87"/>
      <c r="K686" s="85"/>
      <c r="M686" s="94"/>
      <c r="N686" s="93"/>
      <c r="O686" s="85"/>
      <c r="Q686" s="94"/>
      <c r="R686" s="93"/>
      <c r="S686" s="85"/>
      <c r="U686" s="94"/>
      <c r="V686" s="93"/>
      <c r="W686" s="85"/>
      <c r="Y686" s="94"/>
      <c r="Z686" s="93"/>
      <c r="AA686" s="85"/>
      <c r="AC686" s="94"/>
      <c r="AD686" s="93"/>
      <c r="AE686" s="85"/>
    </row>
    <row r="687" spans="7:31" x14ac:dyDescent="0.35">
      <c r="G687" s="85"/>
      <c r="H687" s="87"/>
      <c r="K687" s="85"/>
      <c r="M687" s="94"/>
      <c r="N687" s="93"/>
      <c r="O687" s="85"/>
      <c r="Q687" s="94"/>
      <c r="R687" s="93"/>
      <c r="S687" s="85"/>
      <c r="U687" s="94"/>
      <c r="V687" s="93"/>
      <c r="W687" s="85"/>
      <c r="Y687" s="94"/>
      <c r="Z687" s="93"/>
      <c r="AA687" s="85"/>
      <c r="AC687" s="94"/>
      <c r="AD687" s="93"/>
      <c r="AE687" s="85"/>
    </row>
    <row r="688" spans="7:31" x14ac:dyDescent="0.35">
      <c r="G688" s="85"/>
      <c r="H688" s="87"/>
      <c r="K688" s="85"/>
      <c r="M688" s="94"/>
      <c r="N688" s="93"/>
      <c r="O688" s="85"/>
      <c r="Q688" s="94"/>
      <c r="R688" s="93"/>
      <c r="S688" s="85"/>
      <c r="U688" s="94"/>
      <c r="V688" s="93"/>
      <c r="W688" s="85"/>
      <c r="Y688" s="94"/>
      <c r="Z688" s="93"/>
      <c r="AA688" s="85"/>
      <c r="AC688" s="94"/>
      <c r="AD688" s="93"/>
      <c r="AE688" s="85"/>
    </row>
    <row r="689" spans="7:31" x14ac:dyDescent="0.35">
      <c r="G689" s="85"/>
      <c r="H689" s="87"/>
      <c r="K689" s="85"/>
      <c r="M689" s="94"/>
      <c r="N689" s="93"/>
      <c r="O689" s="85"/>
      <c r="Q689" s="94"/>
      <c r="R689" s="93"/>
      <c r="S689" s="85"/>
      <c r="U689" s="94"/>
      <c r="V689" s="93"/>
      <c r="W689" s="85"/>
      <c r="Y689" s="94"/>
      <c r="Z689" s="93"/>
      <c r="AA689" s="85"/>
      <c r="AC689" s="94"/>
      <c r="AD689" s="93"/>
      <c r="AE689" s="85"/>
    </row>
    <row r="690" spans="7:31" x14ac:dyDescent="0.35">
      <c r="G690" s="85"/>
      <c r="H690" s="87"/>
      <c r="K690" s="85"/>
      <c r="M690" s="94"/>
      <c r="N690" s="93"/>
      <c r="O690" s="85"/>
      <c r="Q690" s="94"/>
      <c r="R690" s="93"/>
      <c r="S690" s="85"/>
      <c r="U690" s="94"/>
      <c r="V690" s="93"/>
      <c r="W690" s="85"/>
      <c r="Y690" s="94"/>
      <c r="Z690" s="93"/>
      <c r="AA690" s="85"/>
      <c r="AC690" s="94"/>
      <c r="AD690" s="93"/>
      <c r="AE690" s="85"/>
    </row>
    <row r="691" spans="7:31" x14ac:dyDescent="0.35">
      <c r="G691" s="85"/>
      <c r="H691" s="87"/>
      <c r="K691" s="85"/>
      <c r="M691" s="94"/>
      <c r="N691" s="93"/>
      <c r="O691" s="85"/>
      <c r="Q691" s="94"/>
      <c r="R691" s="93"/>
      <c r="S691" s="85"/>
      <c r="U691" s="94"/>
      <c r="V691" s="93"/>
      <c r="W691" s="85"/>
      <c r="Y691" s="94"/>
      <c r="Z691" s="93"/>
      <c r="AA691" s="85"/>
      <c r="AC691" s="94"/>
      <c r="AD691" s="93"/>
      <c r="AE691" s="85"/>
    </row>
    <row r="692" spans="7:31" x14ac:dyDescent="0.35">
      <c r="G692" s="85"/>
      <c r="H692" s="87"/>
      <c r="K692" s="85"/>
      <c r="M692" s="94"/>
      <c r="N692" s="93"/>
      <c r="O692" s="85"/>
      <c r="Q692" s="94"/>
      <c r="R692" s="93"/>
      <c r="S692" s="85"/>
      <c r="U692" s="94"/>
      <c r="V692" s="93"/>
      <c r="W692" s="85"/>
      <c r="Y692" s="94"/>
      <c r="Z692" s="93"/>
      <c r="AA692" s="85"/>
      <c r="AC692" s="94"/>
      <c r="AD692" s="93"/>
      <c r="AE692" s="85"/>
    </row>
    <row r="693" spans="7:31" x14ac:dyDescent="0.35">
      <c r="G693" s="85"/>
      <c r="H693" s="87"/>
      <c r="K693" s="85"/>
      <c r="M693" s="94"/>
      <c r="N693" s="93"/>
      <c r="O693" s="85"/>
      <c r="Q693" s="94"/>
      <c r="R693" s="93"/>
      <c r="S693" s="85"/>
      <c r="U693" s="94"/>
      <c r="V693" s="93"/>
      <c r="W693" s="85"/>
      <c r="Y693" s="94"/>
      <c r="Z693" s="93"/>
      <c r="AA693" s="85"/>
      <c r="AC693" s="94"/>
      <c r="AD693" s="93"/>
      <c r="AE693" s="85"/>
    </row>
    <row r="694" spans="7:31" x14ac:dyDescent="0.35">
      <c r="G694" s="85"/>
      <c r="H694" s="87"/>
      <c r="K694" s="85"/>
      <c r="M694" s="94"/>
      <c r="N694" s="93"/>
      <c r="O694" s="85"/>
      <c r="Q694" s="94"/>
      <c r="R694" s="93"/>
      <c r="S694" s="85"/>
      <c r="U694" s="94"/>
      <c r="V694" s="93"/>
      <c r="W694" s="85"/>
      <c r="Y694" s="94"/>
      <c r="Z694" s="93"/>
      <c r="AA694" s="85"/>
      <c r="AC694" s="94"/>
      <c r="AD694" s="93"/>
      <c r="AE694" s="85"/>
    </row>
    <row r="695" spans="7:31" x14ac:dyDescent="0.35">
      <c r="G695" s="85"/>
      <c r="H695" s="87"/>
      <c r="K695" s="85"/>
      <c r="M695" s="94"/>
      <c r="N695" s="93"/>
      <c r="O695" s="85"/>
      <c r="Q695" s="94"/>
      <c r="R695" s="93"/>
      <c r="S695" s="85"/>
      <c r="U695" s="94"/>
      <c r="V695" s="93"/>
      <c r="W695" s="85"/>
      <c r="Y695" s="94"/>
      <c r="Z695" s="93"/>
      <c r="AA695" s="85"/>
      <c r="AC695" s="94"/>
      <c r="AD695" s="93"/>
      <c r="AE695" s="85"/>
    </row>
    <row r="696" spans="7:31" x14ac:dyDescent="0.35">
      <c r="G696" s="85"/>
      <c r="H696" s="87"/>
      <c r="K696" s="85"/>
      <c r="M696" s="94"/>
      <c r="N696" s="93"/>
      <c r="O696" s="85"/>
      <c r="Q696" s="94"/>
      <c r="R696" s="93"/>
      <c r="S696" s="85"/>
      <c r="U696" s="94"/>
      <c r="V696" s="93"/>
      <c r="W696" s="85"/>
      <c r="Y696" s="94"/>
      <c r="Z696" s="93"/>
      <c r="AA696" s="85"/>
      <c r="AC696" s="94"/>
      <c r="AD696" s="93"/>
      <c r="AE696" s="85"/>
    </row>
    <row r="697" spans="7:31" x14ac:dyDescent="0.35">
      <c r="G697" s="85"/>
      <c r="H697" s="87"/>
      <c r="K697" s="85"/>
      <c r="M697" s="94"/>
      <c r="N697" s="93"/>
      <c r="O697" s="85"/>
      <c r="Q697" s="94"/>
      <c r="R697" s="93"/>
      <c r="S697" s="85"/>
      <c r="U697" s="94"/>
      <c r="V697" s="93"/>
      <c r="W697" s="85"/>
      <c r="Y697" s="94"/>
      <c r="Z697" s="93"/>
      <c r="AA697" s="85"/>
      <c r="AC697" s="94"/>
      <c r="AD697" s="93"/>
      <c r="AE697" s="85"/>
    </row>
    <row r="698" spans="7:31" x14ac:dyDescent="0.35">
      <c r="G698" s="85"/>
      <c r="H698" s="87"/>
      <c r="K698" s="85"/>
      <c r="M698" s="94"/>
      <c r="N698" s="93"/>
      <c r="O698" s="85"/>
      <c r="Q698" s="94"/>
      <c r="R698" s="93"/>
      <c r="S698" s="85"/>
      <c r="U698" s="94"/>
      <c r="V698" s="93"/>
      <c r="W698" s="85"/>
      <c r="Y698" s="94"/>
      <c r="Z698" s="93"/>
      <c r="AA698" s="85"/>
      <c r="AC698" s="94"/>
      <c r="AD698" s="93"/>
      <c r="AE698" s="85"/>
    </row>
    <row r="699" spans="7:31" x14ac:dyDescent="0.35">
      <c r="G699" s="85"/>
      <c r="H699" s="87"/>
      <c r="K699" s="85"/>
      <c r="M699" s="94"/>
      <c r="N699" s="93"/>
      <c r="O699" s="85"/>
      <c r="Q699" s="94"/>
      <c r="R699" s="93"/>
      <c r="S699" s="85"/>
      <c r="U699" s="94"/>
      <c r="V699" s="93"/>
      <c r="W699" s="85"/>
      <c r="Y699" s="94"/>
      <c r="Z699" s="93"/>
      <c r="AA699" s="85"/>
      <c r="AC699" s="94"/>
      <c r="AD699" s="93"/>
      <c r="AE699" s="85"/>
    </row>
    <row r="700" spans="7:31" x14ac:dyDescent="0.35">
      <c r="G700" s="85"/>
      <c r="H700" s="87"/>
      <c r="K700" s="85"/>
      <c r="M700" s="94"/>
      <c r="N700" s="93"/>
      <c r="O700" s="85"/>
      <c r="Q700" s="94"/>
      <c r="R700" s="93"/>
      <c r="S700" s="85"/>
      <c r="U700" s="94"/>
      <c r="V700" s="93"/>
      <c r="W700" s="85"/>
      <c r="Y700" s="94"/>
      <c r="Z700" s="93"/>
      <c r="AA700" s="85"/>
      <c r="AC700" s="94"/>
      <c r="AD700" s="93"/>
      <c r="AE700" s="85"/>
    </row>
    <row r="701" spans="7:31" x14ac:dyDescent="0.35">
      <c r="G701" s="85"/>
      <c r="H701" s="87"/>
      <c r="K701" s="85"/>
      <c r="M701" s="94"/>
      <c r="N701" s="93"/>
      <c r="O701" s="85"/>
      <c r="Q701" s="94"/>
      <c r="R701" s="93"/>
      <c r="S701" s="85"/>
      <c r="U701" s="94"/>
      <c r="V701" s="93"/>
      <c r="W701" s="85"/>
      <c r="Y701" s="94"/>
      <c r="Z701" s="93"/>
      <c r="AA701" s="85"/>
      <c r="AC701" s="94"/>
      <c r="AD701" s="93"/>
      <c r="AE701" s="85"/>
    </row>
    <row r="702" spans="7:31" x14ac:dyDescent="0.35">
      <c r="G702" s="85"/>
      <c r="H702" s="87"/>
      <c r="K702" s="85"/>
      <c r="M702" s="94"/>
      <c r="N702" s="93"/>
      <c r="O702" s="85"/>
      <c r="Q702" s="94"/>
      <c r="R702" s="93"/>
      <c r="S702" s="85"/>
      <c r="U702" s="94"/>
      <c r="V702" s="93"/>
      <c r="W702" s="85"/>
      <c r="Y702" s="94"/>
      <c r="Z702" s="93"/>
      <c r="AA702" s="85"/>
      <c r="AC702" s="94"/>
      <c r="AD702" s="93"/>
      <c r="AE702" s="85"/>
    </row>
    <row r="703" spans="7:31" x14ac:dyDescent="0.35">
      <c r="G703" s="85"/>
      <c r="H703" s="87"/>
      <c r="K703" s="85"/>
      <c r="M703" s="94"/>
      <c r="N703" s="93"/>
      <c r="O703" s="85"/>
      <c r="Q703" s="94"/>
      <c r="R703" s="93"/>
      <c r="S703" s="85"/>
      <c r="U703" s="94"/>
      <c r="V703" s="93"/>
      <c r="W703" s="85"/>
      <c r="Y703" s="94"/>
      <c r="Z703" s="93"/>
      <c r="AA703" s="85"/>
      <c r="AC703" s="94"/>
      <c r="AD703" s="93"/>
      <c r="AE703" s="85"/>
    </row>
    <row r="704" spans="7:31" x14ac:dyDescent="0.35">
      <c r="G704" s="85"/>
      <c r="H704" s="87"/>
      <c r="K704" s="85"/>
      <c r="M704" s="94"/>
      <c r="N704" s="93"/>
      <c r="O704" s="85"/>
      <c r="Q704" s="94"/>
      <c r="R704" s="93"/>
      <c r="S704" s="85"/>
      <c r="U704" s="94"/>
      <c r="V704" s="93"/>
      <c r="W704" s="85"/>
      <c r="Y704" s="94"/>
      <c r="Z704" s="93"/>
      <c r="AA704" s="85"/>
      <c r="AC704" s="94"/>
      <c r="AD704" s="93"/>
      <c r="AE704" s="85"/>
    </row>
    <row r="705" spans="7:31" x14ac:dyDescent="0.35">
      <c r="G705" s="85"/>
      <c r="H705" s="87"/>
      <c r="K705" s="85"/>
      <c r="M705" s="94"/>
      <c r="N705" s="93"/>
      <c r="O705" s="85"/>
      <c r="Q705" s="94"/>
      <c r="R705" s="93"/>
      <c r="S705" s="85"/>
      <c r="U705" s="94"/>
      <c r="V705" s="93"/>
      <c r="W705" s="85"/>
      <c r="Y705" s="94"/>
      <c r="Z705" s="93"/>
      <c r="AA705" s="85"/>
      <c r="AC705" s="94"/>
      <c r="AD705" s="93"/>
      <c r="AE705" s="85"/>
    </row>
    <row r="706" spans="7:31" x14ac:dyDescent="0.35">
      <c r="G706" s="85"/>
      <c r="H706" s="87"/>
      <c r="K706" s="85"/>
      <c r="M706" s="94"/>
      <c r="N706" s="93"/>
      <c r="O706" s="85"/>
      <c r="Q706" s="94"/>
      <c r="R706" s="93"/>
      <c r="S706" s="85"/>
      <c r="U706" s="94"/>
      <c r="V706" s="93"/>
      <c r="W706" s="85"/>
      <c r="Y706" s="94"/>
      <c r="Z706" s="93"/>
      <c r="AA706" s="85"/>
      <c r="AC706" s="94"/>
      <c r="AD706" s="93"/>
      <c r="AE706" s="85"/>
    </row>
    <row r="707" spans="7:31" x14ac:dyDescent="0.35">
      <c r="G707" s="85"/>
      <c r="H707" s="87"/>
      <c r="K707" s="85"/>
      <c r="M707" s="94"/>
      <c r="N707" s="93"/>
      <c r="O707" s="85"/>
      <c r="Q707" s="94"/>
      <c r="R707" s="93"/>
      <c r="S707" s="85"/>
      <c r="U707" s="94"/>
      <c r="V707" s="93"/>
      <c r="W707" s="85"/>
      <c r="Y707" s="94"/>
      <c r="Z707" s="93"/>
      <c r="AA707" s="85"/>
      <c r="AC707" s="94"/>
      <c r="AD707" s="93"/>
      <c r="AE707" s="85"/>
    </row>
    <row r="708" spans="7:31" x14ac:dyDescent="0.35">
      <c r="G708" s="85"/>
      <c r="H708" s="87"/>
      <c r="K708" s="85"/>
      <c r="M708" s="94"/>
      <c r="N708" s="93"/>
      <c r="O708" s="85"/>
      <c r="Q708" s="94"/>
      <c r="R708" s="93"/>
      <c r="S708" s="85"/>
      <c r="U708" s="94"/>
      <c r="V708" s="93"/>
      <c r="W708" s="85"/>
      <c r="Y708" s="94"/>
      <c r="Z708" s="93"/>
      <c r="AA708" s="85"/>
      <c r="AC708" s="94"/>
      <c r="AD708" s="93"/>
      <c r="AE708" s="85"/>
    </row>
    <row r="709" spans="7:31" x14ac:dyDescent="0.35">
      <c r="G709" s="85"/>
      <c r="H709" s="87"/>
      <c r="K709" s="85"/>
      <c r="M709" s="94"/>
      <c r="N709" s="93"/>
      <c r="O709" s="85"/>
      <c r="Q709" s="94"/>
      <c r="R709" s="93"/>
      <c r="S709" s="85"/>
      <c r="U709" s="94"/>
      <c r="V709" s="93"/>
      <c r="W709" s="85"/>
      <c r="Y709" s="94"/>
      <c r="Z709" s="93"/>
      <c r="AA709" s="85"/>
      <c r="AC709" s="94"/>
      <c r="AD709" s="93"/>
      <c r="AE709" s="85"/>
    </row>
    <row r="710" spans="7:31" x14ac:dyDescent="0.35">
      <c r="G710" s="85"/>
      <c r="H710" s="87"/>
      <c r="K710" s="85"/>
      <c r="M710" s="94"/>
      <c r="N710" s="93"/>
      <c r="O710" s="85"/>
      <c r="Q710" s="94"/>
      <c r="R710" s="93"/>
      <c r="S710" s="85"/>
      <c r="U710" s="94"/>
      <c r="V710" s="93"/>
      <c r="W710" s="85"/>
      <c r="Y710" s="94"/>
      <c r="Z710" s="93"/>
      <c r="AA710" s="85"/>
      <c r="AC710" s="94"/>
      <c r="AD710" s="93"/>
      <c r="AE710" s="85"/>
    </row>
    <row r="711" spans="7:31" x14ac:dyDescent="0.35">
      <c r="G711" s="85"/>
      <c r="H711" s="87"/>
      <c r="K711" s="85"/>
      <c r="M711" s="94"/>
      <c r="N711" s="93"/>
      <c r="O711" s="85"/>
      <c r="Q711" s="94"/>
      <c r="R711" s="93"/>
      <c r="S711" s="85"/>
      <c r="U711" s="94"/>
      <c r="V711" s="93"/>
      <c r="W711" s="85"/>
      <c r="Y711" s="94"/>
      <c r="Z711" s="93"/>
      <c r="AA711" s="85"/>
      <c r="AC711" s="94"/>
      <c r="AD711" s="93"/>
      <c r="AE711" s="85"/>
    </row>
    <row r="712" spans="7:31" x14ac:dyDescent="0.35">
      <c r="G712" s="85"/>
      <c r="H712" s="87"/>
      <c r="K712" s="85"/>
      <c r="M712" s="94"/>
      <c r="N712" s="93"/>
      <c r="O712" s="85"/>
      <c r="Q712" s="94"/>
      <c r="R712" s="93"/>
      <c r="S712" s="85"/>
      <c r="U712" s="94"/>
      <c r="V712" s="93"/>
      <c r="W712" s="85"/>
      <c r="Y712" s="94"/>
      <c r="Z712" s="93"/>
      <c r="AA712" s="85"/>
      <c r="AC712" s="94"/>
      <c r="AD712" s="93"/>
      <c r="AE712" s="85"/>
    </row>
    <row r="713" spans="7:31" x14ac:dyDescent="0.35">
      <c r="G713" s="85"/>
      <c r="H713" s="87"/>
      <c r="K713" s="85"/>
      <c r="M713" s="94"/>
      <c r="N713" s="93"/>
      <c r="O713" s="85"/>
      <c r="Q713" s="94"/>
      <c r="R713" s="93"/>
      <c r="S713" s="85"/>
      <c r="U713" s="94"/>
      <c r="V713" s="93"/>
      <c r="W713" s="85"/>
      <c r="Y713" s="94"/>
      <c r="Z713" s="93"/>
      <c r="AA713" s="85"/>
      <c r="AC713" s="94"/>
      <c r="AD713" s="93"/>
      <c r="AE713" s="85"/>
    </row>
    <row r="714" spans="7:31" x14ac:dyDescent="0.35">
      <c r="G714" s="85"/>
      <c r="H714" s="87"/>
      <c r="K714" s="85"/>
      <c r="M714" s="94"/>
      <c r="N714" s="93"/>
      <c r="O714" s="85"/>
      <c r="Q714" s="94"/>
      <c r="R714" s="93"/>
      <c r="S714" s="85"/>
      <c r="U714" s="94"/>
      <c r="V714" s="93"/>
      <c r="W714" s="85"/>
      <c r="Y714" s="94"/>
      <c r="Z714" s="93"/>
      <c r="AA714" s="85"/>
      <c r="AC714" s="94"/>
      <c r="AD714" s="93"/>
      <c r="AE714" s="85"/>
    </row>
    <row r="715" spans="7:31" x14ac:dyDescent="0.35">
      <c r="G715" s="85"/>
      <c r="H715" s="87"/>
      <c r="K715" s="85"/>
      <c r="M715" s="94"/>
      <c r="N715" s="93"/>
      <c r="O715" s="85"/>
      <c r="Q715" s="94"/>
      <c r="R715" s="93"/>
      <c r="S715" s="85"/>
      <c r="U715" s="94"/>
      <c r="V715" s="93"/>
      <c r="W715" s="85"/>
      <c r="Y715" s="94"/>
      <c r="Z715" s="93"/>
      <c r="AA715" s="85"/>
      <c r="AC715" s="94"/>
      <c r="AD715" s="93"/>
      <c r="AE715" s="85"/>
    </row>
    <row r="716" spans="7:31" x14ac:dyDescent="0.35">
      <c r="G716" s="85"/>
      <c r="H716" s="87"/>
      <c r="K716" s="85"/>
      <c r="M716" s="94"/>
      <c r="N716" s="93"/>
      <c r="O716" s="85"/>
      <c r="Q716" s="94"/>
      <c r="R716" s="93"/>
      <c r="S716" s="85"/>
      <c r="U716" s="94"/>
      <c r="V716" s="93"/>
      <c r="W716" s="85"/>
      <c r="Y716" s="94"/>
      <c r="Z716" s="93"/>
      <c r="AA716" s="85"/>
      <c r="AC716" s="94"/>
      <c r="AD716" s="93"/>
      <c r="AE716" s="85"/>
    </row>
    <row r="717" spans="7:31" x14ac:dyDescent="0.35">
      <c r="G717" s="85"/>
      <c r="H717" s="87"/>
      <c r="K717" s="85"/>
      <c r="M717" s="94"/>
      <c r="N717" s="93"/>
      <c r="O717" s="85"/>
      <c r="Q717" s="94"/>
      <c r="R717" s="93"/>
      <c r="S717" s="85"/>
      <c r="U717" s="94"/>
      <c r="V717" s="93"/>
      <c r="W717" s="85"/>
      <c r="Y717" s="94"/>
      <c r="Z717" s="93"/>
      <c r="AA717" s="85"/>
      <c r="AC717" s="94"/>
      <c r="AD717" s="93"/>
      <c r="AE717" s="85"/>
    </row>
    <row r="718" spans="7:31" x14ac:dyDescent="0.35">
      <c r="G718" s="85"/>
      <c r="H718" s="87"/>
      <c r="K718" s="85"/>
      <c r="M718" s="94"/>
      <c r="N718" s="93"/>
      <c r="O718" s="85"/>
      <c r="Q718" s="94"/>
      <c r="R718" s="93"/>
      <c r="S718" s="85"/>
      <c r="U718" s="94"/>
      <c r="V718" s="93"/>
      <c r="W718" s="85"/>
      <c r="Y718" s="94"/>
      <c r="Z718" s="93"/>
      <c r="AA718" s="85"/>
      <c r="AC718" s="94"/>
      <c r="AD718" s="93"/>
      <c r="AE718" s="85"/>
    </row>
    <row r="719" spans="7:31" x14ac:dyDescent="0.35">
      <c r="G719" s="85"/>
      <c r="H719" s="87"/>
      <c r="K719" s="85"/>
      <c r="M719" s="94"/>
      <c r="N719" s="93"/>
      <c r="O719" s="85"/>
      <c r="Q719" s="94"/>
      <c r="R719" s="93"/>
      <c r="S719" s="85"/>
      <c r="U719" s="94"/>
      <c r="V719" s="93"/>
      <c r="W719" s="85"/>
      <c r="Y719" s="94"/>
      <c r="Z719" s="93"/>
      <c r="AA719" s="85"/>
      <c r="AC719" s="94"/>
      <c r="AD719" s="93"/>
      <c r="AE719" s="85"/>
    </row>
    <row r="720" spans="7:31" x14ac:dyDescent="0.35">
      <c r="G720" s="85"/>
      <c r="H720" s="87"/>
      <c r="K720" s="85"/>
      <c r="M720" s="94"/>
      <c r="N720" s="93"/>
      <c r="O720" s="85"/>
      <c r="Q720" s="94"/>
      <c r="R720" s="93"/>
      <c r="S720" s="85"/>
      <c r="U720" s="94"/>
      <c r="V720" s="93"/>
      <c r="W720" s="85"/>
      <c r="Y720" s="94"/>
      <c r="Z720" s="93"/>
      <c r="AA720" s="85"/>
      <c r="AC720" s="94"/>
      <c r="AD720" s="93"/>
      <c r="AE720" s="85"/>
    </row>
    <row r="721" spans="7:31" x14ac:dyDescent="0.35">
      <c r="G721" s="85"/>
      <c r="H721" s="87"/>
      <c r="K721" s="85"/>
      <c r="M721" s="94"/>
      <c r="N721" s="93"/>
      <c r="O721" s="85"/>
      <c r="Q721" s="94"/>
      <c r="R721" s="93"/>
      <c r="S721" s="85"/>
      <c r="U721" s="94"/>
      <c r="V721" s="93"/>
      <c r="W721" s="85"/>
      <c r="Y721" s="94"/>
      <c r="Z721" s="93"/>
      <c r="AA721" s="85"/>
      <c r="AC721" s="94"/>
      <c r="AD721" s="93"/>
      <c r="AE721" s="85"/>
    </row>
    <row r="722" spans="7:31" x14ac:dyDescent="0.35">
      <c r="G722" s="85"/>
      <c r="H722" s="87"/>
      <c r="K722" s="85"/>
      <c r="M722" s="94"/>
      <c r="N722" s="93"/>
      <c r="O722" s="85"/>
      <c r="Q722" s="94"/>
      <c r="R722" s="93"/>
      <c r="S722" s="85"/>
      <c r="U722" s="94"/>
      <c r="V722" s="93"/>
      <c r="W722" s="85"/>
      <c r="Y722" s="94"/>
      <c r="Z722" s="93"/>
      <c r="AA722" s="85"/>
      <c r="AC722" s="94"/>
      <c r="AD722" s="93"/>
      <c r="AE722" s="85"/>
    </row>
    <row r="723" spans="7:31" x14ac:dyDescent="0.35">
      <c r="G723" s="85"/>
      <c r="H723" s="87"/>
      <c r="K723" s="85"/>
      <c r="M723" s="94"/>
      <c r="N723" s="93"/>
      <c r="O723" s="85"/>
      <c r="Q723" s="94"/>
      <c r="R723" s="93"/>
      <c r="S723" s="85"/>
      <c r="U723" s="94"/>
      <c r="V723" s="93"/>
      <c r="W723" s="85"/>
      <c r="Y723" s="94"/>
      <c r="Z723" s="93"/>
      <c r="AA723" s="85"/>
      <c r="AC723" s="94"/>
      <c r="AD723" s="93"/>
      <c r="AE723" s="85"/>
    </row>
    <row r="724" spans="7:31" x14ac:dyDescent="0.35">
      <c r="G724" s="85"/>
      <c r="H724" s="87"/>
      <c r="K724" s="85"/>
      <c r="M724" s="94"/>
      <c r="N724" s="93"/>
      <c r="O724" s="85"/>
      <c r="Q724" s="94"/>
      <c r="R724" s="93"/>
      <c r="S724" s="85"/>
      <c r="U724" s="94"/>
      <c r="V724" s="93"/>
      <c r="W724" s="85"/>
      <c r="Y724" s="94"/>
      <c r="Z724" s="93"/>
      <c r="AA724" s="85"/>
      <c r="AC724" s="94"/>
      <c r="AD724" s="93"/>
      <c r="AE724" s="85"/>
    </row>
    <row r="725" spans="7:31" x14ac:dyDescent="0.35">
      <c r="G725" s="85"/>
      <c r="H725" s="87"/>
      <c r="K725" s="85"/>
      <c r="M725" s="94"/>
      <c r="N725" s="93"/>
      <c r="O725" s="85"/>
      <c r="Q725" s="94"/>
      <c r="R725" s="93"/>
      <c r="S725" s="85"/>
      <c r="U725" s="94"/>
      <c r="V725" s="93"/>
      <c r="W725" s="85"/>
      <c r="Y725" s="94"/>
      <c r="Z725" s="93"/>
      <c r="AA725" s="85"/>
      <c r="AC725" s="94"/>
      <c r="AD725" s="93"/>
      <c r="AE725" s="85"/>
    </row>
    <row r="726" spans="7:31" x14ac:dyDescent="0.35">
      <c r="G726" s="85"/>
      <c r="H726" s="87"/>
      <c r="K726" s="85"/>
      <c r="M726" s="94"/>
      <c r="N726" s="93"/>
      <c r="O726" s="85"/>
      <c r="Q726" s="94"/>
      <c r="R726" s="93"/>
      <c r="S726" s="85"/>
      <c r="U726" s="94"/>
      <c r="V726" s="93"/>
      <c r="W726" s="85"/>
      <c r="Y726" s="94"/>
      <c r="Z726" s="93"/>
      <c r="AA726" s="85"/>
      <c r="AC726" s="94"/>
      <c r="AD726" s="93"/>
      <c r="AE726" s="85"/>
    </row>
    <row r="727" spans="7:31" x14ac:dyDescent="0.35">
      <c r="G727" s="85"/>
      <c r="H727" s="87"/>
      <c r="K727" s="85"/>
      <c r="M727" s="94"/>
      <c r="N727" s="93"/>
      <c r="O727" s="85"/>
      <c r="Q727" s="94"/>
      <c r="R727" s="93"/>
      <c r="S727" s="85"/>
      <c r="U727" s="94"/>
      <c r="V727" s="93"/>
      <c r="W727" s="85"/>
      <c r="Y727" s="94"/>
      <c r="Z727" s="93"/>
      <c r="AA727" s="85"/>
      <c r="AC727" s="94"/>
      <c r="AD727" s="93"/>
      <c r="AE727" s="85"/>
    </row>
    <row r="728" spans="7:31" x14ac:dyDescent="0.35">
      <c r="G728" s="85"/>
      <c r="H728" s="87"/>
      <c r="K728" s="85"/>
      <c r="M728" s="94"/>
      <c r="N728" s="93"/>
      <c r="O728" s="85"/>
      <c r="Q728" s="94"/>
      <c r="R728" s="93"/>
      <c r="S728" s="85"/>
      <c r="U728" s="94"/>
      <c r="V728" s="93"/>
      <c r="W728" s="85"/>
      <c r="Y728" s="94"/>
      <c r="Z728" s="93"/>
      <c r="AA728" s="85"/>
      <c r="AC728" s="94"/>
      <c r="AD728" s="93"/>
      <c r="AE728" s="85"/>
    </row>
    <row r="729" spans="7:31" x14ac:dyDescent="0.35">
      <c r="G729" s="85"/>
      <c r="H729" s="87"/>
      <c r="K729" s="85"/>
      <c r="M729" s="94"/>
      <c r="N729" s="93"/>
      <c r="O729" s="85"/>
      <c r="Q729" s="94"/>
      <c r="R729" s="93"/>
      <c r="S729" s="85"/>
      <c r="U729" s="94"/>
      <c r="V729" s="93"/>
      <c r="W729" s="85"/>
      <c r="Y729" s="94"/>
      <c r="Z729" s="93"/>
      <c r="AA729" s="85"/>
      <c r="AC729" s="94"/>
      <c r="AD729" s="93"/>
      <c r="AE729" s="85"/>
    </row>
    <row r="730" spans="7:31" x14ac:dyDescent="0.35">
      <c r="G730" s="85"/>
      <c r="H730" s="87"/>
      <c r="K730" s="85"/>
      <c r="M730" s="94"/>
      <c r="N730" s="93"/>
      <c r="O730" s="85"/>
      <c r="Q730" s="94"/>
      <c r="R730" s="93"/>
      <c r="S730" s="85"/>
      <c r="U730" s="94"/>
      <c r="V730" s="93"/>
      <c r="W730" s="85"/>
      <c r="Y730" s="94"/>
      <c r="Z730" s="93"/>
      <c r="AA730" s="85"/>
      <c r="AC730" s="94"/>
      <c r="AD730" s="93"/>
      <c r="AE730" s="85"/>
    </row>
    <row r="731" spans="7:31" x14ac:dyDescent="0.35">
      <c r="G731" s="85"/>
      <c r="H731" s="87"/>
      <c r="K731" s="85"/>
      <c r="M731" s="94"/>
      <c r="N731" s="93"/>
      <c r="O731" s="85"/>
      <c r="Q731" s="94"/>
      <c r="R731" s="93"/>
      <c r="S731" s="85"/>
      <c r="U731" s="94"/>
      <c r="V731" s="93"/>
      <c r="W731" s="85"/>
      <c r="Y731" s="94"/>
      <c r="Z731" s="93"/>
      <c r="AA731" s="85"/>
      <c r="AC731" s="94"/>
      <c r="AD731" s="93"/>
      <c r="AE731" s="85"/>
    </row>
    <row r="732" spans="7:31" x14ac:dyDescent="0.35">
      <c r="G732" s="85"/>
      <c r="H732" s="87"/>
      <c r="K732" s="85"/>
      <c r="M732" s="94"/>
      <c r="N732" s="93"/>
      <c r="O732" s="85"/>
      <c r="Q732" s="94"/>
      <c r="R732" s="93"/>
      <c r="S732" s="85"/>
      <c r="U732" s="94"/>
      <c r="V732" s="93"/>
      <c r="W732" s="85"/>
      <c r="Y732" s="94"/>
      <c r="Z732" s="93"/>
      <c r="AA732" s="85"/>
      <c r="AC732" s="94"/>
      <c r="AD732" s="93"/>
      <c r="AE732" s="85"/>
    </row>
    <row r="733" spans="7:31" x14ac:dyDescent="0.35">
      <c r="G733" s="85"/>
      <c r="H733" s="87"/>
      <c r="K733" s="85"/>
      <c r="M733" s="94"/>
      <c r="N733" s="93"/>
      <c r="O733" s="85"/>
      <c r="Q733" s="94"/>
      <c r="R733" s="93"/>
      <c r="S733" s="85"/>
      <c r="U733" s="94"/>
      <c r="V733" s="93"/>
      <c r="W733" s="85"/>
      <c r="Y733" s="94"/>
      <c r="Z733" s="93"/>
      <c r="AA733" s="85"/>
      <c r="AC733" s="94"/>
      <c r="AD733" s="93"/>
      <c r="AE733" s="85"/>
    </row>
    <row r="734" spans="7:31" x14ac:dyDescent="0.35">
      <c r="G734" s="85"/>
      <c r="H734" s="87"/>
      <c r="K734" s="85"/>
      <c r="M734" s="94"/>
      <c r="N734" s="93"/>
      <c r="O734" s="85"/>
      <c r="Q734" s="94"/>
      <c r="R734" s="93"/>
      <c r="S734" s="85"/>
      <c r="U734" s="94"/>
      <c r="V734" s="93"/>
      <c r="W734" s="85"/>
      <c r="Y734" s="94"/>
      <c r="Z734" s="93"/>
      <c r="AA734" s="85"/>
      <c r="AC734" s="94"/>
      <c r="AD734" s="93"/>
      <c r="AE734" s="85"/>
    </row>
    <row r="735" spans="7:31" x14ac:dyDescent="0.35">
      <c r="G735" s="85"/>
      <c r="H735" s="87"/>
      <c r="K735" s="85"/>
      <c r="M735" s="94"/>
      <c r="N735" s="93"/>
      <c r="O735" s="85"/>
      <c r="Q735" s="94"/>
      <c r="R735" s="93"/>
      <c r="S735" s="85"/>
      <c r="U735" s="94"/>
      <c r="V735" s="93"/>
      <c r="W735" s="85"/>
      <c r="Y735" s="94"/>
      <c r="Z735" s="93"/>
      <c r="AA735" s="85"/>
      <c r="AC735" s="94"/>
      <c r="AD735" s="93"/>
      <c r="AE735" s="85"/>
    </row>
    <row r="736" spans="7:31" x14ac:dyDescent="0.35">
      <c r="G736" s="85"/>
      <c r="H736" s="87"/>
      <c r="K736" s="85"/>
      <c r="M736" s="94"/>
      <c r="N736" s="93"/>
      <c r="O736" s="85"/>
      <c r="Q736" s="94"/>
      <c r="R736" s="93"/>
      <c r="S736" s="85"/>
      <c r="U736" s="94"/>
      <c r="V736" s="93"/>
      <c r="W736" s="85"/>
      <c r="Y736" s="94"/>
      <c r="Z736" s="93"/>
      <c r="AA736" s="85"/>
      <c r="AC736" s="94"/>
      <c r="AD736" s="93"/>
      <c r="AE736" s="85"/>
    </row>
    <row r="737" spans="7:31" x14ac:dyDescent="0.35">
      <c r="G737" s="85"/>
      <c r="H737" s="87"/>
      <c r="K737" s="85"/>
      <c r="M737" s="94"/>
      <c r="N737" s="93"/>
      <c r="O737" s="85"/>
      <c r="Q737" s="94"/>
      <c r="R737" s="93"/>
      <c r="S737" s="85"/>
      <c r="U737" s="94"/>
      <c r="V737" s="93"/>
      <c r="W737" s="85"/>
      <c r="Y737" s="94"/>
      <c r="Z737" s="93"/>
      <c r="AA737" s="85"/>
      <c r="AC737" s="94"/>
      <c r="AD737" s="93"/>
      <c r="AE737" s="85"/>
    </row>
    <row r="738" spans="7:31" x14ac:dyDescent="0.35">
      <c r="G738" s="85"/>
      <c r="H738" s="87"/>
      <c r="K738" s="85"/>
      <c r="M738" s="94"/>
      <c r="N738" s="93"/>
      <c r="O738" s="85"/>
      <c r="Q738" s="94"/>
      <c r="R738" s="93"/>
      <c r="S738" s="85"/>
      <c r="U738" s="94"/>
      <c r="V738" s="93"/>
      <c r="W738" s="85"/>
      <c r="Y738" s="94"/>
      <c r="Z738" s="93"/>
      <c r="AA738" s="85"/>
      <c r="AC738" s="94"/>
      <c r="AD738" s="93"/>
      <c r="AE738" s="85"/>
    </row>
    <row r="739" spans="7:31" x14ac:dyDescent="0.35">
      <c r="G739" s="85"/>
      <c r="H739" s="87"/>
      <c r="K739" s="85"/>
      <c r="M739" s="94"/>
      <c r="N739" s="93"/>
      <c r="O739" s="85"/>
      <c r="Q739" s="94"/>
      <c r="R739" s="93"/>
      <c r="S739" s="85"/>
      <c r="U739" s="94"/>
      <c r="V739" s="93"/>
      <c r="W739" s="85"/>
      <c r="Y739" s="94"/>
      <c r="Z739" s="93"/>
      <c r="AA739" s="85"/>
      <c r="AC739" s="94"/>
      <c r="AD739" s="93"/>
      <c r="AE739" s="85"/>
    </row>
    <row r="740" spans="7:31" x14ac:dyDescent="0.35">
      <c r="G740" s="85"/>
      <c r="H740" s="87"/>
      <c r="K740" s="85"/>
      <c r="M740" s="94"/>
      <c r="N740" s="93"/>
      <c r="O740" s="85"/>
      <c r="Q740" s="94"/>
      <c r="R740" s="93"/>
      <c r="S740" s="85"/>
      <c r="U740" s="94"/>
      <c r="V740" s="93"/>
      <c r="W740" s="85"/>
      <c r="Y740" s="94"/>
      <c r="Z740" s="93"/>
      <c r="AA740" s="85"/>
      <c r="AC740" s="94"/>
      <c r="AD740" s="93"/>
      <c r="AE740" s="85"/>
    </row>
    <row r="741" spans="7:31" x14ac:dyDescent="0.35">
      <c r="G741" s="85"/>
      <c r="H741" s="87"/>
      <c r="K741" s="85"/>
      <c r="M741" s="94"/>
      <c r="N741" s="93"/>
      <c r="O741" s="85"/>
      <c r="Q741" s="94"/>
      <c r="R741" s="93"/>
      <c r="S741" s="85"/>
      <c r="U741" s="94"/>
      <c r="V741" s="93"/>
      <c r="W741" s="85"/>
      <c r="Y741" s="94"/>
      <c r="Z741" s="93"/>
      <c r="AA741" s="85"/>
      <c r="AC741" s="94"/>
      <c r="AD741" s="93"/>
      <c r="AE741" s="85"/>
    </row>
    <row r="742" spans="7:31" x14ac:dyDescent="0.35">
      <c r="G742" s="85"/>
      <c r="H742" s="87"/>
      <c r="K742" s="85"/>
      <c r="M742" s="94"/>
      <c r="N742" s="93"/>
      <c r="O742" s="85"/>
      <c r="Q742" s="94"/>
      <c r="R742" s="93"/>
      <c r="S742" s="85"/>
      <c r="U742" s="94"/>
      <c r="V742" s="93"/>
      <c r="W742" s="85"/>
      <c r="Y742" s="94"/>
      <c r="Z742" s="93"/>
      <c r="AA742" s="85"/>
      <c r="AC742" s="94"/>
      <c r="AD742" s="93"/>
      <c r="AE742" s="85"/>
    </row>
    <row r="743" spans="7:31" x14ac:dyDescent="0.35">
      <c r="G743" s="85"/>
      <c r="H743" s="87"/>
      <c r="K743" s="85"/>
      <c r="M743" s="94"/>
      <c r="N743" s="93"/>
      <c r="O743" s="85"/>
      <c r="Q743" s="94"/>
      <c r="R743" s="93"/>
      <c r="S743" s="85"/>
      <c r="U743" s="94"/>
      <c r="V743" s="93"/>
      <c r="W743" s="85"/>
      <c r="Y743" s="94"/>
      <c r="Z743" s="93"/>
      <c r="AA743" s="85"/>
      <c r="AC743" s="94"/>
      <c r="AD743" s="93"/>
      <c r="AE743" s="85"/>
    </row>
    <row r="744" spans="7:31" x14ac:dyDescent="0.35">
      <c r="G744" s="85"/>
      <c r="H744" s="87"/>
      <c r="K744" s="85"/>
      <c r="M744" s="94"/>
      <c r="N744" s="93"/>
      <c r="O744" s="85"/>
      <c r="Q744" s="94"/>
      <c r="R744" s="93"/>
      <c r="S744" s="85"/>
      <c r="U744" s="94"/>
      <c r="V744" s="93"/>
      <c r="W744" s="85"/>
      <c r="Y744" s="94"/>
      <c r="Z744" s="93"/>
      <c r="AA744" s="85"/>
      <c r="AC744" s="94"/>
      <c r="AD744" s="93"/>
      <c r="AE744" s="85"/>
    </row>
    <row r="745" spans="7:31" x14ac:dyDescent="0.35">
      <c r="G745" s="85"/>
      <c r="H745" s="87"/>
      <c r="K745" s="85"/>
      <c r="M745" s="94"/>
      <c r="N745" s="93"/>
      <c r="O745" s="85"/>
      <c r="Q745" s="94"/>
      <c r="R745" s="93"/>
      <c r="S745" s="85"/>
      <c r="U745" s="94"/>
      <c r="V745" s="93"/>
      <c r="W745" s="85"/>
      <c r="Y745" s="94"/>
      <c r="Z745" s="93"/>
      <c r="AA745" s="85"/>
      <c r="AC745" s="94"/>
      <c r="AD745" s="93"/>
      <c r="AE745" s="85"/>
    </row>
    <row r="746" spans="7:31" x14ac:dyDescent="0.35">
      <c r="G746" s="85"/>
      <c r="H746" s="87"/>
      <c r="K746" s="85"/>
      <c r="M746" s="94"/>
      <c r="N746" s="93"/>
      <c r="O746" s="85"/>
      <c r="Q746" s="94"/>
      <c r="R746" s="93"/>
      <c r="S746" s="85"/>
      <c r="U746" s="94"/>
      <c r="V746" s="93"/>
      <c r="W746" s="85"/>
      <c r="Y746" s="94"/>
      <c r="Z746" s="93"/>
      <c r="AA746" s="85"/>
      <c r="AC746" s="94"/>
      <c r="AD746" s="93"/>
      <c r="AE746" s="85"/>
    </row>
    <row r="747" spans="7:31" x14ac:dyDescent="0.35">
      <c r="G747" s="85"/>
      <c r="H747" s="87"/>
      <c r="K747" s="85"/>
      <c r="M747" s="94"/>
      <c r="N747" s="93"/>
      <c r="O747" s="85"/>
      <c r="Q747" s="94"/>
      <c r="R747" s="93"/>
      <c r="S747" s="85"/>
      <c r="U747" s="94"/>
      <c r="V747" s="93"/>
      <c r="W747" s="85"/>
      <c r="Y747" s="94"/>
      <c r="Z747" s="93"/>
      <c r="AA747" s="85"/>
      <c r="AC747" s="94"/>
      <c r="AD747" s="93"/>
      <c r="AE747" s="85"/>
    </row>
    <row r="748" spans="7:31" x14ac:dyDescent="0.35">
      <c r="G748" s="85"/>
      <c r="H748" s="87"/>
      <c r="K748" s="85"/>
      <c r="M748" s="94"/>
      <c r="N748" s="93"/>
      <c r="O748" s="85"/>
      <c r="Q748" s="94"/>
      <c r="R748" s="93"/>
      <c r="S748" s="85"/>
      <c r="U748" s="94"/>
      <c r="V748" s="93"/>
      <c r="W748" s="85"/>
      <c r="Y748" s="94"/>
      <c r="Z748" s="93"/>
      <c r="AA748" s="85"/>
      <c r="AC748" s="94"/>
      <c r="AD748" s="93"/>
      <c r="AE748" s="85"/>
    </row>
    <row r="749" spans="7:31" x14ac:dyDescent="0.35">
      <c r="G749" s="85"/>
      <c r="H749" s="87"/>
      <c r="K749" s="85"/>
      <c r="M749" s="94"/>
      <c r="N749" s="93"/>
      <c r="O749" s="85"/>
      <c r="Q749" s="94"/>
      <c r="R749" s="93"/>
      <c r="S749" s="85"/>
      <c r="U749" s="94"/>
      <c r="V749" s="93"/>
      <c r="W749" s="85"/>
      <c r="Y749" s="94"/>
      <c r="Z749" s="93"/>
      <c r="AA749" s="85"/>
      <c r="AC749" s="94"/>
      <c r="AD749" s="93"/>
      <c r="AE749" s="85"/>
    </row>
    <row r="750" spans="7:31" x14ac:dyDescent="0.35">
      <c r="G750" s="85"/>
      <c r="H750" s="87"/>
      <c r="K750" s="85"/>
      <c r="M750" s="94"/>
      <c r="N750" s="93"/>
      <c r="O750" s="85"/>
      <c r="Q750" s="94"/>
      <c r="R750" s="93"/>
      <c r="S750" s="85"/>
      <c r="U750" s="94"/>
      <c r="V750" s="93"/>
      <c r="W750" s="85"/>
      <c r="Y750" s="94"/>
      <c r="Z750" s="93"/>
      <c r="AA750" s="85"/>
      <c r="AC750" s="94"/>
      <c r="AD750" s="93"/>
      <c r="AE750" s="85"/>
    </row>
    <row r="751" spans="7:31" x14ac:dyDescent="0.35">
      <c r="G751" s="85"/>
      <c r="H751" s="87"/>
      <c r="K751" s="85"/>
      <c r="M751" s="94"/>
      <c r="N751" s="93"/>
      <c r="O751" s="85"/>
      <c r="Q751" s="94"/>
      <c r="R751" s="93"/>
      <c r="S751" s="85"/>
      <c r="U751" s="94"/>
      <c r="V751" s="93"/>
      <c r="W751" s="85"/>
      <c r="Y751" s="94"/>
      <c r="Z751" s="93"/>
      <c r="AA751" s="85"/>
      <c r="AC751" s="94"/>
      <c r="AD751" s="93"/>
      <c r="AE751" s="85"/>
    </row>
    <row r="752" spans="7:31" x14ac:dyDescent="0.35">
      <c r="G752" s="85"/>
      <c r="H752" s="87"/>
      <c r="K752" s="85"/>
      <c r="M752" s="94"/>
      <c r="N752" s="93"/>
      <c r="O752" s="85"/>
      <c r="Q752" s="94"/>
      <c r="R752" s="93"/>
      <c r="S752" s="85"/>
      <c r="U752" s="94"/>
      <c r="V752" s="93"/>
      <c r="W752" s="85"/>
      <c r="Y752" s="94"/>
      <c r="Z752" s="93"/>
      <c r="AA752" s="85"/>
      <c r="AC752" s="94"/>
      <c r="AD752" s="93"/>
      <c r="AE752" s="85"/>
    </row>
    <row r="753" spans="7:31" x14ac:dyDescent="0.35">
      <c r="G753" s="85"/>
      <c r="H753" s="87"/>
      <c r="K753" s="85"/>
      <c r="M753" s="94"/>
      <c r="N753" s="93"/>
      <c r="O753" s="85"/>
      <c r="Q753" s="94"/>
      <c r="R753" s="93"/>
      <c r="S753" s="85"/>
      <c r="U753" s="94"/>
      <c r="V753" s="93"/>
      <c r="W753" s="85"/>
      <c r="Y753" s="94"/>
      <c r="Z753" s="93"/>
      <c r="AA753" s="85"/>
      <c r="AC753" s="94"/>
      <c r="AD753" s="93"/>
      <c r="AE753" s="85"/>
    </row>
    <row r="754" spans="7:31" x14ac:dyDescent="0.35">
      <c r="G754" s="85"/>
      <c r="H754" s="87"/>
      <c r="K754" s="85"/>
      <c r="M754" s="94"/>
      <c r="N754" s="93"/>
      <c r="O754" s="85"/>
      <c r="Q754" s="94"/>
      <c r="R754" s="93"/>
      <c r="S754" s="85"/>
      <c r="U754" s="94"/>
      <c r="V754" s="93"/>
      <c r="W754" s="85"/>
      <c r="Y754" s="94"/>
      <c r="Z754" s="93"/>
      <c r="AA754" s="85"/>
      <c r="AC754" s="94"/>
      <c r="AD754" s="93"/>
      <c r="AE754" s="85"/>
    </row>
    <row r="755" spans="7:31" x14ac:dyDescent="0.35">
      <c r="G755" s="85"/>
      <c r="H755" s="87"/>
      <c r="K755" s="85"/>
      <c r="M755" s="94"/>
      <c r="N755" s="93"/>
      <c r="O755" s="85"/>
      <c r="Q755" s="94"/>
      <c r="R755" s="93"/>
      <c r="S755" s="85"/>
      <c r="U755" s="94"/>
      <c r="V755" s="93"/>
      <c r="W755" s="85"/>
      <c r="Y755" s="94"/>
      <c r="Z755" s="93"/>
      <c r="AA755" s="85"/>
      <c r="AC755" s="94"/>
      <c r="AD755" s="93"/>
      <c r="AE755" s="85"/>
    </row>
    <row r="756" spans="7:31" x14ac:dyDescent="0.35">
      <c r="G756" s="85"/>
      <c r="H756" s="87"/>
      <c r="K756" s="85"/>
      <c r="M756" s="94"/>
      <c r="N756" s="93"/>
      <c r="O756" s="85"/>
      <c r="Q756" s="94"/>
      <c r="R756" s="93"/>
      <c r="S756" s="85"/>
      <c r="U756" s="94"/>
      <c r="V756" s="93"/>
      <c r="W756" s="85"/>
      <c r="Y756" s="94"/>
      <c r="Z756" s="93"/>
      <c r="AA756" s="85"/>
      <c r="AC756" s="94"/>
      <c r="AD756" s="93"/>
      <c r="AE756" s="85"/>
    </row>
    <row r="757" spans="7:31" x14ac:dyDescent="0.35">
      <c r="G757" s="85"/>
      <c r="H757" s="87"/>
      <c r="K757" s="85"/>
      <c r="M757" s="94"/>
      <c r="N757" s="93"/>
      <c r="O757" s="85"/>
      <c r="Q757" s="94"/>
      <c r="R757" s="93"/>
      <c r="S757" s="85"/>
      <c r="U757" s="94"/>
      <c r="V757" s="93"/>
      <c r="W757" s="85"/>
      <c r="Y757" s="94"/>
      <c r="Z757" s="93"/>
      <c r="AA757" s="85"/>
      <c r="AC757" s="94"/>
      <c r="AD757" s="93"/>
      <c r="AE757" s="85"/>
    </row>
    <row r="758" spans="7:31" x14ac:dyDescent="0.35">
      <c r="G758" s="85"/>
      <c r="H758" s="87"/>
      <c r="K758" s="85"/>
      <c r="M758" s="94"/>
      <c r="N758" s="93"/>
      <c r="O758" s="85"/>
      <c r="Q758" s="94"/>
      <c r="R758" s="93"/>
      <c r="S758" s="85"/>
      <c r="U758" s="94"/>
      <c r="V758" s="93"/>
      <c r="W758" s="85"/>
      <c r="Y758" s="94"/>
      <c r="Z758" s="93"/>
      <c r="AA758" s="85"/>
      <c r="AC758" s="94"/>
      <c r="AD758" s="93"/>
      <c r="AE758" s="85"/>
    </row>
    <row r="759" spans="7:31" x14ac:dyDescent="0.35">
      <c r="G759" s="85"/>
      <c r="H759" s="87"/>
      <c r="K759" s="85"/>
      <c r="M759" s="94"/>
      <c r="N759" s="93"/>
      <c r="O759" s="85"/>
      <c r="Q759" s="94"/>
      <c r="R759" s="93"/>
      <c r="S759" s="85"/>
      <c r="U759" s="94"/>
      <c r="V759" s="93"/>
      <c r="W759" s="85"/>
      <c r="Y759" s="94"/>
      <c r="Z759" s="93"/>
      <c r="AA759" s="85"/>
      <c r="AC759" s="94"/>
      <c r="AD759" s="93"/>
      <c r="AE759" s="85"/>
    </row>
    <row r="760" spans="7:31" x14ac:dyDescent="0.35">
      <c r="G760" s="85"/>
      <c r="H760" s="87"/>
      <c r="K760" s="85"/>
      <c r="M760" s="94"/>
      <c r="N760" s="93"/>
      <c r="O760" s="85"/>
      <c r="Q760" s="94"/>
      <c r="R760" s="93"/>
      <c r="S760" s="85"/>
      <c r="U760" s="94"/>
      <c r="V760" s="93"/>
      <c r="W760" s="85"/>
      <c r="Y760" s="94"/>
      <c r="Z760" s="93"/>
      <c r="AA760" s="85"/>
      <c r="AC760" s="94"/>
      <c r="AD760" s="93"/>
      <c r="AE760" s="85"/>
    </row>
    <row r="761" spans="7:31" x14ac:dyDescent="0.35">
      <c r="G761" s="85"/>
      <c r="H761" s="87"/>
      <c r="K761" s="85"/>
      <c r="M761" s="94"/>
      <c r="N761" s="93"/>
      <c r="O761" s="85"/>
      <c r="Q761" s="94"/>
      <c r="R761" s="93"/>
      <c r="S761" s="85"/>
      <c r="U761" s="94"/>
      <c r="V761" s="93"/>
      <c r="W761" s="85"/>
      <c r="Y761" s="94"/>
      <c r="Z761" s="93"/>
      <c r="AA761" s="85"/>
      <c r="AC761" s="94"/>
      <c r="AD761" s="93"/>
      <c r="AE761" s="85"/>
    </row>
    <row r="762" spans="7:31" x14ac:dyDescent="0.35">
      <c r="G762" s="85"/>
      <c r="H762" s="87"/>
      <c r="K762" s="85"/>
      <c r="M762" s="94"/>
      <c r="N762" s="93"/>
      <c r="O762" s="85"/>
      <c r="Q762" s="94"/>
      <c r="R762" s="93"/>
      <c r="S762" s="85"/>
      <c r="U762" s="94"/>
      <c r="V762" s="93"/>
      <c r="W762" s="85"/>
      <c r="Y762" s="94"/>
      <c r="Z762" s="93"/>
      <c r="AA762" s="85"/>
      <c r="AC762" s="94"/>
      <c r="AD762" s="93"/>
      <c r="AE762" s="85"/>
    </row>
    <row r="763" spans="7:31" x14ac:dyDescent="0.35">
      <c r="G763" s="85"/>
      <c r="H763" s="87"/>
      <c r="K763" s="85"/>
      <c r="M763" s="94"/>
      <c r="N763" s="93"/>
      <c r="O763" s="85"/>
      <c r="Q763" s="94"/>
      <c r="R763" s="93"/>
      <c r="S763" s="85"/>
      <c r="U763" s="94"/>
      <c r="V763" s="93"/>
      <c r="W763" s="85"/>
      <c r="Y763" s="94"/>
      <c r="Z763" s="93"/>
      <c r="AA763" s="85"/>
      <c r="AC763" s="94"/>
      <c r="AD763" s="93"/>
      <c r="AE763" s="85"/>
    </row>
    <row r="764" spans="7:31" x14ac:dyDescent="0.35">
      <c r="G764" s="85"/>
      <c r="H764" s="87"/>
      <c r="K764" s="85"/>
      <c r="M764" s="94"/>
      <c r="N764" s="93"/>
      <c r="O764" s="85"/>
      <c r="Q764" s="94"/>
      <c r="R764" s="93"/>
      <c r="S764" s="85"/>
      <c r="U764" s="94"/>
      <c r="V764" s="93"/>
      <c r="W764" s="85"/>
      <c r="Y764" s="94"/>
      <c r="Z764" s="93"/>
      <c r="AA764" s="85"/>
      <c r="AC764" s="94"/>
      <c r="AD764" s="93"/>
      <c r="AE764" s="85"/>
    </row>
    <row r="765" spans="7:31" x14ac:dyDescent="0.35">
      <c r="G765" s="85"/>
      <c r="H765" s="87"/>
      <c r="K765" s="85"/>
      <c r="M765" s="94"/>
      <c r="N765" s="93"/>
      <c r="O765" s="85"/>
      <c r="Q765" s="94"/>
      <c r="R765" s="93"/>
      <c r="S765" s="85"/>
      <c r="U765" s="94"/>
      <c r="V765" s="93"/>
      <c r="W765" s="85"/>
      <c r="Y765" s="94"/>
      <c r="Z765" s="93"/>
      <c r="AA765" s="85"/>
      <c r="AC765" s="94"/>
      <c r="AD765" s="93"/>
      <c r="AE765" s="85"/>
    </row>
    <row r="766" spans="7:31" x14ac:dyDescent="0.35">
      <c r="G766" s="85"/>
      <c r="H766" s="87"/>
      <c r="K766" s="85"/>
      <c r="M766" s="94"/>
      <c r="N766" s="93"/>
      <c r="O766" s="85"/>
      <c r="Q766" s="94"/>
      <c r="R766" s="93"/>
      <c r="S766" s="85"/>
      <c r="U766" s="94"/>
      <c r="V766" s="93"/>
      <c r="W766" s="85"/>
      <c r="Y766" s="94"/>
      <c r="Z766" s="93"/>
      <c r="AA766" s="85"/>
      <c r="AC766" s="94"/>
      <c r="AD766" s="93"/>
      <c r="AE766" s="85"/>
    </row>
    <row r="767" spans="7:31" x14ac:dyDescent="0.35">
      <c r="G767" s="85"/>
      <c r="H767" s="87"/>
      <c r="K767" s="85"/>
      <c r="M767" s="94"/>
      <c r="N767" s="93"/>
      <c r="O767" s="85"/>
      <c r="Q767" s="94"/>
      <c r="R767" s="93"/>
      <c r="S767" s="85"/>
      <c r="U767" s="94"/>
      <c r="V767" s="93"/>
      <c r="W767" s="85"/>
      <c r="Y767" s="94"/>
      <c r="Z767" s="93"/>
      <c r="AA767" s="85"/>
      <c r="AC767" s="94"/>
      <c r="AD767" s="93"/>
      <c r="AE767" s="85"/>
    </row>
    <row r="768" spans="7:31" x14ac:dyDescent="0.35">
      <c r="G768" s="85"/>
      <c r="H768" s="87"/>
      <c r="K768" s="85"/>
      <c r="M768" s="94"/>
      <c r="N768" s="93"/>
      <c r="O768" s="85"/>
      <c r="Q768" s="94"/>
      <c r="R768" s="93"/>
      <c r="S768" s="85"/>
      <c r="U768" s="94"/>
      <c r="V768" s="93"/>
      <c r="W768" s="85"/>
      <c r="Y768" s="94"/>
      <c r="Z768" s="93"/>
      <c r="AA768" s="85"/>
      <c r="AC768" s="94"/>
      <c r="AD768" s="93"/>
      <c r="AE768" s="85"/>
    </row>
    <row r="769" spans="7:31" x14ac:dyDescent="0.35">
      <c r="G769" s="85"/>
      <c r="H769" s="87"/>
      <c r="K769" s="85"/>
      <c r="M769" s="94"/>
      <c r="N769" s="93"/>
      <c r="O769" s="85"/>
      <c r="Q769" s="94"/>
      <c r="R769" s="93"/>
      <c r="S769" s="85"/>
      <c r="U769" s="94"/>
      <c r="V769" s="93"/>
      <c r="W769" s="85"/>
      <c r="Y769" s="94"/>
      <c r="Z769" s="93"/>
      <c r="AA769" s="85"/>
      <c r="AC769" s="94"/>
      <c r="AD769" s="93"/>
      <c r="AE769" s="85"/>
    </row>
    <row r="770" spans="7:31" x14ac:dyDescent="0.35">
      <c r="G770" s="85"/>
      <c r="H770" s="87"/>
      <c r="K770" s="85"/>
      <c r="M770" s="94"/>
      <c r="N770" s="93"/>
      <c r="O770" s="85"/>
      <c r="Q770" s="94"/>
      <c r="R770" s="93"/>
      <c r="S770" s="85"/>
      <c r="U770" s="94"/>
      <c r="V770" s="93"/>
      <c r="W770" s="85"/>
      <c r="Y770" s="94"/>
      <c r="Z770" s="93"/>
      <c r="AA770" s="85"/>
      <c r="AC770" s="94"/>
      <c r="AD770" s="93"/>
      <c r="AE770" s="85"/>
    </row>
    <row r="771" spans="7:31" x14ac:dyDescent="0.35">
      <c r="G771" s="85"/>
      <c r="H771" s="87"/>
      <c r="K771" s="85"/>
      <c r="M771" s="94"/>
      <c r="N771" s="93"/>
      <c r="O771" s="85"/>
      <c r="Q771" s="94"/>
      <c r="R771" s="93"/>
      <c r="S771" s="85"/>
      <c r="U771" s="94"/>
      <c r="V771" s="93"/>
      <c r="W771" s="85"/>
      <c r="Y771" s="94"/>
      <c r="Z771" s="93"/>
      <c r="AA771" s="85"/>
      <c r="AC771" s="94"/>
      <c r="AD771" s="93"/>
      <c r="AE771" s="85"/>
    </row>
    <row r="772" spans="7:31" x14ac:dyDescent="0.35">
      <c r="G772" s="85"/>
      <c r="H772" s="87"/>
      <c r="K772" s="85"/>
      <c r="M772" s="94"/>
      <c r="N772" s="93"/>
      <c r="O772" s="85"/>
      <c r="Q772" s="94"/>
      <c r="R772" s="93"/>
      <c r="S772" s="85"/>
      <c r="U772" s="94"/>
      <c r="V772" s="93"/>
      <c r="W772" s="85"/>
      <c r="Y772" s="94"/>
      <c r="Z772" s="93"/>
      <c r="AA772" s="85"/>
      <c r="AC772" s="94"/>
      <c r="AD772" s="93"/>
      <c r="AE772" s="85"/>
    </row>
    <row r="773" spans="7:31" x14ac:dyDescent="0.35">
      <c r="G773" s="85"/>
      <c r="H773" s="87"/>
      <c r="K773" s="85"/>
      <c r="M773" s="94"/>
      <c r="N773" s="93"/>
      <c r="O773" s="85"/>
      <c r="Q773" s="94"/>
      <c r="R773" s="93"/>
      <c r="S773" s="85"/>
      <c r="U773" s="94"/>
      <c r="V773" s="93"/>
      <c r="W773" s="85"/>
      <c r="Y773" s="94"/>
      <c r="Z773" s="93"/>
      <c r="AA773" s="85"/>
      <c r="AC773" s="94"/>
      <c r="AD773" s="93"/>
      <c r="AE773" s="85"/>
    </row>
    <row r="774" spans="7:31" x14ac:dyDescent="0.35">
      <c r="G774" s="85"/>
      <c r="H774" s="87"/>
      <c r="K774" s="85"/>
      <c r="M774" s="94"/>
      <c r="N774" s="93"/>
      <c r="O774" s="85"/>
      <c r="Q774" s="94"/>
      <c r="R774" s="93"/>
      <c r="S774" s="85"/>
      <c r="U774" s="94"/>
      <c r="V774" s="93"/>
      <c r="W774" s="85"/>
      <c r="Y774" s="94"/>
      <c r="Z774" s="93"/>
      <c r="AA774" s="85"/>
      <c r="AC774" s="94"/>
      <c r="AD774" s="93"/>
      <c r="AE774" s="85"/>
    </row>
    <row r="775" spans="7:31" x14ac:dyDescent="0.35">
      <c r="G775" s="85"/>
      <c r="H775" s="87"/>
      <c r="K775" s="85"/>
      <c r="M775" s="94"/>
      <c r="N775" s="93"/>
      <c r="O775" s="85"/>
      <c r="Q775" s="94"/>
      <c r="R775" s="93"/>
      <c r="S775" s="85"/>
      <c r="U775" s="94"/>
      <c r="V775" s="93"/>
      <c r="W775" s="85"/>
      <c r="Y775" s="94"/>
      <c r="Z775" s="93"/>
      <c r="AA775" s="85"/>
      <c r="AC775" s="94"/>
      <c r="AD775" s="93"/>
      <c r="AE775" s="85"/>
    </row>
    <row r="776" spans="7:31" x14ac:dyDescent="0.35">
      <c r="G776" s="85"/>
      <c r="H776" s="87"/>
      <c r="K776" s="85"/>
      <c r="M776" s="94"/>
      <c r="N776" s="93"/>
      <c r="O776" s="85"/>
      <c r="Q776" s="94"/>
      <c r="R776" s="93"/>
      <c r="S776" s="85"/>
      <c r="U776" s="94"/>
      <c r="V776" s="93"/>
      <c r="W776" s="85"/>
      <c r="Y776" s="94"/>
      <c r="Z776" s="93"/>
      <c r="AA776" s="85"/>
      <c r="AC776" s="94"/>
      <c r="AD776" s="93"/>
      <c r="AE776" s="85"/>
    </row>
    <row r="777" spans="7:31" x14ac:dyDescent="0.35">
      <c r="G777" s="85"/>
      <c r="H777" s="87"/>
      <c r="K777" s="85"/>
      <c r="M777" s="94"/>
      <c r="N777" s="93"/>
      <c r="O777" s="85"/>
      <c r="Q777" s="94"/>
      <c r="R777" s="93"/>
      <c r="S777" s="85"/>
      <c r="U777" s="94"/>
      <c r="V777" s="93"/>
      <c r="W777" s="85"/>
      <c r="Y777" s="94"/>
      <c r="Z777" s="93"/>
      <c r="AA777" s="85"/>
      <c r="AC777" s="94"/>
      <c r="AD777" s="93"/>
      <c r="AE777" s="85"/>
    </row>
    <row r="778" spans="7:31" x14ac:dyDescent="0.35">
      <c r="G778" s="85"/>
      <c r="H778" s="87"/>
      <c r="K778" s="85"/>
      <c r="M778" s="94"/>
      <c r="N778" s="93"/>
      <c r="O778" s="85"/>
      <c r="Q778" s="94"/>
      <c r="R778" s="93"/>
      <c r="S778" s="85"/>
      <c r="U778" s="94"/>
      <c r="V778" s="93"/>
      <c r="W778" s="85"/>
      <c r="Y778" s="94"/>
      <c r="Z778" s="93"/>
      <c r="AA778" s="85"/>
      <c r="AC778" s="94"/>
      <c r="AD778" s="93"/>
      <c r="AE778" s="85"/>
    </row>
    <row r="779" spans="7:31" x14ac:dyDescent="0.35">
      <c r="G779" s="85"/>
      <c r="H779" s="87"/>
      <c r="K779" s="85"/>
      <c r="M779" s="94"/>
      <c r="N779" s="93"/>
      <c r="O779" s="85"/>
      <c r="Q779" s="94"/>
      <c r="R779" s="93"/>
      <c r="S779" s="85"/>
      <c r="U779" s="94"/>
      <c r="V779" s="93"/>
      <c r="W779" s="85"/>
      <c r="Y779" s="94"/>
      <c r="Z779" s="93"/>
      <c r="AA779" s="85"/>
      <c r="AC779" s="94"/>
      <c r="AD779" s="93"/>
      <c r="AE779" s="85"/>
    </row>
    <row r="780" spans="7:31" x14ac:dyDescent="0.35">
      <c r="G780" s="85"/>
      <c r="H780" s="87"/>
      <c r="K780" s="85"/>
      <c r="M780" s="94"/>
      <c r="N780" s="93"/>
      <c r="O780" s="85"/>
      <c r="Q780" s="94"/>
      <c r="R780" s="93"/>
      <c r="S780" s="85"/>
      <c r="U780" s="94"/>
      <c r="V780" s="93"/>
      <c r="W780" s="85"/>
      <c r="Y780" s="94"/>
      <c r="Z780" s="93"/>
      <c r="AA780" s="85"/>
      <c r="AC780" s="94"/>
      <c r="AD780" s="93"/>
      <c r="AE780" s="85"/>
    </row>
    <row r="781" spans="7:31" x14ac:dyDescent="0.35">
      <c r="G781" s="85"/>
      <c r="H781" s="87"/>
      <c r="K781" s="85"/>
      <c r="M781" s="94"/>
      <c r="N781" s="93"/>
      <c r="O781" s="85"/>
      <c r="Q781" s="94"/>
      <c r="R781" s="93"/>
      <c r="S781" s="85"/>
      <c r="U781" s="94"/>
      <c r="V781" s="93"/>
      <c r="W781" s="85"/>
      <c r="Y781" s="94"/>
      <c r="Z781" s="93"/>
      <c r="AA781" s="85"/>
      <c r="AC781" s="94"/>
      <c r="AD781" s="93"/>
      <c r="AE781" s="85"/>
    </row>
    <row r="782" spans="7:31" x14ac:dyDescent="0.35">
      <c r="G782" s="85"/>
      <c r="H782" s="87"/>
      <c r="K782" s="85"/>
      <c r="M782" s="94"/>
      <c r="N782" s="93"/>
      <c r="O782" s="85"/>
      <c r="Q782" s="94"/>
      <c r="R782" s="93"/>
      <c r="S782" s="85"/>
      <c r="U782" s="94"/>
      <c r="V782" s="93"/>
      <c r="W782" s="85"/>
      <c r="Y782" s="94"/>
      <c r="Z782" s="93"/>
      <c r="AA782" s="85"/>
      <c r="AC782" s="94"/>
      <c r="AD782" s="93"/>
      <c r="AE782" s="85"/>
    </row>
    <row r="783" spans="7:31" x14ac:dyDescent="0.35">
      <c r="G783" s="85"/>
      <c r="H783" s="87"/>
      <c r="K783" s="85"/>
      <c r="M783" s="94"/>
      <c r="N783" s="93"/>
      <c r="O783" s="85"/>
      <c r="Q783" s="94"/>
      <c r="R783" s="93"/>
      <c r="S783" s="85"/>
      <c r="U783" s="94"/>
      <c r="V783" s="93"/>
      <c r="W783" s="85"/>
      <c r="Y783" s="94"/>
      <c r="Z783" s="93"/>
      <c r="AA783" s="85"/>
      <c r="AC783" s="94"/>
      <c r="AD783" s="93"/>
      <c r="AE783" s="85"/>
    </row>
    <row r="784" spans="7:31" x14ac:dyDescent="0.35">
      <c r="G784" s="85"/>
      <c r="H784" s="87"/>
      <c r="K784" s="85"/>
      <c r="M784" s="94"/>
      <c r="N784" s="93"/>
      <c r="O784" s="85"/>
      <c r="Q784" s="94"/>
      <c r="R784" s="93"/>
      <c r="S784" s="85"/>
      <c r="U784" s="94"/>
      <c r="V784" s="93"/>
      <c r="W784" s="85"/>
      <c r="Y784" s="94"/>
      <c r="Z784" s="93"/>
      <c r="AA784" s="85"/>
      <c r="AC784" s="94"/>
      <c r="AD784" s="93"/>
      <c r="AE784" s="85"/>
    </row>
    <row r="785" spans="7:31" x14ac:dyDescent="0.35">
      <c r="G785" s="85"/>
      <c r="H785" s="87"/>
      <c r="K785" s="85"/>
      <c r="M785" s="94"/>
      <c r="N785" s="93"/>
      <c r="O785" s="85"/>
      <c r="Q785" s="94"/>
      <c r="R785" s="93"/>
      <c r="S785" s="85"/>
      <c r="U785" s="94"/>
      <c r="V785" s="93"/>
      <c r="W785" s="85"/>
      <c r="Y785" s="94"/>
      <c r="Z785" s="93"/>
      <c r="AA785" s="85"/>
      <c r="AC785" s="94"/>
      <c r="AD785" s="93"/>
      <c r="AE785" s="85"/>
    </row>
    <row r="786" spans="7:31" x14ac:dyDescent="0.35">
      <c r="G786" s="85"/>
      <c r="H786" s="87"/>
      <c r="K786" s="85"/>
      <c r="M786" s="94"/>
      <c r="N786" s="93"/>
      <c r="O786" s="85"/>
      <c r="Q786" s="94"/>
      <c r="R786" s="93"/>
      <c r="S786" s="85"/>
      <c r="U786" s="94"/>
      <c r="V786" s="93"/>
      <c r="W786" s="85"/>
      <c r="Y786" s="94"/>
      <c r="Z786" s="93"/>
      <c r="AA786" s="85"/>
      <c r="AC786" s="94"/>
      <c r="AD786" s="93"/>
      <c r="AE786" s="85"/>
    </row>
    <row r="787" spans="7:31" x14ac:dyDescent="0.35">
      <c r="G787" s="85"/>
      <c r="H787" s="87"/>
      <c r="K787" s="85"/>
      <c r="M787" s="94"/>
      <c r="N787" s="93"/>
      <c r="O787" s="85"/>
      <c r="Q787" s="94"/>
      <c r="R787" s="93"/>
      <c r="S787" s="85"/>
      <c r="U787" s="94"/>
      <c r="V787" s="93"/>
      <c r="W787" s="85"/>
      <c r="Y787" s="94"/>
      <c r="Z787" s="93"/>
      <c r="AA787" s="85"/>
      <c r="AC787" s="94"/>
      <c r="AD787" s="93"/>
      <c r="AE787" s="85"/>
    </row>
    <row r="788" spans="7:31" x14ac:dyDescent="0.35">
      <c r="G788" s="85"/>
      <c r="H788" s="87"/>
      <c r="K788" s="85"/>
      <c r="M788" s="94"/>
      <c r="N788" s="93"/>
      <c r="O788" s="85"/>
      <c r="Q788" s="94"/>
      <c r="R788" s="93"/>
      <c r="S788" s="85"/>
      <c r="U788" s="94"/>
      <c r="V788" s="93"/>
      <c r="W788" s="85"/>
      <c r="Y788" s="94"/>
      <c r="Z788" s="93"/>
      <c r="AA788" s="85"/>
      <c r="AC788" s="94"/>
      <c r="AD788" s="93"/>
      <c r="AE788" s="85"/>
    </row>
    <row r="789" spans="7:31" x14ac:dyDescent="0.35">
      <c r="G789" s="85"/>
      <c r="H789" s="87"/>
      <c r="K789" s="85"/>
      <c r="M789" s="94"/>
      <c r="N789" s="93"/>
      <c r="O789" s="85"/>
      <c r="Q789" s="94"/>
      <c r="R789" s="93"/>
      <c r="S789" s="85"/>
      <c r="U789" s="94"/>
      <c r="V789" s="93"/>
      <c r="W789" s="85"/>
      <c r="Y789" s="94"/>
      <c r="Z789" s="93"/>
      <c r="AA789" s="85"/>
      <c r="AC789" s="94"/>
      <c r="AD789" s="93"/>
      <c r="AE789" s="85"/>
    </row>
    <row r="790" spans="7:31" x14ac:dyDescent="0.35">
      <c r="G790" s="85"/>
      <c r="H790" s="87"/>
      <c r="K790" s="85"/>
      <c r="M790" s="94"/>
      <c r="N790" s="93"/>
      <c r="O790" s="85"/>
      <c r="Q790" s="94"/>
      <c r="R790" s="93"/>
      <c r="S790" s="85"/>
      <c r="U790" s="94"/>
      <c r="V790" s="93"/>
      <c r="W790" s="85"/>
      <c r="Y790" s="94"/>
      <c r="Z790" s="93"/>
      <c r="AA790" s="85"/>
      <c r="AC790" s="94"/>
      <c r="AD790" s="93"/>
      <c r="AE790" s="85"/>
    </row>
    <row r="791" spans="7:31" x14ac:dyDescent="0.35">
      <c r="G791" s="85"/>
      <c r="H791" s="87"/>
      <c r="K791" s="85"/>
      <c r="M791" s="94"/>
      <c r="N791" s="93"/>
      <c r="O791" s="85"/>
      <c r="Q791" s="94"/>
      <c r="R791" s="93"/>
      <c r="S791" s="85"/>
      <c r="U791" s="94"/>
      <c r="V791" s="93"/>
      <c r="W791" s="85"/>
      <c r="Y791" s="94"/>
      <c r="Z791" s="93"/>
      <c r="AA791" s="85"/>
      <c r="AC791" s="94"/>
      <c r="AD791" s="93"/>
      <c r="AE791" s="85"/>
    </row>
    <row r="792" spans="7:31" x14ac:dyDescent="0.35">
      <c r="G792" s="85"/>
      <c r="H792" s="87"/>
      <c r="K792" s="85"/>
      <c r="M792" s="94"/>
      <c r="N792" s="93"/>
      <c r="O792" s="85"/>
      <c r="Q792" s="94"/>
      <c r="R792" s="93"/>
      <c r="S792" s="85"/>
      <c r="U792" s="94"/>
      <c r="V792" s="93"/>
      <c r="W792" s="85"/>
      <c r="Y792" s="94"/>
      <c r="Z792" s="93"/>
      <c r="AA792" s="85"/>
      <c r="AC792" s="94"/>
      <c r="AD792" s="93"/>
      <c r="AE792" s="85"/>
    </row>
    <row r="793" spans="7:31" x14ac:dyDescent="0.35">
      <c r="G793" s="85"/>
      <c r="H793" s="87"/>
      <c r="K793" s="85"/>
      <c r="M793" s="94"/>
      <c r="N793" s="93"/>
      <c r="O793" s="85"/>
      <c r="Q793" s="94"/>
      <c r="R793" s="93"/>
      <c r="S793" s="85"/>
      <c r="U793" s="94"/>
      <c r="V793" s="93"/>
      <c r="W793" s="85"/>
      <c r="Y793" s="94"/>
      <c r="Z793" s="93"/>
      <c r="AA793" s="85"/>
      <c r="AC793" s="94"/>
      <c r="AD793" s="93"/>
      <c r="AE793" s="85"/>
    </row>
    <row r="794" spans="7:31" x14ac:dyDescent="0.35">
      <c r="G794" s="85"/>
      <c r="H794" s="87"/>
      <c r="K794" s="85"/>
      <c r="M794" s="94"/>
      <c r="N794" s="93"/>
      <c r="O794" s="85"/>
      <c r="Q794" s="94"/>
      <c r="R794" s="93"/>
      <c r="S794" s="85"/>
      <c r="U794" s="94"/>
      <c r="V794" s="93"/>
      <c r="W794" s="85"/>
      <c r="Y794" s="94"/>
      <c r="Z794" s="93"/>
      <c r="AA794" s="85"/>
      <c r="AC794" s="94"/>
      <c r="AD794" s="93"/>
      <c r="AE794" s="85"/>
    </row>
    <row r="795" spans="7:31" x14ac:dyDescent="0.35">
      <c r="G795" s="85"/>
      <c r="H795" s="87"/>
      <c r="K795" s="85"/>
      <c r="M795" s="94"/>
      <c r="N795" s="93"/>
      <c r="O795" s="85"/>
      <c r="Q795" s="94"/>
      <c r="R795" s="93"/>
      <c r="S795" s="85"/>
      <c r="U795" s="94"/>
      <c r="V795" s="93"/>
      <c r="W795" s="85"/>
      <c r="Y795" s="94"/>
      <c r="Z795" s="93"/>
      <c r="AA795" s="85"/>
      <c r="AC795" s="94"/>
      <c r="AD795" s="93"/>
      <c r="AE795" s="85"/>
    </row>
    <row r="796" spans="7:31" x14ac:dyDescent="0.35">
      <c r="G796" s="85"/>
      <c r="H796" s="87"/>
      <c r="K796" s="85"/>
      <c r="M796" s="94"/>
      <c r="N796" s="93"/>
      <c r="O796" s="85"/>
      <c r="Q796" s="94"/>
      <c r="R796" s="93"/>
      <c r="S796" s="85"/>
      <c r="U796" s="94"/>
      <c r="V796" s="93"/>
      <c r="W796" s="85"/>
      <c r="Y796" s="94"/>
      <c r="Z796" s="93"/>
      <c r="AA796" s="85"/>
      <c r="AC796" s="94"/>
      <c r="AD796" s="93"/>
      <c r="AE796" s="85"/>
    </row>
    <row r="797" spans="7:31" x14ac:dyDescent="0.35">
      <c r="G797" s="85"/>
      <c r="H797" s="87"/>
      <c r="K797" s="85"/>
      <c r="M797" s="94"/>
      <c r="N797" s="93"/>
      <c r="O797" s="85"/>
      <c r="Q797" s="94"/>
      <c r="R797" s="93"/>
      <c r="S797" s="85"/>
      <c r="U797" s="94"/>
      <c r="V797" s="93"/>
      <c r="W797" s="85"/>
      <c r="Y797" s="94"/>
      <c r="Z797" s="93"/>
      <c r="AA797" s="85"/>
      <c r="AC797" s="94"/>
      <c r="AD797" s="93"/>
      <c r="AE797" s="85"/>
    </row>
    <row r="798" spans="7:31" x14ac:dyDescent="0.35">
      <c r="G798" s="85"/>
      <c r="H798" s="87"/>
      <c r="K798" s="85"/>
      <c r="M798" s="94"/>
      <c r="N798" s="93"/>
      <c r="O798" s="85"/>
      <c r="Q798" s="94"/>
      <c r="R798" s="93"/>
      <c r="S798" s="85"/>
      <c r="U798" s="94"/>
      <c r="V798" s="93"/>
      <c r="W798" s="85"/>
      <c r="Y798" s="94"/>
      <c r="Z798" s="93"/>
      <c r="AA798" s="85"/>
      <c r="AC798" s="94"/>
      <c r="AD798" s="93"/>
      <c r="AE798" s="85"/>
    </row>
    <row r="799" spans="7:31" x14ac:dyDescent="0.35">
      <c r="G799" s="85"/>
      <c r="H799" s="87"/>
      <c r="K799" s="85"/>
      <c r="M799" s="94"/>
      <c r="N799" s="93"/>
      <c r="O799" s="85"/>
      <c r="Q799" s="94"/>
      <c r="R799" s="93"/>
      <c r="S799" s="85"/>
      <c r="U799" s="94"/>
      <c r="V799" s="93"/>
      <c r="W799" s="85"/>
      <c r="Y799" s="94"/>
      <c r="Z799" s="93"/>
      <c r="AA799" s="85"/>
      <c r="AC799" s="94"/>
      <c r="AD799" s="93"/>
      <c r="AE799" s="85"/>
    </row>
    <row r="800" spans="7:31" x14ac:dyDescent="0.35">
      <c r="G800" s="85"/>
      <c r="H800" s="87"/>
      <c r="K800" s="85"/>
      <c r="M800" s="94"/>
      <c r="N800" s="93"/>
      <c r="O800" s="85"/>
      <c r="Q800" s="94"/>
      <c r="R800" s="93"/>
      <c r="S800" s="85"/>
      <c r="U800" s="94"/>
      <c r="V800" s="93"/>
      <c r="W800" s="85"/>
      <c r="Y800" s="94"/>
      <c r="Z800" s="93"/>
      <c r="AA800" s="85"/>
      <c r="AC800" s="94"/>
      <c r="AD800" s="93"/>
      <c r="AE800" s="85"/>
    </row>
    <row r="801" spans="7:31" x14ac:dyDescent="0.35">
      <c r="G801" s="85"/>
      <c r="H801" s="87"/>
      <c r="K801" s="85"/>
      <c r="M801" s="94"/>
      <c r="N801" s="93"/>
      <c r="O801" s="85"/>
      <c r="Q801" s="94"/>
      <c r="R801" s="93"/>
      <c r="S801" s="85"/>
      <c r="U801" s="94"/>
      <c r="V801" s="93"/>
      <c r="W801" s="85"/>
      <c r="Y801" s="94"/>
      <c r="Z801" s="93"/>
      <c r="AA801" s="85"/>
      <c r="AC801" s="94"/>
      <c r="AD801" s="93"/>
      <c r="AE801" s="85"/>
    </row>
    <row r="802" spans="7:31" x14ac:dyDescent="0.35">
      <c r="G802" s="85"/>
      <c r="H802" s="87"/>
      <c r="K802" s="85"/>
      <c r="M802" s="94"/>
      <c r="N802" s="93"/>
      <c r="O802" s="85"/>
      <c r="Q802" s="94"/>
      <c r="R802" s="93"/>
      <c r="S802" s="85"/>
      <c r="U802" s="94"/>
      <c r="V802" s="93"/>
      <c r="W802" s="85"/>
      <c r="Y802" s="94"/>
      <c r="Z802" s="93"/>
      <c r="AA802" s="85"/>
      <c r="AC802" s="94"/>
      <c r="AD802" s="93"/>
      <c r="AE802" s="85"/>
    </row>
    <row r="803" spans="7:31" x14ac:dyDescent="0.35">
      <c r="G803" s="85"/>
      <c r="H803" s="87"/>
      <c r="K803" s="85"/>
      <c r="M803" s="94"/>
      <c r="N803" s="93"/>
      <c r="O803" s="85"/>
      <c r="Q803" s="94"/>
      <c r="R803" s="93"/>
      <c r="S803" s="85"/>
      <c r="U803" s="94"/>
      <c r="V803" s="93"/>
      <c r="W803" s="85"/>
      <c r="Y803" s="94"/>
      <c r="Z803" s="93"/>
      <c r="AA803" s="85"/>
      <c r="AC803" s="94"/>
      <c r="AD803" s="93"/>
      <c r="AE803" s="85"/>
    </row>
    <row r="804" spans="7:31" x14ac:dyDescent="0.35">
      <c r="G804" s="85"/>
      <c r="H804" s="87"/>
      <c r="K804" s="85"/>
      <c r="M804" s="94"/>
      <c r="N804" s="93"/>
      <c r="O804" s="85"/>
      <c r="Q804" s="94"/>
      <c r="R804" s="93"/>
      <c r="S804" s="85"/>
      <c r="U804" s="94"/>
      <c r="V804" s="93"/>
      <c r="W804" s="85"/>
      <c r="Y804" s="94"/>
      <c r="Z804" s="93"/>
      <c r="AA804" s="85"/>
      <c r="AC804" s="94"/>
      <c r="AD804" s="93"/>
      <c r="AE804" s="85"/>
    </row>
    <row r="805" spans="7:31" x14ac:dyDescent="0.35">
      <c r="G805" s="85"/>
      <c r="H805" s="87"/>
      <c r="K805" s="85"/>
      <c r="M805" s="94"/>
      <c r="N805" s="93"/>
      <c r="O805" s="85"/>
      <c r="Q805" s="94"/>
      <c r="R805" s="93"/>
      <c r="S805" s="85"/>
      <c r="U805" s="94"/>
      <c r="V805" s="93"/>
      <c r="W805" s="85"/>
      <c r="Y805" s="94"/>
      <c r="Z805" s="93"/>
      <c r="AA805" s="85"/>
      <c r="AC805" s="94"/>
      <c r="AD805" s="93"/>
      <c r="AE805" s="85"/>
    </row>
    <row r="806" spans="7:31" x14ac:dyDescent="0.35">
      <c r="G806" s="85"/>
      <c r="H806" s="87"/>
      <c r="K806" s="85"/>
      <c r="M806" s="94"/>
      <c r="N806" s="93"/>
      <c r="O806" s="85"/>
      <c r="Q806" s="94"/>
      <c r="R806" s="93"/>
      <c r="S806" s="85"/>
      <c r="U806" s="94"/>
      <c r="V806" s="93"/>
      <c r="W806" s="85"/>
      <c r="Y806" s="94"/>
      <c r="Z806" s="93"/>
      <c r="AA806" s="85"/>
      <c r="AC806" s="94"/>
      <c r="AD806" s="93"/>
      <c r="AE806" s="85"/>
    </row>
    <row r="807" spans="7:31" x14ac:dyDescent="0.35">
      <c r="G807" s="85"/>
      <c r="H807" s="87"/>
      <c r="K807" s="85"/>
      <c r="M807" s="94"/>
      <c r="N807" s="93"/>
      <c r="O807" s="85"/>
      <c r="Q807" s="94"/>
      <c r="R807" s="93"/>
      <c r="S807" s="85"/>
      <c r="U807" s="94"/>
      <c r="V807" s="93"/>
      <c r="W807" s="85"/>
      <c r="Y807" s="94"/>
      <c r="Z807" s="93"/>
      <c r="AA807" s="85"/>
      <c r="AC807" s="94"/>
      <c r="AD807" s="93"/>
      <c r="AE807" s="85"/>
    </row>
    <row r="808" spans="7:31" x14ac:dyDescent="0.35">
      <c r="G808" s="85"/>
      <c r="H808" s="87"/>
      <c r="K808" s="85"/>
      <c r="M808" s="94"/>
      <c r="N808" s="93"/>
      <c r="O808" s="85"/>
      <c r="Q808" s="94"/>
      <c r="R808" s="93"/>
      <c r="S808" s="85"/>
      <c r="U808" s="94"/>
      <c r="V808" s="93"/>
      <c r="W808" s="85"/>
      <c r="Y808" s="94"/>
      <c r="Z808" s="93"/>
      <c r="AA808" s="85"/>
      <c r="AC808" s="94"/>
      <c r="AD808" s="93"/>
      <c r="AE808" s="85"/>
    </row>
    <row r="809" spans="7:31" x14ac:dyDescent="0.35">
      <c r="G809" s="85"/>
      <c r="H809" s="87"/>
      <c r="K809" s="85"/>
      <c r="M809" s="94"/>
      <c r="N809" s="93"/>
      <c r="O809" s="85"/>
      <c r="Q809" s="94"/>
      <c r="R809" s="93"/>
      <c r="S809" s="85"/>
      <c r="U809" s="94"/>
      <c r="V809" s="93"/>
      <c r="W809" s="85"/>
      <c r="Y809" s="94"/>
      <c r="Z809" s="93"/>
      <c r="AA809" s="85"/>
      <c r="AC809" s="94"/>
      <c r="AD809" s="93"/>
      <c r="AE809" s="85"/>
    </row>
    <row r="810" spans="7:31" x14ac:dyDescent="0.35">
      <c r="G810" s="85"/>
      <c r="H810" s="87"/>
      <c r="K810" s="85"/>
      <c r="M810" s="94"/>
      <c r="N810" s="93"/>
      <c r="O810" s="85"/>
      <c r="Q810" s="94"/>
      <c r="R810" s="93"/>
      <c r="S810" s="85"/>
      <c r="U810" s="94"/>
      <c r="V810" s="93"/>
      <c r="W810" s="85"/>
      <c r="Y810" s="94"/>
      <c r="Z810" s="93"/>
      <c r="AA810" s="85"/>
      <c r="AC810" s="94"/>
      <c r="AD810" s="93"/>
      <c r="AE810" s="85"/>
    </row>
    <row r="811" spans="7:31" x14ac:dyDescent="0.35">
      <c r="G811" s="85"/>
      <c r="H811" s="87"/>
      <c r="K811" s="85"/>
      <c r="M811" s="94"/>
      <c r="N811" s="93"/>
      <c r="O811" s="85"/>
      <c r="Q811" s="94"/>
      <c r="R811" s="93"/>
      <c r="S811" s="85"/>
      <c r="U811" s="94"/>
      <c r="V811" s="93"/>
      <c r="W811" s="85"/>
      <c r="Y811" s="94"/>
      <c r="Z811" s="93"/>
      <c r="AA811" s="85"/>
      <c r="AC811" s="94"/>
      <c r="AD811" s="93"/>
      <c r="AE811" s="85"/>
    </row>
    <row r="812" spans="7:31" x14ac:dyDescent="0.35">
      <c r="G812" s="85"/>
      <c r="H812" s="87"/>
      <c r="K812" s="85"/>
      <c r="M812" s="94"/>
      <c r="N812" s="93"/>
      <c r="O812" s="85"/>
      <c r="Q812" s="94"/>
      <c r="R812" s="93"/>
      <c r="S812" s="85"/>
      <c r="U812" s="94"/>
      <c r="V812" s="93"/>
      <c r="W812" s="85"/>
      <c r="Y812" s="94"/>
      <c r="Z812" s="93"/>
      <c r="AA812" s="85"/>
      <c r="AC812" s="94"/>
      <c r="AD812" s="93"/>
      <c r="AE812" s="85"/>
    </row>
    <row r="813" spans="7:31" x14ac:dyDescent="0.35">
      <c r="G813" s="85"/>
      <c r="H813" s="87"/>
      <c r="K813" s="85"/>
      <c r="M813" s="94"/>
      <c r="N813" s="93"/>
      <c r="O813" s="85"/>
      <c r="Q813" s="94"/>
      <c r="R813" s="93"/>
      <c r="S813" s="85"/>
      <c r="U813" s="94"/>
      <c r="V813" s="93"/>
      <c r="W813" s="85"/>
      <c r="Y813" s="94"/>
      <c r="Z813" s="93"/>
      <c r="AA813" s="85"/>
      <c r="AC813" s="94"/>
      <c r="AD813" s="93"/>
      <c r="AE813" s="85"/>
    </row>
    <row r="814" spans="7:31" x14ac:dyDescent="0.35">
      <c r="G814" s="85"/>
      <c r="H814" s="87"/>
      <c r="K814" s="85"/>
      <c r="M814" s="94"/>
      <c r="N814" s="93"/>
      <c r="O814" s="85"/>
      <c r="Q814" s="94"/>
      <c r="R814" s="93"/>
      <c r="S814" s="85"/>
      <c r="U814" s="94"/>
      <c r="V814" s="93"/>
      <c r="W814" s="85"/>
      <c r="Y814" s="94"/>
      <c r="Z814" s="93"/>
      <c r="AA814" s="85"/>
      <c r="AC814" s="94"/>
      <c r="AD814" s="93"/>
      <c r="AE814" s="85"/>
    </row>
    <row r="815" spans="7:31" x14ac:dyDescent="0.35">
      <c r="G815" s="85"/>
      <c r="H815" s="87"/>
      <c r="K815" s="85"/>
      <c r="M815" s="94"/>
      <c r="N815" s="93"/>
      <c r="O815" s="85"/>
      <c r="Q815" s="94"/>
      <c r="R815" s="93"/>
      <c r="S815" s="85"/>
      <c r="U815" s="94"/>
      <c r="V815" s="93"/>
      <c r="W815" s="85"/>
      <c r="Y815" s="94"/>
      <c r="Z815" s="93"/>
      <c r="AA815" s="85"/>
      <c r="AC815" s="94"/>
      <c r="AD815" s="93"/>
      <c r="AE815" s="85"/>
    </row>
    <row r="816" spans="7:31" x14ac:dyDescent="0.35">
      <c r="G816" s="85"/>
      <c r="H816" s="87"/>
      <c r="K816" s="85"/>
      <c r="M816" s="94"/>
      <c r="N816" s="93"/>
      <c r="O816" s="85"/>
      <c r="Q816" s="94"/>
      <c r="R816" s="93"/>
      <c r="S816" s="85"/>
      <c r="U816" s="94"/>
      <c r="V816" s="93"/>
      <c r="W816" s="85"/>
      <c r="Y816" s="94"/>
      <c r="Z816" s="93"/>
      <c r="AA816" s="85"/>
      <c r="AC816" s="94"/>
      <c r="AD816" s="93"/>
      <c r="AE816" s="85"/>
    </row>
    <row r="817" spans="7:31" x14ac:dyDescent="0.35">
      <c r="G817" s="85"/>
      <c r="H817" s="87"/>
      <c r="K817" s="85"/>
      <c r="M817" s="94"/>
      <c r="N817" s="93"/>
      <c r="O817" s="85"/>
      <c r="Q817" s="94"/>
      <c r="R817" s="93"/>
      <c r="S817" s="85"/>
      <c r="U817" s="94"/>
      <c r="V817" s="93"/>
      <c r="W817" s="85"/>
      <c r="Y817" s="94"/>
      <c r="Z817" s="93"/>
      <c r="AA817" s="85"/>
      <c r="AC817" s="94"/>
      <c r="AD817" s="93"/>
      <c r="AE817" s="85"/>
    </row>
    <row r="818" spans="7:31" x14ac:dyDescent="0.35">
      <c r="G818" s="85"/>
      <c r="H818" s="87"/>
      <c r="K818" s="85"/>
      <c r="M818" s="94"/>
      <c r="N818" s="93"/>
      <c r="O818" s="85"/>
      <c r="Q818" s="94"/>
      <c r="R818" s="93"/>
      <c r="S818" s="85"/>
      <c r="U818" s="94"/>
      <c r="V818" s="93"/>
      <c r="W818" s="85"/>
      <c r="Y818" s="94"/>
      <c r="Z818" s="93"/>
      <c r="AA818" s="85"/>
      <c r="AC818" s="94"/>
      <c r="AD818" s="93"/>
      <c r="AE818" s="85"/>
    </row>
    <row r="819" spans="7:31" x14ac:dyDescent="0.35">
      <c r="G819" s="85"/>
      <c r="H819" s="87"/>
      <c r="K819" s="85"/>
      <c r="M819" s="94"/>
      <c r="N819" s="93"/>
      <c r="O819" s="85"/>
      <c r="Q819" s="94"/>
      <c r="R819" s="93"/>
      <c r="S819" s="85"/>
      <c r="U819" s="94"/>
      <c r="V819" s="93"/>
      <c r="W819" s="85"/>
      <c r="Y819" s="94"/>
      <c r="Z819" s="93"/>
      <c r="AA819" s="85"/>
      <c r="AC819" s="94"/>
      <c r="AD819" s="93"/>
      <c r="AE819" s="85"/>
    </row>
    <row r="820" spans="7:31" x14ac:dyDescent="0.35">
      <c r="G820" s="85"/>
      <c r="H820" s="87"/>
      <c r="K820" s="85"/>
      <c r="M820" s="94"/>
      <c r="N820" s="93"/>
      <c r="O820" s="85"/>
      <c r="Q820" s="94"/>
      <c r="R820" s="93"/>
      <c r="S820" s="85"/>
      <c r="U820" s="94"/>
      <c r="V820" s="93"/>
      <c r="W820" s="85"/>
      <c r="Y820" s="94"/>
      <c r="Z820" s="93"/>
      <c r="AA820" s="85"/>
      <c r="AC820" s="94"/>
      <c r="AD820" s="93"/>
      <c r="AE820" s="85"/>
    </row>
    <row r="821" spans="7:31" x14ac:dyDescent="0.35">
      <c r="G821" s="85"/>
      <c r="H821" s="87"/>
      <c r="K821" s="85"/>
      <c r="M821" s="94"/>
      <c r="N821" s="93"/>
      <c r="O821" s="85"/>
      <c r="Q821" s="94"/>
      <c r="R821" s="93"/>
      <c r="S821" s="85"/>
      <c r="U821" s="94"/>
      <c r="V821" s="93"/>
      <c r="W821" s="85"/>
      <c r="Y821" s="94"/>
      <c r="Z821" s="93"/>
      <c r="AA821" s="85"/>
      <c r="AC821" s="94"/>
      <c r="AD821" s="93"/>
      <c r="AE821" s="85"/>
    </row>
    <row r="822" spans="7:31" x14ac:dyDescent="0.35">
      <c r="G822" s="85"/>
      <c r="H822" s="87"/>
      <c r="K822" s="85"/>
      <c r="M822" s="94"/>
      <c r="N822" s="93"/>
      <c r="O822" s="85"/>
      <c r="Q822" s="94"/>
      <c r="R822" s="93"/>
      <c r="S822" s="85"/>
      <c r="U822" s="94"/>
      <c r="V822" s="93"/>
      <c r="W822" s="85"/>
      <c r="Y822" s="94"/>
      <c r="Z822" s="93"/>
      <c r="AA822" s="85"/>
      <c r="AC822" s="94"/>
      <c r="AD822" s="93"/>
      <c r="AE822" s="85"/>
    </row>
    <row r="823" spans="7:31" x14ac:dyDescent="0.35">
      <c r="G823" s="85"/>
      <c r="H823" s="87"/>
      <c r="K823" s="85"/>
      <c r="M823" s="94"/>
      <c r="N823" s="93"/>
      <c r="O823" s="85"/>
      <c r="Q823" s="94"/>
      <c r="R823" s="93"/>
      <c r="S823" s="85"/>
      <c r="U823" s="94"/>
      <c r="V823" s="93"/>
      <c r="W823" s="85"/>
      <c r="Y823" s="94"/>
      <c r="Z823" s="93"/>
      <c r="AA823" s="85"/>
      <c r="AC823" s="94"/>
      <c r="AD823" s="93"/>
      <c r="AE823" s="85"/>
    </row>
    <row r="824" spans="7:31" x14ac:dyDescent="0.35">
      <c r="G824" s="85"/>
      <c r="H824" s="87"/>
      <c r="K824" s="85"/>
      <c r="M824" s="94"/>
      <c r="N824" s="93"/>
      <c r="O824" s="85"/>
      <c r="Q824" s="94"/>
      <c r="R824" s="93"/>
      <c r="S824" s="85"/>
      <c r="U824" s="94"/>
      <c r="V824" s="93"/>
      <c r="W824" s="85"/>
      <c r="Y824" s="94"/>
      <c r="Z824" s="93"/>
      <c r="AA824" s="85"/>
      <c r="AC824" s="94"/>
      <c r="AD824" s="93"/>
      <c r="AE824" s="85"/>
    </row>
    <row r="825" spans="7:31" x14ac:dyDescent="0.35">
      <c r="G825" s="85"/>
      <c r="H825" s="87"/>
      <c r="K825" s="85"/>
      <c r="M825" s="94"/>
      <c r="N825" s="93"/>
      <c r="O825" s="85"/>
      <c r="Q825" s="94"/>
      <c r="R825" s="93"/>
      <c r="S825" s="85"/>
      <c r="U825" s="94"/>
      <c r="V825" s="93"/>
      <c r="W825" s="85"/>
      <c r="Y825" s="94"/>
      <c r="Z825" s="93"/>
      <c r="AA825" s="85"/>
      <c r="AC825" s="94"/>
      <c r="AD825" s="93"/>
      <c r="AE825" s="85"/>
    </row>
    <row r="826" spans="7:31" x14ac:dyDescent="0.35">
      <c r="G826" s="85"/>
      <c r="H826" s="87"/>
      <c r="K826" s="85"/>
      <c r="M826" s="94"/>
      <c r="N826" s="93"/>
      <c r="O826" s="85"/>
      <c r="Q826" s="94"/>
      <c r="R826" s="93"/>
      <c r="S826" s="85"/>
      <c r="U826" s="94"/>
      <c r="V826" s="93"/>
      <c r="W826" s="85"/>
      <c r="Y826" s="94"/>
      <c r="Z826" s="93"/>
      <c r="AA826" s="85"/>
      <c r="AC826" s="94"/>
      <c r="AD826" s="93"/>
      <c r="AE826" s="85"/>
    </row>
    <row r="827" spans="7:31" x14ac:dyDescent="0.35">
      <c r="G827" s="85"/>
      <c r="H827" s="87"/>
      <c r="K827" s="85"/>
      <c r="M827" s="94"/>
      <c r="N827" s="93"/>
      <c r="O827" s="85"/>
      <c r="Q827" s="94"/>
      <c r="R827" s="93"/>
      <c r="S827" s="85"/>
      <c r="U827" s="94"/>
      <c r="V827" s="93"/>
      <c r="W827" s="85"/>
      <c r="Y827" s="94"/>
      <c r="Z827" s="93"/>
      <c r="AA827" s="85"/>
      <c r="AC827" s="94"/>
      <c r="AD827" s="93"/>
      <c r="AE827" s="85"/>
    </row>
    <row r="828" spans="7:31" x14ac:dyDescent="0.35">
      <c r="G828" s="85"/>
      <c r="H828" s="87"/>
      <c r="K828" s="85"/>
      <c r="M828" s="94"/>
      <c r="N828" s="93"/>
      <c r="O828" s="85"/>
      <c r="Q828" s="94"/>
      <c r="R828" s="93"/>
      <c r="S828" s="85"/>
      <c r="U828" s="94"/>
      <c r="V828" s="93"/>
      <c r="W828" s="85"/>
      <c r="Y828" s="94"/>
      <c r="Z828" s="93"/>
      <c r="AA828" s="85"/>
      <c r="AC828" s="94"/>
      <c r="AD828" s="93"/>
      <c r="AE828" s="85"/>
    </row>
    <row r="829" spans="7:31" x14ac:dyDescent="0.35">
      <c r="G829" s="85"/>
      <c r="H829" s="87"/>
      <c r="K829" s="85"/>
      <c r="M829" s="94"/>
      <c r="N829" s="93"/>
      <c r="O829" s="85"/>
      <c r="Q829" s="94"/>
      <c r="R829" s="93"/>
      <c r="S829" s="85"/>
      <c r="U829" s="94"/>
      <c r="V829" s="93"/>
      <c r="W829" s="85"/>
      <c r="Y829" s="94"/>
      <c r="Z829" s="93"/>
      <c r="AA829" s="85"/>
      <c r="AC829" s="94"/>
      <c r="AD829" s="93"/>
      <c r="AE829" s="85"/>
    </row>
    <row r="830" spans="7:31" x14ac:dyDescent="0.35">
      <c r="G830" s="85"/>
      <c r="H830" s="87"/>
      <c r="K830" s="85"/>
      <c r="M830" s="94"/>
      <c r="N830" s="93"/>
      <c r="O830" s="85"/>
      <c r="Q830" s="94"/>
      <c r="R830" s="93"/>
      <c r="S830" s="85"/>
      <c r="U830" s="94"/>
      <c r="V830" s="93"/>
      <c r="W830" s="85"/>
      <c r="Y830" s="94"/>
      <c r="Z830" s="93"/>
      <c r="AA830" s="85"/>
      <c r="AC830" s="94"/>
      <c r="AD830" s="93"/>
      <c r="AE830" s="85"/>
    </row>
    <row r="831" spans="7:31" x14ac:dyDescent="0.35">
      <c r="G831" s="85"/>
      <c r="H831" s="87"/>
      <c r="K831" s="85"/>
      <c r="M831" s="94"/>
      <c r="N831" s="93"/>
      <c r="O831" s="85"/>
      <c r="Q831" s="94"/>
      <c r="R831" s="93"/>
      <c r="S831" s="85"/>
      <c r="U831" s="94"/>
      <c r="V831" s="93"/>
      <c r="W831" s="85"/>
      <c r="Y831" s="94"/>
      <c r="Z831" s="93"/>
      <c r="AA831" s="85"/>
      <c r="AC831" s="94"/>
      <c r="AD831" s="93"/>
      <c r="AE831" s="85"/>
    </row>
    <row r="832" spans="7:31" x14ac:dyDescent="0.35">
      <c r="G832" s="85"/>
      <c r="H832" s="87"/>
      <c r="K832" s="85"/>
      <c r="M832" s="94"/>
      <c r="N832" s="93"/>
      <c r="O832" s="85"/>
      <c r="Q832" s="94"/>
      <c r="R832" s="93"/>
      <c r="S832" s="85"/>
      <c r="U832" s="94"/>
      <c r="V832" s="93"/>
      <c r="W832" s="85"/>
      <c r="Y832" s="94"/>
      <c r="Z832" s="93"/>
      <c r="AA832" s="85"/>
      <c r="AC832" s="94"/>
      <c r="AD832" s="93"/>
      <c r="AE832" s="85"/>
    </row>
    <row r="833" spans="7:31" x14ac:dyDescent="0.35">
      <c r="G833" s="85"/>
      <c r="H833" s="87"/>
      <c r="K833" s="85"/>
      <c r="M833" s="94"/>
      <c r="N833" s="93"/>
      <c r="O833" s="85"/>
      <c r="Q833" s="94"/>
      <c r="R833" s="93"/>
      <c r="S833" s="85"/>
      <c r="U833" s="94"/>
      <c r="V833" s="93"/>
      <c r="W833" s="85"/>
      <c r="Y833" s="94"/>
      <c r="Z833" s="93"/>
      <c r="AA833" s="85"/>
      <c r="AC833" s="94"/>
      <c r="AD833" s="93"/>
      <c r="AE833" s="85"/>
    </row>
    <row r="834" spans="7:31" x14ac:dyDescent="0.35">
      <c r="G834" s="85"/>
      <c r="H834" s="87"/>
      <c r="K834" s="85"/>
      <c r="M834" s="94"/>
      <c r="N834" s="93"/>
      <c r="O834" s="85"/>
      <c r="Q834" s="94"/>
      <c r="R834" s="93"/>
      <c r="S834" s="85"/>
      <c r="U834" s="94"/>
      <c r="V834" s="93"/>
      <c r="W834" s="85"/>
      <c r="Y834" s="94"/>
      <c r="Z834" s="93"/>
      <c r="AA834" s="85"/>
      <c r="AC834" s="94"/>
      <c r="AD834" s="93"/>
      <c r="AE834" s="85"/>
    </row>
    <row r="835" spans="7:31" x14ac:dyDescent="0.35">
      <c r="G835" s="85"/>
      <c r="H835" s="87"/>
      <c r="K835" s="85"/>
      <c r="M835" s="94"/>
      <c r="N835" s="93"/>
      <c r="O835" s="85"/>
      <c r="Q835" s="94"/>
      <c r="R835" s="93"/>
      <c r="S835" s="85"/>
      <c r="U835" s="94"/>
      <c r="V835" s="93"/>
      <c r="W835" s="85"/>
      <c r="Y835" s="94"/>
      <c r="Z835" s="93"/>
      <c r="AA835" s="85"/>
      <c r="AC835" s="94"/>
      <c r="AD835" s="93"/>
      <c r="AE835" s="85"/>
    </row>
    <row r="836" spans="7:31" x14ac:dyDescent="0.35">
      <c r="G836" s="85"/>
      <c r="H836" s="87"/>
      <c r="K836" s="85"/>
      <c r="M836" s="94"/>
      <c r="N836" s="93"/>
      <c r="O836" s="85"/>
      <c r="Q836" s="94"/>
      <c r="R836" s="93"/>
      <c r="S836" s="85"/>
      <c r="U836" s="94"/>
      <c r="V836" s="93"/>
      <c r="W836" s="85"/>
      <c r="Y836" s="94"/>
      <c r="Z836" s="93"/>
      <c r="AA836" s="85"/>
      <c r="AC836" s="94"/>
      <c r="AD836" s="93"/>
      <c r="AE836" s="85"/>
    </row>
    <row r="837" spans="7:31" x14ac:dyDescent="0.35">
      <c r="G837" s="85"/>
      <c r="H837" s="87"/>
      <c r="K837" s="85"/>
      <c r="M837" s="94"/>
      <c r="N837" s="93"/>
      <c r="O837" s="85"/>
      <c r="Q837" s="94"/>
      <c r="R837" s="93"/>
      <c r="S837" s="85"/>
      <c r="U837" s="94"/>
      <c r="V837" s="93"/>
      <c r="W837" s="85"/>
      <c r="Y837" s="94"/>
      <c r="Z837" s="93"/>
      <c r="AA837" s="85"/>
      <c r="AC837" s="94"/>
      <c r="AD837" s="93"/>
      <c r="AE837" s="85"/>
    </row>
    <row r="838" spans="7:31" x14ac:dyDescent="0.35">
      <c r="G838" s="85"/>
      <c r="H838" s="87"/>
      <c r="K838" s="85"/>
      <c r="M838" s="94"/>
      <c r="N838" s="93"/>
      <c r="O838" s="85"/>
      <c r="Q838" s="94"/>
      <c r="R838" s="93"/>
      <c r="S838" s="85"/>
      <c r="U838" s="94"/>
      <c r="V838" s="93"/>
      <c r="W838" s="85"/>
      <c r="Y838" s="94"/>
      <c r="Z838" s="93"/>
      <c r="AA838" s="85"/>
      <c r="AC838" s="94"/>
      <c r="AD838" s="93"/>
      <c r="AE838" s="85"/>
    </row>
    <row r="839" spans="7:31" x14ac:dyDescent="0.35">
      <c r="G839" s="85"/>
      <c r="H839" s="87"/>
      <c r="K839" s="85"/>
      <c r="M839" s="94"/>
      <c r="N839" s="93"/>
      <c r="O839" s="85"/>
      <c r="Q839" s="94"/>
      <c r="R839" s="93"/>
      <c r="S839" s="85"/>
      <c r="U839" s="94"/>
      <c r="V839" s="93"/>
      <c r="W839" s="85"/>
      <c r="Y839" s="94"/>
      <c r="Z839" s="93"/>
      <c r="AA839" s="85"/>
      <c r="AC839" s="94"/>
      <c r="AD839" s="93"/>
      <c r="AE839" s="85"/>
    </row>
    <row r="840" spans="7:31" x14ac:dyDescent="0.35">
      <c r="G840" s="85"/>
      <c r="H840" s="87"/>
      <c r="K840" s="85"/>
      <c r="M840" s="94"/>
      <c r="N840" s="93"/>
      <c r="O840" s="85"/>
      <c r="Q840" s="94"/>
      <c r="R840" s="93"/>
      <c r="S840" s="85"/>
      <c r="U840" s="94"/>
      <c r="V840" s="93"/>
      <c r="W840" s="85"/>
      <c r="Y840" s="94"/>
      <c r="Z840" s="93"/>
      <c r="AA840" s="85"/>
      <c r="AC840" s="94"/>
      <c r="AD840" s="93"/>
      <c r="AE840" s="85"/>
    </row>
    <row r="841" spans="7:31" x14ac:dyDescent="0.35">
      <c r="G841" s="85"/>
      <c r="H841" s="87"/>
      <c r="K841" s="85"/>
      <c r="M841" s="94"/>
      <c r="N841" s="93"/>
      <c r="O841" s="85"/>
      <c r="Q841" s="94"/>
      <c r="R841" s="93"/>
      <c r="S841" s="85"/>
      <c r="U841" s="94"/>
      <c r="V841" s="93"/>
      <c r="W841" s="85"/>
      <c r="Y841" s="94"/>
      <c r="Z841" s="93"/>
      <c r="AA841" s="85"/>
      <c r="AC841" s="94"/>
      <c r="AD841" s="93"/>
      <c r="AE841" s="85"/>
    </row>
    <row r="842" spans="7:31" x14ac:dyDescent="0.35">
      <c r="G842" s="85"/>
      <c r="H842" s="87"/>
      <c r="K842" s="85"/>
      <c r="M842" s="94"/>
      <c r="N842" s="93"/>
      <c r="O842" s="85"/>
      <c r="Q842" s="94"/>
      <c r="R842" s="93"/>
      <c r="S842" s="85"/>
      <c r="U842" s="94"/>
      <c r="V842" s="93"/>
      <c r="W842" s="85"/>
      <c r="Y842" s="94"/>
      <c r="Z842" s="93"/>
      <c r="AA842" s="85"/>
      <c r="AC842" s="94"/>
      <c r="AD842" s="93"/>
      <c r="AE842" s="85"/>
    </row>
    <row r="843" spans="7:31" x14ac:dyDescent="0.35">
      <c r="G843" s="85"/>
      <c r="H843" s="87"/>
      <c r="K843" s="85"/>
      <c r="M843" s="94"/>
      <c r="N843" s="93"/>
      <c r="O843" s="85"/>
      <c r="Q843" s="94"/>
      <c r="R843" s="93"/>
      <c r="S843" s="85"/>
      <c r="U843" s="94"/>
      <c r="V843" s="93"/>
      <c r="W843" s="85"/>
      <c r="Y843" s="94"/>
      <c r="Z843" s="93"/>
      <c r="AA843" s="85"/>
      <c r="AC843" s="94"/>
      <c r="AD843" s="93"/>
      <c r="AE843" s="85"/>
    </row>
    <row r="844" spans="7:31" x14ac:dyDescent="0.35">
      <c r="G844" s="85"/>
      <c r="H844" s="87"/>
      <c r="K844" s="85"/>
      <c r="M844" s="94"/>
      <c r="N844" s="93"/>
      <c r="O844" s="85"/>
      <c r="Q844" s="94"/>
      <c r="R844" s="93"/>
      <c r="S844" s="85"/>
      <c r="U844" s="94"/>
      <c r="V844" s="93"/>
      <c r="W844" s="85"/>
      <c r="Y844" s="94"/>
      <c r="Z844" s="93"/>
      <c r="AA844" s="85"/>
      <c r="AC844" s="94"/>
      <c r="AD844" s="93"/>
      <c r="AE844" s="85"/>
    </row>
    <row r="845" spans="7:31" x14ac:dyDescent="0.35">
      <c r="G845" s="85"/>
      <c r="H845" s="87"/>
      <c r="K845" s="85"/>
      <c r="M845" s="94"/>
      <c r="N845" s="93"/>
      <c r="O845" s="85"/>
      <c r="Q845" s="94"/>
      <c r="R845" s="93"/>
      <c r="S845" s="85"/>
      <c r="U845" s="94"/>
      <c r="V845" s="93"/>
      <c r="W845" s="85"/>
      <c r="Y845" s="94"/>
      <c r="Z845" s="93"/>
      <c r="AA845" s="85"/>
      <c r="AC845" s="94"/>
      <c r="AD845" s="93"/>
      <c r="AE845" s="85"/>
    </row>
    <row r="846" spans="7:31" x14ac:dyDescent="0.35">
      <c r="G846" s="85"/>
      <c r="H846" s="87"/>
      <c r="K846" s="85"/>
      <c r="M846" s="94"/>
      <c r="N846" s="93"/>
      <c r="O846" s="85"/>
      <c r="Q846" s="94"/>
      <c r="R846" s="93"/>
      <c r="S846" s="85"/>
      <c r="U846" s="94"/>
      <c r="V846" s="93"/>
      <c r="W846" s="85"/>
      <c r="Y846" s="94"/>
      <c r="Z846" s="93"/>
      <c r="AA846" s="85"/>
      <c r="AC846" s="94"/>
      <c r="AD846" s="93"/>
      <c r="AE846" s="85"/>
    </row>
    <row r="847" spans="7:31" x14ac:dyDescent="0.35">
      <c r="G847" s="85"/>
      <c r="H847" s="87"/>
      <c r="K847" s="85"/>
      <c r="M847" s="94"/>
      <c r="N847" s="93"/>
      <c r="O847" s="85"/>
      <c r="Q847" s="94"/>
      <c r="R847" s="93"/>
      <c r="S847" s="85"/>
      <c r="U847" s="94"/>
      <c r="V847" s="93"/>
      <c r="W847" s="85"/>
      <c r="Y847" s="94"/>
      <c r="Z847" s="93"/>
      <c r="AA847" s="85"/>
      <c r="AC847" s="94"/>
      <c r="AD847" s="93"/>
      <c r="AE847" s="85"/>
    </row>
    <row r="848" spans="7:31" x14ac:dyDescent="0.35">
      <c r="G848" s="85"/>
      <c r="H848" s="87"/>
      <c r="K848" s="85"/>
      <c r="M848" s="94"/>
      <c r="N848" s="93"/>
      <c r="O848" s="85"/>
      <c r="Q848" s="94"/>
      <c r="R848" s="93"/>
      <c r="S848" s="85"/>
      <c r="U848" s="94"/>
      <c r="V848" s="93"/>
      <c r="W848" s="85"/>
      <c r="Y848" s="94"/>
      <c r="Z848" s="93"/>
      <c r="AA848" s="85"/>
      <c r="AC848" s="94"/>
      <c r="AD848" s="93"/>
      <c r="AE848" s="85"/>
    </row>
    <row r="849" spans="7:31" x14ac:dyDescent="0.35">
      <c r="G849" s="85"/>
      <c r="H849" s="87"/>
      <c r="K849" s="85"/>
      <c r="M849" s="94"/>
      <c r="N849" s="93"/>
      <c r="O849" s="85"/>
      <c r="Q849" s="94"/>
      <c r="R849" s="93"/>
      <c r="S849" s="85"/>
      <c r="U849" s="94"/>
      <c r="V849" s="93"/>
      <c r="W849" s="85"/>
      <c r="Y849" s="94"/>
      <c r="Z849" s="93"/>
      <c r="AA849" s="85"/>
      <c r="AC849" s="94"/>
      <c r="AD849" s="93"/>
      <c r="AE849" s="85"/>
    </row>
    <row r="850" spans="7:31" x14ac:dyDescent="0.35">
      <c r="G850" s="85"/>
      <c r="H850" s="87"/>
      <c r="K850" s="85"/>
      <c r="M850" s="94"/>
      <c r="N850" s="93"/>
      <c r="O850" s="85"/>
      <c r="Q850" s="94"/>
      <c r="R850" s="93"/>
      <c r="S850" s="85"/>
      <c r="U850" s="94"/>
      <c r="V850" s="93"/>
      <c r="W850" s="85"/>
      <c r="Y850" s="94"/>
      <c r="Z850" s="93"/>
      <c r="AA850" s="85"/>
      <c r="AC850" s="94"/>
      <c r="AD850" s="93"/>
      <c r="AE850" s="85"/>
    </row>
    <row r="851" spans="7:31" x14ac:dyDescent="0.35">
      <c r="G851" s="85"/>
      <c r="H851" s="87"/>
      <c r="K851" s="85"/>
      <c r="M851" s="94"/>
      <c r="N851" s="93"/>
      <c r="O851" s="85"/>
      <c r="Q851" s="94"/>
      <c r="R851" s="93"/>
      <c r="S851" s="85"/>
      <c r="U851" s="94"/>
      <c r="V851" s="93"/>
      <c r="W851" s="85"/>
      <c r="Y851" s="94"/>
      <c r="Z851" s="93"/>
      <c r="AA851" s="85"/>
      <c r="AC851" s="94"/>
      <c r="AD851" s="93"/>
      <c r="AE851" s="85"/>
    </row>
    <row r="852" spans="7:31" x14ac:dyDescent="0.35">
      <c r="G852" s="85"/>
      <c r="H852" s="87"/>
      <c r="K852" s="85"/>
      <c r="M852" s="94"/>
      <c r="N852" s="93"/>
      <c r="O852" s="85"/>
      <c r="Q852" s="94"/>
      <c r="R852" s="93"/>
      <c r="S852" s="85"/>
      <c r="U852" s="94"/>
      <c r="V852" s="93"/>
      <c r="W852" s="85"/>
      <c r="Y852" s="94"/>
      <c r="Z852" s="93"/>
      <c r="AA852" s="85"/>
      <c r="AC852" s="94"/>
      <c r="AD852" s="93"/>
      <c r="AE852" s="85"/>
    </row>
    <row r="853" spans="7:31" x14ac:dyDescent="0.35">
      <c r="G853" s="85"/>
      <c r="H853" s="87"/>
      <c r="K853" s="85"/>
      <c r="M853" s="94"/>
      <c r="N853" s="93"/>
      <c r="O853" s="85"/>
      <c r="Q853" s="94"/>
      <c r="R853" s="93"/>
      <c r="S853" s="85"/>
      <c r="U853" s="94"/>
      <c r="V853" s="93"/>
      <c r="W853" s="85"/>
      <c r="Y853" s="94"/>
      <c r="Z853" s="93"/>
      <c r="AA853" s="85"/>
      <c r="AC853" s="94"/>
      <c r="AD853" s="93"/>
      <c r="AE853" s="85"/>
    </row>
    <row r="854" spans="7:31" x14ac:dyDescent="0.35">
      <c r="G854" s="85"/>
      <c r="H854" s="87"/>
      <c r="K854" s="85"/>
      <c r="M854" s="94"/>
      <c r="N854" s="93"/>
      <c r="O854" s="85"/>
      <c r="Q854" s="94"/>
      <c r="R854" s="93"/>
      <c r="S854" s="85"/>
      <c r="U854" s="94"/>
      <c r="V854" s="93"/>
      <c r="W854" s="85"/>
      <c r="Y854" s="94"/>
      <c r="Z854" s="93"/>
      <c r="AA854" s="85"/>
      <c r="AC854" s="94"/>
      <c r="AD854" s="93"/>
      <c r="AE854" s="85"/>
    </row>
    <row r="855" spans="7:31" x14ac:dyDescent="0.35">
      <c r="G855" s="85"/>
      <c r="H855" s="87"/>
      <c r="K855" s="85"/>
      <c r="M855" s="94"/>
      <c r="N855" s="93"/>
      <c r="O855" s="85"/>
      <c r="Q855" s="94"/>
      <c r="R855" s="93"/>
      <c r="S855" s="85"/>
      <c r="U855" s="94"/>
      <c r="V855" s="93"/>
      <c r="W855" s="85"/>
      <c r="Y855" s="94"/>
      <c r="Z855" s="93"/>
      <c r="AA855" s="85"/>
      <c r="AC855" s="94"/>
      <c r="AD855" s="93"/>
      <c r="AE855" s="85"/>
    </row>
    <row r="856" spans="7:31" x14ac:dyDescent="0.35">
      <c r="G856" s="85"/>
      <c r="H856" s="87"/>
      <c r="K856" s="85"/>
      <c r="M856" s="94"/>
      <c r="N856" s="93"/>
      <c r="O856" s="85"/>
      <c r="Q856" s="94"/>
      <c r="R856" s="93"/>
      <c r="S856" s="85"/>
      <c r="U856" s="94"/>
      <c r="V856" s="93"/>
      <c r="W856" s="85"/>
      <c r="Y856" s="94"/>
      <c r="Z856" s="93"/>
      <c r="AA856" s="85"/>
      <c r="AC856" s="94"/>
      <c r="AD856" s="93"/>
      <c r="AE856" s="85"/>
    </row>
    <row r="857" spans="7:31" x14ac:dyDescent="0.35">
      <c r="G857" s="85"/>
      <c r="H857" s="87"/>
      <c r="K857" s="85"/>
      <c r="M857" s="94"/>
      <c r="N857" s="93"/>
      <c r="O857" s="85"/>
      <c r="Q857" s="94"/>
      <c r="R857" s="93"/>
      <c r="S857" s="85"/>
      <c r="U857" s="94"/>
      <c r="V857" s="93"/>
      <c r="W857" s="85"/>
      <c r="Y857" s="94"/>
      <c r="Z857" s="93"/>
      <c r="AA857" s="85"/>
      <c r="AC857" s="94"/>
      <c r="AD857" s="93"/>
      <c r="AE857" s="85"/>
    </row>
    <row r="858" spans="7:31" x14ac:dyDescent="0.35">
      <c r="G858" s="85"/>
      <c r="H858" s="87"/>
      <c r="K858" s="85"/>
      <c r="M858" s="94"/>
      <c r="N858" s="93"/>
      <c r="O858" s="85"/>
      <c r="Q858" s="94"/>
      <c r="R858" s="93"/>
      <c r="S858" s="85"/>
      <c r="U858" s="94"/>
      <c r="V858" s="93"/>
      <c r="W858" s="85"/>
      <c r="Y858" s="94"/>
      <c r="Z858" s="93"/>
      <c r="AA858" s="85"/>
      <c r="AC858" s="94"/>
      <c r="AD858" s="93"/>
      <c r="AE858" s="85"/>
    </row>
    <row r="859" spans="7:31" x14ac:dyDescent="0.35">
      <c r="G859" s="85"/>
      <c r="H859" s="87"/>
      <c r="K859" s="85"/>
      <c r="M859" s="94"/>
      <c r="N859" s="93"/>
      <c r="O859" s="85"/>
      <c r="Q859" s="94"/>
      <c r="R859" s="93"/>
      <c r="S859" s="85"/>
      <c r="U859" s="94"/>
      <c r="V859" s="93"/>
      <c r="W859" s="85"/>
      <c r="Y859" s="94"/>
      <c r="Z859" s="93"/>
      <c r="AA859" s="85"/>
      <c r="AC859" s="94"/>
      <c r="AD859" s="93"/>
      <c r="AE859" s="85"/>
    </row>
    <row r="860" spans="7:31" x14ac:dyDescent="0.35">
      <c r="G860" s="85"/>
      <c r="H860" s="87"/>
      <c r="K860" s="85"/>
      <c r="M860" s="94"/>
      <c r="N860" s="93"/>
      <c r="O860" s="85"/>
      <c r="Q860" s="94"/>
      <c r="R860" s="93"/>
      <c r="S860" s="85"/>
      <c r="U860" s="94"/>
      <c r="V860" s="93"/>
      <c r="W860" s="85"/>
      <c r="Y860" s="94"/>
      <c r="Z860" s="93"/>
      <c r="AA860" s="85"/>
      <c r="AC860" s="94"/>
      <c r="AD860" s="93"/>
      <c r="AE860" s="85"/>
    </row>
    <row r="861" spans="7:31" x14ac:dyDescent="0.35">
      <c r="G861" s="85"/>
      <c r="H861" s="87"/>
      <c r="K861" s="85"/>
      <c r="M861" s="94"/>
      <c r="N861" s="93"/>
      <c r="O861" s="85"/>
      <c r="Q861" s="94"/>
      <c r="R861" s="93"/>
      <c r="S861" s="85"/>
      <c r="U861" s="94"/>
      <c r="V861" s="93"/>
      <c r="W861" s="85"/>
      <c r="Y861" s="94"/>
      <c r="Z861" s="93"/>
      <c r="AA861" s="85"/>
      <c r="AC861" s="94"/>
      <c r="AD861" s="93"/>
      <c r="AE861" s="85"/>
    </row>
    <row r="862" spans="7:31" x14ac:dyDescent="0.35">
      <c r="G862" s="85"/>
      <c r="H862" s="87"/>
      <c r="K862" s="85"/>
      <c r="M862" s="94"/>
      <c r="N862" s="93"/>
      <c r="O862" s="85"/>
      <c r="Q862" s="94"/>
      <c r="R862" s="93"/>
      <c r="S862" s="85"/>
      <c r="U862" s="94"/>
      <c r="V862" s="93"/>
      <c r="W862" s="85"/>
      <c r="Y862" s="94"/>
      <c r="Z862" s="93"/>
      <c r="AA862" s="85"/>
      <c r="AC862" s="94"/>
      <c r="AD862" s="93"/>
      <c r="AE862" s="85"/>
    </row>
    <row r="863" spans="7:31" x14ac:dyDescent="0.35">
      <c r="G863" s="85"/>
      <c r="H863" s="87"/>
      <c r="K863" s="85"/>
      <c r="M863" s="94"/>
      <c r="N863" s="93"/>
      <c r="O863" s="85"/>
      <c r="Q863" s="94"/>
      <c r="R863" s="93"/>
      <c r="S863" s="85"/>
      <c r="U863" s="94"/>
      <c r="V863" s="93"/>
      <c r="W863" s="85"/>
      <c r="Y863" s="94"/>
      <c r="Z863" s="93"/>
      <c r="AA863" s="85"/>
      <c r="AC863" s="94"/>
      <c r="AD863" s="93"/>
      <c r="AE863" s="85"/>
    </row>
    <row r="864" spans="7:31" x14ac:dyDescent="0.35">
      <c r="G864" s="85"/>
      <c r="H864" s="87"/>
      <c r="K864" s="85"/>
      <c r="M864" s="94"/>
      <c r="N864" s="93"/>
      <c r="O864" s="85"/>
      <c r="Q864" s="94"/>
      <c r="R864" s="93"/>
      <c r="S864" s="85"/>
      <c r="U864" s="94"/>
      <c r="V864" s="93"/>
      <c r="W864" s="85"/>
      <c r="Y864" s="94"/>
      <c r="Z864" s="93"/>
      <c r="AA864" s="85"/>
      <c r="AC864" s="94"/>
      <c r="AD864" s="93"/>
      <c r="AE864" s="85"/>
    </row>
    <row r="865" spans="7:31" x14ac:dyDescent="0.35">
      <c r="G865" s="85"/>
      <c r="H865" s="87"/>
      <c r="K865" s="85"/>
      <c r="M865" s="94"/>
      <c r="N865" s="93"/>
      <c r="O865" s="85"/>
      <c r="Q865" s="94"/>
      <c r="R865" s="93"/>
      <c r="S865" s="85"/>
      <c r="U865" s="94"/>
      <c r="V865" s="93"/>
      <c r="W865" s="85"/>
      <c r="Y865" s="94"/>
      <c r="Z865" s="93"/>
      <c r="AA865" s="85"/>
      <c r="AC865" s="94"/>
      <c r="AD865" s="93"/>
      <c r="AE865" s="85"/>
    </row>
    <row r="866" spans="7:31" x14ac:dyDescent="0.35">
      <c r="G866" s="85"/>
      <c r="H866" s="87"/>
      <c r="K866" s="85"/>
      <c r="M866" s="94"/>
      <c r="N866" s="93"/>
      <c r="O866" s="85"/>
      <c r="Q866" s="94"/>
      <c r="R866" s="93"/>
      <c r="S866" s="85"/>
      <c r="U866" s="94"/>
      <c r="V866" s="93"/>
      <c r="W866" s="85"/>
      <c r="Y866" s="94"/>
      <c r="Z866" s="93"/>
      <c r="AA866" s="85"/>
      <c r="AC866" s="94"/>
      <c r="AD866" s="93"/>
      <c r="AE866" s="85"/>
    </row>
    <row r="867" spans="7:31" x14ac:dyDescent="0.35">
      <c r="G867" s="85"/>
      <c r="H867" s="87"/>
      <c r="K867" s="85"/>
      <c r="M867" s="94"/>
      <c r="N867" s="93"/>
      <c r="O867" s="85"/>
      <c r="Q867" s="94"/>
      <c r="R867" s="93"/>
      <c r="S867" s="85"/>
      <c r="U867" s="94"/>
      <c r="V867" s="93"/>
      <c r="W867" s="85"/>
      <c r="Y867" s="94"/>
      <c r="Z867" s="93"/>
      <c r="AA867" s="85"/>
      <c r="AC867" s="94"/>
      <c r="AD867" s="93"/>
      <c r="AE867" s="85"/>
    </row>
    <row r="868" spans="7:31" x14ac:dyDescent="0.35">
      <c r="G868" s="85"/>
      <c r="H868" s="87"/>
      <c r="K868" s="85"/>
      <c r="M868" s="94"/>
      <c r="N868" s="93"/>
      <c r="O868" s="85"/>
      <c r="Q868" s="94"/>
      <c r="R868" s="93"/>
      <c r="S868" s="85"/>
      <c r="U868" s="94"/>
      <c r="V868" s="93"/>
      <c r="W868" s="85"/>
      <c r="Y868" s="94"/>
      <c r="Z868" s="93"/>
      <c r="AA868" s="85"/>
      <c r="AC868" s="94"/>
      <c r="AD868" s="93"/>
      <c r="AE868" s="85"/>
    </row>
    <row r="869" spans="7:31" x14ac:dyDescent="0.35">
      <c r="G869" s="85"/>
      <c r="H869" s="87"/>
      <c r="K869" s="85"/>
      <c r="M869" s="94"/>
      <c r="N869" s="93"/>
      <c r="O869" s="85"/>
      <c r="Q869" s="94"/>
      <c r="R869" s="93"/>
      <c r="S869" s="85"/>
      <c r="U869" s="94"/>
      <c r="V869" s="93"/>
      <c r="W869" s="85"/>
      <c r="Y869" s="94"/>
      <c r="Z869" s="93"/>
      <c r="AA869" s="85"/>
      <c r="AC869" s="94"/>
      <c r="AD869" s="93"/>
      <c r="AE869" s="85"/>
    </row>
    <row r="870" spans="7:31" x14ac:dyDescent="0.35">
      <c r="G870" s="85"/>
      <c r="H870" s="87"/>
      <c r="K870" s="85"/>
      <c r="M870" s="94"/>
      <c r="N870" s="93"/>
      <c r="O870" s="85"/>
      <c r="Q870" s="94"/>
      <c r="R870" s="93"/>
      <c r="S870" s="85"/>
      <c r="U870" s="94"/>
      <c r="V870" s="93"/>
      <c r="W870" s="85"/>
      <c r="Y870" s="94"/>
      <c r="Z870" s="93"/>
      <c r="AA870" s="85"/>
      <c r="AC870" s="94"/>
      <c r="AD870" s="93"/>
      <c r="AE870" s="85"/>
    </row>
    <row r="871" spans="7:31" x14ac:dyDescent="0.35">
      <c r="G871" s="85"/>
      <c r="H871" s="87"/>
      <c r="K871" s="85"/>
      <c r="M871" s="94"/>
      <c r="N871" s="93"/>
      <c r="O871" s="85"/>
      <c r="Q871" s="94"/>
      <c r="R871" s="93"/>
      <c r="S871" s="85"/>
      <c r="U871" s="94"/>
      <c r="V871" s="93"/>
      <c r="W871" s="85"/>
      <c r="Y871" s="94"/>
      <c r="Z871" s="93"/>
      <c r="AA871" s="85"/>
      <c r="AC871" s="94"/>
      <c r="AD871" s="93"/>
      <c r="AE871" s="85"/>
    </row>
    <row r="872" spans="7:31" x14ac:dyDescent="0.35">
      <c r="G872" s="85"/>
      <c r="H872" s="87"/>
      <c r="K872" s="85"/>
      <c r="M872" s="94"/>
      <c r="N872" s="93"/>
      <c r="O872" s="85"/>
      <c r="Q872" s="94"/>
      <c r="R872" s="93"/>
      <c r="S872" s="85"/>
      <c r="U872" s="94"/>
      <c r="V872" s="93"/>
      <c r="W872" s="85"/>
      <c r="Y872" s="94"/>
      <c r="Z872" s="93"/>
      <c r="AA872" s="85"/>
      <c r="AC872" s="94"/>
      <c r="AD872" s="93"/>
      <c r="AE872" s="85"/>
    </row>
    <row r="873" spans="7:31" x14ac:dyDescent="0.35">
      <c r="G873" s="85"/>
      <c r="H873" s="87"/>
      <c r="K873" s="85"/>
      <c r="M873" s="94"/>
      <c r="N873" s="93"/>
      <c r="O873" s="85"/>
      <c r="Q873" s="94"/>
      <c r="R873" s="93"/>
      <c r="S873" s="85"/>
      <c r="U873" s="94"/>
      <c r="V873" s="93"/>
      <c r="W873" s="85"/>
      <c r="Y873" s="94"/>
      <c r="Z873" s="93"/>
      <c r="AA873" s="85"/>
      <c r="AC873" s="94"/>
      <c r="AD873" s="93"/>
      <c r="AE873" s="85"/>
    </row>
    <row r="874" spans="7:31" x14ac:dyDescent="0.35">
      <c r="G874" s="85"/>
      <c r="H874" s="87"/>
      <c r="K874" s="85"/>
      <c r="M874" s="94"/>
      <c r="N874" s="93"/>
      <c r="O874" s="85"/>
      <c r="Q874" s="94"/>
      <c r="R874" s="93"/>
      <c r="S874" s="85"/>
      <c r="U874" s="94"/>
      <c r="V874" s="93"/>
      <c r="W874" s="85"/>
      <c r="Y874" s="94"/>
      <c r="Z874" s="93"/>
      <c r="AA874" s="85"/>
      <c r="AC874" s="94"/>
      <c r="AD874" s="93"/>
      <c r="AE874" s="85"/>
    </row>
    <row r="875" spans="7:31" x14ac:dyDescent="0.35">
      <c r="G875" s="85"/>
      <c r="H875" s="87"/>
      <c r="K875" s="85"/>
      <c r="M875" s="94"/>
      <c r="N875" s="93"/>
      <c r="O875" s="85"/>
      <c r="Q875" s="94"/>
      <c r="R875" s="93"/>
      <c r="S875" s="85"/>
      <c r="U875" s="94"/>
      <c r="V875" s="93"/>
      <c r="W875" s="85"/>
      <c r="Y875" s="94"/>
      <c r="Z875" s="93"/>
      <c r="AA875" s="85"/>
      <c r="AC875" s="94"/>
      <c r="AD875" s="93"/>
      <c r="AE875" s="85"/>
    </row>
    <row r="876" spans="7:31" x14ac:dyDescent="0.35">
      <c r="G876" s="85"/>
      <c r="H876" s="87"/>
      <c r="K876" s="85"/>
      <c r="M876" s="94"/>
      <c r="N876" s="93"/>
      <c r="O876" s="85"/>
      <c r="Q876" s="94"/>
      <c r="R876" s="93"/>
      <c r="S876" s="85"/>
      <c r="U876" s="94"/>
      <c r="V876" s="93"/>
      <c r="W876" s="85"/>
      <c r="Y876" s="94"/>
      <c r="Z876" s="93"/>
      <c r="AA876" s="85"/>
      <c r="AC876" s="94"/>
      <c r="AD876" s="93"/>
      <c r="AE876" s="85"/>
    </row>
    <row r="877" spans="7:31" x14ac:dyDescent="0.35">
      <c r="G877" s="85"/>
      <c r="H877" s="87"/>
      <c r="K877" s="85"/>
      <c r="M877" s="94"/>
      <c r="N877" s="93"/>
      <c r="O877" s="85"/>
      <c r="Q877" s="94"/>
      <c r="R877" s="93"/>
      <c r="S877" s="85"/>
      <c r="U877" s="94"/>
      <c r="V877" s="93"/>
      <c r="W877" s="85"/>
      <c r="Y877" s="94"/>
      <c r="Z877" s="93"/>
      <c r="AA877" s="85"/>
      <c r="AC877" s="94"/>
      <c r="AD877" s="93"/>
      <c r="AE877" s="85"/>
    </row>
    <row r="878" spans="7:31" x14ac:dyDescent="0.35">
      <c r="G878" s="85"/>
      <c r="H878" s="87"/>
      <c r="K878" s="85"/>
      <c r="M878" s="94"/>
      <c r="N878" s="93"/>
      <c r="O878" s="85"/>
      <c r="Q878" s="94"/>
      <c r="R878" s="93"/>
      <c r="S878" s="85"/>
      <c r="U878" s="94"/>
      <c r="V878" s="93"/>
      <c r="W878" s="85"/>
      <c r="Y878" s="94"/>
      <c r="Z878" s="93"/>
      <c r="AA878" s="85"/>
      <c r="AC878" s="94"/>
      <c r="AD878" s="93"/>
      <c r="AE878" s="85"/>
    </row>
    <row r="879" spans="7:31" x14ac:dyDescent="0.35">
      <c r="G879" s="85"/>
      <c r="H879" s="87"/>
      <c r="K879" s="85"/>
      <c r="M879" s="94"/>
      <c r="N879" s="93"/>
      <c r="O879" s="85"/>
      <c r="Q879" s="94"/>
      <c r="R879" s="93"/>
      <c r="S879" s="85"/>
      <c r="U879" s="94"/>
      <c r="V879" s="93"/>
      <c r="W879" s="85"/>
      <c r="Y879" s="94"/>
      <c r="Z879" s="93"/>
      <c r="AA879" s="85"/>
      <c r="AC879" s="94"/>
      <c r="AD879" s="93"/>
      <c r="AE879" s="85"/>
    </row>
    <row r="880" spans="7:31" x14ac:dyDescent="0.35">
      <c r="G880" s="85"/>
      <c r="H880" s="87"/>
      <c r="K880" s="85"/>
      <c r="M880" s="94"/>
      <c r="N880" s="93"/>
      <c r="O880" s="85"/>
      <c r="Q880" s="94"/>
      <c r="R880" s="93"/>
      <c r="S880" s="85"/>
      <c r="U880" s="94"/>
      <c r="V880" s="93"/>
      <c r="W880" s="85"/>
      <c r="Y880" s="94"/>
      <c r="Z880" s="93"/>
      <c r="AA880" s="85"/>
      <c r="AC880" s="94"/>
      <c r="AD880" s="93"/>
      <c r="AE880" s="85"/>
    </row>
    <row r="881" spans="7:31" x14ac:dyDescent="0.35">
      <c r="G881" s="85"/>
      <c r="H881" s="87"/>
      <c r="K881" s="85"/>
      <c r="M881" s="94"/>
      <c r="N881" s="93"/>
      <c r="O881" s="85"/>
      <c r="Q881" s="94"/>
      <c r="R881" s="93"/>
      <c r="S881" s="85"/>
      <c r="U881" s="94"/>
      <c r="V881" s="93"/>
      <c r="W881" s="85"/>
      <c r="Y881" s="94"/>
      <c r="Z881" s="93"/>
      <c r="AA881" s="85"/>
      <c r="AC881" s="94"/>
      <c r="AD881" s="93"/>
      <c r="AE881" s="85"/>
    </row>
    <row r="882" spans="7:31" x14ac:dyDescent="0.35">
      <c r="G882" s="85"/>
      <c r="H882" s="87"/>
      <c r="K882" s="85"/>
      <c r="M882" s="94"/>
      <c r="N882" s="93"/>
      <c r="O882" s="85"/>
      <c r="Q882" s="94"/>
      <c r="R882" s="93"/>
      <c r="S882" s="85"/>
      <c r="U882" s="94"/>
      <c r="V882" s="93"/>
      <c r="W882" s="85"/>
      <c r="Y882" s="94"/>
      <c r="Z882" s="93"/>
      <c r="AA882" s="85"/>
      <c r="AC882" s="94"/>
      <c r="AD882" s="93"/>
      <c r="AE882" s="85"/>
    </row>
    <row r="883" spans="7:31" x14ac:dyDescent="0.35">
      <c r="G883" s="85"/>
      <c r="H883" s="87"/>
      <c r="K883" s="85"/>
      <c r="M883" s="94"/>
      <c r="N883" s="93"/>
      <c r="O883" s="85"/>
      <c r="Q883" s="94"/>
      <c r="R883" s="93"/>
      <c r="S883" s="85"/>
      <c r="U883" s="94"/>
      <c r="V883" s="93"/>
      <c r="W883" s="85"/>
      <c r="Y883" s="94"/>
      <c r="Z883" s="93"/>
      <c r="AA883" s="85"/>
      <c r="AC883" s="94"/>
      <c r="AD883" s="93"/>
      <c r="AE883" s="85"/>
    </row>
    <row r="884" spans="7:31" x14ac:dyDescent="0.35">
      <c r="G884" s="85"/>
      <c r="H884" s="87"/>
      <c r="K884" s="85"/>
      <c r="M884" s="94"/>
      <c r="N884" s="93"/>
      <c r="O884" s="85"/>
      <c r="Q884" s="94"/>
      <c r="R884" s="93"/>
      <c r="S884" s="85"/>
      <c r="U884" s="94"/>
      <c r="V884" s="93"/>
      <c r="W884" s="85"/>
      <c r="Y884" s="94"/>
      <c r="Z884" s="93"/>
      <c r="AA884" s="85"/>
      <c r="AC884" s="94"/>
      <c r="AD884" s="93"/>
      <c r="AE884" s="85"/>
    </row>
    <row r="885" spans="7:31" x14ac:dyDescent="0.35">
      <c r="G885" s="85"/>
      <c r="H885" s="87"/>
      <c r="K885" s="85"/>
      <c r="M885" s="94"/>
      <c r="N885" s="93"/>
      <c r="O885" s="85"/>
      <c r="Q885" s="94"/>
      <c r="R885" s="93"/>
      <c r="S885" s="85"/>
      <c r="U885" s="94"/>
      <c r="V885" s="93"/>
      <c r="W885" s="85"/>
      <c r="Y885" s="94"/>
      <c r="Z885" s="93"/>
      <c r="AA885" s="85"/>
      <c r="AC885" s="94"/>
      <c r="AD885" s="93"/>
      <c r="AE885" s="85"/>
    </row>
    <row r="886" spans="7:31" x14ac:dyDescent="0.35">
      <c r="G886" s="85"/>
      <c r="H886" s="87"/>
      <c r="K886" s="85"/>
      <c r="M886" s="94"/>
      <c r="N886" s="93"/>
      <c r="O886" s="85"/>
      <c r="Q886" s="94"/>
      <c r="R886" s="93"/>
      <c r="S886" s="85"/>
      <c r="U886" s="94"/>
      <c r="V886" s="93"/>
      <c r="W886" s="85"/>
      <c r="Y886" s="94"/>
      <c r="Z886" s="93"/>
      <c r="AA886" s="85"/>
      <c r="AC886" s="94"/>
      <c r="AD886" s="93"/>
      <c r="AE886" s="85"/>
    </row>
    <row r="887" spans="7:31" x14ac:dyDescent="0.35">
      <c r="G887" s="85"/>
      <c r="H887" s="87"/>
      <c r="K887" s="85"/>
      <c r="M887" s="94"/>
      <c r="N887" s="93"/>
      <c r="O887" s="85"/>
      <c r="Q887" s="94"/>
      <c r="R887" s="93"/>
      <c r="S887" s="85"/>
      <c r="U887" s="94"/>
      <c r="V887" s="93"/>
      <c r="W887" s="85"/>
      <c r="Y887" s="94"/>
      <c r="Z887" s="93"/>
      <c r="AA887" s="85"/>
      <c r="AC887" s="94"/>
      <c r="AD887" s="93"/>
      <c r="AE887" s="85"/>
    </row>
    <row r="888" spans="7:31" x14ac:dyDescent="0.35">
      <c r="G888" s="85"/>
      <c r="H888" s="87"/>
      <c r="K888" s="85"/>
      <c r="M888" s="94"/>
      <c r="N888" s="93"/>
      <c r="O888" s="85"/>
      <c r="Q888" s="94"/>
      <c r="R888" s="93"/>
      <c r="S888" s="85"/>
      <c r="U888" s="94"/>
      <c r="V888" s="93"/>
      <c r="W888" s="85"/>
      <c r="Y888" s="94"/>
      <c r="Z888" s="93"/>
      <c r="AA888" s="85"/>
      <c r="AC888" s="94"/>
      <c r="AD888" s="93"/>
      <c r="AE888" s="85"/>
    </row>
    <row r="889" spans="7:31" x14ac:dyDescent="0.35">
      <c r="G889" s="85"/>
      <c r="H889" s="87"/>
      <c r="K889" s="85"/>
      <c r="M889" s="94"/>
      <c r="N889" s="93"/>
      <c r="O889" s="85"/>
      <c r="Q889" s="94"/>
      <c r="R889" s="93"/>
      <c r="S889" s="85"/>
      <c r="U889" s="94"/>
      <c r="V889" s="93"/>
      <c r="W889" s="85"/>
      <c r="Y889" s="94"/>
      <c r="Z889" s="93"/>
      <c r="AA889" s="85"/>
      <c r="AC889" s="94"/>
      <c r="AD889" s="93"/>
      <c r="AE889" s="85"/>
    </row>
    <row r="890" spans="7:31" x14ac:dyDescent="0.35">
      <c r="G890" s="85"/>
      <c r="H890" s="87"/>
      <c r="K890" s="85"/>
      <c r="M890" s="94"/>
      <c r="N890" s="93"/>
      <c r="O890" s="85"/>
      <c r="Q890" s="94"/>
      <c r="R890" s="93"/>
      <c r="S890" s="85"/>
      <c r="U890" s="94"/>
      <c r="V890" s="93"/>
      <c r="W890" s="85"/>
      <c r="Y890" s="94"/>
      <c r="Z890" s="93"/>
      <c r="AA890" s="85"/>
      <c r="AC890" s="94"/>
      <c r="AD890" s="93"/>
      <c r="AE890" s="85"/>
    </row>
    <row r="891" spans="7:31" x14ac:dyDescent="0.35">
      <c r="G891" s="85"/>
      <c r="H891" s="87"/>
      <c r="K891" s="85"/>
      <c r="M891" s="94"/>
      <c r="N891" s="93"/>
      <c r="O891" s="85"/>
      <c r="Q891" s="94"/>
      <c r="R891" s="93"/>
      <c r="S891" s="85"/>
      <c r="U891" s="94"/>
      <c r="V891" s="93"/>
      <c r="W891" s="85"/>
      <c r="Y891" s="94"/>
      <c r="Z891" s="93"/>
      <c r="AA891" s="85"/>
      <c r="AC891" s="94"/>
      <c r="AD891" s="93"/>
      <c r="AE891" s="85"/>
    </row>
    <row r="892" spans="7:31" x14ac:dyDescent="0.35">
      <c r="G892" s="85"/>
      <c r="H892" s="87"/>
      <c r="K892" s="85"/>
      <c r="M892" s="94"/>
      <c r="N892" s="93"/>
      <c r="O892" s="85"/>
      <c r="Q892" s="94"/>
      <c r="R892" s="93"/>
      <c r="S892" s="85"/>
      <c r="U892" s="94"/>
      <c r="V892" s="93"/>
      <c r="W892" s="85"/>
      <c r="Y892" s="94"/>
      <c r="Z892" s="93"/>
      <c r="AA892" s="85"/>
      <c r="AC892" s="94"/>
      <c r="AD892" s="93"/>
      <c r="AE892" s="85"/>
    </row>
    <row r="893" spans="7:31" x14ac:dyDescent="0.35">
      <c r="G893" s="85"/>
      <c r="H893" s="87"/>
      <c r="K893" s="85"/>
      <c r="M893" s="94"/>
      <c r="N893" s="93"/>
      <c r="O893" s="85"/>
      <c r="Q893" s="94"/>
      <c r="R893" s="93"/>
      <c r="S893" s="85"/>
      <c r="U893" s="94"/>
      <c r="V893" s="93"/>
      <c r="W893" s="85"/>
      <c r="Y893" s="94"/>
      <c r="Z893" s="93"/>
      <c r="AA893" s="85"/>
      <c r="AC893" s="94"/>
      <c r="AD893" s="93"/>
      <c r="AE893" s="85"/>
    </row>
    <row r="894" spans="7:31" x14ac:dyDescent="0.35">
      <c r="G894" s="85"/>
      <c r="H894" s="87"/>
      <c r="K894" s="85"/>
      <c r="M894" s="94"/>
      <c r="N894" s="93"/>
      <c r="O894" s="85"/>
      <c r="Q894" s="94"/>
      <c r="R894" s="93"/>
      <c r="S894" s="85"/>
      <c r="U894" s="94"/>
      <c r="V894" s="93"/>
      <c r="W894" s="85"/>
      <c r="Y894" s="94"/>
      <c r="Z894" s="93"/>
      <c r="AA894" s="85"/>
      <c r="AC894" s="94"/>
      <c r="AD894" s="93"/>
      <c r="AE894" s="85"/>
    </row>
    <row r="895" spans="7:31" x14ac:dyDescent="0.35">
      <c r="G895" s="85"/>
      <c r="H895" s="87"/>
      <c r="K895" s="85"/>
      <c r="M895" s="94"/>
      <c r="N895" s="93"/>
      <c r="O895" s="85"/>
      <c r="Q895" s="94"/>
      <c r="R895" s="93"/>
      <c r="S895" s="85"/>
      <c r="U895" s="94"/>
      <c r="V895" s="93"/>
      <c r="W895" s="85"/>
      <c r="Y895" s="94"/>
      <c r="Z895" s="93"/>
      <c r="AA895" s="85"/>
      <c r="AC895" s="94"/>
      <c r="AD895" s="93"/>
      <c r="AE895" s="85"/>
    </row>
    <row r="896" spans="7:31" x14ac:dyDescent="0.35">
      <c r="G896" s="85"/>
      <c r="H896" s="87"/>
      <c r="K896" s="85"/>
      <c r="M896" s="94"/>
      <c r="N896" s="93"/>
      <c r="O896" s="85"/>
      <c r="Q896" s="94"/>
      <c r="R896" s="93"/>
      <c r="S896" s="85"/>
      <c r="U896" s="94"/>
      <c r="V896" s="93"/>
      <c r="W896" s="85"/>
      <c r="Y896" s="94"/>
      <c r="Z896" s="93"/>
      <c r="AA896" s="85"/>
      <c r="AC896" s="94"/>
      <c r="AD896" s="93"/>
      <c r="AE896" s="85"/>
    </row>
    <row r="897" spans="7:31" x14ac:dyDescent="0.35">
      <c r="G897" s="85"/>
      <c r="H897" s="87"/>
      <c r="K897" s="85"/>
      <c r="M897" s="94"/>
      <c r="N897" s="93"/>
      <c r="O897" s="85"/>
      <c r="Q897" s="94"/>
      <c r="R897" s="93"/>
      <c r="S897" s="85"/>
      <c r="U897" s="94"/>
      <c r="V897" s="93"/>
      <c r="W897" s="85"/>
      <c r="Y897" s="94"/>
      <c r="Z897" s="93"/>
      <c r="AA897" s="85"/>
      <c r="AC897" s="94"/>
      <c r="AD897" s="93"/>
      <c r="AE897" s="85"/>
    </row>
    <row r="898" spans="7:31" x14ac:dyDescent="0.35">
      <c r="G898" s="85"/>
      <c r="H898" s="87"/>
      <c r="K898" s="85"/>
      <c r="M898" s="94"/>
      <c r="N898" s="93"/>
      <c r="O898" s="85"/>
      <c r="Q898" s="94"/>
      <c r="R898" s="93"/>
      <c r="S898" s="85"/>
      <c r="U898" s="94"/>
      <c r="V898" s="93"/>
      <c r="W898" s="85"/>
      <c r="Y898" s="94"/>
      <c r="Z898" s="93"/>
      <c r="AA898" s="85"/>
      <c r="AC898" s="94"/>
      <c r="AD898" s="93"/>
      <c r="AE898" s="85"/>
    </row>
    <row r="899" spans="7:31" x14ac:dyDescent="0.35">
      <c r="G899" s="85"/>
      <c r="H899" s="87"/>
      <c r="K899" s="85"/>
      <c r="M899" s="94"/>
      <c r="N899" s="93"/>
      <c r="O899" s="85"/>
      <c r="Q899" s="94"/>
      <c r="R899" s="93"/>
      <c r="S899" s="85"/>
      <c r="U899" s="94"/>
      <c r="V899" s="93"/>
      <c r="W899" s="85"/>
      <c r="Y899" s="94"/>
      <c r="Z899" s="93"/>
      <c r="AA899" s="85"/>
      <c r="AC899" s="94"/>
      <c r="AD899" s="93"/>
      <c r="AE899" s="85"/>
    </row>
    <row r="900" spans="7:31" x14ac:dyDescent="0.35">
      <c r="G900" s="85"/>
      <c r="H900" s="87"/>
      <c r="K900" s="85"/>
      <c r="M900" s="94"/>
      <c r="N900" s="93"/>
      <c r="O900" s="85"/>
      <c r="Q900" s="94"/>
      <c r="R900" s="93"/>
      <c r="S900" s="85"/>
      <c r="U900" s="94"/>
      <c r="V900" s="93"/>
      <c r="W900" s="85"/>
      <c r="Y900" s="94"/>
      <c r="Z900" s="93"/>
      <c r="AA900" s="85"/>
      <c r="AC900" s="94"/>
      <c r="AD900" s="93"/>
      <c r="AE900" s="85"/>
    </row>
    <row r="901" spans="7:31" x14ac:dyDescent="0.35">
      <c r="G901" s="85"/>
      <c r="H901" s="87"/>
      <c r="K901" s="85"/>
      <c r="M901" s="94"/>
      <c r="N901" s="93"/>
      <c r="O901" s="85"/>
      <c r="Q901" s="94"/>
      <c r="R901" s="93"/>
      <c r="S901" s="85"/>
      <c r="U901" s="94"/>
      <c r="V901" s="93"/>
      <c r="W901" s="85"/>
      <c r="Y901" s="94"/>
      <c r="Z901" s="93"/>
      <c r="AA901" s="85"/>
      <c r="AC901" s="94"/>
      <c r="AD901" s="93"/>
      <c r="AE901" s="85"/>
    </row>
    <row r="902" spans="7:31" x14ac:dyDescent="0.35">
      <c r="G902" s="85"/>
      <c r="H902" s="87"/>
      <c r="K902" s="85"/>
      <c r="M902" s="94"/>
      <c r="N902" s="93"/>
      <c r="O902" s="85"/>
      <c r="Q902" s="94"/>
      <c r="R902" s="93"/>
      <c r="S902" s="85"/>
      <c r="U902" s="94"/>
      <c r="V902" s="93"/>
      <c r="W902" s="85"/>
      <c r="Y902" s="94"/>
      <c r="Z902" s="93"/>
      <c r="AA902" s="85"/>
      <c r="AC902" s="94"/>
      <c r="AD902" s="93"/>
      <c r="AE902" s="85"/>
    </row>
    <row r="903" spans="7:31" x14ac:dyDescent="0.35">
      <c r="G903" s="85"/>
      <c r="H903" s="87"/>
      <c r="K903" s="85"/>
      <c r="M903" s="94"/>
      <c r="N903" s="93"/>
      <c r="O903" s="85"/>
      <c r="Q903" s="94"/>
      <c r="R903" s="93"/>
      <c r="S903" s="85"/>
      <c r="U903" s="94"/>
      <c r="V903" s="93"/>
      <c r="W903" s="85"/>
      <c r="Y903" s="94"/>
      <c r="Z903" s="93"/>
      <c r="AA903" s="85"/>
      <c r="AC903" s="94"/>
      <c r="AD903" s="93"/>
      <c r="AE903" s="85"/>
    </row>
    <row r="904" spans="7:31" x14ac:dyDescent="0.35">
      <c r="G904" s="85"/>
      <c r="H904" s="87"/>
      <c r="K904" s="85"/>
      <c r="M904" s="94"/>
      <c r="N904" s="93"/>
      <c r="O904" s="85"/>
      <c r="Q904" s="94"/>
      <c r="R904" s="93"/>
      <c r="S904" s="85"/>
      <c r="U904" s="94"/>
      <c r="V904" s="93"/>
      <c r="W904" s="85"/>
      <c r="Y904" s="94"/>
      <c r="Z904" s="93"/>
      <c r="AA904" s="85"/>
      <c r="AC904" s="94"/>
      <c r="AD904" s="93"/>
      <c r="AE904" s="85"/>
    </row>
    <row r="905" spans="7:31" x14ac:dyDescent="0.35">
      <c r="G905" s="85"/>
      <c r="H905" s="87"/>
      <c r="K905" s="85"/>
      <c r="M905" s="94"/>
      <c r="N905" s="93"/>
      <c r="O905" s="85"/>
      <c r="Q905" s="94"/>
      <c r="R905" s="93"/>
      <c r="S905" s="85"/>
      <c r="U905" s="94"/>
      <c r="V905" s="93"/>
      <c r="W905" s="85"/>
      <c r="Y905" s="94"/>
      <c r="Z905" s="93"/>
      <c r="AA905" s="85"/>
      <c r="AC905" s="94"/>
      <c r="AD905" s="93"/>
      <c r="AE905" s="85"/>
    </row>
    <row r="906" spans="7:31" x14ac:dyDescent="0.35">
      <c r="G906" s="85"/>
      <c r="H906" s="87"/>
      <c r="K906" s="85"/>
      <c r="M906" s="94"/>
      <c r="N906" s="93"/>
      <c r="O906" s="85"/>
      <c r="Q906" s="94"/>
      <c r="R906" s="93"/>
      <c r="S906" s="85"/>
      <c r="U906" s="94"/>
      <c r="V906" s="93"/>
      <c r="W906" s="85"/>
      <c r="Y906" s="94"/>
      <c r="Z906" s="93"/>
      <c r="AA906" s="85"/>
      <c r="AC906" s="94"/>
      <c r="AD906" s="93"/>
      <c r="AE906" s="85"/>
    </row>
    <row r="907" spans="7:31" x14ac:dyDescent="0.35">
      <c r="G907" s="85"/>
      <c r="H907" s="87"/>
      <c r="K907" s="85"/>
      <c r="M907" s="94"/>
      <c r="N907" s="93"/>
      <c r="O907" s="85"/>
      <c r="Q907" s="94"/>
      <c r="R907" s="93"/>
      <c r="S907" s="85"/>
      <c r="U907" s="94"/>
      <c r="V907" s="93"/>
      <c r="W907" s="85"/>
      <c r="Y907" s="94"/>
      <c r="Z907" s="93"/>
      <c r="AA907" s="85"/>
      <c r="AC907" s="94"/>
      <c r="AD907" s="93"/>
      <c r="AE907" s="85"/>
    </row>
    <row r="908" spans="7:31" x14ac:dyDescent="0.35">
      <c r="G908" s="85"/>
      <c r="H908" s="87"/>
      <c r="K908" s="85"/>
      <c r="M908" s="94"/>
      <c r="N908" s="93"/>
      <c r="O908" s="85"/>
      <c r="Q908" s="94"/>
      <c r="R908" s="93"/>
      <c r="S908" s="85"/>
      <c r="U908" s="94"/>
      <c r="V908" s="93"/>
      <c r="W908" s="85"/>
      <c r="Y908" s="94"/>
      <c r="Z908" s="93"/>
      <c r="AA908" s="85"/>
      <c r="AC908" s="94"/>
      <c r="AD908" s="93"/>
      <c r="AE908" s="85"/>
    </row>
    <row r="909" spans="7:31" x14ac:dyDescent="0.35">
      <c r="G909" s="85"/>
      <c r="H909" s="87"/>
      <c r="K909" s="85"/>
      <c r="M909" s="94"/>
      <c r="N909" s="93"/>
      <c r="O909" s="85"/>
      <c r="Q909" s="94"/>
      <c r="R909" s="93"/>
      <c r="S909" s="85"/>
      <c r="U909" s="94"/>
      <c r="V909" s="93"/>
      <c r="W909" s="85"/>
      <c r="Y909" s="94"/>
      <c r="Z909" s="93"/>
      <c r="AA909" s="85"/>
      <c r="AC909" s="94"/>
      <c r="AD909" s="93"/>
      <c r="AE909" s="85"/>
    </row>
    <row r="910" spans="7:31" x14ac:dyDescent="0.35">
      <c r="G910" s="85"/>
      <c r="H910" s="87"/>
      <c r="K910" s="85"/>
      <c r="M910" s="94"/>
      <c r="N910" s="93"/>
      <c r="O910" s="85"/>
      <c r="Q910" s="94"/>
      <c r="R910" s="93"/>
      <c r="S910" s="85"/>
      <c r="U910" s="94"/>
      <c r="V910" s="93"/>
      <c r="W910" s="85"/>
      <c r="Y910" s="94"/>
      <c r="Z910" s="93"/>
      <c r="AA910" s="85"/>
      <c r="AC910" s="94"/>
      <c r="AD910" s="93"/>
      <c r="AE910" s="85"/>
    </row>
    <row r="911" spans="7:31" x14ac:dyDescent="0.35">
      <c r="G911" s="85"/>
      <c r="H911" s="87"/>
      <c r="K911" s="85"/>
      <c r="M911" s="94"/>
      <c r="N911" s="93"/>
      <c r="O911" s="85"/>
      <c r="Q911" s="94"/>
      <c r="R911" s="93"/>
      <c r="S911" s="85"/>
      <c r="U911" s="94"/>
      <c r="V911" s="93"/>
      <c r="W911" s="85"/>
      <c r="Y911" s="94"/>
      <c r="Z911" s="93"/>
      <c r="AA911" s="85"/>
      <c r="AC911" s="94"/>
      <c r="AD911" s="93"/>
      <c r="AE911" s="85"/>
    </row>
    <row r="912" spans="7:31" x14ac:dyDescent="0.35">
      <c r="G912" s="85"/>
      <c r="H912" s="87"/>
      <c r="K912" s="85"/>
      <c r="M912" s="94"/>
      <c r="N912" s="93"/>
      <c r="O912" s="85"/>
      <c r="Q912" s="94"/>
      <c r="R912" s="93"/>
      <c r="S912" s="85"/>
      <c r="U912" s="94"/>
      <c r="V912" s="93"/>
      <c r="W912" s="85"/>
      <c r="Y912" s="94"/>
      <c r="Z912" s="93"/>
      <c r="AA912" s="85"/>
      <c r="AC912" s="94"/>
      <c r="AD912" s="93"/>
      <c r="AE912" s="85"/>
    </row>
    <row r="913" spans="7:31" x14ac:dyDescent="0.35">
      <c r="G913" s="85"/>
      <c r="H913" s="87"/>
      <c r="K913" s="85"/>
      <c r="M913" s="94"/>
      <c r="N913" s="93"/>
      <c r="O913" s="85"/>
      <c r="Q913" s="94"/>
      <c r="R913" s="93"/>
      <c r="S913" s="85"/>
      <c r="U913" s="94"/>
      <c r="V913" s="93"/>
      <c r="W913" s="85"/>
      <c r="Y913" s="94"/>
      <c r="Z913" s="93"/>
      <c r="AA913" s="85"/>
      <c r="AC913" s="94"/>
      <c r="AD913" s="93"/>
      <c r="AE913" s="85"/>
    </row>
    <row r="914" spans="7:31" x14ac:dyDescent="0.35">
      <c r="G914" s="85"/>
      <c r="H914" s="87"/>
      <c r="K914" s="85"/>
      <c r="M914" s="94"/>
      <c r="N914" s="93"/>
      <c r="O914" s="85"/>
      <c r="Q914" s="94"/>
      <c r="R914" s="93"/>
      <c r="S914" s="85"/>
      <c r="U914" s="94"/>
      <c r="V914" s="93"/>
      <c r="W914" s="85"/>
      <c r="Y914" s="94"/>
      <c r="Z914" s="93"/>
      <c r="AA914" s="85"/>
      <c r="AC914" s="94"/>
      <c r="AD914" s="93"/>
      <c r="AE914" s="85"/>
    </row>
    <row r="915" spans="7:31" x14ac:dyDescent="0.35">
      <c r="G915" s="85"/>
      <c r="H915" s="87"/>
      <c r="K915" s="85"/>
      <c r="M915" s="94"/>
      <c r="N915" s="93"/>
      <c r="O915" s="85"/>
      <c r="Q915" s="94"/>
      <c r="R915" s="93"/>
      <c r="S915" s="85"/>
      <c r="U915" s="94"/>
      <c r="V915" s="93"/>
      <c r="W915" s="85"/>
      <c r="Y915" s="94"/>
      <c r="Z915" s="93"/>
      <c r="AA915" s="85"/>
      <c r="AC915" s="94"/>
      <c r="AD915" s="93"/>
      <c r="AE915" s="85"/>
    </row>
    <row r="916" spans="7:31" x14ac:dyDescent="0.35">
      <c r="G916" s="85"/>
      <c r="H916" s="87"/>
      <c r="K916" s="85"/>
      <c r="M916" s="94"/>
      <c r="N916" s="93"/>
      <c r="O916" s="85"/>
      <c r="Q916" s="94"/>
      <c r="R916" s="93"/>
      <c r="S916" s="85"/>
      <c r="U916" s="94"/>
      <c r="V916" s="93"/>
      <c r="W916" s="85"/>
      <c r="Y916" s="94"/>
      <c r="Z916" s="93"/>
      <c r="AA916" s="85"/>
      <c r="AC916" s="94"/>
      <c r="AD916" s="93"/>
      <c r="AE916" s="85"/>
    </row>
    <row r="917" spans="7:31" x14ac:dyDescent="0.35">
      <c r="G917" s="85"/>
      <c r="H917" s="87"/>
      <c r="K917" s="85"/>
      <c r="M917" s="94"/>
      <c r="N917" s="93"/>
      <c r="O917" s="85"/>
      <c r="Q917" s="94"/>
      <c r="R917" s="93"/>
      <c r="S917" s="85"/>
      <c r="U917" s="94"/>
      <c r="V917" s="93"/>
      <c r="W917" s="85"/>
      <c r="Y917" s="94"/>
      <c r="Z917" s="93"/>
      <c r="AA917" s="85"/>
      <c r="AC917" s="94"/>
      <c r="AD917" s="93"/>
      <c r="AE917" s="85"/>
    </row>
    <row r="918" spans="7:31" x14ac:dyDescent="0.35">
      <c r="G918" s="85"/>
      <c r="H918" s="87"/>
      <c r="K918" s="85"/>
      <c r="M918" s="94"/>
      <c r="N918" s="93"/>
      <c r="O918" s="85"/>
      <c r="Q918" s="94"/>
      <c r="R918" s="93"/>
      <c r="S918" s="85"/>
      <c r="U918" s="94"/>
      <c r="V918" s="93"/>
      <c r="W918" s="85"/>
      <c r="Y918" s="94"/>
      <c r="Z918" s="93"/>
      <c r="AA918" s="85"/>
      <c r="AC918" s="94"/>
      <c r="AD918" s="93"/>
      <c r="AE918" s="85"/>
    </row>
    <row r="919" spans="7:31" x14ac:dyDescent="0.35">
      <c r="G919" s="85"/>
      <c r="H919" s="87"/>
      <c r="K919" s="85"/>
      <c r="M919" s="94"/>
      <c r="N919" s="93"/>
      <c r="O919" s="85"/>
      <c r="Q919" s="94"/>
      <c r="R919" s="93"/>
      <c r="S919" s="85"/>
      <c r="U919" s="94"/>
      <c r="V919" s="93"/>
      <c r="W919" s="85"/>
      <c r="Y919" s="94"/>
      <c r="Z919" s="93"/>
      <c r="AA919" s="85"/>
      <c r="AC919" s="94"/>
      <c r="AD919" s="93"/>
      <c r="AE919" s="85"/>
    </row>
    <row r="920" spans="7:31" x14ac:dyDescent="0.35">
      <c r="G920" s="85"/>
      <c r="H920" s="87"/>
      <c r="K920" s="85"/>
      <c r="M920" s="94"/>
      <c r="N920" s="93"/>
      <c r="O920" s="85"/>
      <c r="Q920" s="94"/>
      <c r="R920" s="93"/>
      <c r="S920" s="85"/>
      <c r="U920" s="94"/>
      <c r="V920" s="93"/>
      <c r="W920" s="85"/>
      <c r="Y920" s="94"/>
      <c r="Z920" s="93"/>
      <c r="AA920" s="85"/>
      <c r="AC920" s="94"/>
      <c r="AD920" s="93"/>
      <c r="AE920" s="85"/>
    </row>
    <row r="921" spans="7:31" x14ac:dyDescent="0.35">
      <c r="G921" s="85"/>
      <c r="H921" s="87"/>
      <c r="K921" s="85"/>
      <c r="M921" s="94"/>
      <c r="N921" s="93"/>
      <c r="O921" s="85"/>
      <c r="Q921" s="94"/>
      <c r="R921" s="93"/>
      <c r="S921" s="85"/>
      <c r="U921" s="94"/>
      <c r="V921" s="93"/>
      <c r="W921" s="85"/>
      <c r="Y921" s="94"/>
      <c r="Z921" s="93"/>
      <c r="AA921" s="85"/>
      <c r="AC921" s="94"/>
      <c r="AD921" s="93"/>
      <c r="AE921" s="85"/>
    </row>
    <row r="922" spans="7:31" x14ac:dyDescent="0.35">
      <c r="G922" s="85"/>
      <c r="H922" s="87"/>
      <c r="K922" s="85"/>
      <c r="M922" s="94"/>
      <c r="N922" s="93"/>
      <c r="O922" s="85"/>
      <c r="Q922" s="94"/>
      <c r="R922" s="93"/>
      <c r="S922" s="85"/>
      <c r="U922" s="94"/>
      <c r="V922" s="93"/>
      <c r="W922" s="85"/>
      <c r="Y922" s="94"/>
      <c r="Z922" s="93"/>
      <c r="AA922" s="85"/>
      <c r="AC922" s="94"/>
      <c r="AD922" s="93"/>
      <c r="AE922" s="85"/>
    </row>
    <row r="923" spans="7:31" x14ac:dyDescent="0.35">
      <c r="G923" s="85"/>
      <c r="H923" s="87"/>
      <c r="K923" s="85"/>
      <c r="M923" s="94"/>
      <c r="N923" s="93"/>
      <c r="O923" s="85"/>
      <c r="Q923" s="94"/>
      <c r="R923" s="93"/>
      <c r="S923" s="85"/>
      <c r="U923" s="94"/>
      <c r="V923" s="93"/>
      <c r="W923" s="85"/>
      <c r="Y923" s="94"/>
      <c r="Z923" s="93"/>
      <c r="AA923" s="85"/>
      <c r="AC923" s="94"/>
      <c r="AD923" s="93"/>
      <c r="AE923" s="85"/>
    </row>
    <row r="924" spans="7:31" x14ac:dyDescent="0.35">
      <c r="G924" s="85"/>
      <c r="H924" s="87"/>
      <c r="K924" s="85"/>
      <c r="M924" s="94"/>
      <c r="N924" s="93"/>
      <c r="O924" s="85"/>
      <c r="Q924" s="94"/>
      <c r="R924" s="93"/>
      <c r="S924" s="85"/>
      <c r="U924" s="94"/>
      <c r="V924" s="93"/>
      <c r="W924" s="85"/>
      <c r="Y924" s="94"/>
      <c r="Z924" s="93"/>
      <c r="AA924" s="85"/>
      <c r="AC924" s="94"/>
      <c r="AD924" s="93"/>
      <c r="AE924" s="85"/>
    </row>
    <row r="925" spans="7:31" x14ac:dyDescent="0.35">
      <c r="G925" s="85"/>
      <c r="H925" s="87"/>
      <c r="K925" s="85"/>
      <c r="M925" s="94"/>
      <c r="N925" s="93"/>
      <c r="O925" s="85"/>
      <c r="Q925" s="94"/>
      <c r="R925" s="93"/>
      <c r="S925" s="85"/>
      <c r="U925" s="94"/>
      <c r="V925" s="93"/>
      <c r="W925" s="85"/>
      <c r="Y925" s="94"/>
      <c r="Z925" s="93"/>
      <c r="AA925" s="85"/>
      <c r="AC925" s="94"/>
      <c r="AD925" s="93"/>
      <c r="AE925" s="85"/>
    </row>
    <row r="926" spans="7:31" x14ac:dyDescent="0.35">
      <c r="G926" s="85"/>
      <c r="H926" s="87"/>
      <c r="K926" s="85"/>
      <c r="M926" s="94"/>
      <c r="N926" s="93"/>
      <c r="O926" s="85"/>
      <c r="Q926" s="94"/>
      <c r="R926" s="93"/>
      <c r="S926" s="85"/>
      <c r="U926" s="94"/>
      <c r="V926" s="93"/>
      <c r="W926" s="85"/>
      <c r="Y926" s="94"/>
      <c r="Z926" s="93"/>
      <c r="AA926" s="85"/>
      <c r="AC926" s="94"/>
      <c r="AD926" s="93"/>
      <c r="AE926" s="85"/>
    </row>
    <row r="927" spans="7:31" x14ac:dyDescent="0.35">
      <c r="G927" s="85"/>
      <c r="H927" s="87"/>
      <c r="K927" s="85"/>
      <c r="M927" s="94"/>
      <c r="N927" s="93"/>
      <c r="O927" s="85"/>
      <c r="Q927" s="94"/>
      <c r="R927" s="93"/>
      <c r="S927" s="85"/>
      <c r="U927" s="94"/>
      <c r="V927" s="93"/>
      <c r="W927" s="85"/>
      <c r="Y927" s="94"/>
      <c r="Z927" s="93"/>
      <c r="AA927" s="85"/>
      <c r="AC927" s="94"/>
      <c r="AD927" s="93"/>
      <c r="AE927" s="85"/>
    </row>
    <row r="928" spans="7:31" x14ac:dyDescent="0.35">
      <c r="G928" s="85"/>
      <c r="H928" s="87"/>
      <c r="K928" s="85"/>
      <c r="M928" s="94"/>
      <c r="N928" s="93"/>
      <c r="O928" s="85"/>
      <c r="Q928" s="94"/>
      <c r="R928" s="93"/>
      <c r="S928" s="85"/>
      <c r="U928" s="94"/>
      <c r="V928" s="93"/>
      <c r="W928" s="85"/>
      <c r="Y928" s="94"/>
      <c r="Z928" s="93"/>
      <c r="AA928" s="85"/>
      <c r="AC928" s="94"/>
      <c r="AD928" s="93"/>
      <c r="AE928" s="85"/>
    </row>
    <row r="929" spans="7:31" x14ac:dyDescent="0.35">
      <c r="G929" s="85"/>
      <c r="H929" s="87"/>
      <c r="K929" s="85"/>
      <c r="M929" s="94"/>
      <c r="N929" s="93"/>
      <c r="O929" s="85"/>
      <c r="Q929" s="94"/>
      <c r="R929" s="93"/>
      <c r="S929" s="85"/>
      <c r="U929" s="94"/>
      <c r="V929" s="93"/>
      <c r="W929" s="85"/>
      <c r="Y929" s="94"/>
      <c r="Z929" s="93"/>
      <c r="AA929" s="85"/>
      <c r="AC929" s="94"/>
      <c r="AD929" s="93"/>
      <c r="AE929" s="85"/>
    </row>
    <row r="930" spans="7:31" x14ac:dyDescent="0.35">
      <c r="G930" s="85"/>
      <c r="H930" s="87"/>
      <c r="K930" s="85"/>
      <c r="M930" s="94"/>
      <c r="N930" s="93"/>
      <c r="O930" s="85"/>
      <c r="Q930" s="94"/>
      <c r="R930" s="93"/>
      <c r="S930" s="85"/>
      <c r="U930" s="94"/>
      <c r="V930" s="93"/>
      <c r="W930" s="85"/>
      <c r="Y930" s="94"/>
      <c r="Z930" s="93"/>
      <c r="AA930" s="85"/>
      <c r="AC930" s="94"/>
      <c r="AD930" s="93"/>
      <c r="AE930" s="85"/>
    </row>
    <row r="931" spans="7:31" x14ac:dyDescent="0.35">
      <c r="G931" s="85"/>
      <c r="H931" s="87"/>
      <c r="K931" s="85"/>
      <c r="M931" s="94"/>
      <c r="N931" s="93"/>
      <c r="O931" s="85"/>
      <c r="Q931" s="94"/>
      <c r="R931" s="93"/>
      <c r="S931" s="85"/>
      <c r="U931" s="94"/>
      <c r="V931" s="93"/>
      <c r="W931" s="85"/>
      <c r="Y931" s="94"/>
      <c r="Z931" s="93"/>
      <c r="AA931" s="85"/>
      <c r="AC931" s="94"/>
      <c r="AD931" s="93"/>
      <c r="AE931" s="85"/>
    </row>
    <row r="932" spans="7:31" x14ac:dyDescent="0.35">
      <c r="G932" s="85"/>
      <c r="H932" s="87"/>
      <c r="K932" s="85"/>
      <c r="M932" s="94"/>
      <c r="N932" s="93"/>
      <c r="O932" s="85"/>
      <c r="Q932" s="94"/>
      <c r="R932" s="93"/>
      <c r="S932" s="85"/>
      <c r="U932" s="94"/>
      <c r="V932" s="93"/>
      <c r="W932" s="85"/>
      <c r="Y932" s="94"/>
      <c r="Z932" s="93"/>
      <c r="AA932" s="85"/>
      <c r="AC932" s="94"/>
      <c r="AD932" s="93"/>
      <c r="AE932" s="85"/>
    </row>
    <row r="933" spans="7:31" x14ac:dyDescent="0.35">
      <c r="G933" s="85"/>
      <c r="H933" s="87"/>
      <c r="K933" s="85"/>
      <c r="M933" s="94"/>
      <c r="N933" s="93"/>
      <c r="O933" s="85"/>
      <c r="Q933" s="94"/>
      <c r="R933" s="93"/>
      <c r="S933" s="85"/>
      <c r="U933" s="94"/>
      <c r="V933" s="93"/>
      <c r="W933" s="85"/>
      <c r="Y933" s="94"/>
      <c r="Z933" s="93"/>
      <c r="AA933" s="85"/>
      <c r="AC933" s="94"/>
      <c r="AD933" s="93"/>
      <c r="AE933" s="85"/>
    </row>
    <row r="934" spans="7:31" x14ac:dyDescent="0.35">
      <c r="G934" s="85"/>
      <c r="H934" s="87"/>
      <c r="K934" s="85"/>
      <c r="M934" s="94"/>
      <c r="N934" s="93"/>
      <c r="O934" s="85"/>
      <c r="Q934" s="94"/>
      <c r="R934" s="93"/>
      <c r="S934" s="85"/>
      <c r="U934" s="94"/>
      <c r="V934" s="93"/>
      <c r="W934" s="85"/>
      <c r="Y934" s="94"/>
      <c r="Z934" s="93"/>
      <c r="AA934" s="85"/>
      <c r="AC934" s="94"/>
      <c r="AD934" s="93"/>
      <c r="AE934" s="85"/>
    </row>
    <row r="935" spans="7:31" x14ac:dyDescent="0.35">
      <c r="G935" s="85"/>
      <c r="H935" s="87"/>
      <c r="K935" s="85"/>
      <c r="M935" s="94"/>
      <c r="N935" s="93"/>
      <c r="O935" s="85"/>
      <c r="Q935" s="94"/>
      <c r="R935" s="93"/>
      <c r="S935" s="85"/>
      <c r="U935" s="94"/>
      <c r="V935" s="93"/>
      <c r="W935" s="85"/>
      <c r="Y935" s="94"/>
      <c r="Z935" s="93"/>
      <c r="AA935" s="85"/>
      <c r="AC935" s="94"/>
      <c r="AD935" s="93"/>
      <c r="AE935" s="85"/>
    </row>
    <row r="936" spans="7:31" x14ac:dyDescent="0.35">
      <c r="G936" s="85"/>
      <c r="H936" s="87"/>
      <c r="K936" s="85"/>
      <c r="M936" s="94"/>
      <c r="N936" s="93"/>
      <c r="O936" s="85"/>
      <c r="Q936" s="94"/>
      <c r="R936" s="93"/>
      <c r="S936" s="85"/>
      <c r="U936" s="94"/>
      <c r="V936" s="93"/>
      <c r="W936" s="85"/>
      <c r="Y936" s="94"/>
      <c r="Z936" s="93"/>
      <c r="AA936" s="85"/>
      <c r="AC936" s="94"/>
      <c r="AD936" s="93"/>
      <c r="AE936" s="85"/>
    </row>
    <row r="937" spans="7:31" x14ac:dyDescent="0.35">
      <c r="G937" s="85"/>
      <c r="H937" s="87"/>
      <c r="K937" s="85"/>
      <c r="M937" s="94"/>
      <c r="N937" s="93"/>
      <c r="O937" s="85"/>
      <c r="Q937" s="94"/>
      <c r="R937" s="93"/>
      <c r="S937" s="85"/>
      <c r="U937" s="94"/>
      <c r="V937" s="93"/>
      <c r="W937" s="85"/>
      <c r="Y937" s="94"/>
      <c r="Z937" s="93"/>
      <c r="AA937" s="85"/>
      <c r="AC937" s="94"/>
      <c r="AD937" s="93"/>
      <c r="AE937" s="85"/>
    </row>
    <row r="938" spans="7:31" x14ac:dyDescent="0.35">
      <c r="G938" s="85"/>
      <c r="H938" s="87"/>
      <c r="K938" s="85"/>
      <c r="M938" s="94"/>
      <c r="N938" s="93"/>
      <c r="O938" s="85"/>
      <c r="Q938" s="94"/>
      <c r="R938" s="93"/>
      <c r="S938" s="85"/>
      <c r="U938" s="94"/>
      <c r="V938" s="93"/>
      <c r="W938" s="85"/>
      <c r="Y938" s="94"/>
      <c r="Z938" s="93"/>
      <c r="AA938" s="85"/>
      <c r="AC938" s="94"/>
      <c r="AD938" s="93"/>
      <c r="AE938" s="85"/>
    </row>
    <row r="939" spans="7:31" x14ac:dyDescent="0.35">
      <c r="G939" s="85"/>
      <c r="H939" s="87"/>
      <c r="K939" s="85"/>
      <c r="M939" s="94"/>
      <c r="N939" s="93"/>
      <c r="O939" s="85"/>
      <c r="Q939" s="94"/>
      <c r="R939" s="93"/>
      <c r="S939" s="85"/>
      <c r="U939" s="94"/>
      <c r="V939" s="93"/>
      <c r="W939" s="85"/>
      <c r="Y939" s="94"/>
      <c r="Z939" s="93"/>
      <c r="AA939" s="85"/>
      <c r="AC939" s="94"/>
      <c r="AD939" s="93"/>
      <c r="AE939" s="85"/>
    </row>
    <row r="940" spans="7:31" x14ac:dyDescent="0.35">
      <c r="G940" s="85"/>
      <c r="H940" s="87"/>
      <c r="K940" s="85"/>
      <c r="M940" s="94"/>
      <c r="N940" s="93"/>
      <c r="O940" s="85"/>
      <c r="Q940" s="94"/>
      <c r="R940" s="93"/>
      <c r="S940" s="85"/>
      <c r="U940" s="94"/>
      <c r="V940" s="93"/>
      <c r="W940" s="85"/>
      <c r="Y940" s="94"/>
      <c r="Z940" s="93"/>
      <c r="AA940" s="85"/>
      <c r="AC940" s="94"/>
      <c r="AD940" s="93"/>
      <c r="AE940" s="85"/>
    </row>
    <row r="941" spans="7:31" x14ac:dyDescent="0.35">
      <c r="G941" s="85"/>
      <c r="H941" s="87"/>
      <c r="K941" s="85"/>
      <c r="M941" s="94"/>
      <c r="N941" s="93"/>
      <c r="O941" s="85"/>
      <c r="Q941" s="94"/>
      <c r="R941" s="93"/>
      <c r="S941" s="85"/>
      <c r="U941" s="94"/>
      <c r="V941" s="93"/>
      <c r="W941" s="85"/>
      <c r="Y941" s="94"/>
      <c r="Z941" s="93"/>
      <c r="AA941" s="85"/>
      <c r="AC941" s="94"/>
      <c r="AD941" s="93"/>
      <c r="AE941" s="85"/>
    </row>
    <row r="942" spans="7:31" x14ac:dyDescent="0.35">
      <c r="G942" s="85"/>
      <c r="H942" s="87"/>
      <c r="K942" s="85"/>
      <c r="M942" s="94"/>
      <c r="N942" s="93"/>
      <c r="O942" s="85"/>
      <c r="Q942" s="94"/>
      <c r="R942" s="93"/>
      <c r="S942" s="85"/>
      <c r="U942" s="94"/>
      <c r="V942" s="93"/>
      <c r="W942" s="85"/>
      <c r="Y942" s="94"/>
      <c r="Z942" s="93"/>
      <c r="AA942" s="85"/>
      <c r="AC942" s="94"/>
      <c r="AD942" s="93"/>
      <c r="AE942" s="85"/>
    </row>
    <row r="943" spans="7:31" x14ac:dyDescent="0.35">
      <c r="G943" s="85"/>
      <c r="H943" s="87"/>
      <c r="K943" s="85"/>
      <c r="M943" s="94"/>
      <c r="N943" s="93"/>
      <c r="O943" s="85"/>
      <c r="Q943" s="94"/>
      <c r="R943" s="93"/>
      <c r="S943" s="85"/>
      <c r="U943" s="94"/>
      <c r="V943" s="93"/>
      <c r="W943" s="85"/>
      <c r="Y943" s="94"/>
      <c r="Z943" s="93"/>
      <c r="AA943" s="85"/>
      <c r="AC943" s="94"/>
      <c r="AD943" s="93"/>
      <c r="AE943" s="85"/>
    </row>
    <row r="944" spans="7:31" x14ac:dyDescent="0.35">
      <c r="G944" s="85"/>
      <c r="H944" s="87"/>
      <c r="K944" s="85"/>
      <c r="M944" s="94"/>
      <c r="N944" s="93"/>
      <c r="O944" s="85"/>
      <c r="Q944" s="94"/>
      <c r="R944" s="93"/>
      <c r="S944" s="85"/>
      <c r="U944" s="94"/>
      <c r="V944" s="93"/>
      <c r="W944" s="85"/>
      <c r="Y944" s="94"/>
      <c r="Z944" s="93"/>
      <c r="AA944" s="85"/>
      <c r="AC944" s="94"/>
      <c r="AD944" s="93"/>
      <c r="AE944" s="85"/>
    </row>
    <row r="945" spans="7:31" x14ac:dyDescent="0.35">
      <c r="G945" s="85"/>
      <c r="H945" s="87"/>
      <c r="K945" s="85"/>
      <c r="M945" s="94"/>
      <c r="N945" s="93"/>
      <c r="O945" s="85"/>
      <c r="Q945" s="94"/>
      <c r="R945" s="93"/>
      <c r="S945" s="85"/>
      <c r="U945" s="94"/>
      <c r="V945" s="93"/>
      <c r="W945" s="85"/>
      <c r="Y945" s="94"/>
      <c r="Z945" s="93"/>
      <c r="AA945" s="85"/>
      <c r="AC945" s="94"/>
      <c r="AD945" s="93"/>
      <c r="AE945" s="85"/>
    </row>
    <row r="946" spans="7:31" x14ac:dyDescent="0.35">
      <c r="G946" s="85"/>
      <c r="H946" s="87"/>
      <c r="K946" s="85"/>
      <c r="M946" s="94"/>
      <c r="N946" s="93"/>
      <c r="O946" s="85"/>
      <c r="Q946" s="94"/>
      <c r="R946" s="93"/>
      <c r="S946" s="85"/>
      <c r="U946" s="94"/>
      <c r="V946" s="93"/>
      <c r="W946" s="85"/>
      <c r="Y946" s="94"/>
      <c r="Z946" s="93"/>
      <c r="AA946" s="85"/>
      <c r="AC946" s="94"/>
      <c r="AD946" s="93"/>
      <c r="AE946" s="85"/>
    </row>
    <row r="947" spans="7:31" x14ac:dyDescent="0.35">
      <c r="G947" s="85"/>
      <c r="H947" s="87"/>
      <c r="K947" s="85"/>
      <c r="M947" s="94"/>
      <c r="N947" s="93"/>
      <c r="O947" s="85"/>
      <c r="Q947" s="94"/>
      <c r="R947" s="93"/>
      <c r="S947" s="85"/>
      <c r="U947" s="94"/>
      <c r="V947" s="93"/>
      <c r="W947" s="85"/>
      <c r="Y947" s="94"/>
      <c r="Z947" s="93"/>
      <c r="AA947" s="85"/>
      <c r="AC947" s="94"/>
      <c r="AD947" s="93"/>
      <c r="AE947" s="85"/>
    </row>
    <row r="948" spans="7:31" x14ac:dyDescent="0.35">
      <c r="G948" s="85"/>
      <c r="H948" s="87"/>
      <c r="K948" s="85"/>
      <c r="M948" s="94"/>
      <c r="N948" s="93"/>
      <c r="O948" s="85"/>
      <c r="Q948" s="94"/>
      <c r="R948" s="93"/>
      <c r="S948" s="85"/>
      <c r="U948" s="94"/>
      <c r="V948" s="93"/>
      <c r="W948" s="85"/>
      <c r="Y948" s="94"/>
      <c r="Z948" s="93"/>
      <c r="AA948" s="85"/>
      <c r="AC948" s="94"/>
      <c r="AD948" s="93"/>
      <c r="AE948" s="85"/>
    </row>
    <row r="949" spans="7:31" x14ac:dyDescent="0.35">
      <c r="G949" s="85"/>
      <c r="H949" s="87"/>
      <c r="K949" s="85"/>
      <c r="M949" s="94"/>
      <c r="N949" s="93"/>
      <c r="O949" s="85"/>
      <c r="Q949" s="94"/>
      <c r="R949" s="93"/>
      <c r="S949" s="85"/>
      <c r="U949" s="94"/>
      <c r="V949" s="93"/>
      <c r="W949" s="85"/>
      <c r="Y949" s="94"/>
      <c r="Z949" s="93"/>
      <c r="AA949" s="85"/>
      <c r="AC949" s="94"/>
      <c r="AD949" s="93"/>
      <c r="AE949" s="85"/>
    </row>
    <row r="950" spans="7:31" x14ac:dyDescent="0.35">
      <c r="G950" s="85"/>
      <c r="H950" s="87"/>
      <c r="K950" s="85"/>
      <c r="M950" s="94"/>
      <c r="N950" s="93"/>
      <c r="O950" s="85"/>
      <c r="Q950" s="94"/>
      <c r="R950" s="93"/>
      <c r="S950" s="85"/>
      <c r="U950" s="94"/>
      <c r="V950" s="93"/>
      <c r="W950" s="85"/>
      <c r="Y950" s="94"/>
      <c r="Z950" s="93"/>
      <c r="AA950" s="85"/>
      <c r="AC950" s="94"/>
      <c r="AD950" s="93"/>
      <c r="AE950" s="85"/>
    </row>
    <row r="951" spans="7:31" x14ac:dyDescent="0.35">
      <c r="G951" s="85"/>
      <c r="H951" s="87"/>
      <c r="K951" s="85"/>
      <c r="M951" s="94"/>
      <c r="N951" s="93"/>
      <c r="O951" s="85"/>
      <c r="Q951" s="94"/>
      <c r="R951" s="93"/>
      <c r="S951" s="85"/>
      <c r="U951" s="94"/>
      <c r="V951" s="93"/>
      <c r="W951" s="85"/>
      <c r="Y951" s="94"/>
      <c r="Z951" s="93"/>
      <c r="AA951" s="85"/>
      <c r="AC951" s="94"/>
      <c r="AD951" s="93"/>
      <c r="AE951" s="85"/>
    </row>
    <row r="952" spans="7:31" x14ac:dyDescent="0.35">
      <c r="G952" s="85"/>
      <c r="H952" s="87"/>
      <c r="K952" s="85"/>
      <c r="M952" s="94"/>
      <c r="N952" s="93"/>
      <c r="O952" s="85"/>
      <c r="Q952" s="94"/>
      <c r="R952" s="93"/>
      <c r="S952" s="85"/>
      <c r="U952" s="94"/>
      <c r="V952" s="93"/>
      <c r="W952" s="85"/>
      <c r="Y952" s="94"/>
      <c r="Z952" s="93"/>
      <c r="AA952" s="85"/>
      <c r="AC952" s="94"/>
      <c r="AD952" s="93"/>
      <c r="AE952" s="85"/>
    </row>
    <row r="953" spans="7:31" x14ac:dyDescent="0.35">
      <c r="G953" s="85"/>
      <c r="H953" s="87"/>
      <c r="K953" s="85"/>
      <c r="M953" s="94"/>
      <c r="N953" s="93"/>
      <c r="O953" s="85"/>
      <c r="Q953" s="94"/>
      <c r="R953" s="93"/>
      <c r="S953" s="85"/>
      <c r="U953" s="94"/>
      <c r="V953" s="93"/>
      <c r="W953" s="85"/>
      <c r="Y953" s="94"/>
      <c r="Z953" s="93"/>
      <c r="AA953" s="85"/>
      <c r="AC953" s="94"/>
      <c r="AD953" s="93"/>
      <c r="AE953" s="85"/>
    </row>
    <row r="954" spans="7:31" x14ac:dyDescent="0.35">
      <c r="G954" s="85"/>
      <c r="H954" s="87"/>
      <c r="K954" s="85"/>
      <c r="M954" s="94"/>
      <c r="N954" s="93"/>
      <c r="O954" s="85"/>
      <c r="Q954" s="94"/>
      <c r="R954" s="93"/>
      <c r="S954" s="85"/>
      <c r="U954" s="94"/>
      <c r="V954" s="93"/>
      <c r="W954" s="85"/>
      <c r="Y954" s="94"/>
      <c r="Z954" s="93"/>
      <c r="AA954" s="85"/>
      <c r="AC954" s="94"/>
      <c r="AD954" s="93"/>
      <c r="AE954" s="85"/>
    </row>
    <row r="955" spans="7:31" x14ac:dyDescent="0.35">
      <c r="G955" s="85"/>
      <c r="H955" s="87"/>
      <c r="K955" s="85"/>
      <c r="M955" s="94"/>
      <c r="N955" s="93"/>
      <c r="O955" s="85"/>
      <c r="Q955" s="94"/>
      <c r="R955" s="93"/>
      <c r="S955" s="85"/>
      <c r="U955" s="94"/>
      <c r="V955" s="93"/>
      <c r="W955" s="85"/>
      <c r="Y955" s="94"/>
      <c r="Z955" s="93"/>
      <c r="AA955" s="85"/>
      <c r="AC955" s="94"/>
      <c r="AD955" s="93"/>
      <c r="AE955" s="85"/>
    </row>
    <row r="956" spans="7:31" x14ac:dyDescent="0.35">
      <c r="G956" s="85"/>
      <c r="H956" s="87"/>
      <c r="K956" s="85"/>
      <c r="M956" s="94"/>
      <c r="N956" s="93"/>
      <c r="O956" s="85"/>
      <c r="Q956" s="94"/>
      <c r="R956" s="93"/>
      <c r="S956" s="85"/>
      <c r="U956" s="94"/>
      <c r="V956" s="93"/>
      <c r="W956" s="85"/>
      <c r="Y956" s="94"/>
      <c r="Z956" s="93"/>
      <c r="AA956" s="85"/>
      <c r="AC956" s="94"/>
      <c r="AD956" s="93"/>
      <c r="AE956" s="85"/>
    </row>
    <row r="957" spans="7:31" x14ac:dyDescent="0.35">
      <c r="G957" s="85"/>
      <c r="H957" s="87"/>
      <c r="K957" s="85"/>
      <c r="M957" s="94"/>
      <c r="N957" s="93"/>
      <c r="O957" s="85"/>
      <c r="Q957" s="94"/>
      <c r="R957" s="93"/>
      <c r="S957" s="85"/>
      <c r="U957" s="94"/>
      <c r="V957" s="93"/>
      <c r="W957" s="85"/>
      <c r="Y957" s="94"/>
      <c r="Z957" s="93"/>
      <c r="AA957" s="85"/>
      <c r="AC957" s="94"/>
      <c r="AD957" s="93"/>
      <c r="AE957" s="85"/>
    </row>
    <row r="958" spans="7:31" x14ac:dyDescent="0.35">
      <c r="G958" s="85"/>
      <c r="H958" s="87"/>
      <c r="K958" s="85"/>
      <c r="M958" s="94"/>
      <c r="N958" s="93"/>
      <c r="O958" s="85"/>
      <c r="Q958" s="94"/>
      <c r="R958" s="93"/>
      <c r="S958" s="85"/>
      <c r="U958" s="94"/>
      <c r="V958" s="93"/>
      <c r="W958" s="85"/>
      <c r="Y958" s="94"/>
      <c r="Z958" s="93"/>
      <c r="AA958" s="85"/>
      <c r="AC958" s="94"/>
      <c r="AD958" s="93"/>
      <c r="AE958" s="85"/>
    </row>
    <row r="959" spans="7:31" x14ac:dyDescent="0.35">
      <c r="G959" s="85"/>
      <c r="H959" s="87"/>
      <c r="K959" s="85"/>
      <c r="M959" s="94"/>
      <c r="N959" s="93"/>
      <c r="O959" s="85"/>
      <c r="Q959" s="94"/>
      <c r="R959" s="93"/>
      <c r="S959" s="85"/>
      <c r="U959" s="94"/>
      <c r="V959" s="93"/>
      <c r="W959" s="85"/>
      <c r="Y959" s="94"/>
      <c r="Z959" s="93"/>
      <c r="AA959" s="85"/>
      <c r="AC959" s="94"/>
      <c r="AD959" s="93"/>
      <c r="AE959" s="85"/>
    </row>
    <row r="960" spans="7:31" x14ac:dyDescent="0.35">
      <c r="G960" s="85"/>
      <c r="H960" s="87"/>
      <c r="K960" s="85"/>
      <c r="M960" s="94"/>
      <c r="N960" s="93"/>
      <c r="O960" s="85"/>
      <c r="Q960" s="94"/>
      <c r="R960" s="93"/>
      <c r="S960" s="85"/>
      <c r="U960" s="94"/>
      <c r="V960" s="93"/>
      <c r="W960" s="85"/>
      <c r="Y960" s="94"/>
      <c r="Z960" s="93"/>
      <c r="AA960" s="85"/>
      <c r="AC960" s="94"/>
      <c r="AD960" s="93"/>
      <c r="AE960" s="85"/>
    </row>
    <row r="961" spans="7:31" x14ac:dyDescent="0.35">
      <c r="G961" s="85"/>
      <c r="H961" s="87"/>
      <c r="K961" s="85"/>
      <c r="M961" s="94"/>
      <c r="N961" s="93"/>
      <c r="O961" s="85"/>
      <c r="Q961" s="94"/>
      <c r="R961" s="93"/>
      <c r="S961" s="85"/>
      <c r="U961" s="94"/>
      <c r="V961" s="93"/>
      <c r="W961" s="85"/>
      <c r="Y961" s="94"/>
      <c r="Z961" s="93"/>
      <c r="AA961" s="85"/>
      <c r="AC961" s="94"/>
      <c r="AD961" s="93"/>
      <c r="AE961" s="85"/>
    </row>
    <row r="962" spans="7:31" x14ac:dyDescent="0.35">
      <c r="G962" s="85"/>
      <c r="H962" s="87"/>
      <c r="K962" s="85"/>
      <c r="M962" s="94"/>
      <c r="N962" s="93"/>
      <c r="O962" s="85"/>
      <c r="Q962" s="94"/>
      <c r="R962" s="93"/>
      <c r="S962" s="85"/>
      <c r="U962" s="94"/>
      <c r="V962" s="93"/>
      <c r="W962" s="85"/>
      <c r="Y962" s="94"/>
      <c r="Z962" s="93"/>
      <c r="AA962" s="85"/>
      <c r="AC962" s="94"/>
      <c r="AD962" s="93"/>
      <c r="AE962" s="85"/>
    </row>
    <row r="963" spans="7:31" x14ac:dyDescent="0.35">
      <c r="G963" s="85"/>
      <c r="H963" s="87"/>
      <c r="K963" s="85"/>
      <c r="M963" s="94"/>
      <c r="N963" s="93"/>
      <c r="O963" s="85"/>
      <c r="Q963" s="94"/>
      <c r="R963" s="93"/>
      <c r="S963" s="85"/>
      <c r="U963" s="94"/>
      <c r="V963" s="93"/>
      <c r="W963" s="85"/>
      <c r="Y963" s="94"/>
      <c r="Z963" s="93"/>
      <c r="AA963" s="85"/>
      <c r="AC963" s="94"/>
      <c r="AD963" s="93"/>
      <c r="AE963" s="85"/>
    </row>
    <row r="964" spans="7:31" x14ac:dyDescent="0.35">
      <c r="G964" s="85"/>
      <c r="H964" s="87"/>
      <c r="K964" s="85"/>
      <c r="M964" s="94"/>
      <c r="N964" s="93"/>
      <c r="O964" s="85"/>
      <c r="Q964" s="94"/>
      <c r="R964" s="93"/>
      <c r="S964" s="85"/>
      <c r="U964" s="94"/>
      <c r="V964" s="93"/>
      <c r="W964" s="85"/>
      <c r="Y964" s="94"/>
      <c r="Z964" s="93"/>
      <c r="AA964" s="85"/>
      <c r="AC964" s="94"/>
      <c r="AD964" s="93"/>
      <c r="AE964" s="85"/>
    </row>
    <row r="965" spans="7:31" x14ac:dyDescent="0.35">
      <c r="G965" s="85"/>
      <c r="H965" s="87"/>
      <c r="K965" s="85"/>
      <c r="M965" s="94"/>
      <c r="N965" s="93"/>
      <c r="O965" s="85"/>
      <c r="Q965" s="94"/>
      <c r="R965" s="93"/>
      <c r="S965" s="85"/>
      <c r="U965" s="94"/>
      <c r="V965" s="93"/>
      <c r="W965" s="85"/>
      <c r="Y965" s="94"/>
      <c r="Z965" s="93"/>
      <c r="AA965" s="85"/>
      <c r="AC965" s="94"/>
      <c r="AD965" s="93"/>
      <c r="AE965" s="85"/>
    </row>
    <row r="966" spans="7:31" x14ac:dyDescent="0.35">
      <c r="G966" s="85"/>
      <c r="H966" s="87"/>
      <c r="K966" s="85"/>
      <c r="M966" s="94"/>
      <c r="N966" s="93"/>
      <c r="O966" s="85"/>
      <c r="Q966" s="94"/>
      <c r="R966" s="93"/>
      <c r="S966" s="85"/>
      <c r="U966" s="94"/>
      <c r="V966" s="93"/>
      <c r="W966" s="85"/>
      <c r="Y966" s="94"/>
      <c r="Z966" s="93"/>
      <c r="AA966" s="85"/>
      <c r="AC966" s="94"/>
      <c r="AD966" s="93"/>
      <c r="AE966" s="85"/>
    </row>
    <row r="967" spans="7:31" x14ac:dyDescent="0.35">
      <c r="G967" s="85"/>
      <c r="H967" s="87"/>
      <c r="K967" s="85"/>
      <c r="M967" s="94"/>
      <c r="N967" s="93"/>
      <c r="O967" s="85"/>
      <c r="Q967" s="94"/>
      <c r="R967" s="93"/>
      <c r="S967" s="85"/>
      <c r="U967" s="94"/>
      <c r="V967" s="93"/>
      <c r="W967" s="85"/>
      <c r="Y967" s="94"/>
      <c r="Z967" s="93"/>
      <c r="AA967" s="85"/>
      <c r="AC967" s="94"/>
      <c r="AD967" s="93"/>
      <c r="AE967" s="85"/>
    </row>
    <row r="968" spans="7:31" x14ac:dyDescent="0.35">
      <c r="G968" s="85"/>
      <c r="H968" s="87"/>
      <c r="K968" s="85"/>
      <c r="M968" s="94"/>
      <c r="N968" s="93"/>
      <c r="O968" s="85"/>
      <c r="Q968" s="94"/>
      <c r="R968" s="93"/>
      <c r="S968" s="85"/>
      <c r="U968" s="94"/>
      <c r="V968" s="93"/>
      <c r="W968" s="85"/>
      <c r="Y968" s="94"/>
      <c r="Z968" s="93"/>
      <c r="AA968" s="85"/>
      <c r="AC968" s="94"/>
      <c r="AD968" s="93"/>
      <c r="AE968" s="85"/>
    </row>
    <row r="969" spans="7:31" x14ac:dyDescent="0.35">
      <c r="G969" s="85"/>
      <c r="H969" s="87"/>
      <c r="K969" s="85"/>
      <c r="M969" s="94"/>
      <c r="N969" s="93"/>
      <c r="O969" s="85"/>
      <c r="Q969" s="94"/>
      <c r="R969" s="93"/>
      <c r="S969" s="85"/>
      <c r="U969" s="94"/>
      <c r="V969" s="93"/>
      <c r="W969" s="85"/>
      <c r="Y969" s="94"/>
      <c r="Z969" s="93"/>
      <c r="AA969" s="85"/>
      <c r="AC969" s="94"/>
      <c r="AD969" s="93"/>
      <c r="AE969" s="85"/>
    </row>
    <row r="970" spans="7:31" x14ac:dyDescent="0.35">
      <c r="G970" s="85"/>
      <c r="H970" s="87"/>
      <c r="K970" s="85"/>
      <c r="M970" s="94"/>
      <c r="N970" s="93"/>
      <c r="O970" s="85"/>
      <c r="Q970" s="94"/>
      <c r="R970" s="93"/>
      <c r="S970" s="85"/>
      <c r="U970" s="94"/>
      <c r="V970" s="93"/>
      <c r="W970" s="85"/>
      <c r="Y970" s="94"/>
      <c r="Z970" s="93"/>
      <c r="AA970" s="85"/>
      <c r="AC970" s="94"/>
      <c r="AD970" s="93"/>
      <c r="AE970" s="85"/>
    </row>
    <row r="971" spans="7:31" x14ac:dyDescent="0.35">
      <c r="G971" s="85"/>
      <c r="H971" s="87"/>
      <c r="K971" s="85"/>
      <c r="M971" s="94"/>
      <c r="N971" s="93"/>
      <c r="O971" s="85"/>
      <c r="Q971" s="94"/>
      <c r="R971" s="93"/>
      <c r="S971" s="85"/>
      <c r="U971" s="94"/>
      <c r="V971" s="93"/>
      <c r="W971" s="85"/>
      <c r="Y971" s="94"/>
      <c r="Z971" s="93"/>
      <c r="AA971" s="85"/>
      <c r="AC971" s="94"/>
      <c r="AD971" s="93"/>
      <c r="AE971" s="85"/>
    </row>
    <row r="972" spans="7:31" x14ac:dyDescent="0.35">
      <c r="G972" s="85"/>
      <c r="H972" s="87"/>
      <c r="K972" s="85"/>
      <c r="M972" s="94"/>
      <c r="N972" s="93"/>
      <c r="O972" s="85"/>
      <c r="Q972" s="94"/>
      <c r="R972" s="93"/>
      <c r="S972" s="85"/>
      <c r="U972" s="94"/>
      <c r="V972" s="93"/>
      <c r="W972" s="85"/>
      <c r="Y972" s="94"/>
      <c r="Z972" s="93"/>
      <c r="AA972" s="85"/>
      <c r="AC972" s="94"/>
      <c r="AD972" s="93"/>
      <c r="AE972" s="85"/>
    </row>
    <row r="973" spans="7:31" x14ac:dyDescent="0.35">
      <c r="G973" s="85"/>
      <c r="H973" s="87"/>
      <c r="K973" s="85"/>
      <c r="M973" s="94"/>
      <c r="N973" s="93"/>
      <c r="O973" s="85"/>
      <c r="Q973" s="94"/>
      <c r="R973" s="93"/>
      <c r="S973" s="85"/>
      <c r="U973" s="94"/>
      <c r="V973" s="93"/>
      <c r="W973" s="85"/>
      <c r="Y973" s="94"/>
      <c r="Z973" s="93"/>
      <c r="AA973" s="85"/>
      <c r="AC973" s="94"/>
      <c r="AD973" s="93"/>
      <c r="AE973" s="85"/>
    </row>
    <row r="974" spans="7:31" x14ac:dyDescent="0.35">
      <c r="G974" s="85"/>
      <c r="H974" s="87"/>
      <c r="K974" s="85"/>
      <c r="M974" s="94"/>
      <c r="N974" s="93"/>
      <c r="O974" s="85"/>
      <c r="Q974" s="94"/>
      <c r="R974" s="93"/>
      <c r="S974" s="85"/>
      <c r="U974" s="94"/>
      <c r="V974" s="93"/>
      <c r="W974" s="85"/>
      <c r="Y974" s="94"/>
      <c r="Z974" s="93"/>
      <c r="AA974" s="85"/>
      <c r="AC974" s="94"/>
      <c r="AD974" s="93"/>
      <c r="AE974" s="85"/>
    </row>
    <row r="975" spans="7:31" x14ac:dyDescent="0.35">
      <c r="G975" s="85"/>
      <c r="H975" s="87"/>
      <c r="K975" s="85"/>
      <c r="M975" s="94"/>
      <c r="N975" s="93"/>
      <c r="O975" s="85"/>
      <c r="Q975" s="94"/>
      <c r="R975" s="93"/>
      <c r="S975" s="85"/>
      <c r="U975" s="94"/>
      <c r="V975" s="93"/>
      <c r="W975" s="85"/>
      <c r="Y975" s="94"/>
      <c r="Z975" s="93"/>
      <c r="AA975" s="85"/>
      <c r="AC975" s="94"/>
      <c r="AD975" s="93"/>
      <c r="AE975" s="85"/>
    </row>
    <row r="976" spans="7:31" x14ac:dyDescent="0.35">
      <c r="G976" s="85"/>
      <c r="H976" s="87"/>
      <c r="K976" s="85"/>
      <c r="M976" s="94"/>
      <c r="N976" s="93"/>
      <c r="O976" s="85"/>
      <c r="Q976" s="94"/>
      <c r="R976" s="93"/>
      <c r="S976" s="85"/>
      <c r="U976" s="94"/>
      <c r="V976" s="93"/>
      <c r="W976" s="85"/>
      <c r="Y976" s="94"/>
      <c r="Z976" s="93"/>
      <c r="AA976" s="85"/>
      <c r="AC976" s="94"/>
      <c r="AD976" s="93"/>
      <c r="AE976" s="85"/>
    </row>
    <row r="977" spans="7:31" x14ac:dyDescent="0.35">
      <c r="G977" s="85"/>
      <c r="H977" s="87"/>
      <c r="K977" s="85"/>
      <c r="M977" s="94"/>
      <c r="N977" s="93"/>
      <c r="O977" s="85"/>
      <c r="Q977" s="94"/>
      <c r="R977" s="93"/>
      <c r="S977" s="85"/>
      <c r="U977" s="94"/>
      <c r="V977" s="93"/>
      <c r="W977" s="85"/>
      <c r="Y977" s="94"/>
      <c r="Z977" s="93"/>
      <c r="AA977" s="85"/>
      <c r="AC977" s="94"/>
      <c r="AD977" s="93"/>
      <c r="AE977" s="85"/>
    </row>
    <row r="978" spans="7:31" x14ac:dyDescent="0.35">
      <c r="G978" s="85"/>
      <c r="H978" s="87"/>
      <c r="K978" s="85"/>
      <c r="M978" s="94"/>
      <c r="N978" s="93"/>
      <c r="O978" s="85"/>
      <c r="Q978" s="94"/>
      <c r="R978" s="93"/>
      <c r="S978" s="85"/>
      <c r="U978" s="94"/>
      <c r="V978" s="93"/>
      <c r="W978" s="85"/>
      <c r="Y978" s="94"/>
      <c r="Z978" s="93"/>
      <c r="AA978" s="85"/>
      <c r="AC978" s="94"/>
      <c r="AD978" s="93"/>
      <c r="AE978" s="85"/>
    </row>
    <row r="979" spans="7:31" x14ac:dyDescent="0.35">
      <c r="G979" s="85"/>
      <c r="H979" s="87"/>
      <c r="K979" s="85"/>
      <c r="M979" s="94"/>
      <c r="N979" s="93"/>
      <c r="O979" s="85"/>
      <c r="Q979" s="94"/>
      <c r="R979" s="93"/>
      <c r="S979" s="85"/>
      <c r="U979" s="94"/>
      <c r="V979" s="93"/>
      <c r="W979" s="85"/>
      <c r="Y979" s="94"/>
      <c r="Z979" s="93"/>
      <c r="AA979" s="85"/>
      <c r="AC979" s="94"/>
      <c r="AD979" s="93"/>
      <c r="AE979" s="85"/>
    </row>
    <row r="980" spans="7:31" x14ac:dyDescent="0.35">
      <c r="G980" s="85"/>
      <c r="H980" s="87"/>
      <c r="K980" s="85"/>
      <c r="M980" s="94"/>
      <c r="N980" s="93"/>
      <c r="O980" s="85"/>
      <c r="Q980" s="94"/>
      <c r="R980" s="93"/>
      <c r="S980" s="85"/>
      <c r="U980" s="94"/>
      <c r="V980" s="93"/>
      <c r="W980" s="85"/>
      <c r="Y980" s="94"/>
      <c r="Z980" s="93"/>
      <c r="AA980" s="85"/>
      <c r="AC980" s="94"/>
      <c r="AD980" s="93"/>
      <c r="AE980" s="85"/>
    </row>
    <row r="981" spans="7:31" x14ac:dyDescent="0.35">
      <c r="G981" s="85"/>
      <c r="H981" s="87"/>
      <c r="K981" s="85"/>
      <c r="M981" s="94"/>
      <c r="N981" s="93"/>
      <c r="O981" s="85"/>
      <c r="Q981" s="94"/>
      <c r="R981" s="93"/>
      <c r="S981" s="85"/>
      <c r="U981" s="94"/>
      <c r="V981" s="93"/>
      <c r="W981" s="85"/>
      <c r="Y981" s="94"/>
      <c r="Z981" s="93"/>
      <c r="AA981" s="85"/>
      <c r="AC981" s="94"/>
      <c r="AD981" s="93"/>
      <c r="AE981" s="85"/>
    </row>
    <row r="982" spans="7:31" x14ac:dyDescent="0.35">
      <c r="G982" s="85"/>
      <c r="H982" s="87"/>
      <c r="K982" s="85"/>
      <c r="M982" s="94"/>
      <c r="N982" s="93"/>
      <c r="O982" s="85"/>
      <c r="Q982" s="94"/>
      <c r="R982" s="93"/>
      <c r="S982" s="85"/>
      <c r="U982" s="94"/>
      <c r="V982" s="93"/>
      <c r="W982" s="85"/>
      <c r="Y982" s="94"/>
      <c r="Z982" s="93"/>
      <c r="AA982" s="85"/>
      <c r="AC982" s="94"/>
      <c r="AD982" s="93"/>
      <c r="AE982" s="85"/>
    </row>
    <row r="983" spans="7:31" x14ac:dyDescent="0.35">
      <c r="G983" s="85"/>
      <c r="H983" s="87"/>
      <c r="K983" s="85"/>
      <c r="M983" s="94"/>
      <c r="N983" s="93"/>
      <c r="O983" s="85"/>
      <c r="Q983" s="94"/>
      <c r="R983" s="93"/>
      <c r="S983" s="85"/>
      <c r="U983" s="94"/>
      <c r="V983" s="93"/>
      <c r="W983" s="85"/>
      <c r="Y983" s="94"/>
      <c r="Z983" s="93"/>
      <c r="AA983" s="85"/>
      <c r="AC983" s="94"/>
      <c r="AD983" s="93"/>
      <c r="AE983" s="85"/>
    </row>
    <row r="984" spans="7:31" x14ac:dyDescent="0.35">
      <c r="G984" s="85"/>
      <c r="H984" s="87"/>
      <c r="K984" s="85"/>
      <c r="M984" s="94"/>
      <c r="N984" s="93"/>
      <c r="O984" s="85"/>
      <c r="Q984" s="94"/>
      <c r="R984" s="93"/>
      <c r="S984" s="85"/>
      <c r="U984" s="94"/>
      <c r="V984" s="93"/>
      <c r="W984" s="85"/>
      <c r="Y984" s="94"/>
      <c r="Z984" s="93"/>
      <c r="AA984" s="85"/>
      <c r="AC984" s="94"/>
      <c r="AD984" s="93"/>
      <c r="AE984" s="85"/>
    </row>
    <row r="985" spans="7:31" x14ac:dyDescent="0.35">
      <c r="G985" s="85"/>
      <c r="H985" s="87"/>
      <c r="K985" s="85"/>
      <c r="M985" s="94"/>
      <c r="N985" s="93"/>
      <c r="O985" s="85"/>
      <c r="Q985" s="94"/>
      <c r="R985" s="93"/>
      <c r="S985" s="85"/>
      <c r="U985" s="94"/>
      <c r="V985" s="93"/>
      <c r="W985" s="85"/>
      <c r="Y985" s="94"/>
      <c r="Z985" s="93"/>
      <c r="AA985" s="85"/>
      <c r="AC985" s="94"/>
      <c r="AD985" s="93"/>
      <c r="AE985" s="85"/>
    </row>
    <row r="986" spans="7:31" x14ac:dyDescent="0.35">
      <c r="G986" s="85"/>
      <c r="H986" s="87"/>
      <c r="K986" s="85"/>
      <c r="M986" s="94"/>
      <c r="N986" s="93"/>
      <c r="O986" s="85"/>
      <c r="Q986" s="94"/>
      <c r="R986" s="93"/>
      <c r="S986" s="85"/>
      <c r="U986" s="94"/>
      <c r="V986" s="93"/>
      <c r="W986" s="85"/>
      <c r="Y986" s="94"/>
      <c r="Z986" s="93"/>
      <c r="AA986" s="85"/>
      <c r="AC986" s="94"/>
      <c r="AD986" s="93"/>
      <c r="AE986" s="85"/>
    </row>
    <row r="987" spans="7:31" x14ac:dyDescent="0.35">
      <c r="G987" s="85"/>
      <c r="H987" s="87"/>
      <c r="K987" s="85"/>
      <c r="M987" s="94"/>
      <c r="N987" s="93"/>
      <c r="O987" s="85"/>
      <c r="Q987" s="94"/>
      <c r="R987" s="93"/>
      <c r="S987" s="85"/>
      <c r="U987" s="94"/>
      <c r="V987" s="93"/>
      <c r="W987" s="85"/>
      <c r="Y987" s="94"/>
      <c r="Z987" s="93"/>
      <c r="AA987" s="85"/>
      <c r="AC987" s="94"/>
      <c r="AD987" s="93"/>
      <c r="AE987" s="85"/>
    </row>
    <row r="988" spans="7:31" x14ac:dyDescent="0.35">
      <c r="G988" s="85"/>
      <c r="H988" s="87"/>
      <c r="K988" s="85"/>
      <c r="M988" s="94"/>
      <c r="N988" s="93"/>
      <c r="O988" s="85"/>
      <c r="Q988" s="94"/>
      <c r="R988" s="93"/>
      <c r="S988" s="85"/>
      <c r="U988" s="94"/>
      <c r="V988" s="93"/>
      <c r="W988" s="85"/>
      <c r="Y988" s="94"/>
      <c r="Z988" s="93"/>
      <c r="AA988" s="85"/>
      <c r="AC988" s="94"/>
      <c r="AD988" s="93"/>
      <c r="AE988" s="85"/>
    </row>
    <row r="989" spans="7:31" x14ac:dyDescent="0.35">
      <c r="G989" s="85"/>
      <c r="H989" s="87"/>
      <c r="K989" s="85"/>
      <c r="M989" s="94"/>
      <c r="N989" s="93"/>
      <c r="O989" s="85"/>
      <c r="Q989" s="94"/>
      <c r="R989" s="93"/>
      <c r="S989" s="85"/>
      <c r="U989" s="94"/>
      <c r="V989" s="93"/>
      <c r="W989" s="85"/>
      <c r="Y989" s="94"/>
      <c r="Z989" s="93"/>
      <c r="AA989" s="85"/>
      <c r="AC989" s="94"/>
      <c r="AD989" s="93"/>
      <c r="AE989" s="85"/>
    </row>
    <row r="990" spans="7:31" x14ac:dyDescent="0.35">
      <c r="G990" s="85"/>
      <c r="H990" s="87"/>
      <c r="K990" s="85"/>
      <c r="M990" s="94"/>
      <c r="N990" s="93"/>
      <c r="O990" s="85"/>
      <c r="Q990" s="94"/>
      <c r="R990" s="93"/>
      <c r="S990" s="85"/>
      <c r="U990" s="94"/>
      <c r="V990" s="93"/>
      <c r="W990" s="85"/>
      <c r="Y990" s="94"/>
      <c r="Z990" s="93"/>
      <c r="AA990" s="85"/>
      <c r="AC990" s="94"/>
      <c r="AD990" s="93"/>
      <c r="AE990" s="85"/>
    </row>
    <row r="991" spans="7:31" x14ac:dyDescent="0.35">
      <c r="G991" s="85"/>
      <c r="H991" s="87"/>
      <c r="K991" s="85"/>
      <c r="M991" s="94"/>
      <c r="N991" s="93"/>
      <c r="O991" s="85"/>
      <c r="Q991" s="94"/>
      <c r="R991" s="93"/>
      <c r="S991" s="85"/>
      <c r="U991" s="94"/>
      <c r="V991" s="93"/>
      <c r="W991" s="85"/>
      <c r="Y991" s="94"/>
      <c r="Z991" s="93"/>
      <c r="AA991" s="85"/>
      <c r="AC991" s="94"/>
      <c r="AD991" s="93"/>
      <c r="AE991" s="85"/>
    </row>
    <row r="992" spans="7:31" x14ac:dyDescent="0.35">
      <c r="G992" s="85"/>
      <c r="H992" s="87"/>
      <c r="K992" s="85"/>
      <c r="M992" s="94"/>
      <c r="N992" s="93"/>
      <c r="O992" s="85"/>
      <c r="Q992" s="94"/>
      <c r="R992" s="93"/>
      <c r="S992" s="85"/>
      <c r="U992" s="94"/>
      <c r="V992" s="93"/>
      <c r="W992" s="85"/>
      <c r="Y992" s="94"/>
      <c r="Z992" s="93"/>
      <c r="AA992" s="85"/>
      <c r="AC992" s="94"/>
      <c r="AD992" s="93"/>
      <c r="AE992" s="85"/>
    </row>
    <row r="993" spans="7:31" x14ac:dyDescent="0.35">
      <c r="G993" s="85"/>
      <c r="H993" s="87"/>
      <c r="K993" s="85"/>
      <c r="M993" s="94"/>
      <c r="N993" s="93"/>
      <c r="O993" s="85"/>
      <c r="Q993" s="94"/>
      <c r="R993" s="93"/>
      <c r="S993" s="85"/>
      <c r="U993" s="94"/>
      <c r="V993" s="93"/>
      <c r="W993" s="85"/>
      <c r="Y993" s="94"/>
      <c r="Z993" s="93"/>
      <c r="AA993" s="85"/>
      <c r="AC993" s="94"/>
      <c r="AD993" s="93"/>
      <c r="AE993" s="85"/>
    </row>
    <row r="994" spans="7:31" x14ac:dyDescent="0.35">
      <c r="G994" s="85"/>
      <c r="H994" s="87"/>
      <c r="K994" s="85"/>
      <c r="M994" s="94"/>
      <c r="N994" s="93"/>
      <c r="O994" s="85"/>
      <c r="Q994" s="94"/>
      <c r="R994" s="93"/>
      <c r="S994" s="85"/>
      <c r="U994" s="94"/>
      <c r="V994" s="93"/>
      <c r="W994" s="85"/>
      <c r="Y994" s="94"/>
      <c r="Z994" s="93"/>
      <c r="AA994" s="85"/>
      <c r="AC994" s="94"/>
      <c r="AD994" s="93"/>
      <c r="AE994" s="85"/>
    </row>
    <row r="995" spans="7:31" x14ac:dyDescent="0.35">
      <c r="G995" s="85"/>
      <c r="H995" s="87"/>
      <c r="K995" s="85"/>
      <c r="M995" s="94"/>
      <c r="N995" s="93"/>
      <c r="O995" s="85"/>
      <c r="Q995" s="94"/>
      <c r="R995" s="93"/>
      <c r="S995" s="85"/>
      <c r="U995" s="94"/>
      <c r="V995" s="93"/>
      <c r="W995" s="85"/>
      <c r="Y995" s="94"/>
      <c r="Z995" s="93"/>
      <c r="AA995" s="85"/>
      <c r="AC995" s="94"/>
      <c r="AD995" s="93"/>
      <c r="AE995" s="85"/>
    </row>
    <row r="996" spans="7:31" x14ac:dyDescent="0.35">
      <c r="G996" s="85"/>
      <c r="H996" s="87"/>
      <c r="K996" s="85"/>
      <c r="M996" s="94"/>
      <c r="N996" s="93"/>
      <c r="O996" s="85"/>
      <c r="Q996" s="94"/>
      <c r="R996" s="93"/>
      <c r="S996" s="85"/>
      <c r="U996" s="94"/>
      <c r="V996" s="93"/>
      <c r="W996" s="85"/>
      <c r="Y996" s="94"/>
      <c r="Z996" s="93"/>
      <c r="AA996" s="85"/>
      <c r="AC996" s="94"/>
      <c r="AD996" s="93"/>
      <c r="AE996" s="85"/>
    </row>
    <row r="997" spans="7:31" x14ac:dyDescent="0.35">
      <c r="G997" s="85"/>
      <c r="H997" s="87"/>
      <c r="K997" s="85"/>
      <c r="M997" s="94"/>
      <c r="N997" s="93"/>
      <c r="O997" s="85"/>
      <c r="Q997" s="94"/>
      <c r="R997" s="93"/>
      <c r="S997" s="85"/>
      <c r="U997" s="94"/>
      <c r="V997" s="93"/>
      <c r="W997" s="85"/>
      <c r="Y997" s="94"/>
      <c r="Z997" s="93"/>
      <c r="AA997" s="85"/>
      <c r="AC997" s="94"/>
      <c r="AD997" s="93"/>
      <c r="AE997" s="85"/>
    </row>
    <row r="998" spans="7:31" x14ac:dyDescent="0.35">
      <c r="G998" s="85"/>
      <c r="H998" s="87"/>
      <c r="K998" s="85"/>
      <c r="M998" s="94"/>
      <c r="N998" s="93"/>
      <c r="O998" s="85"/>
      <c r="Q998" s="94"/>
      <c r="R998" s="93"/>
      <c r="S998" s="85"/>
      <c r="U998" s="94"/>
      <c r="V998" s="93"/>
      <c r="W998" s="85"/>
      <c r="Y998" s="94"/>
      <c r="Z998" s="93"/>
      <c r="AA998" s="85"/>
      <c r="AC998" s="94"/>
      <c r="AD998" s="93"/>
      <c r="AE998" s="85"/>
    </row>
    <row r="999" spans="7:31" x14ac:dyDescent="0.35">
      <c r="G999" s="85"/>
      <c r="H999" s="87"/>
      <c r="K999" s="85"/>
      <c r="M999" s="94"/>
      <c r="N999" s="93"/>
      <c r="O999" s="85"/>
      <c r="Q999" s="94"/>
      <c r="R999" s="93"/>
      <c r="S999" s="85"/>
      <c r="U999" s="94"/>
      <c r="V999" s="93"/>
      <c r="W999" s="85"/>
      <c r="Y999" s="94"/>
      <c r="Z999" s="93"/>
      <c r="AA999" s="85"/>
      <c r="AC999" s="94"/>
      <c r="AD999" s="93"/>
      <c r="AE999" s="85"/>
    </row>
    <row r="1000" spans="7:31" x14ac:dyDescent="0.35">
      <c r="G1000" s="85"/>
      <c r="H1000" s="87"/>
      <c r="M1000" s="94"/>
      <c r="N1000" s="93"/>
      <c r="O1000" s="85"/>
      <c r="Q1000" s="94"/>
      <c r="R1000" s="93"/>
      <c r="S1000" s="85"/>
      <c r="U1000" s="94"/>
      <c r="V1000" s="93"/>
      <c r="W1000" s="85"/>
      <c r="Y1000" s="94"/>
      <c r="Z1000" s="93"/>
      <c r="AA1000" s="85"/>
      <c r="AC1000" s="94"/>
      <c r="AD1000" s="93"/>
      <c r="AE1000" s="85"/>
    </row>
    <row r="1001" spans="7:31" x14ac:dyDescent="0.35">
      <c r="G1001" s="85"/>
      <c r="H1001" s="87"/>
      <c r="M1001" s="94"/>
      <c r="N1001" s="93"/>
      <c r="O1001" s="85"/>
      <c r="Q1001" s="94"/>
      <c r="R1001" s="93"/>
      <c r="S1001" s="85"/>
      <c r="U1001" s="94"/>
      <c r="V1001" s="93"/>
      <c r="W1001" s="85"/>
      <c r="Y1001" s="94"/>
      <c r="Z1001" s="93"/>
      <c r="AA1001" s="85"/>
      <c r="AC1001" s="94"/>
      <c r="AD1001" s="93"/>
      <c r="AE1001" s="85"/>
    </row>
    <row r="1002" spans="7:31" x14ac:dyDescent="0.35">
      <c r="G1002" s="85"/>
      <c r="H1002" s="87"/>
      <c r="M1002" s="94"/>
      <c r="N1002" s="93"/>
      <c r="O1002" s="85"/>
      <c r="Q1002" s="94"/>
      <c r="R1002" s="93"/>
      <c r="S1002" s="85"/>
      <c r="U1002" s="94"/>
      <c r="V1002" s="93"/>
      <c r="W1002" s="85"/>
      <c r="Y1002" s="94"/>
      <c r="Z1002" s="93"/>
      <c r="AA1002" s="85"/>
      <c r="AC1002" s="94"/>
      <c r="AD1002" s="93"/>
      <c r="AE1002" s="85"/>
    </row>
    <row r="1003" spans="7:31" x14ac:dyDescent="0.35">
      <c r="G1003" s="85"/>
      <c r="H1003" s="87"/>
      <c r="M1003" s="94"/>
      <c r="N1003" s="93"/>
      <c r="O1003" s="85"/>
      <c r="Q1003" s="94"/>
      <c r="R1003" s="93"/>
      <c r="S1003" s="85"/>
      <c r="U1003" s="94"/>
      <c r="V1003" s="93"/>
      <c r="W1003" s="85"/>
      <c r="Y1003" s="94"/>
      <c r="Z1003" s="93"/>
      <c r="AA1003" s="85"/>
      <c r="AC1003" s="94"/>
      <c r="AD1003" s="93"/>
      <c r="AE1003" s="85"/>
    </row>
    <row r="1004" spans="7:31" x14ac:dyDescent="0.35">
      <c r="G1004" s="85"/>
      <c r="H1004" s="87"/>
      <c r="M1004" s="94"/>
      <c r="N1004" s="93"/>
      <c r="O1004" s="85"/>
      <c r="Q1004" s="94"/>
      <c r="R1004" s="93"/>
      <c r="S1004" s="85"/>
      <c r="U1004" s="94"/>
      <c r="V1004" s="93"/>
      <c r="W1004" s="85"/>
      <c r="Y1004" s="94"/>
      <c r="Z1004" s="93"/>
      <c r="AA1004" s="85"/>
      <c r="AC1004" s="94"/>
      <c r="AD1004" s="93"/>
      <c r="AE1004" s="85"/>
    </row>
    <row r="1005" spans="7:31" x14ac:dyDescent="0.35">
      <c r="G1005" s="85"/>
      <c r="H1005" s="87"/>
      <c r="M1005" s="94"/>
      <c r="N1005" s="93"/>
      <c r="O1005" s="85"/>
      <c r="Q1005" s="94"/>
      <c r="R1005" s="93"/>
      <c r="S1005" s="85"/>
      <c r="U1005" s="94"/>
      <c r="V1005" s="93"/>
      <c r="W1005" s="85"/>
      <c r="Y1005" s="94"/>
      <c r="Z1005" s="93"/>
      <c r="AA1005" s="85"/>
      <c r="AC1005" s="94"/>
      <c r="AD1005" s="93"/>
      <c r="AE1005" s="85"/>
    </row>
    <row r="1006" spans="7:31" x14ac:dyDescent="0.35">
      <c r="G1006" s="85"/>
      <c r="H1006" s="87"/>
      <c r="Q1006" s="94"/>
      <c r="R1006" s="93"/>
      <c r="S1006" s="85"/>
      <c r="U1006" s="94"/>
      <c r="V1006" s="93"/>
      <c r="W1006" s="85"/>
      <c r="Y1006" s="94"/>
      <c r="Z1006" s="93"/>
      <c r="AA1006" s="85"/>
      <c r="AC1006" s="94"/>
      <c r="AD1006" s="93"/>
      <c r="AE1006" s="85"/>
    </row>
    <row r="1007" spans="7:31" x14ac:dyDescent="0.35">
      <c r="G1007" s="85"/>
      <c r="H1007" s="87"/>
      <c r="Q1007" s="94"/>
      <c r="R1007" s="93"/>
      <c r="S1007" s="85"/>
      <c r="U1007" s="94"/>
      <c r="V1007" s="93"/>
      <c r="W1007" s="85"/>
      <c r="Y1007" s="94"/>
      <c r="Z1007" s="93"/>
      <c r="AA1007" s="85"/>
      <c r="AC1007" s="94"/>
      <c r="AD1007" s="93"/>
      <c r="AE1007" s="85"/>
    </row>
    <row r="1008" spans="7:31" x14ac:dyDescent="0.35">
      <c r="G1008" s="85"/>
      <c r="H1008" s="87"/>
      <c r="Q1008" s="94"/>
      <c r="R1008" s="93"/>
      <c r="S1008" s="85"/>
      <c r="U1008" s="94"/>
      <c r="V1008" s="93"/>
      <c r="W1008" s="85"/>
      <c r="Y1008" s="94"/>
      <c r="Z1008" s="93"/>
      <c r="AA1008" s="85"/>
      <c r="AC1008" s="94"/>
      <c r="AD1008" s="93"/>
      <c r="AE1008" s="85"/>
    </row>
    <row r="1009" spans="7:31" x14ac:dyDescent="0.35">
      <c r="G1009" s="85"/>
      <c r="H1009" s="87"/>
      <c r="Q1009" s="94"/>
      <c r="R1009" s="93"/>
      <c r="S1009" s="85"/>
      <c r="U1009" s="94"/>
      <c r="V1009" s="93"/>
      <c r="W1009" s="85"/>
      <c r="Y1009" s="94"/>
      <c r="Z1009" s="93"/>
      <c r="AA1009" s="85"/>
      <c r="AC1009" s="94"/>
      <c r="AD1009" s="93"/>
      <c r="AE1009" s="85"/>
    </row>
    <row r="1010" spans="7:31" x14ac:dyDescent="0.35">
      <c r="G1010" s="85"/>
      <c r="H1010" s="87"/>
      <c r="Q1010" s="94"/>
      <c r="R1010" s="93"/>
      <c r="S1010" s="85"/>
      <c r="U1010" s="94"/>
      <c r="V1010" s="93"/>
      <c r="W1010" s="85"/>
      <c r="Y1010" s="94"/>
      <c r="Z1010" s="93"/>
      <c r="AA1010" s="85"/>
      <c r="AC1010" s="94"/>
      <c r="AD1010" s="93"/>
      <c r="AE1010" s="85"/>
    </row>
    <row r="1011" spans="7:31" x14ac:dyDescent="0.35">
      <c r="G1011" s="85"/>
      <c r="H1011" s="87"/>
      <c r="Q1011" s="94"/>
      <c r="R1011" s="93"/>
      <c r="S1011" s="85"/>
      <c r="U1011" s="94"/>
      <c r="V1011" s="93"/>
      <c r="W1011" s="85"/>
      <c r="Y1011" s="94"/>
      <c r="Z1011" s="93"/>
      <c r="AA1011" s="85"/>
      <c r="AC1011" s="94"/>
      <c r="AD1011" s="93"/>
      <c r="AE1011" s="85"/>
    </row>
  </sheetData>
  <autoFilter ref="E24:P113" xr:uid="{00000000-0001-0000-2700-000000000000}"/>
  <mergeCells count="1">
    <mergeCell ref="C18:D18"/>
  </mergeCells>
  <conditionalFormatting sqref="A1:AG25 A26:L1048576 Q26:AG1048576 M26:P26">
    <cfRule type="expression" dxfId="14" priority="1">
      <formula>$A4="Spend to Date"</formula>
    </cfRule>
  </conditionalFormatting>
  <conditionalFormatting sqref="M70:P1048576 M64 M34:P37 P66 N67:P69">
    <cfRule type="expression" dxfId="13" priority="17">
      <formula>$A38="Spend to Date"</formula>
    </cfRule>
  </conditionalFormatting>
  <conditionalFormatting sqref="M65:O66 M67:M69">
    <cfRule type="expression" dxfId="12" priority="19">
      <formula>$A69="Spend to Date"</formula>
    </cfRule>
  </conditionalFormatting>
  <conditionalFormatting sqref="M50:P60 P61:P62 P64:P65 M61:M62 M63:P63 N64:P64">
    <cfRule type="expression" dxfId="11" priority="21">
      <formula>$A57="Spend to Date"</formula>
    </cfRule>
  </conditionalFormatting>
  <conditionalFormatting sqref="M43:P49">
    <cfRule type="expression" dxfId="10" priority="24">
      <formula>$A49="Spend to Date"</formula>
    </cfRule>
  </conditionalFormatting>
  <conditionalFormatting sqref="M38:P42">
    <cfRule type="expression" dxfId="9" priority="32">
      <formula>$A43="Spend to Date"</formula>
    </cfRule>
  </conditionalFormatting>
  <conditionalFormatting sqref="M27:P33">
    <cfRule type="expression" dxfId="8" priority="34">
      <formula>$A29="Spend to Date"</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H1002"/>
  <sheetViews>
    <sheetView workbookViewId="0">
      <pane xSplit="2" ySplit="1" topLeftCell="J16" activePane="bottomRight" state="frozen"/>
      <selection pane="topRight" activeCell="C1" sqref="C1"/>
      <selection pane="bottomLeft" activeCell="A2" sqref="A2"/>
      <selection pane="bottomRight" activeCell="N38" sqref="N38"/>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93" bestFit="1" customWidth="1"/>
    <col min="7" max="7" width="54.26953125" style="87" bestFit="1" customWidth="1"/>
    <col min="8" max="8" width="12.7265625" style="88" bestFit="1" customWidth="1"/>
    <col min="9" max="9" width="13.81640625" style="94"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4" ht="20.5" customHeight="1" x14ac:dyDescent="0.35">
      <c r="A1" s="84" t="s">
        <v>270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4" x14ac:dyDescent="0.35">
      <c r="A2" s="86" t="s">
        <v>10</v>
      </c>
      <c r="D2" s="87"/>
      <c r="E2" s="87">
        <f>SUM(E3:E3)</f>
        <v>-60000</v>
      </c>
      <c r="F2" s="87">
        <f>SUM(F3:F3)</f>
        <v>-40598.160000000003</v>
      </c>
      <c r="I2" s="89">
        <f>SUM(I3:I3)</f>
        <v>0</v>
      </c>
      <c r="J2" s="87">
        <f>SUM(J3:J3)</f>
        <v>0</v>
      </c>
      <c r="M2" s="89">
        <f>SUM(M3:M3)</f>
        <v>0</v>
      </c>
      <c r="N2" s="87">
        <f>SUM(N3:N3)</f>
        <v>-3000</v>
      </c>
      <c r="Q2" s="89">
        <f>SUM(Q3:Q3)</f>
        <v>0</v>
      </c>
      <c r="R2" s="87">
        <f>SUM(R3:R3)</f>
        <v>0</v>
      </c>
      <c r="U2" s="89">
        <f>SUM(U3:U3)</f>
        <v>0</v>
      </c>
      <c r="V2" s="87">
        <f>SUM(V3:V3)</f>
        <v>0</v>
      </c>
      <c r="Y2" s="89">
        <f>SUM(Y3:Y3)</f>
        <v>0</v>
      </c>
      <c r="Z2" s="87">
        <f>SUM(Z3:Z3)</f>
        <v>0</v>
      </c>
      <c r="AC2" s="89">
        <f>SUM(AC3:AC3)</f>
        <v>0</v>
      </c>
      <c r="AD2" s="87">
        <f>SUM(AD3:AD3)</f>
        <v>0</v>
      </c>
    </row>
    <row r="3" spans="1:34" x14ac:dyDescent="0.35">
      <c r="A3" s="87" t="s">
        <v>270</v>
      </c>
      <c r="B3" s="85">
        <v>1</v>
      </c>
      <c r="D3" s="86">
        <v>23421.84</v>
      </c>
      <c r="E3" s="87">
        <v>-60000</v>
      </c>
      <c r="F3" s="87">
        <f>SUMIFS(H$14:H$997,E$14:E$997,$B3)</f>
        <v>-40598.160000000003</v>
      </c>
      <c r="G3" s="87">
        <f>D3+E3-F3+SUMIFS(E$6:E$7,$C$6:$C$7,$A3)-SUMIFS(F$6:F$7,$C$6:$C$7,$A3)</f>
        <v>10719.669999999998</v>
      </c>
      <c r="I3" s="89">
        <v>0</v>
      </c>
      <c r="J3" s="87">
        <f>SUMIFS(L$14:L$996,I$14:I$996,$B3)</f>
        <v>0</v>
      </c>
      <c r="K3" s="87">
        <f>G3+I3-J3+SUMIFS(I$6:I$7,$C$6:$C$7,$A3)-SUMIFS(J$6:J$7,$C$6:$C$7,$A3)</f>
        <v>14992.239999999998</v>
      </c>
      <c r="L3" s="86"/>
      <c r="N3" s="87">
        <f>SUMIFS(P$14:P$998,M$14:M$998,$B3)</f>
        <v>-3000</v>
      </c>
      <c r="O3" s="87">
        <f>K3+M3-N3+SUMIFS(M$6:M$7,$C$6:$C$7,$A3)-SUMIFS(N$6:N$7,$C$6:$C$7,$A3)</f>
        <v>44452.439999999988</v>
      </c>
      <c r="R3" s="87">
        <f>SUMIFS(T$14:T$997,Q$14:Q$997,$B3)</f>
        <v>0</v>
      </c>
      <c r="S3" s="87">
        <f>O3+Q3-R3+SUMIFS(Q$6:Q$7,$C$6:$C$7,$A3)-SUMIFS(R$6:R$7,$C$6:$C$7,$A3)</f>
        <v>44452.439999999988</v>
      </c>
      <c r="V3" s="87">
        <f>SUMIFS(X$14:X$997,U$14:U$997,$B3)</f>
        <v>0</v>
      </c>
      <c r="W3" s="87">
        <f>S3+U3-V3+SUMIFS(U$6:U$7,$C$6:$C$7,$A3)-SUMIFS(V$6:V$7,$C$6:$C$7,$A3)</f>
        <v>44452.439999999988</v>
      </c>
      <c r="Z3" s="87">
        <f>SUMIFS(AB$14:AB$997,Y$14:Y$997,$B3)</f>
        <v>0</v>
      </c>
      <c r="AA3" s="87">
        <f>W3+Y3-Z3+SUMIFS(Y$6:Y$7,$C$6:$C$7,$A3)-SUMIFS(Z$6:Z$7,$C$6:$C$7,$A3)</f>
        <v>44452.439999999988</v>
      </c>
      <c r="AD3" s="87">
        <f>SUMIFS(AF$14:AF$997,AC$14:AC$997,$B3)</f>
        <v>0</v>
      </c>
      <c r="AE3" s="87">
        <f>AA3+AC3-AD3+SUMIFS(AC$6:AC$7,$C$6:$C$7,$A3)-SUMIFS(AD$6:AD$7,$C$6:$C$7,$A3)</f>
        <v>44452.439999999988</v>
      </c>
      <c r="AG3" s="87">
        <v>50000</v>
      </c>
    </row>
    <row r="4" spans="1:34" x14ac:dyDescent="0.35">
      <c r="E4" s="87"/>
      <c r="F4" s="87"/>
      <c r="I4" s="89"/>
    </row>
    <row r="5" spans="1:34" x14ac:dyDescent="0.35">
      <c r="A5" s="84" t="s">
        <v>271</v>
      </c>
      <c r="D5" s="84"/>
      <c r="E5" s="87">
        <f>SUM(E6:E8)</f>
        <v>50000</v>
      </c>
      <c r="F5" s="87">
        <f>SUM(F6:F8)</f>
        <v>43300.33</v>
      </c>
      <c r="I5" s="87">
        <f>SUM(I6:I8)</f>
        <v>65000</v>
      </c>
      <c r="J5" s="87">
        <f>SUM(J6:J8)</f>
        <v>60727.43</v>
      </c>
      <c r="M5" s="87">
        <f>SUM(M6:M8)</f>
        <v>65000</v>
      </c>
      <c r="N5" s="87">
        <f>SUM(N6:N8)</f>
        <v>38539.800000000003</v>
      </c>
      <c r="Q5" s="89">
        <f>SUM(Q6:Q7)</f>
        <v>66950</v>
      </c>
      <c r="R5" s="87">
        <f>$Q$5</f>
        <v>66950</v>
      </c>
      <c r="U5" s="89">
        <f>SUM(U6:U7)</f>
        <v>68959</v>
      </c>
      <c r="V5" s="87">
        <f>$U$5</f>
        <v>68959</v>
      </c>
      <c r="Y5" s="89">
        <f>SUM(Y6:Y7)</f>
        <v>71029</v>
      </c>
      <c r="Z5" s="87">
        <f>$Y$5</f>
        <v>71029</v>
      </c>
      <c r="AC5" s="89">
        <f>SUM(AC6:AC7)</f>
        <v>73161</v>
      </c>
      <c r="AD5" s="87">
        <f>$AC$5</f>
        <v>73161</v>
      </c>
    </row>
    <row r="6" spans="1:34" x14ac:dyDescent="0.35">
      <c r="A6" s="86" t="s">
        <v>271</v>
      </c>
      <c r="B6" s="85">
        <v>2</v>
      </c>
      <c r="C6" s="87" t="s">
        <v>270</v>
      </c>
      <c r="D6" s="84"/>
      <c r="E6" s="87">
        <v>50000</v>
      </c>
      <c r="F6" s="87">
        <f>SUMIFS(H$14:H$997,E$14:E$997,$B6)</f>
        <v>43300.33</v>
      </c>
      <c r="I6" s="89">
        <v>50000</v>
      </c>
      <c r="J6" s="87">
        <f>SUMIFS(L$14:L$996,I$14:I$996,$B6)</f>
        <v>50527.43</v>
      </c>
      <c r="M6" s="89">
        <v>50000</v>
      </c>
      <c r="N6" s="87">
        <f>SUMIFS(P$14:P$997,M$14:M$997,$B6)</f>
        <v>29039.8</v>
      </c>
      <c r="Q6" s="89">
        <f>ROUNDUP((M6)*RPI,0)</f>
        <v>51500</v>
      </c>
      <c r="R6" s="87">
        <f>$Q$6</f>
        <v>51500</v>
      </c>
      <c r="U6" s="89">
        <f>ROUNDUP((Q6)*RPI,0)</f>
        <v>53045</v>
      </c>
      <c r="V6" s="87">
        <f>$U$6</f>
        <v>53045</v>
      </c>
      <c r="Y6" s="89">
        <f>ROUNDUP((U6)*RPI,0)</f>
        <v>54637</v>
      </c>
      <c r="Z6" s="87">
        <f>$Y$6</f>
        <v>54637</v>
      </c>
      <c r="AC6" s="89">
        <f>ROUNDUP((Y6)*RPI,0)</f>
        <v>56277</v>
      </c>
      <c r="AD6" s="87">
        <f>$AC$6</f>
        <v>56277</v>
      </c>
    </row>
    <row r="7" spans="1:34" x14ac:dyDescent="0.35">
      <c r="A7" s="86" t="s">
        <v>272</v>
      </c>
      <c r="B7" s="85">
        <v>3</v>
      </c>
      <c r="C7" s="87" t="s">
        <v>270</v>
      </c>
      <c r="D7" s="84"/>
      <c r="E7" s="87">
        <v>0</v>
      </c>
      <c r="F7" s="87">
        <f>SUMIFS(H$14:H$997,E$14:E$997,$B7)</f>
        <v>0</v>
      </c>
      <c r="I7" s="89">
        <v>15000</v>
      </c>
      <c r="J7" s="87">
        <f>SUMIFS(L$14:L$996,I$14:I$996,$B7)</f>
        <v>10200</v>
      </c>
      <c r="M7" s="89">
        <v>15000</v>
      </c>
      <c r="N7" s="87">
        <f>SUMIFS(P$14:P$997,M$14:M$997,$B7)</f>
        <v>9500</v>
      </c>
      <c r="Q7" s="89">
        <f>ROUNDUP((M7)*RPI,0)</f>
        <v>15450</v>
      </c>
      <c r="R7" s="87">
        <f>$Q$7</f>
        <v>15450</v>
      </c>
      <c r="U7" s="89">
        <f>ROUNDUP((Q7)*RPI,0)</f>
        <v>15914</v>
      </c>
      <c r="V7" s="87">
        <f>$U$7</f>
        <v>15914</v>
      </c>
      <c r="Y7" s="89">
        <f>ROUNDUP((U7)*RPI,0)</f>
        <v>16392</v>
      </c>
      <c r="Z7" s="87">
        <f>$Y$7</f>
        <v>16392</v>
      </c>
      <c r="AC7" s="89">
        <f>ROUNDUP((Y7)*RPI,0)</f>
        <v>16884</v>
      </c>
      <c r="AD7" s="87">
        <f>$AC$7</f>
        <v>16884</v>
      </c>
    </row>
    <row r="8" spans="1:34" ht="44.25" customHeight="1" x14ac:dyDescent="0.35">
      <c r="A8" s="86" t="s">
        <v>1817</v>
      </c>
      <c r="B8" s="85">
        <v>4</v>
      </c>
      <c r="D8" s="113"/>
      <c r="E8" s="87">
        <v>0</v>
      </c>
      <c r="F8" s="87">
        <v>0</v>
      </c>
      <c r="G8" s="87">
        <v>0</v>
      </c>
      <c r="H8" s="96"/>
      <c r="I8" s="87">
        <v>0</v>
      </c>
      <c r="J8" s="87">
        <f>SUMIFS(L$14:L$996,I$14:I$996,$B8)</f>
        <v>0</v>
      </c>
      <c r="K8" s="87">
        <v>0</v>
      </c>
      <c r="L8" s="105"/>
      <c r="M8" s="87">
        <v>0</v>
      </c>
      <c r="N8" s="87">
        <f>SUMIFS(P$14:P$997,M$14:M$997,$B8)</f>
        <v>0</v>
      </c>
      <c r="O8" s="96"/>
      <c r="P8" s="96"/>
      <c r="Q8" s="95"/>
      <c r="R8" s="96"/>
      <c r="S8" s="96"/>
      <c r="T8" s="96"/>
      <c r="U8" s="95"/>
      <c r="V8" s="96"/>
      <c r="W8" s="96"/>
      <c r="X8" s="96"/>
      <c r="Y8" s="95"/>
      <c r="Z8" s="96"/>
      <c r="AA8" s="96"/>
      <c r="AB8" s="96"/>
      <c r="AC8" s="95"/>
      <c r="AD8" s="96"/>
      <c r="AE8" s="96"/>
      <c r="AF8" s="96"/>
      <c r="AG8" s="96"/>
      <c r="AH8" s="96"/>
    </row>
    <row r="9" spans="1:34" x14ac:dyDescent="0.35">
      <c r="E9" s="87"/>
      <c r="F9" s="87"/>
      <c r="I9" s="89"/>
    </row>
    <row r="10" spans="1:34" x14ac:dyDescent="0.35">
      <c r="E10" s="87"/>
      <c r="F10" s="87"/>
      <c r="I10" s="89"/>
    </row>
    <row r="11" spans="1:34" x14ac:dyDescent="0.35">
      <c r="E11" s="87"/>
      <c r="F11" s="87"/>
      <c r="I11" s="89"/>
    </row>
    <row r="12" spans="1:34" x14ac:dyDescent="0.35">
      <c r="A12" s="84" t="s">
        <v>487</v>
      </c>
      <c r="G12" s="85"/>
      <c r="H12" s="87"/>
      <c r="J12" s="93"/>
      <c r="K12" s="85"/>
      <c r="M12" s="94"/>
      <c r="N12" s="93"/>
      <c r="O12" s="85"/>
      <c r="Q12" s="94"/>
      <c r="R12" s="93"/>
      <c r="S12" s="85"/>
      <c r="U12" s="94"/>
      <c r="V12" s="93"/>
      <c r="W12" s="85"/>
      <c r="Y12" s="94"/>
      <c r="Z12" s="93"/>
      <c r="AA12" s="85"/>
      <c r="AC12" s="94"/>
      <c r="AD12" s="93"/>
      <c r="AE12" s="85"/>
    </row>
    <row r="13" spans="1:34" x14ac:dyDescent="0.35">
      <c r="E13" s="85" t="s">
        <v>484</v>
      </c>
      <c r="F13" s="93" t="s">
        <v>488</v>
      </c>
      <c r="G13" s="85" t="s">
        <v>489</v>
      </c>
      <c r="H13" s="87" t="s">
        <v>475</v>
      </c>
      <c r="I13" s="85" t="s">
        <v>484</v>
      </c>
      <c r="J13" s="93" t="s">
        <v>488</v>
      </c>
      <c r="K13" s="85" t="s">
        <v>489</v>
      </c>
      <c r="L13" s="87" t="s">
        <v>475</v>
      </c>
      <c r="M13" s="85" t="s">
        <v>484</v>
      </c>
      <c r="N13" s="93" t="s">
        <v>488</v>
      </c>
      <c r="O13" s="85" t="s">
        <v>489</v>
      </c>
      <c r="P13" s="87" t="s">
        <v>475</v>
      </c>
      <c r="Q13" s="94"/>
      <c r="R13" s="93"/>
      <c r="S13" s="85"/>
      <c r="U13" s="94"/>
      <c r="V13" s="93"/>
      <c r="W13" s="85"/>
      <c r="Y13" s="94"/>
      <c r="Z13" s="93"/>
      <c r="AA13" s="85"/>
      <c r="AC13" s="94"/>
      <c r="AD13" s="93"/>
      <c r="AE13" s="85"/>
    </row>
    <row r="14" spans="1:34" x14ac:dyDescent="0.35">
      <c r="E14" s="85">
        <v>1</v>
      </c>
      <c r="F14" s="93" t="s">
        <v>1</v>
      </c>
      <c r="G14" s="85" t="s">
        <v>1818</v>
      </c>
      <c r="H14" s="87">
        <v>-5000</v>
      </c>
      <c r="I14" s="94">
        <v>2</v>
      </c>
      <c r="J14" s="93">
        <v>45043</v>
      </c>
      <c r="K14" s="85" t="s">
        <v>1819</v>
      </c>
      <c r="L14" s="87">
        <v>900</v>
      </c>
      <c r="M14" s="94">
        <v>2</v>
      </c>
      <c r="N14" s="93">
        <v>45412</v>
      </c>
      <c r="O14" s="85" t="s">
        <v>2400</v>
      </c>
      <c r="P14" s="148">
        <v>5500</v>
      </c>
      <c r="Q14" s="94"/>
      <c r="R14" s="93"/>
      <c r="S14" s="85"/>
      <c r="U14" s="94"/>
      <c r="V14" s="93"/>
      <c r="W14" s="85"/>
      <c r="Y14" s="94"/>
      <c r="Z14" s="93"/>
      <c r="AA14" s="85"/>
      <c r="AC14" s="94"/>
      <c r="AD14" s="93"/>
      <c r="AE14" s="85"/>
    </row>
    <row r="15" spans="1:34" x14ac:dyDescent="0.35">
      <c r="E15" s="85">
        <v>1</v>
      </c>
      <c r="F15" s="93" t="s">
        <v>1</v>
      </c>
      <c r="G15" s="85" t="s">
        <v>1820</v>
      </c>
      <c r="H15" s="87">
        <v>-36578.160000000003</v>
      </c>
      <c r="I15" s="94">
        <v>2</v>
      </c>
      <c r="J15" s="93">
        <v>45057</v>
      </c>
      <c r="K15" s="85" t="s">
        <v>1749</v>
      </c>
      <c r="L15" s="87">
        <v>1600</v>
      </c>
      <c r="M15" s="94">
        <v>2</v>
      </c>
      <c r="N15" s="93">
        <v>45393</v>
      </c>
      <c r="O15" s="85" t="s">
        <v>2856</v>
      </c>
      <c r="P15" s="148">
        <v>2000</v>
      </c>
      <c r="Q15" s="94"/>
      <c r="R15" s="93"/>
      <c r="S15" s="85"/>
      <c r="U15" s="94"/>
      <c r="V15" s="93"/>
      <c r="W15" s="85"/>
      <c r="Y15" s="94"/>
      <c r="Z15" s="93"/>
      <c r="AA15" s="85"/>
      <c r="AC15" s="94"/>
      <c r="AD15" s="93"/>
      <c r="AE15" s="85"/>
    </row>
    <row r="16" spans="1:34" x14ac:dyDescent="0.35">
      <c r="F16" s="93" t="s">
        <v>819</v>
      </c>
      <c r="G16" s="85" t="s">
        <v>819</v>
      </c>
      <c r="H16" s="87">
        <f>50000-SUMIFS(H17:H404,E17:E404,2)</f>
        <v>6699.6699999999983</v>
      </c>
      <c r="I16" s="94" t="s">
        <v>3092</v>
      </c>
      <c r="J16" s="93" t="s">
        <v>491</v>
      </c>
      <c r="K16" s="85" t="s">
        <v>1821</v>
      </c>
      <c r="L16" s="87">
        <v>646.09</v>
      </c>
      <c r="M16" s="94">
        <v>2</v>
      </c>
      <c r="N16" s="93">
        <v>45412</v>
      </c>
      <c r="O16" s="85" t="s">
        <v>2857</v>
      </c>
      <c r="P16" s="148">
        <v>1750</v>
      </c>
      <c r="Q16" s="94"/>
      <c r="R16" s="93"/>
      <c r="S16" s="85"/>
      <c r="U16" s="94"/>
      <c r="V16" s="93"/>
      <c r="W16" s="85"/>
      <c r="Y16" s="94"/>
      <c r="Z16" s="93"/>
      <c r="AA16" s="85"/>
      <c r="AC16" s="94"/>
      <c r="AD16" s="93"/>
      <c r="AE16" s="85"/>
    </row>
    <row r="17" spans="5:31" x14ac:dyDescent="0.35">
      <c r="E17" s="85">
        <v>2</v>
      </c>
      <c r="F17" s="93">
        <v>44677</v>
      </c>
      <c r="G17" s="85" t="s">
        <v>1822</v>
      </c>
      <c r="H17" s="87">
        <v>250</v>
      </c>
      <c r="I17" s="94">
        <v>2</v>
      </c>
      <c r="J17" s="93">
        <v>45127</v>
      </c>
      <c r="K17" s="85" t="s">
        <v>1823</v>
      </c>
      <c r="L17" s="87">
        <v>2000</v>
      </c>
      <c r="M17" s="94">
        <v>2</v>
      </c>
      <c r="N17" s="93">
        <v>45412</v>
      </c>
      <c r="O17" s="85" t="s">
        <v>2858</v>
      </c>
      <c r="P17" s="148">
        <v>1980</v>
      </c>
      <c r="Q17" s="94"/>
      <c r="R17" s="93"/>
      <c r="S17" s="85"/>
      <c r="U17" s="94"/>
      <c r="V17" s="93"/>
      <c r="W17" s="85"/>
      <c r="Y17" s="94"/>
      <c r="Z17" s="93"/>
      <c r="AA17" s="85"/>
      <c r="AC17" s="94"/>
      <c r="AD17" s="93"/>
      <c r="AE17" s="85"/>
    </row>
    <row r="18" spans="5:31" x14ac:dyDescent="0.35">
      <c r="E18" s="85">
        <v>2</v>
      </c>
      <c r="F18" s="93">
        <v>44677</v>
      </c>
      <c r="G18" s="85" t="s">
        <v>1824</v>
      </c>
      <c r="H18" s="87">
        <v>2000</v>
      </c>
      <c r="I18" s="94">
        <v>2</v>
      </c>
      <c r="J18" s="93">
        <v>45119</v>
      </c>
      <c r="K18" s="85" t="s">
        <v>1825</v>
      </c>
      <c r="L18" s="87">
        <v>2000</v>
      </c>
      <c r="M18" s="94">
        <v>2</v>
      </c>
      <c r="N18" s="93">
        <v>45412</v>
      </c>
      <c r="O18" s="93" t="s">
        <v>3128</v>
      </c>
      <c r="P18" s="148">
        <v>210</v>
      </c>
      <c r="Q18" s="94"/>
      <c r="R18" s="93"/>
      <c r="S18" s="85"/>
      <c r="U18" s="94"/>
      <c r="V18" s="93"/>
      <c r="W18" s="85"/>
      <c r="Y18" s="94"/>
      <c r="Z18" s="93"/>
      <c r="AA18" s="85"/>
      <c r="AC18" s="94"/>
      <c r="AD18" s="93"/>
      <c r="AE18" s="85"/>
    </row>
    <row r="19" spans="5:31" x14ac:dyDescent="0.35">
      <c r="E19" s="85">
        <v>2</v>
      </c>
      <c r="F19" s="93">
        <v>44685</v>
      </c>
      <c r="G19" s="85" t="s">
        <v>1826</v>
      </c>
      <c r="H19" s="87">
        <v>750</v>
      </c>
      <c r="I19" s="94">
        <v>2</v>
      </c>
      <c r="J19" s="93">
        <v>45121</v>
      </c>
      <c r="K19" s="85" t="s">
        <v>1827</v>
      </c>
      <c r="L19" s="87">
        <v>2276</v>
      </c>
      <c r="M19" s="94">
        <v>3</v>
      </c>
      <c r="N19" s="93">
        <v>45435</v>
      </c>
      <c r="O19" s="85" t="s">
        <v>2943</v>
      </c>
      <c r="P19" s="148">
        <v>2000</v>
      </c>
      <c r="Q19" s="94"/>
      <c r="R19" s="93"/>
      <c r="S19" s="85"/>
      <c r="U19" s="94"/>
      <c r="V19" s="93"/>
      <c r="W19" s="85"/>
      <c r="Y19" s="94"/>
      <c r="Z19" s="93"/>
      <c r="AA19" s="85"/>
      <c r="AC19" s="94"/>
      <c r="AD19" s="93"/>
      <c r="AE19" s="85"/>
    </row>
    <row r="20" spans="5:31" x14ac:dyDescent="0.35">
      <c r="E20" s="85">
        <v>2</v>
      </c>
      <c r="F20" s="93">
        <v>44694</v>
      </c>
      <c r="G20" s="85" t="s">
        <v>1828</v>
      </c>
      <c r="H20" s="87">
        <v>600</v>
      </c>
      <c r="I20" s="94">
        <v>2</v>
      </c>
      <c r="J20" s="93">
        <v>45167</v>
      </c>
      <c r="K20" s="85" t="s">
        <v>1829</v>
      </c>
      <c r="L20" s="87">
        <v>2277</v>
      </c>
      <c r="M20" s="94">
        <v>2</v>
      </c>
      <c r="N20" s="93">
        <v>45472</v>
      </c>
      <c r="O20" s="85" t="s">
        <v>2945</v>
      </c>
      <c r="P20" s="148">
        <v>2500</v>
      </c>
      <c r="Q20" s="94"/>
      <c r="R20" s="93"/>
      <c r="S20" s="85"/>
      <c r="U20" s="94"/>
      <c r="V20" s="93"/>
      <c r="W20" s="85"/>
      <c r="Y20" s="94"/>
      <c r="Z20" s="93"/>
      <c r="AA20" s="85"/>
      <c r="AC20" s="94"/>
      <c r="AD20" s="93"/>
      <c r="AE20" s="85"/>
    </row>
    <row r="21" spans="5:31" x14ac:dyDescent="0.35">
      <c r="E21" s="85">
        <v>2</v>
      </c>
      <c r="F21" s="93">
        <v>44734</v>
      </c>
      <c r="G21" s="85" t="s">
        <v>1830</v>
      </c>
      <c r="H21" s="87">
        <v>2000</v>
      </c>
      <c r="I21" s="94">
        <v>2</v>
      </c>
      <c r="J21" s="93">
        <v>45170</v>
      </c>
      <c r="K21" s="85" t="s">
        <v>1831</v>
      </c>
      <c r="L21" s="87">
        <v>735.47</v>
      </c>
      <c r="M21" s="94">
        <v>2</v>
      </c>
      <c r="N21" s="93">
        <v>45412</v>
      </c>
      <c r="O21" s="85" t="s">
        <v>3129</v>
      </c>
      <c r="P21" s="148">
        <v>510</v>
      </c>
      <c r="Q21" s="94"/>
      <c r="R21" s="93"/>
      <c r="S21" s="85"/>
      <c r="U21" s="94"/>
      <c r="V21" s="93"/>
      <c r="W21" s="85"/>
      <c r="Y21" s="94"/>
      <c r="Z21" s="93"/>
      <c r="AA21" s="85"/>
      <c r="AC21" s="94"/>
      <c r="AD21" s="93"/>
      <c r="AE21" s="85"/>
    </row>
    <row r="22" spans="5:31" x14ac:dyDescent="0.35">
      <c r="E22" s="85">
        <v>2</v>
      </c>
      <c r="F22" s="93">
        <v>44753</v>
      </c>
      <c r="G22" s="85" t="s">
        <v>1832</v>
      </c>
      <c r="H22" s="87">
        <v>1100</v>
      </c>
      <c r="I22" s="94" t="s">
        <v>3092</v>
      </c>
      <c r="J22" s="93" t="s">
        <v>491</v>
      </c>
      <c r="K22" s="85" t="s">
        <v>1833</v>
      </c>
      <c r="L22" s="87">
        <v>729.95</v>
      </c>
      <c r="M22" s="94">
        <v>2</v>
      </c>
      <c r="N22" s="93" t="s">
        <v>491</v>
      </c>
      <c r="O22" s="85" t="s">
        <v>2985</v>
      </c>
      <c r="P22" s="87">
        <v>1865</v>
      </c>
      <c r="Q22" s="94"/>
      <c r="R22" s="93"/>
      <c r="S22" s="85"/>
      <c r="U22" s="94"/>
      <c r="V22" s="93"/>
      <c r="W22" s="85"/>
      <c r="Y22" s="94"/>
      <c r="Z22" s="93"/>
      <c r="AA22" s="85"/>
      <c r="AC22" s="94"/>
      <c r="AD22" s="93"/>
      <c r="AE22" s="85"/>
    </row>
    <row r="23" spans="5:31" x14ac:dyDescent="0.35">
      <c r="E23" s="85">
        <v>2</v>
      </c>
      <c r="F23" s="93">
        <v>44756</v>
      </c>
      <c r="G23" s="85" t="s">
        <v>1834</v>
      </c>
      <c r="H23" s="87">
        <v>71.94</v>
      </c>
      <c r="I23" s="94">
        <v>2</v>
      </c>
      <c r="J23" s="93">
        <v>45196</v>
      </c>
      <c r="K23" s="85" t="s">
        <v>1835</v>
      </c>
      <c r="L23" s="87">
        <v>7500</v>
      </c>
      <c r="M23" s="94">
        <v>3</v>
      </c>
      <c r="N23" s="93">
        <v>45485</v>
      </c>
      <c r="O23" s="85" t="s">
        <v>2986</v>
      </c>
      <c r="P23" s="87">
        <v>1500</v>
      </c>
      <c r="Q23" s="94"/>
      <c r="R23" s="93"/>
      <c r="S23" s="85"/>
      <c r="U23" s="94"/>
      <c r="V23" s="93"/>
      <c r="W23" s="85"/>
      <c r="Y23" s="94"/>
      <c r="Z23" s="93"/>
      <c r="AA23" s="85"/>
      <c r="AC23" s="94"/>
      <c r="AD23" s="93"/>
      <c r="AE23" s="85"/>
    </row>
    <row r="24" spans="5:31" x14ac:dyDescent="0.35">
      <c r="E24" s="85">
        <v>2</v>
      </c>
      <c r="F24" s="93">
        <v>44760</v>
      </c>
      <c r="G24" s="85" t="s">
        <v>1836</v>
      </c>
      <c r="H24" s="87">
        <v>2374</v>
      </c>
      <c r="I24" s="94">
        <v>2</v>
      </c>
      <c r="J24" s="93">
        <v>45211</v>
      </c>
      <c r="K24" s="85" t="s">
        <v>1837</v>
      </c>
      <c r="L24" s="87">
        <v>2000</v>
      </c>
      <c r="M24" s="94">
        <v>3</v>
      </c>
      <c r="N24" s="93">
        <v>45483</v>
      </c>
      <c r="O24" s="85" t="s">
        <v>2987</v>
      </c>
      <c r="P24" s="87">
        <v>1500</v>
      </c>
      <c r="Q24" s="94"/>
      <c r="R24" s="93"/>
      <c r="S24" s="85"/>
      <c r="U24" s="94"/>
      <c r="V24" s="93"/>
      <c r="W24" s="85"/>
      <c r="Y24" s="94"/>
      <c r="Z24" s="93"/>
      <c r="AA24" s="85"/>
      <c r="AC24" s="94"/>
      <c r="AD24" s="93"/>
      <c r="AE24" s="85"/>
    </row>
    <row r="25" spans="5:31" x14ac:dyDescent="0.35">
      <c r="E25" s="85">
        <v>2</v>
      </c>
      <c r="F25" s="93">
        <v>44775</v>
      </c>
      <c r="G25" s="85" t="s">
        <v>1826</v>
      </c>
      <c r="H25" s="87">
        <v>2400</v>
      </c>
      <c r="I25" s="94">
        <v>2</v>
      </c>
      <c r="J25" s="93">
        <v>45225</v>
      </c>
      <c r="K25" s="85" t="s">
        <v>1838</v>
      </c>
      <c r="L25" s="87">
        <v>500</v>
      </c>
      <c r="M25" s="94">
        <v>2</v>
      </c>
      <c r="N25" s="93">
        <v>45506</v>
      </c>
      <c r="O25" s="85" t="s">
        <v>1832</v>
      </c>
      <c r="P25" s="87">
        <v>1200</v>
      </c>
      <c r="Q25" s="94"/>
      <c r="R25" s="93"/>
      <c r="S25" s="85"/>
      <c r="U25" s="94"/>
      <c r="V25" s="93"/>
      <c r="W25" s="85"/>
      <c r="Y25" s="94"/>
      <c r="Z25" s="93"/>
      <c r="AA25" s="85"/>
      <c r="AC25" s="94"/>
      <c r="AD25" s="93"/>
      <c r="AE25" s="85"/>
    </row>
    <row r="26" spans="5:31" x14ac:dyDescent="0.35">
      <c r="E26" s="85">
        <v>2</v>
      </c>
      <c r="F26" s="93">
        <v>44774</v>
      </c>
      <c r="G26" s="85" t="s">
        <v>1839</v>
      </c>
      <c r="H26" s="87">
        <v>200</v>
      </c>
      <c r="I26" s="94">
        <v>2</v>
      </c>
      <c r="J26" s="93">
        <v>45232</v>
      </c>
      <c r="K26" s="85" t="s">
        <v>1840</v>
      </c>
      <c r="L26" s="87">
        <v>1900</v>
      </c>
      <c r="M26" s="94">
        <v>2</v>
      </c>
      <c r="N26" s="93" t="s">
        <v>491</v>
      </c>
      <c r="O26" s="85" t="s">
        <v>2988</v>
      </c>
      <c r="P26" s="87">
        <v>296</v>
      </c>
      <c r="Q26" s="94"/>
      <c r="R26" s="93"/>
      <c r="S26" s="85"/>
      <c r="U26" s="94"/>
      <c r="V26" s="93"/>
      <c r="W26" s="85"/>
      <c r="Y26" s="94"/>
      <c r="Z26" s="93"/>
      <c r="AA26" s="85"/>
      <c r="AC26" s="94"/>
      <c r="AD26" s="93"/>
      <c r="AE26" s="85"/>
    </row>
    <row r="27" spans="5:31" x14ac:dyDescent="0.35">
      <c r="E27" s="85">
        <v>2</v>
      </c>
      <c r="F27" s="93">
        <v>44769</v>
      </c>
      <c r="G27" s="85" t="s">
        <v>1841</v>
      </c>
      <c r="H27" s="87">
        <v>2000</v>
      </c>
      <c r="I27" s="94">
        <v>3</v>
      </c>
      <c r="J27" s="93">
        <v>45225</v>
      </c>
      <c r="K27" s="85" t="s">
        <v>1838</v>
      </c>
      <c r="L27" s="87">
        <v>200</v>
      </c>
      <c r="M27" s="94">
        <v>2</v>
      </c>
      <c r="N27" s="93" t="s">
        <v>491</v>
      </c>
      <c r="O27" s="85" t="s">
        <v>1823</v>
      </c>
      <c r="P27" s="87">
        <v>606</v>
      </c>
      <c r="Q27" s="94"/>
      <c r="R27" s="93"/>
      <c r="S27" s="85"/>
      <c r="U27" s="94"/>
      <c r="V27" s="93"/>
      <c r="W27" s="85"/>
      <c r="Y27" s="94"/>
      <c r="Z27" s="93"/>
      <c r="AA27" s="85"/>
      <c r="AC27" s="94"/>
      <c r="AD27" s="93"/>
      <c r="AE27" s="85"/>
    </row>
    <row r="28" spans="5:31" x14ac:dyDescent="0.35">
      <c r="E28" s="85">
        <v>2</v>
      </c>
      <c r="F28" s="93">
        <v>44974</v>
      </c>
      <c r="G28" s="141" t="s">
        <v>1842</v>
      </c>
      <c r="H28" s="87">
        <v>1500</v>
      </c>
      <c r="I28" s="94">
        <v>2</v>
      </c>
      <c r="J28" s="93">
        <v>45239</v>
      </c>
      <c r="K28" s="85" t="s">
        <v>1844</v>
      </c>
      <c r="L28" s="87">
        <v>2000</v>
      </c>
      <c r="M28" s="94">
        <v>2</v>
      </c>
      <c r="N28" s="93" t="s">
        <v>491</v>
      </c>
      <c r="O28" s="85" t="s">
        <v>2989</v>
      </c>
      <c r="P28" s="87">
        <v>100.8</v>
      </c>
      <c r="Q28" s="94"/>
      <c r="R28" s="93"/>
      <c r="S28" s="85"/>
      <c r="U28" s="94"/>
      <c r="V28" s="93"/>
      <c r="W28" s="85"/>
      <c r="Y28" s="94"/>
      <c r="Z28" s="93"/>
      <c r="AA28" s="85"/>
      <c r="AC28" s="94"/>
      <c r="AD28" s="93"/>
      <c r="AE28" s="85"/>
    </row>
    <row r="29" spans="5:31" x14ac:dyDescent="0.35">
      <c r="E29" s="85">
        <v>2</v>
      </c>
      <c r="F29" s="93">
        <v>44903</v>
      </c>
      <c r="G29" s="85" t="s">
        <v>1843</v>
      </c>
      <c r="H29" s="87">
        <v>1500</v>
      </c>
      <c r="I29" s="94">
        <v>3</v>
      </c>
      <c r="J29" s="93">
        <v>45232</v>
      </c>
      <c r="K29" s="85" t="s">
        <v>1846</v>
      </c>
      <c r="L29" s="87">
        <v>1500</v>
      </c>
      <c r="M29" s="94">
        <v>2</v>
      </c>
      <c r="N29" s="93">
        <v>45506</v>
      </c>
      <c r="O29" s="85" t="s">
        <v>2990</v>
      </c>
      <c r="P29" s="87">
        <v>158</v>
      </c>
      <c r="Q29" s="94"/>
      <c r="R29" s="93"/>
      <c r="S29" s="85"/>
      <c r="U29" s="94"/>
      <c r="V29" s="93"/>
      <c r="W29" s="85"/>
      <c r="Y29" s="94"/>
      <c r="Z29" s="93"/>
      <c r="AA29" s="85"/>
      <c r="AC29" s="94"/>
      <c r="AD29" s="93"/>
      <c r="AE29" s="85"/>
    </row>
    <row r="30" spans="5:31" x14ac:dyDescent="0.35">
      <c r="E30" s="85">
        <v>2</v>
      </c>
      <c r="F30" s="93">
        <v>44893</v>
      </c>
      <c r="G30" s="85" t="s">
        <v>1845</v>
      </c>
      <c r="H30" s="87">
        <v>1323.95</v>
      </c>
      <c r="I30" s="94">
        <v>2</v>
      </c>
      <c r="J30" s="93">
        <v>45254</v>
      </c>
      <c r="K30" s="85" t="s">
        <v>1848</v>
      </c>
      <c r="L30" s="87">
        <v>1296</v>
      </c>
      <c r="M30" s="94">
        <v>2</v>
      </c>
      <c r="N30" s="93">
        <v>45506</v>
      </c>
      <c r="O30" s="85" t="s">
        <v>2991</v>
      </c>
      <c r="P30" s="87">
        <v>4920</v>
      </c>
      <c r="Q30" s="94"/>
      <c r="R30" s="93"/>
      <c r="S30" s="85"/>
      <c r="U30" s="94"/>
      <c r="V30" s="93"/>
      <c r="W30" s="85"/>
      <c r="Y30" s="94"/>
      <c r="Z30" s="93"/>
      <c r="AA30" s="85"/>
      <c r="AC30" s="94"/>
      <c r="AD30" s="93"/>
      <c r="AE30" s="85"/>
    </row>
    <row r="31" spans="5:31" x14ac:dyDescent="0.35">
      <c r="E31" s="85">
        <v>2</v>
      </c>
      <c r="F31" s="93" t="s">
        <v>491</v>
      </c>
      <c r="G31" s="85" t="s">
        <v>1847</v>
      </c>
      <c r="H31" s="87">
        <v>185</v>
      </c>
      <c r="I31" s="94">
        <v>2</v>
      </c>
      <c r="J31" s="93">
        <v>45160</v>
      </c>
      <c r="K31" s="85" t="s">
        <v>2234</v>
      </c>
      <c r="L31" s="87">
        <v>2000</v>
      </c>
      <c r="M31" s="94">
        <v>1</v>
      </c>
      <c r="N31" s="93">
        <v>45474</v>
      </c>
      <c r="O31" s="85" t="s">
        <v>2992</v>
      </c>
      <c r="P31" s="87">
        <v>-3000</v>
      </c>
      <c r="Q31" s="94" t="s">
        <v>3033</v>
      </c>
      <c r="R31" s="93"/>
      <c r="S31" s="85"/>
      <c r="U31" s="94"/>
      <c r="V31" s="93"/>
      <c r="W31" s="85"/>
      <c r="Y31" s="94"/>
      <c r="Z31" s="93"/>
      <c r="AA31" s="85"/>
      <c r="AC31" s="94"/>
      <c r="AD31" s="93"/>
      <c r="AE31" s="85"/>
    </row>
    <row r="32" spans="5:31" x14ac:dyDescent="0.35">
      <c r="E32" s="85">
        <v>2</v>
      </c>
      <c r="F32" s="93" t="s">
        <v>491</v>
      </c>
      <c r="G32" s="85" t="s">
        <v>1849</v>
      </c>
      <c r="H32" s="87">
        <v>1840</v>
      </c>
      <c r="I32" s="94">
        <v>2</v>
      </c>
      <c r="J32" s="93" t="s">
        <v>775</v>
      </c>
      <c r="K32" s="85" t="s">
        <v>1850</v>
      </c>
      <c r="L32" s="87">
        <v>3750</v>
      </c>
      <c r="M32" s="94">
        <v>3</v>
      </c>
      <c r="N32" s="93" t="s">
        <v>491</v>
      </c>
      <c r="O32" s="85" t="s">
        <v>3030</v>
      </c>
      <c r="P32" s="87">
        <v>1500</v>
      </c>
      <c r="Q32" s="94" t="s">
        <v>3034</v>
      </c>
      <c r="R32" s="93"/>
      <c r="S32" s="85"/>
      <c r="U32" s="94"/>
      <c r="V32" s="93"/>
      <c r="W32" s="85"/>
      <c r="Y32" s="94"/>
      <c r="Z32" s="93"/>
      <c r="AA32" s="85"/>
      <c r="AC32" s="94"/>
      <c r="AD32" s="93"/>
      <c r="AE32" s="85"/>
    </row>
    <row r="33" spans="5:31" x14ac:dyDescent="0.35">
      <c r="E33" s="85">
        <v>2</v>
      </c>
      <c r="F33" s="93">
        <v>44841</v>
      </c>
      <c r="G33" s="85" t="s">
        <v>1851</v>
      </c>
      <c r="H33" s="87">
        <v>100</v>
      </c>
      <c r="I33" s="94">
        <v>2</v>
      </c>
      <c r="J33" s="93">
        <v>45254</v>
      </c>
      <c r="K33" s="87" t="s">
        <v>2235</v>
      </c>
      <c r="L33" s="87">
        <v>3000</v>
      </c>
      <c r="M33" s="94">
        <v>2</v>
      </c>
      <c r="N33" s="93" t="s">
        <v>491</v>
      </c>
      <c r="O33" s="85" t="s">
        <v>3031</v>
      </c>
      <c r="P33" s="87">
        <v>1144</v>
      </c>
      <c r="Q33" s="94" t="s">
        <v>3035</v>
      </c>
      <c r="R33" s="93"/>
      <c r="S33" s="85"/>
      <c r="U33" s="94"/>
      <c r="V33" s="93"/>
      <c r="W33" s="85"/>
      <c r="Y33" s="94"/>
      <c r="Z33" s="93"/>
      <c r="AA33" s="85"/>
      <c r="AC33" s="94"/>
      <c r="AD33" s="93"/>
      <c r="AE33" s="85"/>
    </row>
    <row r="34" spans="5:31" x14ac:dyDescent="0.35">
      <c r="E34" s="85">
        <v>2</v>
      </c>
      <c r="F34" s="93">
        <v>45002</v>
      </c>
      <c r="G34" s="85" t="s">
        <v>1852</v>
      </c>
      <c r="H34" s="87">
        <v>1500</v>
      </c>
      <c r="I34" s="94">
        <v>2</v>
      </c>
      <c r="J34" s="93">
        <v>45260</v>
      </c>
      <c r="K34" s="87" t="s">
        <v>2236</v>
      </c>
      <c r="L34" s="87">
        <v>1930</v>
      </c>
      <c r="M34" s="95">
        <v>3</v>
      </c>
      <c r="N34" s="93" t="s">
        <v>491</v>
      </c>
      <c r="O34" s="85" t="s">
        <v>3032</v>
      </c>
      <c r="P34" s="87">
        <v>1500</v>
      </c>
      <c r="Q34" s="94" t="s">
        <v>3035</v>
      </c>
      <c r="R34" s="93"/>
      <c r="S34" s="85"/>
      <c r="U34" s="94"/>
      <c r="V34" s="93"/>
      <c r="W34" s="85"/>
      <c r="Y34" s="94"/>
      <c r="Z34" s="93"/>
      <c r="AA34" s="85"/>
      <c r="AC34" s="94"/>
      <c r="AD34" s="93"/>
      <c r="AE34" s="85"/>
    </row>
    <row r="35" spans="5:31" x14ac:dyDescent="0.35">
      <c r="F35" s="93" t="s">
        <v>491</v>
      </c>
      <c r="G35" s="85" t="s">
        <v>1853</v>
      </c>
      <c r="H35" s="87">
        <v>500</v>
      </c>
      <c r="I35" s="94">
        <v>2</v>
      </c>
      <c r="J35" s="93">
        <v>45250</v>
      </c>
      <c r="K35" s="85" t="s">
        <v>1823</v>
      </c>
      <c r="L35" s="87">
        <v>2000</v>
      </c>
      <c r="M35" s="95">
        <v>2</v>
      </c>
      <c r="N35" s="93" t="s">
        <v>491</v>
      </c>
      <c r="O35" s="85" t="s">
        <v>3032</v>
      </c>
      <c r="P35" s="87">
        <v>500</v>
      </c>
      <c r="Q35" s="94" t="s">
        <v>3037</v>
      </c>
      <c r="R35" s="93"/>
      <c r="S35" s="85"/>
      <c r="U35" s="94"/>
      <c r="V35" s="93"/>
      <c r="W35" s="85"/>
      <c r="Y35" s="94"/>
      <c r="Z35" s="93"/>
      <c r="AA35" s="85"/>
      <c r="AC35" s="94"/>
      <c r="AD35" s="93"/>
      <c r="AE35" s="85"/>
    </row>
    <row r="36" spans="5:31" x14ac:dyDescent="0.35">
      <c r="E36" s="85">
        <v>2</v>
      </c>
      <c r="F36" s="93" t="s">
        <v>1854</v>
      </c>
      <c r="G36" s="85" t="s">
        <v>1855</v>
      </c>
      <c r="H36" s="87">
        <v>0</v>
      </c>
      <c r="I36" s="94">
        <v>3</v>
      </c>
      <c r="J36" s="93">
        <v>45254</v>
      </c>
      <c r="K36" s="85" t="s">
        <v>2237</v>
      </c>
      <c r="L36" s="87">
        <v>1500</v>
      </c>
      <c r="M36" s="95">
        <v>3</v>
      </c>
      <c r="N36" s="93" t="s">
        <v>491</v>
      </c>
      <c r="O36" s="85" t="s">
        <v>2237</v>
      </c>
      <c r="P36" s="87">
        <v>1500</v>
      </c>
      <c r="Q36" s="94" t="s">
        <v>3038</v>
      </c>
      <c r="R36" s="93"/>
      <c r="S36" s="85"/>
      <c r="U36" s="94"/>
      <c r="V36" s="93"/>
      <c r="W36" s="85"/>
      <c r="Y36" s="94"/>
      <c r="Z36" s="93"/>
      <c r="AA36" s="85"/>
      <c r="AC36" s="94"/>
      <c r="AD36" s="93"/>
      <c r="AE36" s="85"/>
    </row>
    <row r="37" spans="5:31" x14ac:dyDescent="0.35">
      <c r="E37" s="85">
        <v>2</v>
      </c>
      <c r="F37" s="93">
        <v>44865</v>
      </c>
      <c r="G37" s="85" t="s">
        <v>1856</v>
      </c>
      <c r="H37" s="87">
        <v>2000</v>
      </c>
      <c r="I37" s="94">
        <v>3</v>
      </c>
      <c r="J37" s="93">
        <v>45254</v>
      </c>
      <c r="K37" s="85" t="s">
        <v>2238</v>
      </c>
      <c r="L37" s="87">
        <v>1000</v>
      </c>
      <c r="M37" s="94">
        <v>2</v>
      </c>
      <c r="N37" s="93">
        <v>45506</v>
      </c>
      <c r="O37" s="85" t="s">
        <v>3036</v>
      </c>
      <c r="P37" s="87">
        <v>1200</v>
      </c>
      <c r="Q37" s="94" t="s">
        <v>3040</v>
      </c>
      <c r="R37" s="93"/>
      <c r="S37" s="85"/>
      <c r="U37" s="94"/>
      <c r="V37" s="93"/>
      <c r="W37" s="85"/>
      <c r="Y37" s="94"/>
      <c r="Z37" s="93"/>
      <c r="AA37" s="85"/>
      <c r="AC37" s="94"/>
      <c r="AD37" s="93"/>
      <c r="AE37" s="85"/>
    </row>
    <row r="38" spans="5:31" x14ac:dyDescent="0.35">
      <c r="E38" s="85">
        <v>2</v>
      </c>
      <c r="F38" s="93">
        <v>44992</v>
      </c>
      <c r="G38" s="85" t="s">
        <v>1857</v>
      </c>
      <c r="H38" s="87">
        <v>1500</v>
      </c>
      <c r="I38" s="94">
        <v>3</v>
      </c>
      <c r="J38" s="93">
        <v>45264</v>
      </c>
      <c r="K38" s="85" t="s">
        <v>2239</v>
      </c>
      <c r="L38" s="87">
        <v>2000</v>
      </c>
      <c r="M38" s="94">
        <v>2</v>
      </c>
      <c r="N38" s="93" t="s">
        <v>491</v>
      </c>
      <c r="O38" s="85" t="s">
        <v>3039</v>
      </c>
      <c r="P38" s="87">
        <v>100</v>
      </c>
      <c r="Q38" s="94"/>
      <c r="R38" s="93"/>
      <c r="S38" s="85"/>
      <c r="U38" s="94"/>
      <c r="V38" s="93"/>
      <c r="W38" s="85"/>
      <c r="Y38" s="94"/>
      <c r="Z38" s="93"/>
      <c r="AA38" s="85"/>
      <c r="AC38" s="94"/>
      <c r="AD38" s="93"/>
      <c r="AE38" s="85"/>
    </row>
    <row r="39" spans="5:31" x14ac:dyDescent="0.35">
      <c r="E39" s="85">
        <v>2</v>
      </c>
      <c r="F39" s="93" t="s">
        <v>491</v>
      </c>
      <c r="G39" s="85" t="s">
        <v>1858</v>
      </c>
      <c r="H39" s="87">
        <v>2000</v>
      </c>
      <c r="I39" s="96">
        <v>3</v>
      </c>
      <c r="J39" s="93">
        <v>45281</v>
      </c>
      <c r="K39" s="85" t="s">
        <v>2245</v>
      </c>
      <c r="L39" s="87">
        <v>1500</v>
      </c>
      <c r="M39" s="94">
        <v>2</v>
      </c>
      <c r="N39" s="93" t="s">
        <v>491</v>
      </c>
      <c r="O39" s="85" t="s">
        <v>3177</v>
      </c>
      <c r="P39" s="87">
        <v>2500</v>
      </c>
      <c r="Q39" s="94"/>
      <c r="R39" s="93"/>
      <c r="S39" s="85"/>
      <c r="U39" s="94"/>
      <c r="V39" s="93"/>
      <c r="W39" s="85"/>
      <c r="Y39" s="94"/>
      <c r="Z39" s="93"/>
      <c r="AA39" s="85"/>
      <c r="AC39" s="94"/>
      <c r="AD39" s="93"/>
      <c r="AE39" s="85"/>
    </row>
    <row r="40" spans="5:31" x14ac:dyDescent="0.35">
      <c r="E40" s="85">
        <v>2</v>
      </c>
      <c r="F40" s="93">
        <v>44907</v>
      </c>
      <c r="G40" s="141" t="s">
        <v>1859</v>
      </c>
      <c r="H40" s="87">
        <v>2000</v>
      </c>
      <c r="I40" s="96">
        <v>2</v>
      </c>
      <c r="J40" s="93">
        <v>45275</v>
      </c>
      <c r="K40" s="85" t="s">
        <v>2246</v>
      </c>
      <c r="L40" s="87">
        <v>3209</v>
      </c>
      <c r="M40" s="94"/>
      <c r="N40" s="93"/>
      <c r="O40" s="85"/>
      <c r="Q40" s="94"/>
      <c r="R40" s="93"/>
      <c r="S40" s="85"/>
      <c r="U40" s="94"/>
      <c r="V40" s="93"/>
      <c r="W40" s="85"/>
      <c r="Y40" s="94"/>
      <c r="Z40" s="93"/>
      <c r="AA40" s="85"/>
      <c r="AC40" s="94"/>
      <c r="AD40" s="93"/>
      <c r="AE40" s="85"/>
    </row>
    <row r="41" spans="5:31" x14ac:dyDescent="0.35">
      <c r="E41" s="85">
        <v>2</v>
      </c>
      <c r="F41" s="93" t="s">
        <v>491</v>
      </c>
      <c r="G41" s="85" t="s">
        <v>1860</v>
      </c>
      <c r="H41" s="87">
        <v>2645.44</v>
      </c>
      <c r="I41" s="96">
        <v>2</v>
      </c>
      <c r="J41" s="93">
        <v>45300</v>
      </c>
      <c r="K41" s="85" t="s">
        <v>2332</v>
      </c>
      <c r="L41" s="87">
        <v>1500</v>
      </c>
      <c r="M41" s="94"/>
      <c r="N41" s="93"/>
      <c r="O41" s="85"/>
      <c r="Q41" s="94"/>
      <c r="R41" s="93"/>
      <c r="S41" s="85"/>
      <c r="U41" s="94"/>
      <c r="V41" s="93"/>
      <c r="W41" s="85"/>
      <c r="Y41" s="94"/>
      <c r="Z41" s="93"/>
      <c r="AA41" s="85"/>
      <c r="AC41" s="94"/>
      <c r="AD41" s="93"/>
      <c r="AE41" s="85"/>
    </row>
    <row r="42" spans="5:31" x14ac:dyDescent="0.35">
      <c r="E42" s="85">
        <v>2</v>
      </c>
      <c r="F42" s="93">
        <v>44995</v>
      </c>
      <c r="G42" s="85" t="s">
        <v>1861</v>
      </c>
      <c r="H42" s="87">
        <v>2000</v>
      </c>
      <c r="I42" s="96">
        <v>2</v>
      </c>
      <c r="J42" s="93">
        <v>45300</v>
      </c>
      <c r="K42" s="85" t="s">
        <v>2339</v>
      </c>
      <c r="L42" s="87">
        <v>1000</v>
      </c>
      <c r="M42" s="94"/>
      <c r="N42" s="93"/>
      <c r="O42" s="85"/>
      <c r="Q42" s="94"/>
      <c r="R42" s="93"/>
      <c r="S42" s="85"/>
      <c r="U42" s="94"/>
      <c r="V42" s="93"/>
      <c r="W42" s="85"/>
      <c r="Y42" s="94"/>
      <c r="Z42" s="93"/>
      <c r="AA42" s="85"/>
      <c r="AC42" s="94"/>
      <c r="AD42" s="93"/>
      <c r="AE42" s="85"/>
    </row>
    <row r="43" spans="5:31" x14ac:dyDescent="0.35">
      <c r="E43" s="85">
        <v>2</v>
      </c>
      <c r="F43" s="97">
        <v>44935</v>
      </c>
      <c r="G43" s="85" t="s">
        <v>1862</v>
      </c>
      <c r="H43" s="87">
        <v>2000</v>
      </c>
      <c r="I43" s="96">
        <v>2</v>
      </c>
      <c r="J43" s="93">
        <v>45301</v>
      </c>
      <c r="K43" s="85" t="s">
        <v>2398</v>
      </c>
      <c r="L43" s="87">
        <v>750</v>
      </c>
      <c r="M43" s="94"/>
      <c r="N43" s="93"/>
      <c r="O43" s="85"/>
      <c r="Q43" s="94"/>
      <c r="R43" s="93"/>
      <c r="S43" s="85"/>
      <c r="U43" s="94"/>
      <c r="V43" s="93"/>
      <c r="W43" s="85"/>
      <c r="Y43" s="94"/>
      <c r="Z43" s="93"/>
      <c r="AA43" s="85"/>
      <c r="AC43" s="94"/>
      <c r="AD43" s="93"/>
      <c r="AE43" s="85"/>
    </row>
    <row r="44" spans="5:31" x14ac:dyDescent="0.35">
      <c r="E44" s="85">
        <v>2</v>
      </c>
      <c r="F44" s="97">
        <v>44935</v>
      </c>
      <c r="G44" s="85" t="s">
        <v>1863</v>
      </c>
      <c r="H44" s="87">
        <v>1960</v>
      </c>
      <c r="I44" s="96">
        <v>2</v>
      </c>
      <c r="J44" s="93">
        <v>45322</v>
      </c>
      <c r="K44" s="85" t="s">
        <v>2399</v>
      </c>
      <c r="L44" s="87">
        <v>930</v>
      </c>
      <c r="M44" s="94"/>
      <c r="N44" s="93"/>
      <c r="O44" s="85"/>
      <c r="Q44" s="94"/>
      <c r="R44" s="93"/>
      <c r="S44" s="85"/>
      <c r="U44" s="94"/>
      <c r="V44" s="93"/>
      <c r="W44" s="85"/>
      <c r="Y44" s="94"/>
      <c r="Z44" s="93"/>
      <c r="AA44" s="85"/>
      <c r="AC44" s="94"/>
      <c r="AD44" s="93"/>
      <c r="AE44" s="85"/>
    </row>
    <row r="45" spans="5:31" x14ac:dyDescent="0.35">
      <c r="E45" s="85">
        <v>2</v>
      </c>
      <c r="F45" s="93" t="s">
        <v>775</v>
      </c>
      <c r="G45" s="85" t="s">
        <v>1864</v>
      </c>
      <c r="H45" s="87">
        <v>2000</v>
      </c>
      <c r="I45" s="96">
        <v>2</v>
      </c>
      <c r="J45" s="93">
        <v>45314</v>
      </c>
      <c r="K45" s="85" t="s">
        <v>2400</v>
      </c>
      <c r="L45" s="87">
        <v>2000</v>
      </c>
      <c r="M45" s="94"/>
      <c r="N45" s="93"/>
      <c r="O45" s="85"/>
      <c r="Q45" s="94"/>
      <c r="R45" s="93"/>
      <c r="S45" s="85"/>
      <c r="U45" s="94"/>
      <c r="V45" s="93"/>
      <c r="W45" s="85"/>
      <c r="Y45" s="94"/>
      <c r="Z45" s="93"/>
      <c r="AA45" s="85"/>
      <c r="AC45" s="94"/>
      <c r="AD45" s="93"/>
      <c r="AE45" s="85"/>
    </row>
    <row r="46" spans="5:31" x14ac:dyDescent="0.35">
      <c r="E46" s="85">
        <v>2</v>
      </c>
      <c r="F46" s="93">
        <v>44896</v>
      </c>
      <c r="G46" s="85" t="s">
        <v>1865</v>
      </c>
      <c r="H46" s="87">
        <v>570</v>
      </c>
      <c r="I46" s="96">
        <v>3</v>
      </c>
      <c r="J46" s="93">
        <v>45344</v>
      </c>
      <c r="K46" s="85" t="s">
        <v>2739</v>
      </c>
      <c r="L46" s="87">
        <v>1500</v>
      </c>
      <c r="M46" s="94"/>
      <c r="N46" s="93"/>
      <c r="O46" s="85"/>
      <c r="Q46" s="94"/>
      <c r="R46" s="93"/>
      <c r="S46" s="85"/>
      <c r="U46" s="94"/>
      <c r="V46" s="93"/>
      <c r="W46" s="85"/>
      <c r="Y46" s="94"/>
      <c r="Z46" s="93"/>
      <c r="AA46" s="85"/>
      <c r="AC46" s="94"/>
      <c r="AD46" s="93"/>
      <c r="AE46" s="85"/>
    </row>
    <row r="47" spans="5:31" x14ac:dyDescent="0.35">
      <c r="E47" s="85">
        <v>2</v>
      </c>
      <c r="F47" s="93">
        <v>45008</v>
      </c>
      <c r="G47" s="85" t="s">
        <v>1823</v>
      </c>
      <c r="H47" s="87">
        <v>2000</v>
      </c>
      <c r="I47" s="96">
        <v>3</v>
      </c>
      <c r="J47" s="93">
        <v>45344</v>
      </c>
      <c r="K47" s="85" t="s">
        <v>2579</v>
      </c>
      <c r="L47" s="87">
        <v>1500</v>
      </c>
      <c r="M47" s="94"/>
      <c r="N47" s="93"/>
      <c r="O47" s="85"/>
      <c r="Q47" s="94"/>
      <c r="R47" s="93"/>
      <c r="S47" s="85"/>
      <c r="U47" s="94"/>
      <c r="V47" s="93"/>
      <c r="W47" s="85"/>
      <c r="Y47" s="94"/>
      <c r="Z47" s="93"/>
      <c r="AA47" s="85"/>
      <c r="AC47" s="94"/>
      <c r="AD47" s="93"/>
      <c r="AE47" s="85"/>
    </row>
    <row r="48" spans="5:31" x14ac:dyDescent="0.35">
      <c r="E48" s="85">
        <v>2</v>
      </c>
      <c r="F48" s="93">
        <v>45008</v>
      </c>
      <c r="G48" s="85" t="s">
        <v>1866</v>
      </c>
      <c r="H48" s="87">
        <v>750</v>
      </c>
      <c r="I48" s="96">
        <v>3</v>
      </c>
      <c r="J48" s="93">
        <v>45017</v>
      </c>
      <c r="K48" s="85" t="s">
        <v>2697</v>
      </c>
      <c r="L48" s="87">
        <v>-2000</v>
      </c>
      <c r="M48" s="94"/>
      <c r="N48" s="93"/>
      <c r="O48" s="85"/>
      <c r="Q48" s="94"/>
      <c r="R48" s="93"/>
      <c r="S48" s="85"/>
      <c r="U48" s="94"/>
      <c r="V48" s="93"/>
      <c r="W48" s="85"/>
      <c r="Y48" s="94"/>
      <c r="Z48" s="93"/>
      <c r="AA48" s="85"/>
      <c r="AC48" s="94"/>
      <c r="AD48" s="93"/>
      <c r="AE48" s="85"/>
    </row>
    <row r="49" spans="5:31" x14ac:dyDescent="0.35">
      <c r="E49" s="85">
        <v>2</v>
      </c>
      <c r="F49" s="93">
        <v>45008</v>
      </c>
      <c r="G49" s="85" t="s">
        <v>1867</v>
      </c>
      <c r="H49" s="87">
        <v>180</v>
      </c>
      <c r="I49" s="94">
        <v>2</v>
      </c>
      <c r="J49" s="93">
        <v>45376</v>
      </c>
      <c r="K49" s="85" t="s">
        <v>2738</v>
      </c>
      <c r="L49" s="87">
        <v>1200</v>
      </c>
      <c r="M49" s="94"/>
      <c r="N49" s="93"/>
      <c r="O49" s="85"/>
      <c r="Q49" s="94"/>
      <c r="R49" s="93"/>
      <c r="S49" s="85"/>
      <c r="U49" s="94"/>
      <c r="V49" s="93"/>
      <c r="W49" s="85"/>
      <c r="Y49" s="94"/>
      <c r="Z49" s="93"/>
      <c r="AA49" s="85"/>
      <c r="AC49" s="94"/>
      <c r="AD49" s="93"/>
      <c r="AE49" s="85"/>
    </row>
    <row r="50" spans="5:31" x14ac:dyDescent="0.35">
      <c r="E50" s="85">
        <v>2</v>
      </c>
      <c r="F50" s="93" t="s">
        <v>491</v>
      </c>
      <c r="G50" s="85" t="s">
        <v>1829</v>
      </c>
      <c r="H50" s="142" t="s">
        <v>1868</v>
      </c>
      <c r="I50" s="94">
        <v>3</v>
      </c>
      <c r="J50" s="93">
        <v>45373</v>
      </c>
      <c r="K50" s="85" t="s">
        <v>2740</v>
      </c>
      <c r="L50" s="87">
        <v>1500</v>
      </c>
      <c r="M50" s="94"/>
      <c r="N50" s="93"/>
      <c r="O50" s="85"/>
      <c r="Q50" s="94"/>
      <c r="R50" s="93"/>
      <c r="S50" s="85"/>
      <c r="U50" s="94"/>
      <c r="V50" s="93"/>
      <c r="W50" s="85"/>
      <c r="Y50" s="94"/>
      <c r="Z50" s="93"/>
      <c r="AA50" s="85"/>
      <c r="AC50" s="94"/>
      <c r="AD50" s="93"/>
      <c r="AE50" s="85"/>
    </row>
    <row r="51" spans="5:31" x14ac:dyDescent="0.35">
      <c r="E51" s="92">
        <v>1</v>
      </c>
      <c r="F51" s="97" t="s">
        <v>784</v>
      </c>
      <c r="G51" s="92" t="s">
        <v>1869</v>
      </c>
      <c r="H51" s="90">
        <v>1000</v>
      </c>
      <c r="I51" s="94">
        <v>2</v>
      </c>
      <c r="J51" s="93">
        <v>45379</v>
      </c>
      <c r="K51" s="85" t="s">
        <v>2756</v>
      </c>
      <c r="L51" s="87">
        <v>99.96</v>
      </c>
      <c r="M51" s="94"/>
      <c r="N51" s="93"/>
      <c r="O51" s="85"/>
      <c r="Q51" s="94"/>
      <c r="R51" s="93"/>
      <c r="S51" s="85"/>
      <c r="U51" s="94"/>
      <c r="V51" s="93"/>
      <c r="W51" s="85"/>
      <c r="Y51" s="94"/>
      <c r="Z51" s="93"/>
      <c r="AA51" s="85"/>
      <c r="AC51" s="94"/>
      <c r="AD51" s="93"/>
      <c r="AE51" s="85"/>
    </row>
    <row r="52" spans="5:31" x14ac:dyDescent="0.35">
      <c r="E52" s="85">
        <v>1</v>
      </c>
      <c r="F52" s="93">
        <v>44966</v>
      </c>
      <c r="G52" s="85" t="s">
        <v>1583</v>
      </c>
      <c r="H52" s="87">
        <v>-20</v>
      </c>
      <c r="I52" s="94">
        <v>2</v>
      </c>
      <c r="J52" s="97" t="s">
        <v>775</v>
      </c>
      <c r="K52" s="85" t="s">
        <v>2780</v>
      </c>
      <c r="L52" s="150">
        <v>174</v>
      </c>
      <c r="M52" s="94"/>
      <c r="N52" s="93"/>
      <c r="O52" s="85"/>
      <c r="Q52" s="94"/>
      <c r="R52" s="93"/>
      <c r="S52" s="85"/>
      <c r="U52" s="94"/>
      <c r="V52" s="93"/>
      <c r="W52" s="85"/>
      <c r="Y52" s="94"/>
      <c r="Z52" s="93"/>
      <c r="AA52" s="85"/>
      <c r="AC52" s="94"/>
      <c r="AD52" s="93"/>
      <c r="AE52" s="85"/>
    </row>
    <row r="53" spans="5:31" x14ac:dyDescent="0.35">
      <c r="G53" s="85"/>
      <c r="H53" s="87"/>
      <c r="J53" s="97"/>
      <c r="K53" s="85"/>
      <c r="M53" s="94"/>
      <c r="N53" s="93"/>
      <c r="O53" s="85"/>
      <c r="Q53" s="94"/>
      <c r="R53" s="93"/>
      <c r="S53" s="85"/>
      <c r="U53" s="94"/>
      <c r="V53" s="93"/>
      <c r="W53" s="85"/>
      <c r="Y53" s="94"/>
      <c r="Z53" s="93"/>
      <c r="AA53" s="85"/>
      <c r="AC53" s="94"/>
      <c r="AD53" s="93"/>
      <c r="AE53" s="85"/>
    </row>
    <row r="54" spans="5:31" x14ac:dyDescent="0.35">
      <c r="G54" s="85"/>
      <c r="H54" s="87"/>
      <c r="J54" s="93"/>
      <c r="K54" s="85"/>
      <c r="M54" s="94"/>
      <c r="N54" s="93"/>
      <c r="O54" s="85"/>
      <c r="Q54" s="94"/>
      <c r="R54" s="93"/>
      <c r="S54" s="85"/>
      <c r="U54" s="94"/>
      <c r="V54" s="93"/>
      <c r="W54" s="85"/>
      <c r="Y54" s="94"/>
      <c r="Z54" s="93"/>
      <c r="AA54" s="85"/>
      <c r="AC54" s="94"/>
      <c r="AD54" s="93"/>
      <c r="AE54" s="85"/>
    </row>
    <row r="55" spans="5:31" x14ac:dyDescent="0.35">
      <c r="G55" s="85"/>
      <c r="H55" s="87"/>
      <c r="J55" s="93"/>
      <c r="K55" s="85"/>
      <c r="M55" s="94"/>
      <c r="N55" s="93"/>
      <c r="O55" s="85"/>
      <c r="Q55" s="94"/>
      <c r="R55" s="93"/>
      <c r="S55" s="85"/>
      <c r="U55" s="94"/>
      <c r="V55" s="93"/>
      <c r="W55" s="85"/>
      <c r="Y55" s="94"/>
      <c r="Z55" s="93"/>
      <c r="AA55" s="85"/>
      <c r="AC55" s="94"/>
      <c r="AD55" s="93"/>
      <c r="AE55" s="85"/>
    </row>
    <row r="56" spans="5:31" x14ac:dyDescent="0.35">
      <c r="G56" s="85"/>
      <c r="H56" s="87"/>
      <c r="J56" s="93"/>
      <c r="K56" s="85"/>
      <c r="M56" s="94"/>
      <c r="N56" s="93"/>
      <c r="O56" s="85"/>
      <c r="Q56" s="94"/>
      <c r="R56" s="93"/>
      <c r="S56" s="85"/>
      <c r="U56" s="94"/>
      <c r="V56" s="93"/>
      <c r="W56" s="85"/>
      <c r="Y56" s="94"/>
      <c r="Z56" s="93"/>
      <c r="AA56" s="85"/>
      <c r="AC56" s="94"/>
      <c r="AD56" s="93"/>
      <c r="AE56" s="85"/>
    </row>
    <row r="57" spans="5:31" x14ac:dyDescent="0.35">
      <c r="G57" s="85"/>
      <c r="H57" s="87"/>
      <c r="J57" s="93"/>
      <c r="K57" s="85"/>
      <c r="M57" s="94"/>
      <c r="N57" s="93"/>
      <c r="O57" s="85"/>
      <c r="Q57" s="94"/>
      <c r="R57" s="93"/>
      <c r="S57" s="85"/>
      <c r="U57" s="94"/>
      <c r="V57" s="93"/>
      <c r="W57" s="85"/>
      <c r="Y57" s="94"/>
      <c r="Z57" s="93"/>
      <c r="AA57" s="85"/>
      <c r="AC57" s="94"/>
      <c r="AD57" s="93"/>
      <c r="AE57" s="85"/>
    </row>
    <row r="58" spans="5:31" x14ac:dyDescent="0.35">
      <c r="G58" s="85"/>
      <c r="H58" s="87"/>
      <c r="J58" s="93"/>
      <c r="K58" s="85"/>
      <c r="M58" s="94"/>
      <c r="N58" s="93"/>
      <c r="O58" s="85"/>
      <c r="Q58" s="94"/>
      <c r="R58" s="93"/>
      <c r="S58" s="85"/>
      <c r="U58" s="94"/>
      <c r="V58" s="93"/>
      <c r="W58" s="85"/>
      <c r="Y58" s="94"/>
      <c r="Z58" s="93"/>
      <c r="AA58" s="85"/>
      <c r="AC58" s="94"/>
      <c r="AD58" s="93"/>
      <c r="AE58" s="85"/>
    </row>
    <row r="59" spans="5:31" x14ac:dyDescent="0.35">
      <c r="G59" s="85"/>
      <c r="H59" s="87"/>
      <c r="J59" s="93"/>
      <c r="K59" s="85"/>
      <c r="M59" s="94"/>
      <c r="N59" s="93"/>
      <c r="O59" s="85"/>
      <c r="Q59" s="94"/>
      <c r="R59" s="93"/>
      <c r="S59" s="85"/>
      <c r="U59" s="94"/>
      <c r="V59" s="93"/>
      <c r="W59" s="85"/>
      <c r="Y59" s="94"/>
      <c r="Z59" s="93"/>
      <c r="AA59" s="85"/>
      <c r="AC59" s="94"/>
      <c r="AD59" s="93"/>
      <c r="AE59" s="85"/>
    </row>
    <row r="60" spans="5:31" x14ac:dyDescent="0.35">
      <c r="G60" s="85"/>
      <c r="H60" s="87"/>
      <c r="J60" s="93"/>
      <c r="K60" s="85"/>
      <c r="M60" s="94"/>
      <c r="N60" s="93"/>
      <c r="O60" s="85"/>
      <c r="Q60" s="94"/>
      <c r="R60" s="93"/>
      <c r="S60" s="85"/>
      <c r="U60" s="94"/>
      <c r="V60" s="93"/>
      <c r="W60" s="85"/>
      <c r="Y60" s="94"/>
      <c r="Z60" s="93"/>
      <c r="AA60" s="85"/>
      <c r="AC60" s="94"/>
      <c r="AD60" s="93"/>
      <c r="AE60" s="85"/>
    </row>
    <row r="61" spans="5:31" x14ac:dyDescent="0.35">
      <c r="G61" s="85"/>
      <c r="H61" s="87"/>
      <c r="J61" s="93"/>
      <c r="K61" s="85"/>
      <c r="M61" s="94"/>
      <c r="N61" s="93"/>
      <c r="O61" s="85"/>
      <c r="Q61" s="94"/>
      <c r="R61" s="93"/>
      <c r="S61" s="85"/>
      <c r="U61" s="94"/>
      <c r="V61" s="93"/>
      <c r="W61" s="85"/>
      <c r="Y61" s="94"/>
      <c r="Z61" s="93"/>
      <c r="AA61" s="85"/>
      <c r="AC61" s="94"/>
      <c r="AD61" s="93"/>
      <c r="AE61" s="85"/>
    </row>
    <row r="62" spans="5:31" x14ac:dyDescent="0.35">
      <c r="G62" s="85"/>
      <c r="H62" s="87"/>
      <c r="J62" s="93"/>
      <c r="K62" s="85"/>
      <c r="M62" s="94"/>
      <c r="N62" s="93"/>
      <c r="O62" s="85"/>
      <c r="Q62" s="94"/>
      <c r="R62" s="93"/>
      <c r="S62" s="85"/>
      <c r="U62" s="94"/>
      <c r="V62" s="93"/>
      <c r="W62" s="85"/>
      <c r="Y62" s="94"/>
      <c r="Z62" s="93"/>
      <c r="AA62" s="85"/>
      <c r="AC62" s="94"/>
      <c r="AD62" s="93"/>
      <c r="AE62" s="85"/>
    </row>
    <row r="63" spans="5:31" x14ac:dyDescent="0.35">
      <c r="G63" s="85"/>
      <c r="H63" s="87"/>
      <c r="J63" s="93"/>
      <c r="K63" s="85"/>
      <c r="M63" s="94"/>
      <c r="N63" s="93"/>
      <c r="O63" s="85"/>
      <c r="Q63" s="94"/>
      <c r="R63" s="93"/>
      <c r="S63" s="85"/>
      <c r="U63" s="94"/>
      <c r="V63" s="93"/>
      <c r="W63" s="85"/>
      <c r="Y63" s="94"/>
      <c r="Z63" s="93"/>
      <c r="AA63" s="85"/>
      <c r="AC63" s="94"/>
      <c r="AD63" s="93"/>
      <c r="AE63" s="85"/>
    </row>
    <row r="64" spans="5:31" x14ac:dyDescent="0.35">
      <c r="G64" s="85"/>
      <c r="H64" s="87"/>
      <c r="J64" s="93"/>
      <c r="K64" s="85"/>
      <c r="M64" s="94"/>
      <c r="N64" s="93"/>
      <c r="O64" s="85"/>
      <c r="Q64" s="94"/>
      <c r="R64" s="93"/>
      <c r="S64" s="85"/>
      <c r="U64" s="94"/>
      <c r="V64" s="93"/>
      <c r="W64" s="85"/>
      <c r="Y64" s="94"/>
      <c r="Z64" s="93"/>
      <c r="AA64" s="85"/>
      <c r="AC64" s="94"/>
      <c r="AD64" s="93"/>
      <c r="AE64" s="85"/>
    </row>
    <row r="65" spans="7:31" x14ac:dyDescent="0.35">
      <c r="G65" s="85"/>
      <c r="H65" s="87"/>
      <c r="J65" s="93"/>
      <c r="K65" s="85"/>
      <c r="M65" s="94"/>
      <c r="N65" s="93"/>
      <c r="O65" s="85"/>
      <c r="Q65" s="94"/>
      <c r="R65" s="93"/>
      <c r="S65" s="85"/>
      <c r="U65" s="94"/>
      <c r="V65" s="93"/>
      <c r="W65" s="85"/>
      <c r="Y65" s="94"/>
      <c r="Z65" s="93"/>
      <c r="AA65" s="85"/>
      <c r="AC65" s="94"/>
      <c r="AD65" s="93"/>
      <c r="AE65" s="85"/>
    </row>
    <row r="66" spans="7:31" x14ac:dyDescent="0.35">
      <c r="G66" s="85"/>
      <c r="H66" s="87"/>
      <c r="J66" s="93"/>
      <c r="K66" s="85"/>
      <c r="M66" s="94"/>
      <c r="N66" s="93"/>
      <c r="O66" s="85"/>
      <c r="Q66" s="94"/>
      <c r="R66" s="93"/>
      <c r="S66" s="85"/>
      <c r="U66" s="94"/>
      <c r="V66" s="93"/>
      <c r="W66" s="85"/>
      <c r="Y66" s="94"/>
      <c r="Z66" s="93"/>
      <c r="AA66" s="85"/>
      <c r="AC66" s="94"/>
      <c r="AD66" s="93"/>
      <c r="AE66" s="85"/>
    </row>
    <row r="67" spans="7:31" x14ac:dyDescent="0.35">
      <c r="G67" s="85"/>
      <c r="H67" s="87"/>
      <c r="J67" s="93"/>
      <c r="K67" s="85"/>
      <c r="M67" s="94"/>
      <c r="N67" s="93"/>
      <c r="O67" s="85"/>
      <c r="Q67" s="94"/>
      <c r="R67" s="93"/>
      <c r="S67" s="85"/>
      <c r="U67" s="94"/>
      <c r="V67" s="93"/>
      <c r="W67" s="85"/>
      <c r="Y67" s="94"/>
      <c r="Z67" s="93"/>
      <c r="AA67" s="85"/>
      <c r="AC67" s="94"/>
      <c r="AD67" s="93"/>
      <c r="AE67" s="85"/>
    </row>
    <row r="68" spans="7:31" x14ac:dyDescent="0.35">
      <c r="G68" s="85"/>
      <c r="H68" s="87"/>
      <c r="J68" s="93"/>
      <c r="K68" s="85"/>
      <c r="M68" s="94"/>
      <c r="N68" s="93"/>
      <c r="O68" s="85"/>
      <c r="Q68" s="94"/>
      <c r="R68" s="93"/>
      <c r="S68" s="85"/>
      <c r="U68" s="94"/>
      <c r="V68" s="93"/>
      <c r="W68" s="85"/>
      <c r="Y68" s="94"/>
      <c r="Z68" s="93"/>
      <c r="AA68" s="85"/>
      <c r="AC68" s="94"/>
      <c r="AD68" s="93"/>
      <c r="AE68" s="85"/>
    </row>
    <row r="69" spans="7:31" x14ac:dyDescent="0.35">
      <c r="G69" s="85"/>
      <c r="H69" s="87"/>
      <c r="J69" s="93"/>
      <c r="K69" s="85"/>
      <c r="M69" s="94"/>
      <c r="N69" s="93"/>
      <c r="O69" s="85"/>
      <c r="Q69" s="94"/>
      <c r="R69" s="93"/>
      <c r="S69" s="85"/>
      <c r="U69" s="94"/>
      <c r="V69" s="93"/>
      <c r="W69" s="85"/>
      <c r="Y69" s="94"/>
      <c r="Z69" s="93"/>
      <c r="AA69" s="85"/>
      <c r="AC69" s="94"/>
      <c r="AD69" s="93"/>
      <c r="AE69" s="85"/>
    </row>
    <row r="70" spans="7:31" x14ac:dyDescent="0.35">
      <c r="G70" s="85"/>
      <c r="H70" s="87"/>
      <c r="J70" s="93"/>
      <c r="K70" s="85"/>
      <c r="M70" s="94"/>
      <c r="N70" s="93"/>
      <c r="O70" s="85"/>
      <c r="Q70" s="94"/>
      <c r="R70" s="93"/>
      <c r="S70" s="85"/>
      <c r="U70" s="94"/>
      <c r="V70" s="93"/>
      <c r="W70" s="85"/>
      <c r="Y70" s="94"/>
      <c r="Z70" s="93"/>
      <c r="AA70" s="85"/>
      <c r="AC70" s="94"/>
      <c r="AD70" s="93"/>
      <c r="AE70" s="85"/>
    </row>
    <row r="71" spans="7:31" x14ac:dyDescent="0.35">
      <c r="G71" s="85"/>
      <c r="H71" s="87"/>
      <c r="J71" s="93"/>
      <c r="K71" s="85"/>
      <c r="M71" s="94"/>
      <c r="N71" s="93"/>
      <c r="O71" s="85"/>
      <c r="Q71" s="94"/>
      <c r="R71" s="93"/>
      <c r="S71" s="85"/>
      <c r="U71" s="94"/>
      <c r="V71" s="93"/>
      <c r="W71" s="85"/>
      <c r="Y71" s="94"/>
      <c r="Z71" s="93"/>
      <c r="AA71" s="85"/>
      <c r="AC71" s="94"/>
      <c r="AD71" s="93"/>
      <c r="AE71" s="85"/>
    </row>
    <row r="72" spans="7:31" x14ac:dyDescent="0.35">
      <c r="G72" s="85"/>
      <c r="H72" s="87"/>
      <c r="J72" s="93"/>
      <c r="K72" s="85"/>
      <c r="M72" s="94"/>
      <c r="N72" s="93"/>
      <c r="O72" s="85"/>
      <c r="Q72" s="94"/>
      <c r="R72" s="93"/>
      <c r="S72" s="85"/>
      <c r="U72" s="94"/>
      <c r="V72" s="93"/>
      <c r="W72" s="85"/>
      <c r="Y72" s="94"/>
      <c r="Z72" s="93"/>
      <c r="AA72" s="85"/>
      <c r="AC72" s="94"/>
      <c r="AD72" s="93"/>
      <c r="AE72" s="85"/>
    </row>
    <row r="73" spans="7:31" x14ac:dyDescent="0.35">
      <c r="G73" s="85"/>
      <c r="H73" s="87"/>
      <c r="J73" s="93"/>
      <c r="K73" s="85"/>
      <c r="M73" s="94"/>
      <c r="N73" s="93"/>
      <c r="O73" s="85"/>
      <c r="Q73" s="94"/>
      <c r="R73" s="93"/>
      <c r="S73" s="85"/>
      <c r="U73" s="94"/>
      <c r="V73" s="93"/>
      <c r="W73" s="85"/>
      <c r="Y73" s="94"/>
      <c r="Z73" s="93"/>
      <c r="AA73" s="85"/>
      <c r="AC73" s="94"/>
      <c r="AD73" s="93"/>
      <c r="AE73" s="85"/>
    </row>
    <row r="74" spans="7:31" x14ac:dyDescent="0.35">
      <c r="G74" s="85"/>
      <c r="H74" s="87"/>
      <c r="J74" s="93"/>
      <c r="K74" s="85"/>
      <c r="M74" s="94"/>
      <c r="N74" s="93"/>
      <c r="O74" s="85"/>
      <c r="Q74" s="94"/>
      <c r="R74" s="93"/>
      <c r="S74" s="85"/>
      <c r="U74" s="94"/>
      <c r="V74" s="93"/>
      <c r="W74" s="85"/>
      <c r="Y74" s="94"/>
      <c r="Z74" s="93"/>
      <c r="AA74" s="85"/>
      <c r="AC74" s="94"/>
      <c r="AD74" s="93"/>
      <c r="AE74" s="85"/>
    </row>
    <row r="75" spans="7:31" x14ac:dyDescent="0.35">
      <c r="G75" s="85"/>
      <c r="H75" s="87"/>
      <c r="J75" s="93"/>
      <c r="K75" s="85"/>
      <c r="M75" s="94"/>
      <c r="N75" s="93"/>
      <c r="O75" s="85"/>
      <c r="Q75" s="94"/>
      <c r="R75" s="93"/>
      <c r="S75" s="85"/>
      <c r="U75" s="94"/>
      <c r="V75" s="93"/>
      <c r="W75" s="85"/>
      <c r="Y75" s="94"/>
      <c r="Z75" s="93"/>
      <c r="AA75" s="85"/>
      <c r="AC75" s="94"/>
      <c r="AD75" s="93"/>
      <c r="AE75" s="85"/>
    </row>
    <row r="76" spans="7:31" x14ac:dyDescent="0.35">
      <c r="G76" s="85"/>
      <c r="H76" s="87"/>
      <c r="J76" s="93"/>
      <c r="K76" s="85"/>
      <c r="M76" s="94"/>
      <c r="N76" s="93"/>
      <c r="O76" s="85"/>
      <c r="Q76" s="94"/>
      <c r="R76" s="93"/>
      <c r="S76" s="85"/>
      <c r="U76" s="94"/>
      <c r="V76" s="93"/>
      <c r="W76" s="85"/>
      <c r="Y76" s="94"/>
      <c r="Z76" s="93"/>
      <c r="AA76" s="85"/>
      <c r="AC76" s="94"/>
      <c r="AD76" s="93"/>
      <c r="AE76" s="85"/>
    </row>
    <row r="77" spans="7:31" x14ac:dyDescent="0.35">
      <c r="G77" s="85"/>
      <c r="H77" s="87"/>
      <c r="J77" s="93"/>
      <c r="K77" s="85"/>
      <c r="M77" s="94"/>
      <c r="N77" s="93"/>
      <c r="O77" s="85"/>
      <c r="Q77" s="94"/>
      <c r="R77" s="93"/>
      <c r="S77" s="85"/>
      <c r="U77" s="94"/>
      <c r="V77" s="93"/>
      <c r="W77" s="85"/>
      <c r="Y77" s="94"/>
      <c r="Z77" s="93"/>
      <c r="AA77" s="85"/>
      <c r="AC77" s="94"/>
      <c r="AD77" s="93"/>
      <c r="AE77" s="85"/>
    </row>
    <row r="78" spans="7:31" x14ac:dyDescent="0.35">
      <c r="G78" s="85"/>
      <c r="H78" s="87"/>
      <c r="J78" s="93"/>
      <c r="K78" s="85"/>
      <c r="M78" s="94"/>
      <c r="N78" s="93"/>
      <c r="O78" s="85"/>
      <c r="Q78" s="94"/>
      <c r="R78" s="93"/>
      <c r="S78" s="85"/>
      <c r="U78" s="94"/>
      <c r="V78" s="93"/>
      <c r="W78" s="85"/>
      <c r="Y78" s="94"/>
      <c r="Z78" s="93"/>
      <c r="AA78" s="85"/>
      <c r="AC78" s="94"/>
      <c r="AD78" s="93"/>
      <c r="AE78" s="85"/>
    </row>
    <row r="79" spans="7:31" x14ac:dyDescent="0.35">
      <c r="G79" s="85"/>
      <c r="H79" s="87"/>
      <c r="J79" s="93"/>
      <c r="K79" s="85"/>
      <c r="M79" s="94"/>
      <c r="N79" s="93"/>
      <c r="O79" s="85"/>
      <c r="Q79" s="94"/>
      <c r="R79" s="93"/>
      <c r="S79" s="85"/>
      <c r="U79" s="94"/>
      <c r="V79" s="93"/>
      <c r="W79" s="85"/>
      <c r="Y79" s="94"/>
      <c r="Z79" s="93"/>
      <c r="AA79" s="85"/>
      <c r="AC79" s="94"/>
      <c r="AD79" s="93"/>
      <c r="AE79" s="85"/>
    </row>
    <row r="80" spans="7:31" x14ac:dyDescent="0.35">
      <c r="G80" s="85"/>
      <c r="H80" s="87"/>
      <c r="J80" s="93"/>
      <c r="K80" s="85"/>
      <c r="M80" s="94"/>
      <c r="N80" s="93"/>
      <c r="O80" s="85"/>
      <c r="Q80" s="94"/>
      <c r="R80" s="93"/>
      <c r="S80" s="85"/>
      <c r="U80" s="94"/>
      <c r="V80" s="93"/>
      <c r="W80" s="85"/>
      <c r="Y80" s="94"/>
      <c r="Z80" s="93"/>
      <c r="AA80" s="85"/>
      <c r="AC80" s="94"/>
      <c r="AD80" s="93"/>
      <c r="AE80" s="85"/>
    </row>
    <row r="81" spans="7:31" x14ac:dyDescent="0.35">
      <c r="G81" s="85"/>
      <c r="H81" s="87"/>
      <c r="J81" s="93"/>
      <c r="K81" s="85"/>
      <c r="M81" s="94"/>
      <c r="N81" s="93"/>
      <c r="O81" s="85"/>
      <c r="Q81" s="94"/>
      <c r="R81" s="93"/>
      <c r="S81" s="85"/>
      <c r="U81" s="94"/>
      <c r="V81" s="93"/>
      <c r="W81" s="85"/>
      <c r="Y81" s="94"/>
      <c r="Z81" s="93"/>
      <c r="AA81" s="85"/>
      <c r="AC81" s="94"/>
      <c r="AD81" s="93"/>
      <c r="AE81" s="85"/>
    </row>
    <row r="82" spans="7:31" x14ac:dyDescent="0.35">
      <c r="G82" s="85"/>
      <c r="H82" s="87"/>
      <c r="J82" s="93"/>
      <c r="K82" s="85"/>
      <c r="M82" s="94"/>
      <c r="N82" s="93"/>
      <c r="O82" s="85"/>
      <c r="Q82" s="94"/>
      <c r="R82" s="93"/>
      <c r="S82" s="85"/>
      <c r="U82" s="94"/>
      <c r="V82" s="93"/>
      <c r="W82" s="85"/>
      <c r="Y82" s="94"/>
      <c r="Z82" s="93"/>
      <c r="AA82" s="85"/>
      <c r="AC82" s="94"/>
      <c r="AD82" s="93"/>
      <c r="AE82" s="85"/>
    </row>
    <row r="83" spans="7:31" x14ac:dyDescent="0.35">
      <c r="G83" s="85"/>
      <c r="H83" s="87"/>
      <c r="J83" s="93"/>
      <c r="K83" s="85"/>
      <c r="M83" s="94"/>
      <c r="N83" s="93"/>
      <c r="O83" s="85"/>
      <c r="Q83" s="94"/>
      <c r="R83" s="93"/>
      <c r="S83" s="85"/>
      <c r="U83" s="94"/>
      <c r="V83" s="93"/>
      <c r="W83" s="85"/>
      <c r="Y83" s="94"/>
      <c r="Z83" s="93"/>
      <c r="AA83" s="85"/>
      <c r="AC83" s="94"/>
      <c r="AD83" s="93"/>
      <c r="AE83" s="85"/>
    </row>
    <row r="84" spans="7:31" x14ac:dyDescent="0.35">
      <c r="G84" s="85"/>
      <c r="H84" s="87"/>
      <c r="J84" s="93"/>
      <c r="K84" s="85"/>
      <c r="M84" s="94"/>
      <c r="N84" s="93"/>
      <c r="O84" s="85"/>
      <c r="Q84" s="94"/>
      <c r="R84" s="93"/>
      <c r="S84" s="85"/>
      <c r="U84" s="94"/>
      <c r="V84" s="93"/>
      <c r="W84" s="85"/>
      <c r="Y84" s="94"/>
      <c r="Z84" s="93"/>
      <c r="AA84" s="85"/>
      <c r="AC84" s="94"/>
      <c r="AD84" s="93"/>
      <c r="AE84" s="85"/>
    </row>
    <row r="85" spans="7:31" x14ac:dyDescent="0.35">
      <c r="G85" s="85"/>
      <c r="H85" s="87"/>
      <c r="J85" s="93"/>
      <c r="K85" s="85"/>
      <c r="M85" s="94"/>
      <c r="N85" s="93"/>
      <c r="O85" s="85"/>
      <c r="Q85" s="94"/>
      <c r="R85" s="93"/>
      <c r="S85" s="85"/>
      <c r="U85" s="94"/>
      <c r="V85" s="93"/>
      <c r="W85" s="85"/>
      <c r="Y85" s="94"/>
      <c r="Z85" s="93"/>
      <c r="AA85" s="85"/>
      <c r="AC85" s="94"/>
      <c r="AD85" s="93"/>
      <c r="AE85" s="85"/>
    </row>
    <row r="86" spans="7:31" x14ac:dyDescent="0.35">
      <c r="G86" s="85"/>
      <c r="H86" s="87"/>
      <c r="J86" s="93"/>
      <c r="K86" s="85"/>
      <c r="M86" s="94"/>
      <c r="N86" s="93"/>
      <c r="O86" s="85"/>
      <c r="Q86" s="94"/>
      <c r="R86" s="93"/>
      <c r="S86" s="85"/>
      <c r="U86" s="94"/>
      <c r="V86" s="93"/>
      <c r="W86" s="85"/>
      <c r="Y86" s="94"/>
      <c r="Z86" s="93"/>
      <c r="AA86" s="85"/>
      <c r="AC86" s="94"/>
      <c r="AD86" s="93"/>
      <c r="AE86" s="85"/>
    </row>
    <row r="87" spans="7:31" x14ac:dyDescent="0.35">
      <c r="G87" s="85"/>
      <c r="H87" s="87"/>
      <c r="J87" s="93"/>
      <c r="K87" s="85"/>
      <c r="M87" s="94"/>
      <c r="N87" s="93"/>
      <c r="O87" s="85"/>
      <c r="Q87" s="94"/>
      <c r="R87" s="93"/>
      <c r="S87" s="85"/>
      <c r="U87" s="94"/>
      <c r="V87" s="93"/>
      <c r="W87" s="85"/>
      <c r="Y87" s="94"/>
      <c r="Z87" s="93"/>
      <c r="AA87" s="85"/>
      <c r="AC87" s="94"/>
      <c r="AD87" s="93"/>
      <c r="AE87" s="85"/>
    </row>
    <row r="88" spans="7:31" x14ac:dyDescent="0.35">
      <c r="G88" s="85"/>
      <c r="H88" s="87"/>
      <c r="J88" s="93"/>
      <c r="K88" s="85"/>
      <c r="M88" s="94"/>
      <c r="N88" s="93"/>
      <c r="O88" s="85"/>
      <c r="Q88" s="94"/>
      <c r="R88" s="93"/>
      <c r="S88" s="85"/>
      <c r="U88" s="94"/>
      <c r="V88" s="93"/>
      <c r="W88" s="85"/>
      <c r="Y88" s="94"/>
      <c r="Z88" s="93"/>
      <c r="AA88" s="85"/>
      <c r="AC88" s="94"/>
      <c r="AD88" s="93"/>
      <c r="AE88" s="85"/>
    </row>
    <row r="89" spans="7:31" x14ac:dyDescent="0.35">
      <c r="G89" s="85"/>
      <c r="H89" s="87"/>
      <c r="J89" s="93"/>
      <c r="K89" s="85"/>
      <c r="M89" s="94"/>
      <c r="N89" s="93"/>
      <c r="O89" s="85"/>
      <c r="Q89" s="94"/>
      <c r="R89" s="93"/>
      <c r="S89" s="85"/>
      <c r="U89" s="94"/>
      <c r="V89" s="93"/>
      <c r="W89" s="85"/>
      <c r="Y89" s="94"/>
      <c r="Z89" s="93"/>
      <c r="AA89" s="85"/>
      <c r="AC89" s="94"/>
      <c r="AD89" s="93"/>
      <c r="AE89" s="85"/>
    </row>
    <row r="90" spans="7:31" x14ac:dyDescent="0.35">
      <c r="G90" s="85"/>
      <c r="H90" s="87"/>
      <c r="J90" s="93"/>
      <c r="K90" s="85"/>
      <c r="M90" s="94"/>
      <c r="N90" s="93"/>
      <c r="O90" s="85"/>
      <c r="Q90" s="94"/>
      <c r="R90" s="93"/>
      <c r="S90" s="85"/>
      <c r="U90" s="94"/>
      <c r="V90" s="93"/>
      <c r="W90" s="85"/>
      <c r="Y90" s="94"/>
      <c r="Z90" s="93"/>
      <c r="AA90" s="85"/>
      <c r="AC90" s="94"/>
      <c r="AD90" s="93"/>
      <c r="AE90" s="85"/>
    </row>
    <row r="91" spans="7:31" x14ac:dyDescent="0.35">
      <c r="G91" s="85"/>
      <c r="H91" s="87"/>
      <c r="J91" s="93"/>
      <c r="K91" s="85"/>
      <c r="M91" s="94"/>
      <c r="N91" s="93"/>
      <c r="O91" s="85"/>
      <c r="Q91" s="94"/>
      <c r="R91" s="93"/>
      <c r="S91" s="85"/>
      <c r="U91" s="94"/>
      <c r="V91" s="93"/>
      <c r="W91" s="85"/>
      <c r="Y91" s="94"/>
      <c r="Z91" s="93"/>
      <c r="AA91" s="85"/>
      <c r="AC91" s="94"/>
      <c r="AD91" s="93"/>
      <c r="AE91" s="85"/>
    </row>
    <row r="92" spans="7:31" x14ac:dyDescent="0.35">
      <c r="G92" s="85"/>
      <c r="H92" s="87"/>
      <c r="J92" s="93"/>
      <c r="K92" s="85"/>
      <c r="M92" s="94"/>
      <c r="N92" s="93"/>
      <c r="O92" s="85"/>
      <c r="Q92" s="94"/>
      <c r="R92" s="93"/>
      <c r="S92" s="85"/>
      <c r="U92" s="94"/>
      <c r="V92" s="93"/>
      <c r="W92" s="85"/>
      <c r="Y92" s="94"/>
      <c r="Z92" s="93"/>
      <c r="AA92" s="85"/>
      <c r="AC92" s="94"/>
      <c r="AD92" s="93"/>
      <c r="AE92" s="85"/>
    </row>
    <row r="93" spans="7:31" x14ac:dyDescent="0.35">
      <c r="G93" s="85"/>
      <c r="H93" s="87"/>
      <c r="J93" s="93"/>
      <c r="K93" s="85"/>
      <c r="M93" s="94"/>
      <c r="N93" s="93"/>
      <c r="O93" s="85"/>
      <c r="Q93" s="94"/>
      <c r="R93" s="93"/>
      <c r="S93" s="85"/>
      <c r="U93" s="94"/>
      <c r="V93" s="93"/>
      <c r="W93" s="85"/>
      <c r="Y93" s="94"/>
      <c r="Z93" s="93"/>
      <c r="AA93" s="85"/>
      <c r="AC93" s="94"/>
      <c r="AD93" s="93"/>
      <c r="AE93" s="85"/>
    </row>
    <row r="94" spans="7:31" x14ac:dyDescent="0.35">
      <c r="G94" s="85"/>
      <c r="H94" s="87"/>
      <c r="J94" s="93"/>
      <c r="K94" s="85"/>
      <c r="M94" s="94"/>
      <c r="N94" s="93"/>
      <c r="O94" s="85"/>
      <c r="Q94" s="94"/>
      <c r="R94" s="93"/>
      <c r="S94" s="85"/>
      <c r="U94" s="94"/>
      <c r="V94" s="93"/>
      <c r="W94" s="85"/>
      <c r="Y94" s="94"/>
      <c r="Z94" s="93"/>
      <c r="AA94" s="85"/>
      <c r="AC94" s="94"/>
      <c r="AD94" s="93"/>
      <c r="AE94" s="85"/>
    </row>
    <row r="95" spans="7:31" x14ac:dyDescent="0.35">
      <c r="G95" s="85"/>
      <c r="H95" s="87"/>
      <c r="J95" s="93"/>
      <c r="K95" s="85"/>
      <c r="M95" s="94"/>
      <c r="N95" s="93"/>
      <c r="O95" s="85"/>
      <c r="Q95" s="94"/>
      <c r="R95" s="93"/>
      <c r="S95" s="85"/>
      <c r="U95" s="94"/>
      <c r="V95" s="93"/>
      <c r="W95" s="85"/>
      <c r="Y95" s="94"/>
      <c r="Z95" s="93"/>
      <c r="AA95" s="85"/>
      <c r="AC95" s="94"/>
      <c r="AD95" s="93"/>
      <c r="AE95" s="85"/>
    </row>
    <row r="96" spans="7:31" x14ac:dyDescent="0.35">
      <c r="G96" s="85"/>
      <c r="H96" s="87"/>
      <c r="J96" s="93"/>
      <c r="K96" s="85"/>
      <c r="M96" s="94"/>
      <c r="N96" s="93"/>
      <c r="O96" s="85"/>
      <c r="Q96" s="94"/>
      <c r="R96" s="93"/>
      <c r="S96" s="85"/>
      <c r="U96" s="94"/>
      <c r="V96" s="93"/>
      <c r="W96" s="85"/>
      <c r="Y96" s="94"/>
      <c r="Z96" s="93"/>
      <c r="AA96" s="85"/>
      <c r="AC96" s="94"/>
      <c r="AD96" s="93"/>
      <c r="AE96" s="85"/>
    </row>
    <row r="97" spans="7:31" x14ac:dyDescent="0.35">
      <c r="G97" s="85"/>
      <c r="H97" s="87"/>
      <c r="J97" s="93"/>
      <c r="K97" s="85"/>
      <c r="M97" s="94"/>
      <c r="N97" s="93"/>
      <c r="O97" s="85"/>
      <c r="Q97" s="94"/>
      <c r="R97" s="93"/>
      <c r="S97" s="85"/>
      <c r="U97" s="94"/>
      <c r="V97" s="93"/>
      <c r="W97" s="85"/>
      <c r="Y97" s="94"/>
      <c r="Z97" s="93"/>
      <c r="AA97" s="85"/>
      <c r="AC97" s="94"/>
      <c r="AD97" s="93"/>
      <c r="AE97" s="85"/>
    </row>
    <row r="98" spans="7:31" x14ac:dyDescent="0.35">
      <c r="G98" s="85"/>
      <c r="H98" s="87"/>
      <c r="J98" s="93"/>
      <c r="K98" s="85"/>
      <c r="M98" s="94"/>
      <c r="N98" s="93"/>
      <c r="O98" s="85"/>
      <c r="Q98" s="94"/>
      <c r="R98" s="93"/>
      <c r="S98" s="85"/>
      <c r="U98" s="94"/>
      <c r="V98" s="93"/>
      <c r="W98" s="85"/>
      <c r="Y98" s="94"/>
      <c r="Z98" s="93"/>
      <c r="AA98" s="85"/>
      <c r="AC98" s="94"/>
      <c r="AD98" s="93"/>
      <c r="AE98" s="85"/>
    </row>
    <row r="99" spans="7:31" x14ac:dyDescent="0.35">
      <c r="G99" s="85"/>
      <c r="H99" s="87"/>
      <c r="J99" s="93"/>
      <c r="K99" s="85"/>
      <c r="M99" s="94"/>
      <c r="N99" s="93"/>
      <c r="O99" s="85"/>
      <c r="Q99" s="94"/>
      <c r="R99" s="93"/>
      <c r="S99" s="85"/>
      <c r="U99" s="94"/>
      <c r="V99" s="93"/>
      <c r="W99" s="85"/>
      <c r="Y99" s="94"/>
      <c r="Z99" s="93"/>
      <c r="AA99" s="85"/>
      <c r="AC99" s="94"/>
      <c r="AD99" s="93"/>
      <c r="AE99" s="85"/>
    </row>
    <row r="100" spans="7:31" x14ac:dyDescent="0.35">
      <c r="G100" s="85"/>
      <c r="H100" s="87"/>
      <c r="J100" s="93"/>
      <c r="K100" s="85"/>
      <c r="M100" s="94"/>
      <c r="N100" s="93"/>
      <c r="O100" s="85"/>
      <c r="Q100" s="94"/>
      <c r="R100" s="93"/>
      <c r="S100" s="85"/>
      <c r="U100" s="94"/>
      <c r="V100" s="93"/>
      <c r="W100" s="85"/>
      <c r="Y100" s="94"/>
      <c r="Z100" s="93"/>
      <c r="AA100" s="85"/>
      <c r="AC100" s="94"/>
      <c r="AD100" s="93"/>
      <c r="AE100" s="85"/>
    </row>
    <row r="101" spans="7:31" x14ac:dyDescent="0.35">
      <c r="G101" s="85"/>
      <c r="H101" s="87"/>
      <c r="J101" s="93"/>
      <c r="K101" s="85"/>
      <c r="M101" s="94"/>
      <c r="N101" s="93"/>
      <c r="O101" s="85"/>
      <c r="Q101" s="94"/>
      <c r="R101" s="93"/>
      <c r="S101" s="85"/>
      <c r="U101" s="94"/>
      <c r="V101" s="93"/>
      <c r="W101" s="85"/>
      <c r="Y101" s="94"/>
      <c r="Z101" s="93"/>
      <c r="AA101" s="85"/>
      <c r="AC101" s="94"/>
      <c r="AD101" s="93"/>
      <c r="AE101" s="85"/>
    </row>
    <row r="102" spans="7:31" x14ac:dyDescent="0.35">
      <c r="G102" s="85"/>
      <c r="H102" s="87"/>
      <c r="J102" s="93"/>
      <c r="K102" s="85"/>
      <c r="M102" s="94"/>
      <c r="N102" s="93"/>
      <c r="O102" s="85"/>
      <c r="Q102" s="94"/>
      <c r="R102" s="93"/>
      <c r="S102" s="85"/>
      <c r="U102" s="94"/>
      <c r="V102" s="93"/>
      <c r="W102" s="85"/>
      <c r="Y102" s="94"/>
      <c r="Z102" s="93"/>
      <c r="AA102" s="85"/>
      <c r="AC102" s="94"/>
      <c r="AD102" s="93"/>
      <c r="AE102" s="85"/>
    </row>
    <row r="103" spans="7:31" x14ac:dyDescent="0.35">
      <c r="G103" s="85"/>
      <c r="H103" s="87"/>
      <c r="J103" s="93"/>
      <c r="K103" s="85"/>
      <c r="M103" s="94"/>
      <c r="N103" s="93"/>
      <c r="O103" s="85"/>
      <c r="Q103" s="94"/>
      <c r="R103" s="93"/>
      <c r="S103" s="85"/>
      <c r="U103" s="94"/>
      <c r="V103" s="93"/>
      <c r="W103" s="85"/>
      <c r="Y103" s="94"/>
      <c r="Z103" s="93"/>
      <c r="AA103" s="85"/>
      <c r="AC103" s="94"/>
      <c r="AD103" s="93"/>
      <c r="AE103" s="85"/>
    </row>
    <row r="104" spans="7:31" x14ac:dyDescent="0.35">
      <c r="G104" s="85"/>
      <c r="H104" s="87"/>
      <c r="J104" s="93"/>
      <c r="K104" s="85"/>
      <c r="M104" s="94"/>
      <c r="N104" s="93"/>
      <c r="O104" s="85"/>
      <c r="Q104" s="94"/>
      <c r="R104" s="93"/>
      <c r="S104" s="85"/>
      <c r="U104" s="94"/>
      <c r="V104" s="93"/>
      <c r="W104" s="85"/>
      <c r="Y104" s="94"/>
      <c r="Z104" s="93"/>
      <c r="AA104" s="85"/>
      <c r="AC104" s="94"/>
      <c r="AD104" s="93"/>
      <c r="AE104" s="85"/>
    </row>
    <row r="105" spans="7:31" x14ac:dyDescent="0.35">
      <c r="G105" s="85"/>
      <c r="H105" s="87"/>
      <c r="J105" s="93"/>
      <c r="K105" s="85"/>
      <c r="M105" s="94"/>
      <c r="N105" s="93"/>
      <c r="O105" s="85"/>
      <c r="Q105" s="94"/>
      <c r="R105" s="93"/>
      <c r="S105" s="85"/>
      <c r="U105" s="94"/>
      <c r="V105" s="93"/>
      <c r="W105" s="85"/>
      <c r="Y105" s="94"/>
      <c r="Z105" s="93"/>
      <c r="AA105" s="85"/>
      <c r="AC105" s="94"/>
      <c r="AD105" s="93"/>
      <c r="AE105" s="85"/>
    </row>
    <row r="106" spans="7:31" x14ac:dyDescent="0.35">
      <c r="G106" s="85"/>
      <c r="H106" s="87"/>
      <c r="J106" s="93"/>
      <c r="K106" s="85"/>
      <c r="M106" s="94"/>
      <c r="N106" s="93"/>
      <c r="O106" s="85"/>
      <c r="Q106" s="94"/>
      <c r="R106" s="93"/>
      <c r="S106" s="85"/>
      <c r="U106" s="94"/>
      <c r="V106" s="93"/>
      <c r="W106" s="85"/>
      <c r="Y106" s="94"/>
      <c r="Z106" s="93"/>
      <c r="AA106" s="85"/>
      <c r="AC106" s="94"/>
      <c r="AD106" s="93"/>
      <c r="AE106" s="85"/>
    </row>
    <row r="107" spans="7:31" x14ac:dyDescent="0.35">
      <c r="G107" s="85"/>
      <c r="H107" s="87"/>
      <c r="J107" s="93"/>
      <c r="K107" s="85"/>
      <c r="M107" s="94"/>
      <c r="N107" s="93"/>
      <c r="O107" s="85"/>
      <c r="Q107" s="94"/>
      <c r="R107" s="93"/>
      <c r="S107" s="85"/>
      <c r="U107" s="94"/>
      <c r="V107" s="93"/>
      <c r="W107" s="85"/>
      <c r="Y107" s="94"/>
      <c r="Z107" s="93"/>
      <c r="AA107" s="85"/>
      <c r="AC107" s="94"/>
      <c r="AD107" s="93"/>
      <c r="AE107" s="85"/>
    </row>
    <row r="108" spans="7:31" x14ac:dyDescent="0.35">
      <c r="G108" s="85"/>
      <c r="H108" s="87"/>
      <c r="J108" s="93"/>
      <c r="K108" s="85"/>
      <c r="M108" s="94"/>
      <c r="N108" s="93"/>
      <c r="O108" s="85"/>
      <c r="Q108" s="94"/>
      <c r="R108" s="93"/>
      <c r="S108" s="85"/>
      <c r="U108" s="94"/>
      <c r="V108" s="93"/>
      <c r="W108" s="85"/>
      <c r="Y108" s="94"/>
      <c r="Z108" s="93"/>
      <c r="AA108" s="85"/>
      <c r="AC108" s="94"/>
      <c r="AD108" s="93"/>
      <c r="AE108" s="85"/>
    </row>
    <row r="109" spans="7:31" x14ac:dyDescent="0.35">
      <c r="G109" s="85"/>
      <c r="H109" s="87"/>
      <c r="J109" s="93"/>
      <c r="K109" s="85"/>
      <c r="M109" s="94"/>
      <c r="N109" s="93"/>
      <c r="O109" s="85"/>
      <c r="Q109" s="94"/>
      <c r="R109" s="93"/>
      <c r="S109" s="85"/>
      <c r="U109" s="94"/>
      <c r="V109" s="93"/>
      <c r="W109" s="85"/>
      <c r="Y109" s="94"/>
      <c r="Z109" s="93"/>
      <c r="AA109" s="85"/>
      <c r="AC109" s="94"/>
      <c r="AD109" s="93"/>
      <c r="AE109" s="85"/>
    </row>
    <row r="110" spans="7:31" x14ac:dyDescent="0.35">
      <c r="G110" s="85"/>
      <c r="H110" s="87"/>
      <c r="J110" s="93"/>
      <c r="K110" s="85"/>
      <c r="M110" s="94"/>
      <c r="N110" s="93"/>
      <c r="O110" s="85"/>
      <c r="Q110" s="94"/>
      <c r="R110" s="93"/>
      <c r="S110" s="85"/>
      <c r="U110" s="94"/>
      <c r="V110" s="93"/>
      <c r="W110" s="85"/>
      <c r="Y110" s="94"/>
      <c r="Z110" s="93"/>
      <c r="AA110" s="85"/>
      <c r="AC110" s="94"/>
      <c r="AD110" s="93"/>
      <c r="AE110" s="85"/>
    </row>
    <row r="111" spans="7:31" x14ac:dyDescent="0.35">
      <c r="G111" s="85"/>
      <c r="H111" s="87"/>
      <c r="J111" s="93"/>
      <c r="K111" s="85"/>
      <c r="M111" s="94"/>
      <c r="N111" s="93"/>
      <c r="O111" s="85"/>
      <c r="Q111" s="94"/>
      <c r="R111" s="93"/>
      <c r="S111" s="85"/>
      <c r="U111" s="94"/>
      <c r="V111" s="93"/>
      <c r="W111" s="85"/>
      <c r="Y111" s="94"/>
      <c r="Z111" s="93"/>
      <c r="AA111" s="85"/>
      <c r="AC111" s="94"/>
      <c r="AD111" s="93"/>
      <c r="AE111" s="85"/>
    </row>
    <row r="112" spans="7:31" x14ac:dyDescent="0.35">
      <c r="G112" s="85"/>
      <c r="H112" s="87"/>
      <c r="J112" s="93"/>
      <c r="K112" s="85"/>
      <c r="M112" s="94"/>
      <c r="N112" s="93"/>
      <c r="O112" s="85"/>
      <c r="Q112" s="94"/>
      <c r="R112" s="93"/>
      <c r="S112" s="85"/>
      <c r="U112" s="94"/>
      <c r="V112" s="93"/>
      <c r="W112" s="85"/>
      <c r="Y112" s="94"/>
      <c r="Z112" s="93"/>
      <c r="AA112" s="85"/>
      <c r="AC112" s="94"/>
      <c r="AD112" s="93"/>
      <c r="AE112" s="85"/>
    </row>
    <row r="113" spans="7:31" x14ac:dyDescent="0.35">
      <c r="G113" s="85"/>
      <c r="H113" s="87"/>
      <c r="J113" s="93"/>
      <c r="K113" s="85"/>
      <c r="M113" s="94"/>
      <c r="N113" s="93"/>
      <c r="O113" s="85"/>
      <c r="Q113" s="94"/>
      <c r="R113" s="93"/>
      <c r="S113" s="85"/>
      <c r="U113" s="94"/>
      <c r="V113" s="93"/>
      <c r="W113" s="85"/>
      <c r="Y113" s="94"/>
      <c r="Z113" s="93"/>
      <c r="AA113" s="85"/>
      <c r="AC113" s="94"/>
      <c r="AD113" s="93"/>
      <c r="AE113" s="85"/>
    </row>
    <row r="114" spans="7:31" x14ac:dyDescent="0.35">
      <c r="G114" s="85"/>
      <c r="H114" s="87"/>
      <c r="J114" s="93"/>
      <c r="K114" s="85"/>
      <c r="M114" s="94"/>
      <c r="N114" s="93"/>
      <c r="O114" s="85"/>
      <c r="Q114" s="94"/>
      <c r="R114" s="93"/>
      <c r="S114" s="85"/>
      <c r="U114" s="94"/>
      <c r="V114" s="93"/>
      <c r="W114" s="85"/>
      <c r="Y114" s="94"/>
      <c r="Z114" s="93"/>
      <c r="AA114" s="85"/>
      <c r="AC114" s="94"/>
      <c r="AD114" s="93"/>
      <c r="AE114" s="85"/>
    </row>
    <row r="115" spans="7:31" x14ac:dyDescent="0.35">
      <c r="G115" s="85"/>
      <c r="H115" s="87"/>
      <c r="J115" s="93"/>
      <c r="K115" s="85"/>
      <c r="M115" s="94"/>
      <c r="N115" s="93"/>
      <c r="O115" s="85"/>
      <c r="Q115" s="94"/>
      <c r="R115" s="93"/>
      <c r="S115" s="85"/>
      <c r="U115" s="94"/>
      <c r="V115" s="93"/>
      <c r="W115" s="85"/>
      <c r="Y115" s="94"/>
      <c r="Z115" s="93"/>
      <c r="AA115" s="85"/>
      <c r="AC115" s="94"/>
      <c r="AD115" s="93"/>
      <c r="AE115" s="85"/>
    </row>
    <row r="116" spans="7:31" x14ac:dyDescent="0.35">
      <c r="G116" s="85"/>
      <c r="H116" s="87"/>
      <c r="J116" s="93"/>
      <c r="K116" s="85"/>
      <c r="M116" s="94"/>
      <c r="N116" s="93"/>
      <c r="O116" s="85"/>
      <c r="Q116" s="94"/>
      <c r="R116" s="93"/>
      <c r="S116" s="85"/>
      <c r="U116" s="94"/>
      <c r="V116" s="93"/>
      <c r="W116" s="85"/>
      <c r="Y116" s="94"/>
      <c r="Z116" s="93"/>
      <c r="AA116" s="85"/>
      <c r="AC116" s="94"/>
      <c r="AD116" s="93"/>
      <c r="AE116" s="85"/>
    </row>
    <row r="117" spans="7:31" x14ac:dyDescent="0.35">
      <c r="G117" s="85"/>
      <c r="H117" s="87"/>
      <c r="J117" s="93"/>
      <c r="K117" s="85"/>
      <c r="M117" s="94"/>
      <c r="N117" s="93"/>
      <c r="O117" s="85"/>
      <c r="Q117" s="94"/>
      <c r="R117" s="93"/>
      <c r="S117" s="85"/>
      <c r="U117" s="94"/>
      <c r="V117" s="93"/>
      <c r="W117" s="85"/>
      <c r="Y117" s="94"/>
      <c r="Z117" s="93"/>
      <c r="AA117" s="85"/>
      <c r="AC117" s="94"/>
      <c r="AD117" s="93"/>
      <c r="AE117" s="85"/>
    </row>
    <row r="118" spans="7:31" x14ac:dyDescent="0.35">
      <c r="G118" s="85"/>
      <c r="H118" s="87"/>
      <c r="J118" s="93"/>
      <c r="K118" s="85"/>
      <c r="M118" s="94"/>
      <c r="N118" s="93"/>
      <c r="O118" s="85"/>
      <c r="Q118" s="94"/>
      <c r="R118" s="93"/>
      <c r="S118" s="85"/>
      <c r="U118" s="94"/>
      <c r="V118" s="93"/>
      <c r="W118" s="85"/>
      <c r="Y118" s="94"/>
      <c r="Z118" s="93"/>
      <c r="AA118" s="85"/>
      <c r="AC118" s="94"/>
      <c r="AD118" s="93"/>
      <c r="AE118" s="85"/>
    </row>
    <row r="119" spans="7:31" x14ac:dyDescent="0.35">
      <c r="G119" s="85"/>
      <c r="H119" s="87"/>
      <c r="J119" s="93"/>
      <c r="K119" s="85"/>
      <c r="M119" s="94"/>
      <c r="N119" s="93"/>
      <c r="O119" s="85"/>
      <c r="Q119" s="94"/>
      <c r="R119" s="93"/>
      <c r="S119" s="85"/>
      <c r="U119" s="94"/>
      <c r="V119" s="93"/>
      <c r="W119" s="85"/>
      <c r="Y119" s="94"/>
      <c r="Z119" s="93"/>
      <c r="AA119" s="85"/>
      <c r="AC119" s="94"/>
      <c r="AD119" s="93"/>
      <c r="AE119" s="85"/>
    </row>
    <row r="120" spans="7:31" x14ac:dyDescent="0.35">
      <c r="G120" s="85"/>
      <c r="H120" s="87"/>
      <c r="J120" s="93"/>
      <c r="K120" s="85"/>
      <c r="M120" s="94"/>
      <c r="N120" s="93"/>
      <c r="O120" s="85"/>
      <c r="Q120" s="94"/>
      <c r="R120" s="93"/>
      <c r="S120" s="85"/>
      <c r="U120" s="94"/>
      <c r="V120" s="93"/>
      <c r="W120" s="85"/>
      <c r="Y120" s="94"/>
      <c r="Z120" s="93"/>
      <c r="AA120" s="85"/>
      <c r="AC120" s="94"/>
      <c r="AD120" s="93"/>
      <c r="AE120" s="85"/>
    </row>
    <row r="121" spans="7:31" x14ac:dyDescent="0.35">
      <c r="G121" s="85"/>
      <c r="H121" s="87"/>
      <c r="J121" s="93"/>
      <c r="K121" s="85"/>
      <c r="M121" s="94"/>
      <c r="N121" s="93"/>
      <c r="O121" s="85"/>
      <c r="Q121" s="94"/>
      <c r="R121" s="93"/>
      <c r="S121" s="85"/>
      <c r="U121" s="94"/>
      <c r="V121" s="93"/>
      <c r="W121" s="85"/>
      <c r="Y121" s="94"/>
      <c r="Z121" s="93"/>
      <c r="AA121" s="85"/>
      <c r="AC121" s="94"/>
      <c r="AD121" s="93"/>
      <c r="AE121" s="85"/>
    </row>
    <row r="122" spans="7:31" x14ac:dyDescent="0.35">
      <c r="G122" s="85"/>
      <c r="H122" s="87"/>
      <c r="J122" s="93"/>
      <c r="K122" s="85"/>
      <c r="M122" s="94"/>
      <c r="N122" s="93"/>
      <c r="O122" s="85"/>
      <c r="Q122" s="94"/>
      <c r="R122" s="93"/>
      <c r="S122" s="85"/>
      <c r="U122" s="94"/>
      <c r="V122" s="93"/>
      <c r="W122" s="85"/>
      <c r="Y122" s="94"/>
      <c r="Z122" s="93"/>
      <c r="AA122" s="85"/>
      <c r="AC122" s="94"/>
      <c r="AD122" s="93"/>
      <c r="AE122" s="85"/>
    </row>
    <row r="123" spans="7:31" x14ac:dyDescent="0.35">
      <c r="G123" s="85"/>
      <c r="H123" s="87"/>
      <c r="J123" s="93"/>
      <c r="K123" s="85"/>
      <c r="M123" s="94"/>
      <c r="N123" s="93"/>
      <c r="O123" s="85"/>
      <c r="Q123" s="94"/>
      <c r="R123" s="93"/>
      <c r="S123" s="85"/>
      <c r="U123" s="94"/>
      <c r="V123" s="93"/>
      <c r="W123" s="85"/>
      <c r="Y123" s="94"/>
      <c r="Z123" s="93"/>
      <c r="AA123" s="85"/>
      <c r="AC123" s="94"/>
      <c r="AD123" s="93"/>
      <c r="AE123" s="85"/>
    </row>
    <row r="124" spans="7:31" x14ac:dyDescent="0.35">
      <c r="G124" s="85"/>
      <c r="H124" s="87"/>
      <c r="J124" s="93"/>
      <c r="K124" s="85"/>
      <c r="M124" s="94"/>
      <c r="N124" s="93"/>
      <c r="O124" s="85"/>
      <c r="Q124" s="94"/>
      <c r="R124" s="93"/>
      <c r="S124" s="85"/>
      <c r="U124" s="94"/>
      <c r="V124" s="93"/>
      <c r="W124" s="85"/>
      <c r="Y124" s="94"/>
      <c r="Z124" s="93"/>
      <c r="AA124" s="85"/>
      <c r="AC124" s="94"/>
      <c r="AD124" s="93"/>
      <c r="AE124" s="85"/>
    </row>
    <row r="125" spans="7:31" x14ac:dyDescent="0.35">
      <c r="G125" s="85"/>
      <c r="H125" s="87"/>
      <c r="J125" s="93"/>
      <c r="K125" s="85"/>
      <c r="M125" s="94"/>
      <c r="N125" s="93"/>
      <c r="O125" s="85"/>
      <c r="Q125" s="94"/>
      <c r="R125" s="93"/>
      <c r="S125" s="85"/>
      <c r="U125" s="94"/>
      <c r="V125" s="93"/>
      <c r="W125" s="85"/>
      <c r="Y125" s="94"/>
      <c r="Z125" s="93"/>
      <c r="AA125" s="85"/>
      <c r="AC125" s="94"/>
      <c r="AD125" s="93"/>
      <c r="AE125" s="85"/>
    </row>
    <row r="126" spans="7:31" x14ac:dyDescent="0.35">
      <c r="G126" s="85"/>
      <c r="H126" s="87"/>
      <c r="J126" s="93"/>
      <c r="K126" s="85"/>
      <c r="M126" s="94"/>
      <c r="N126" s="93"/>
      <c r="O126" s="85"/>
      <c r="Q126" s="94"/>
      <c r="R126" s="93"/>
      <c r="S126" s="85"/>
      <c r="U126" s="94"/>
      <c r="V126" s="93"/>
      <c r="W126" s="85"/>
      <c r="Y126" s="94"/>
      <c r="Z126" s="93"/>
      <c r="AA126" s="85"/>
      <c r="AC126" s="94"/>
      <c r="AD126" s="93"/>
      <c r="AE126" s="85"/>
    </row>
    <row r="127" spans="7:31" x14ac:dyDescent="0.35">
      <c r="G127" s="85"/>
      <c r="H127" s="87"/>
      <c r="J127" s="93"/>
      <c r="K127" s="85"/>
      <c r="M127" s="94"/>
      <c r="N127" s="93"/>
      <c r="O127" s="85"/>
      <c r="Q127" s="94"/>
      <c r="R127" s="93"/>
      <c r="S127" s="85"/>
      <c r="U127" s="94"/>
      <c r="V127" s="93"/>
      <c r="W127" s="85"/>
      <c r="Y127" s="94"/>
      <c r="Z127" s="93"/>
      <c r="AA127" s="85"/>
      <c r="AC127" s="94"/>
      <c r="AD127" s="93"/>
      <c r="AE127" s="85"/>
    </row>
    <row r="128" spans="7:31" x14ac:dyDescent="0.35">
      <c r="G128" s="85"/>
      <c r="H128" s="87"/>
      <c r="J128" s="93"/>
      <c r="K128" s="85"/>
      <c r="M128" s="94"/>
      <c r="N128" s="93"/>
      <c r="O128" s="85"/>
      <c r="Q128" s="94"/>
      <c r="R128" s="93"/>
      <c r="S128" s="85"/>
      <c r="U128" s="94"/>
      <c r="V128" s="93"/>
      <c r="W128" s="85"/>
      <c r="Y128" s="94"/>
      <c r="Z128" s="93"/>
      <c r="AA128" s="85"/>
      <c r="AC128" s="94"/>
      <c r="AD128" s="93"/>
      <c r="AE128" s="85"/>
    </row>
    <row r="129" spans="7:31" x14ac:dyDescent="0.35">
      <c r="G129" s="85"/>
      <c r="H129" s="87"/>
      <c r="J129" s="93"/>
      <c r="K129" s="85"/>
      <c r="M129" s="94"/>
      <c r="N129" s="93"/>
      <c r="O129" s="85"/>
      <c r="Q129" s="94"/>
      <c r="R129" s="93"/>
      <c r="S129" s="85"/>
      <c r="U129" s="94"/>
      <c r="V129" s="93"/>
      <c r="W129" s="85"/>
      <c r="Y129" s="94"/>
      <c r="Z129" s="93"/>
      <c r="AA129" s="85"/>
      <c r="AC129" s="94"/>
      <c r="AD129" s="93"/>
      <c r="AE129" s="85"/>
    </row>
    <row r="130" spans="7:31" x14ac:dyDescent="0.35">
      <c r="G130" s="85"/>
      <c r="H130" s="87"/>
      <c r="J130" s="93"/>
      <c r="K130" s="85"/>
      <c r="M130" s="94"/>
      <c r="N130" s="93"/>
      <c r="O130" s="85"/>
      <c r="Q130" s="94"/>
      <c r="R130" s="93"/>
      <c r="S130" s="85"/>
      <c r="U130" s="94"/>
      <c r="V130" s="93"/>
      <c r="W130" s="85"/>
      <c r="Y130" s="94"/>
      <c r="Z130" s="93"/>
      <c r="AA130" s="85"/>
      <c r="AC130" s="94"/>
      <c r="AD130" s="93"/>
      <c r="AE130" s="85"/>
    </row>
    <row r="131" spans="7:31" x14ac:dyDescent="0.35">
      <c r="G131" s="85"/>
      <c r="H131" s="87"/>
      <c r="J131" s="93"/>
      <c r="K131" s="85"/>
      <c r="M131" s="94"/>
      <c r="N131" s="93"/>
      <c r="O131" s="85"/>
      <c r="Q131" s="94"/>
      <c r="R131" s="93"/>
      <c r="S131" s="85"/>
      <c r="U131" s="94"/>
      <c r="V131" s="93"/>
      <c r="W131" s="85"/>
      <c r="Y131" s="94"/>
      <c r="Z131" s="93"/>
      <c r="AA131" s="85"/>
      <c r="AC131" s="94"/>
      <c r="AD131" s="93"/>
      <c r="AE131" s="85"/>
    </row>
    <row r="132" spans="7:31" x14ac:dyDescent="0.35">
      <c r="G132" s="85"/>
      <c r="H132" s="87"/>
      <c r="J132" s="93"/>
      <c r="K132" s="85"/>
      <c r="M132" s="94"/>
      <c r="N132" s="93"/>
      <c r="O132" s="85"/>
      <c r="Q132" s="94"/>
      <c r="R132" s="93"/>
      <c r="S132" s="85"/>
      <c r="U132" s="94"/>
      <c r="V132" s="93"/>
      <c r="W132" s="85"/>
      <c r="Y132" s="94"/>
      <c r="Z132" s="93"/>
      <c r="AA132" s="85"/>
      <c r="AC132" s="94"/>
      <c r="AD132" s="93"/>
      <c r="AE132" s="85"/>
    </row>
    <row r="133" spans="7:31" x14ac:dyDescent="0.35">
      <c r="G133" s="85"/>
      <c r="H133" s="87"/>
      <c r="J133" s="93"/>
      <c r="K133" s="85"/>
      <c r="M133" s="94"/>
      <c r="N133" s="93"/>
      <c r="O133" s="85"/>
      <c r="Q133" s="94"/>
      <c r="R133" s="93"/>
      <c r="S133" s="85"/>
      <c r="U133" s="94"/>
      <c r="V133" s="93"/>
      <c r="W133" s="85"/>
      <c r="Y133" s="94"/>
      <c r="Z133" s="93"/>
      <c r="AA133" s="85"/>
      <c r="AC133" s="94"/>
      <c r="AD133" s="93"/>
      <c r="AE133" s="85"/>
    </row>
    <row r="134" spans="7:31" x14ac:dyDescent="0.35">
      <c r="G134" s="85"/>
      <c r="H134" s="87"/>
      <c r="J134" s="93"/>
      <c r="K134" s="85"/>
      <c r="M134" s="94"/>
      <c r="N134" s="93"/>
      <c r="O134" s="85"/>
      <c r="Q134" s="94"/>
      <c r="R134" s="93"/>
      <c r="S134" s="85"/>
      <c r="U134" s="94"/>
      <c r="V134" s="93"/>
      <c r="W134" s="85"/>
      <c r="Y134" s="94"/>
      <c r="Z134" s="93"/>
      <c r="AA134" s="85"/>
      <c r="AC134" s="94"/>
      <c r="AD134" s="93"/>
      <c r="AE134" s="85"/>
    </row>
    <row r="135" spans="7:31" x14ac:dyDescent="0.35">
      <c r="G135" s="85"/>
      <c r="H135" s="87"/>
      <c r="J135" s="93"/>
      <c r="K135" s="85"/>
      <c r="M135" s="94"/>
      <c r="N135" s="93"/>
      <c r="O135" s="85"/>
      <c r="Q135" s="94"/>
      <c r="R135" s="93"/>
      <c r="S135" s="85"/>
      <c r="U135" s="94"/>
      <c r="V135" s="93"/>
      <c r="W135" s="85"/>
      <c r="Y135" s="94"/>
      <c r="Z135" s="93"/>
      <c r="AA135" s="85"/>
      <c r="AC135" s="94"/>
      <c r="AD135" s="93"/>
      <c r="AE135" s="85"/>
    </row>
    <row r="136" spans="7:31" x14ac:dyDescent="0.35">
      <c r="G136" s="85"/>
      <c r="H136" s="87"/>
      <c r="J136" s="93"/>
      <c r="K136" s="85"/>
      <c r="M136" s="94"/>
      <c r="N136" s="93"/>
      <c r="O136" s="85"/>
      <c r="Q136" s="94"/>
      <c r="R136" s="93"/>
      <c r="S136" s="85"/>
      <c r="U136" s="94"/>
      <c r="V136" s="93"/>
      <c r="W136" s="85"/>
      <c r="Y136" s="94"/>
      <c r="Z136" s="93"/>
      <c r="AA136" s="85"/>
      <c r="AC136" s="94"/>
      <c r="AD136" s="93"/>
      <c r="AE136" s="85"/>
    </row>
    <row r="137" spans="7:31" x14ac:dyDescent="0.35">
      <c r="G137" s="85"/>
      <c r="H137" s="87"/>
      <c r="J137" s="93"/>
      <c r="K137" s="85"/>
      <c r="M137" s="94"/>
      <c r="N137" s="93"/>
      <c r="O137" s="85"/>
      <c r="Q137" s="94"/>
      <c r="R137" s="93"/>
      <c r="S137" s="85"/>
      <c r="U137" s="94"/>
      <c r="V137" s="93"/>
      <c r="W137" s="85"/>
      <c r="Y137" s="94"/>
      <c r="Z137" s="93"/>
      <c r="AA137" s="85"/>
      <c r="AC137" s="94"/>
      <c r="AD137" s="93"/>
      <c r="AE137" s="85"/>
    </row>
    <row r="138" spans="7:31" x14ac:dyDescent="0.35">
      <c r="G138" s="85"/>
      <c r="H138" s="87"/>
      <c r="J138" s="93"/>
      <c r="K138" s="85"/>
      <c r="M138" s="94"/>
      <c r="N138" s="93"/>
      <c r="O138" s="85"/>
      <c r="Q138" s="94"/>
      <c r="R138" s="93"/>
      <c r="S138" s="85"/>
      <c r="U138" s="94"/>
      <c r="V138" s="93"/>
      <c r="W138" s="85"/>
      <c r="Y138" s="94"/>
      <c r="Z138" s="93"/>
      <c r="AA138" s="85"/>
      <c r="AC138" s="94"/>
      <c r="AD138" s="93"/>
      <c r="AE138" s="85"/>
    </row>
    <row r="139" spans="7:31" x14ac:dyDescent="0.35">
      <c r="G139" s="85"/>
      <c r="H139" s="87"/>
      <c r="J139" s="93"/>
      <c r="K139" s="85"/>
      <c r="M139" s="94"/>
      <c r="N139" s="93"/>
      <c r="O139" s="85"/>
      <c r="Q139" s="94"/>
      <c r="R139" s="93"/>
      <c r="S139" s="85"/>
      <c r="U139" s="94"/>
      <c r="V139" s="93"/>
      <c r="W139" s="85"/>
      <c r="Y139" s="94"/>
      <c r="Z139" s="93"/>
      <c r="AA139" s="85"/>
      <c r="AC139" s="94"/>
      <c r="AD139" s="93"/>
      <c r="AE139" s="85"/>
    </row>
    <row r="140" spans="7:31" x14ac:dyDescent="0.35">
      <c r="G140" s="85"/>
      <c r="H140" s="87"/>
      <c r="J140" s="93"/>
      <c r="K140" s="85"/>
      <c r="M140" s="94"/>
      <c r="N140" s="93"/>
      <c r="O140" s="85"/>
      <c r="Q140" s="94"/>
      <c r="R140" s="93"/>
      <c r="S140" s="85"/>
      <c r="U140" s="94"/>
      <c r="V140" s="93"/>
      <c r="W140" s="85"/>
      <c r="Y140" s="94"/>
      <c r="Z140" s="93"/>
      <c r="AA140" s="85"/>
      <c r="AC140" s="94"/>
      <c r="AD140" s="93"/>
      <c r="AE140" s="85"/>
    </row>
    <row r="141" spans="7:31" x14ac:dyDescent="0.35">
      <c r="G141" s="85"/>
      <c r="H141" s="87"/>
      <c r="J141" s="93"/>
      <c r="K141" s="85"/>
      <c r="M141" s="94"/>
      <c r="N141" s="93"/>
      <c r="O141" s="85"/>
      <c r="Q141" s="94"/>
      <c r="R141" s="93"/>
      <c r="S141" s="85"/>
      <c r="U141" s="94"/>
      <c r="V141" s="93"/>
      <c r="W141" s="85"/>
      <c r="Y141" s="94"/>
      <c r="Z141" s="93"/>
      <c r="AA141" s="85"/>
      <c r="AC141" s="94"/>
      <c r="AD141" s="93"/>
      <c r="AE141" s="85"/>
    </row>
    <row r="142" spans="7:31" x14ac:dyDescent="0.35">
      <c r="G142" s="85"/>
      <c r="H142" s="87"/>
      <c r="J142" s="93"/>
      <c r="K142" s="85"/>
      <c r="M142" s="94"/>
      <c r="N142" s="93"/>
      <c r="O142" s="85"/>
      <c r="Q142" s="94"/>
      <c r="R142" s="93"/>
      <c r="S142" s="85"/>
      <c r="U142" s="94"/>
      <c r="V142" s="93"/>
      <c r="W142" s="85"/>
      <c r="Y142" s="94"/>
      <c r="Z142" s="93"/>
      <c r="AA142" s="85"/>
      <c r="AC142" s="94"/>
      <c r="AD142" s="93"/>
      <c r="AE142" s="85"/>
    </row>
    <row r="143" spans="7:31" x14ac:dyDescent="0.35">
      <c r="G143" s="85"/>
      <c r="H143" s="87"/>
      <c r="J143" s="93"/>
      <c r="K143" s="85"/>
      <c r="M143" s="94"/>
      <c r="N143" s="93"/>
      <c r="O143" s="85"/>
      <c r="Q143" s="94"/>
      <c r="R143" s="93"/>
      <c r="S143" s="85"/>
      <c r="U143" s="94"/>
      <c r="V143" s="93"/>
      <c r="W143" s="85"/>
      <c r="Y143" s="94"/>
      <c r="Z143" s="93"/>
      <c r="AA143" s="85"/>
      <c r="AC143" s="94"/>
      <c r="AD143" s="93"/>
      <c r="AE143" s="85"/>
    </row>
    <row r="144" spans="7:31" x14ac:dyDescent="0.35">
      <c r="G144" s="85"/>
      <c r="H144" s="87"/>
      <c r="J144" s="93"/>
      <c r="K144" s="85"/>
      <c r="M144" s="94"/>
      <c r="N144" s="93"/>
      <c r="O144" s="85"/>
      <c r="Q144" s="94"/>
      <c r="R144" s="93"/>
      <c r="S144" s="85"/>
      <c r="U144" s="94"/>
      <c r="V144" s="93"/>
      <c r="W144" s="85"/>
      <c r="Y144" s="94"/>
      <c r="Z144" s="93"/>
      <c r="AA144" s="85"/>
      <c r="AC144" s="94"/>
      <c r="AD144" s="93"/>
      <c r="AE144" s="85"/>
    </row>
    <row r="145" spans="7:31" x14ac:dyDescent="0.35">
      <c r="G145" s="85"/>
      <c r="H145" s="87"/>
      <c r="J145" s="93"/>
      <c r="K145" s="85"/>
      <c r="M145" s="94"/>
      <c r="N145" s="93"/>
      <c r="O145" s="85"/>
      <c r="Q145" s="94"/>
      <c r="R145" s="93"/>
      <c r="S145" s="85"/>
      <c r="U145" s="94"/>
      <c r="V145" s="93"/>
      <c r="W145" s="85"/>
      <c r="Y145" s="94"/>
      <c r="Z145" s="93"/>
      <c r="AA145" s="85"/>
      <c r="AC145" s="94"/>
      <c r="AD145" s="93"/>
      <c r="AE145" s="85"/>
    </row>
    <row r="146" spans="7:31" x14ac:dyDescent="0.35">
      <c r="G146" s="85"/>
      <c r="H146" s="87"/>
      <c r="J146" s="93"/>
      <c r="K146" s="85"/>
      <c r="M146" s="94"/>
      <c r="N146" s="93"/>
      <c r="O146" s="85"/>
      <c r="Q146" s="94"/>
      <c r="R146" s="93"/>
      <c r="S146" s="85"/>
      <c r="U146" s="94"/>
      <c r="V146" s="93"/>
      <c r="W146" s="85"/>
      <c r="Y146" s="94"/>
      <c r="Z146" s="93"/>
      <c r="AA146" s="85"/>
      <c r="AC146" s="94"/>
      <c r="AD146" s="93"/>
      <c r="AE146" s="85"/>
    </row>
    <row r="147" spans="7:31" x14ac:dyDescent="0.35">
      <c r="G147" s="85"/>
      <c r="H147" s="87"/>
      <c r="J147" s="93"/>
      <c r="K147" s="85"/>
      <c r="M147" s="94"/>
      <c r="N147" s="93"/>
      <c r="O147" s="85"/>
      <c r="Q147" s="94"/>
      <c r="R147" s="93"/>
      <c r="S147" s="85"/>
      <c r="U147" s="94"/>
      <c r="V147" s="93"/>
      <c r="W147" s="85"/>
      <c r="Y147" s="94"/>
      <c r="Z147" s="93"/>
      <c r="AA147" s="85"/>
      <c r="AC147" s="94"/>
      <c r="AD147" s="93"/>
      <c r="AE147" s="85"/>
    </row>
    <row r="148" spans="7:31" x14ac:dyDescent="0.35">
      <c r="G148" s="85"/>
      <c r="H148" s="87"/>
      <c r="J148" s="93"/>
      <c r="K148" s="85"/>
      <c r="M148" s="94"/>
      <c r="N148" s="93"/>
      <c r="O148" s="85"/>
      <c r="Q148" s="94"/>
      <c r="R148" s="93"/>
      <c r="S148" s="85"/>
      <c r="U148" s="94"/>
      <c r="V148" s="93"/>
      <c r="W148" s="85"/>
      <c r="Y148" s="94"/>
      <c r="Z148" s="93"/>
      <c r="AA148" s="85"/>
      <c r="AC148" s="94"/>
      <c r="AD148" s="93"/>
      <c r="AE148" s="85"/>
    </row>
    <row r="149" spans="7:31" x14ac:dyDescent="0.35">
      <c r="G149" s="85"/>
      <c r="H149" s="87"/>
      <c r="J149" s="93"/>
      <c r="K149" s="85"/>
      <c r="M149" s="94"/>
      <c r="N149" s="93"/>
      <c r="O149" s="85"/>
      <c r="Q149" s="94"/>
      <c r="R149" s="93"/>
      <c r="S149" s="85"/>
      <c r="U149" s="94"/>
      <c r="V149" s="93"/>
      <c r="W149" s="85"/>
      <c r="Y149" s="94"/>
      <c r="Z149" s="93"/>
      <c r="AA149" s="85"/>
      <c r="AC149" s="94"/>
      <c r="AD149" s="93"/>
      <c r="AE149" s="85"/>
    </row>
    <row r="150" spans="7:31" x14ac:dyDescent="0.35">
      <c r="G150" s="85"/>
      <c r="H150" s="87"/>
      <c r="J150" s="93"/>
      <c r="K150" s="85"/>
      <c r="M150" s="94"/>
      <c r="N150" s="93"/>
      <c r="O150" s="85"/>
      <c r="Q150" s="94"/>
      <c r="R150" s="93"/>
      <c r="S150" s="85"/>
      <c r="U150" s="94"/>
      <c r="V150" s="93"/>
      <c r="W150" s="85"/>
      <c r="Y150" s="94"/>
      <c r="Z150" s="93"/>
      <c r="AA150" s="85"/>
      <c r="AC150" s="94"/>
      <c r="AD150" s="93"/>
      <c r="AE150" s="85"/>
    </row>
    <row r="151" spans="7:31" x14ac:dyDescent="0.35">
      <c r="G151" s="85"/>
      <c r="H151" s="87"/>
      <c r="J151" s="93"/>
      <c r="K151" s="85"/>
      <c r="M151" s="94"/>
      <c r="N151" s="93"/>
      <c r="O151" s="85"/>
      <c r="Q151" s="94"/>
      <c r="R151" s="93"/>
      <c r="S151" s="85"/>
      <c r="U151" s="94"/>
      <c r="V151" s="93"/>
      <c r="W151" s="85"/>
      <c r="Y151" s="94"/>
      <c r="Z151" s="93"/>
      <c r="AA151" s="85"/>
      <c r="AC151" s="94"/>
      <c r="AD151" s="93"/>
      <c r="AE151" s="85"/>
    </row>
    <row r="152" spans="7:31" x14ac:dyDescent="0.35">
      <c r="G152" s="85"/>
      <c r="H152" s="87"/>
      <c r="J152" s="93"/>
      <c r="K152" s="85"/>
      <c r="M152" s="94"/>
      <c r="N152" s="93"/>
      <c r="O152" s="85"/>
      <c r="Q152" s="94"/>
      <c r="R152" s="93"/>
      <c r="S152" s="85"/>
      <c r="U152" s="94"/>
      <c r="V152" s="93"/>
      <c r="W152" s="85"/>
      <c r="Y152" s="94"/>
      <c r="Z152" s="93"/>
      <c r="AA152" s="85"/>
      <c r="AC152" s="94"/>
      <c r="AD152" s="93"/>
      <c r="AE152" s="85"/>
    </row>
    <row r="153" spans="7:31" x14ac:dyDescent="0.35">
      <c r="G153" s="85"/>
      <c r="H153" s="87"/>
      <c r="J153" s="93"/>
      <c r="K153" s="85"/>
      <c r="M153" s="94"/>
      <c r="N153" s="93"/>
      <c r="O153" s="85"/>
      <c r="Q153" s="94"/>
      <c r="R153" s="93"/>
      <c r="S153" s="85"/>
      <c r="U153" s="94"/>
      <c r="V153" s="93"/>
      <c r="W153" s="85"/>
      <c r="Y153" s="94"/>
      <c r="Z153" s="93"/>
      <c r="AA153" s="85"/>
      <c r="AC153" s="94"/>
      <c r="AD153" s="93"/>
      <c r="AE153" s="85"/>
    </row>
    <row r="154" spans="7:31" x14ac:dyDescent="0.35">
      <c r="G154" s="85"/>
      <c r="H154" s="87"/>
      <c r="J154" s="93"/>
      <c r="K154" s="85"/>
      <c r="M154" s="94"/>
      <c r="N154" s="93"/>
      <c r="O154" s="85"/>
      <c r="Q154" s="94"/>
      <c r="R154" s="93"/>
      <c r="S154" s="85"/>
      <c r="U154" s="94"/>
      <c r="V154" s="93"/>
      <c r="W154" s="85"/>
      <c r="Y154" s="94"/>
      <c r="Z154" s="93"/>
      <c r="AA154" s="85"/>
      <c r="AC154" s="94"/>
      <c r="AD154" s="93"/>
      <c r="AE154" s="85"/>
    </row>
    <row r="155" spans="7:31" x14ac:dyDescent="0.35">
      <c r="G155" s="85"/>
      <c r="H155" s="87"/>
      <c r="J155" s="93"/>
      <c r="K155" s="85"/>
      <c r="M155" s="94"/>
      <c r="N155" s="93"/>
      <c r="O155" s="85"/>
      <c r="Q155" s="94"/>
      <c r="R155" s="93"/>
      <c r="S155" s="85"/>
      <c r="U155" s="94"/>
      <c r="V155" s="93"/>
      <c r="W155" s="85"/>
      <c r="Y155" s="94"/>
      <c r="Z155" s="93"/>
      <c r="AA155" s="85"/>
      <c r="AC155" s="94"/>
      <c r="AD155" s="93"/>
      <c r="AE155" s="85"/>
    </row>
    <row r="156" spans="7:31" x14ac:dyDescent="0.35">
      <c r="G156" s="85"/>
      <c r="H156" s="87"/>
      <c r="J156" s="93"/>
      <c r="K156" s="85"/>
      <c r="M156" s="94"/>
      <c r="N156" s="93"/>
      <c r="O156" s="85"/>
      <c r="Q156" s="94"/>
      <c r="R156" s="93"/>
      <c r="S156" s="85"/>
      <c r="U156" s="94"/>
      <c r="V156" s="93"/>
      <c r="W156" s="85"/>
      <c r="Y156" s="94"/>
      <c r="Z156" s="93"/>
      <c r="AA156" s="85"/>
      <c r="AC156" s="94"/>
      <c r="AD156" s="93"/>
      <c r="AE156" s="85"/>
    </row>
    <row r="157" spans="7:31" x14ac:dyDescent="0.35">
      <c r="G157" s="85"/>
      <c r="H157" s="87"/>
      <c r="J157" s="93"/>
      <c r="K157" s="85"/>
      <c r="M157" s="94"/>
      <c r="N157" s="93"/>
      <c r="O157" s="85"/>
      <c r="Q157" s="94"/>
      <c r="R157" s="93"/>
      <c r="S157" s="85"/>
      <c r="U157" s="94"/>
      <c r="V157" s="93"/>
      <c r="W157" s="85"/>
      <c r="Y157" s="94"/>
      <c r="Z157" s="93"/>
      <c r="AA157" s="85"/>
      <c r="AC157" s="94"/>
      <c r="AD157" s="93"/>
      <c r="AE157" s="85"/>
    </row>
    <row r="158" spans="7:31" x14ac:dyDescent="0.35">
      <c r="G158" s="85"/>
      <c r="H158" s="87"/>
      <c r="J158" s="93"/>
      <c r="K158" s="85"/>
      <c r="M158" s="94"/>
      <c r="N158" s="93"/>
      <c r="O158" s="85"/>
      <c r="Q158" s="94"/>
      <c r="R158" s="93"/>
      <c r="S158" s="85"/>
      <c r="U158" s="94"/>
      <c r="V158" s="93"/>
      <c r="W158" s="85"/>
      <c r="Y158" s="94"/>
      <c r="Z158" s="93"/>
      <c r="AA158" s="85"/>
      <c r="AC158" s="94"/>
      <c r="AD158" s="93"/>
      <c r="AE158" s="85"/>
    </row>
    <row r="159" spans="7:31" x14ac:dyDescent="0.35">
      <c r="G159" s="85"/>
      <c r="H159" s="87"/>
      <c r="J159" s="93"/>
      <c r="K159" s="85"/>
      <c r="M159" s="94"/>
      <c r="N159" s="93"/>
      <c r="O159" s="85"/>
      <c r="Q159" s="94"/>
      <c r="R159" s="93"/>
      <c r="S159" s="85"/>
      <c r="U159" s="94"/>
      <c r="V159" s="93"/>
      <c r="W159" s="85"/>
      <c r="Y159" s="94"/>
      <c r="Z159" s="93"/>
      <c r="AA159" s="85"/>
      <c r="AC159" s="94"/>
      <c r="AD159" s="93"/>
      <c r="AE159" s="85"/>
    </row>
    <row r="160" spans="7:31" x14ac:dyDescent="0.35">
      <c r="G160" s="85"/>
      <c r="H160" s="87"/>
      <c r="J160" s="93"/>
      <c r="K160" s="85"/>
      <c r="M160" s="94"/>
      <c r="N160" s="93"/>
      <c r="O160" s="85"/>
      <c r="Q160" s="94"/>
      <c r="R160" s="93"/>
      <c r="S160" s="85"/>
      <c r="U160" s="94"/>
      <c r="V160" s="93"/>
      <c r="W160" s="85"/>
      <c r="Y160" s="94"/>
      <c r="Z160" s="93"/>
      <c r="AA160" s="85"/>
      <c r="AC160" s="94"/>
      <c r="AD160" s="93"/>
      <c r="AE160" s="85"/>
    </row>
    <row r="161" spans="7:31" x14ac:dyDescent="0.35">
      <c r="G161" s="85"/>
      <c r="H161" s="87"/>
      <c r="J161" s="93"/>
      <c r="K161" s="85"/>
      <c r="M161" s="94"/>
      <c r="N161" s="93"/>
      <c r="O161" s="85"/>
      <c r="Q161" s="94"/>
      <c r="R161" s="93"/>
      <c r="S161" s="85"/>
      <c r="U161" s="94"/>
      <c r="V161" s="93"/>
      <c r="W161" s="85"/>
      <c r="Y161" s="94"/>
      <c r="Z161" s="93"/>
      <c r="AA161" s="85"/>
      <c r="AC161" s="94"/>
      <c r="AD161" s="93"/>
      <c r="AE161" s="85"/>
    </row>
    <row r="162" spans="7:31" x14ac:dyDescent="0.35">
      <c r="G162" s="85"/>
      <c r="H162" s="87"/>
      <c r="J162" s="93"/>
      <c r="K162" s="85"/>
      <c r="M162" s="94"/>
      <c r="N162" s="93"/>
      <c r="O162" s="85"/>
      <c r="Q162" s="94"/>
      <c r="R162" s="93"/>
      <c r="S162" s="85"/>
      <c r="U162" s="94"/>
      <c r="V162" s="93"/>
      <c r="W162" s="85"/>
      <c r="Y162" s="94"/>
      <c r="Z162" s="93"/>
      <c r="AA162" s="85"/>
      <c r="AC162" s="94"/>
      <c r="AD162" s="93"/>
      <c r="AE162" s="85"/>
    </row>
    <row r="163" spans="7:31" x14ac:dyDescent="0.35">
      <c r="G163" s="85"/>
      <c r="H163" s="87"/>
      <c r="J163" s="93"/>
      <c r="K163" s="85"/>
      <c r="M163" s="94"/>
      <c r="N163" s="93"/>
      <c r="O163" s="85"/>
      <c r="Q163" s="94"/>
      <c r="R163" s="93"/>
      <c r="S163" s="85"/>
      <c r="U163" s="94"/>
      <c r="V163" s="93"/>
      <c r="W163" s="85"/>
      <c r="Y163" s="94"/>
      <c r="Z163" s="93"/>
      <c r="AA163" s="85"/>
      <c r="AC163" s="94"/>
      <c r="AD163" s="93"/>
      <c r="AE163" s="85"/>
    </row>
    <row r="164" spans="7:31" x14ac:dyDescent="0.35">
      <c r="G164" s="85"/>
      <c r="H164" s="87"/>
      <c r="J164" s="93"/>
      <c r="K164" s="85"/>
      <c r="M164" s="94"/>
      <c r="N164" s="93"/>
      <c r="O164" s="85"/>
      <c r="Q164" s="94"/>
      <c r="R164" s="93"/>
      <c r="S164" s="85"/>
      <c r="U164" s="94"/>
      <c r="V164" s="93"/>
      <c r="W164" s="85"/>
      <c r="Y164" s="94"/>
      <c r="Z164" s="93"/>
      <c r="AA164" s="85"/>
      <c r="AC164" s="94"/>
      <c r="AD164" s="93"/>
      <c r="AE164" s="85"/>
    </row>
    <row r="165" spans="7:31" x14ac:dyDescent="0.35">
      <c r="G165" s="85"/>
      <c r="H165" s="87"/>
      <c r="J165" s="93"/>
      <c r="K165" s="85"/>
      <c r="M165" s="94"/>
      <c r="N165" s="93"/>
      <c r="O165" s="85"/>
      <c r="Q165" s="94"/>
      <c r="R165" s="93"/>
      <c r="S165" s="85"/>
      <c r="U165" s="94"/>
      <c r="V165" s="93"/>
      <c r="W165" s="85"/>
      <c r="Y165" s="94"/>
      <c r="Z165" s="93"/>
      <c r="AA165" s="85"/>
      <c r="AC165" s="94"/>
      <c r="AD165" s="93"/>
      <c r="AE165" s="85"/>
    </row>
    <row r="166" spans="7:31" x14ac:dyDescent="0.35">
      <c r="G166" s="85"/>
      <c r="H166" s="87"/>
      <c r="J166" s="93"/>
      <c r="K166" s="85"/>
      <c r="M166" s="94"/>
      <c r="N166" s="93"/>
      <c r="O166" s="85"/>
      <c r="Q166" s="94"/>
      <c r="R166" s="93"/>
      <c r="S166" s="85"/>
      <c r="U166" s="94"/>
      <c r="V166" s="93"/>
      <c r="W166" s="85"/>
      <c r="Y166" s="94"/>
      <c r="Z166" s="93"/>
      <c r="AA166" s="85"/>
      <c r="AC166" s="94"/>
      <c r="AD166" s="93"/>
      <c r="AE166" s="85"/>
    </row>
    <row r="167" spans="7:31" x14ac:dyDescent="0.35">
      <c r="G167" s="85"/>
      <c r="H167" s="87"/>
      <c r="J167" s="93"/>
      <c r="K167" s="85"/>
      <c r="M167" s="94"/>
      <c r="N167" s="93"/>
      <c r="O167" s="85"/>
      <c r="Q167" s="94"/>
      <c r="R167" s="93"/>
      <c r="S167" s="85"/>
      <c r="U167" s="94"/>
      <c r="V167" s="93"/>
      <c r="W167" s="85"/>
      <c r="Y167" s="94"/>
      <c r="Z167" s="93"/>
      <c r="AA167" s="85"/>
      <c r="AC167" s="94"/>
      <c r="AD167" s="93"/>
      <c r="AE167" s="85"/>
    </row>
    <row r="168" spans="7:31" x14ac:dyDescent="0.35">
      <c r="G168" s="85"/>
      <c r="H168" s="87"/>
      <c r="J168" s="93"/>
      <c r="K168" s="85"/>
      <c r="M168" s="94"/>
      <c r="N168" s="93"/>
      <c r="O168" s="85"/>
      <c r="Q168" s="94"/>
      <c r="R168" s="93"/>
      <c r="S168" s="85"/>
      <c r="U168" s="94"/>
      <c r="V168" s="93"/>
      <c r="W168" s="85"/>
      <c r="Y168" s="94"/>
      <c r="Z168" s="93"/>
      <c r="AA168" s="85"/>
      <c r="AC168" s="94"/>
      <c r="AD168" s="93"/>
      <c r="AE168" s="85"/>
    </row>
    <row r="169" spans="7:31" x14ac:dyDescent="0.35">
      <c r="G169" s="85"/>
      <c r="H169" s="87"/>
      <c r="J169" s="93"/>
      <c r="K169" s="85"/>
      <c r="M169" s="94"/>
      <c r="N169" s="93"/>
      <c r="O169" s="85"/>
      <c r="Q169" s="94"/>
      <c r="R169" s="93"/>
      <c r="S169" s="85"/>
      <c r="U169" s="94"/>
      <c r="V169" s="93"/>
      <c r="W169" s="85"/>
      <c r="Y169" s="94"/>
      <c r="Z169" s="93"/>
      <c r="AA169" s="85"/>
      <c r="AC169" s="94"/>
      <c r="AD169" s="93"/>
      <c r="AE169" s="85"/>
    </row>
    <row r="170" spans="7:31" x14ac:dyDescent="0.35">
      <c r="G170" s="85"/>
      <c r="H170" s="87"/>
      <c r="J170" s="93"/>
      <c r="K170" s="85"/>
      <c r="M170" s="94"/>
      <c r="N170" s="93"/>
      <c r="O170" s="85"/>
      <c r="Q170" s="94"/>
      <c r="R170" s="93"/>
      <c r="S170" s="85"/>
      <c r="U170" s="94"/>
      <c r="V170" s="93"/>
      <c r="W170" s="85"/>
      <c r="Y170" s="94"/>
      <c r="Z170" s="93"/>
      <c r="AA170" s="85"/>
      <c r="AC170" s="94"/>
      <c r="AD170" s="93"/>
      <c r="AE170" s="85"/>
    </row>
    <row r="171" spans="7:31" x14ac:dyDescent="0.35">
      <c r="G171" s="85"/>
      <c r="H171" s="87"/>
      <c r="J171" s="93"/>
      <c r="K171" s="85"/>
      <c r="M171" s="94"/>
      <c r="N171" s="93"/>
      <c r="O171" s="85"/>
      <c r="Q171" s="94"/>
      <c r="R171" s="93"/>
      <c r="S171" s="85"/>
      <c r="U171" s="94"/>
      <c r="V171" s="93"/>
      <c r="W171" s="85"/>
      <c r="Y171" s="94"/>
      <c r="Z171" s="93"/>
      <c r="AA171" s="85"/>
      <c r="AC171" s="94"/>
      <c r="AD171" s="93"/>
      <c r="AE171" s="85"/>
    </row>
    <row r="172" spans="7:31" x14ac:dyDescent="0.35">
      <c r="G172" s="85"/>
      <c r="H172" s="87"/>
      <c r="J172" s="93"/>
      <c r="K172" s="85"/>
      <c r="M172" s="94"/>
      <c r="N172" s="93"/>
      <c r="O172" s="85"/>
      <c r="Q172" s="94"/>
      <c r="R172" s="93"/>
      <c r="S172" s="85"/>
      <c r="U172" s="94"/>
      <c r="V172" s="93"/>
      <c r="W172" s="85"/>
      <c r="Y172" s="94"/>
      <c r="Z172" s="93"/>
      <c r="AA172" s="85"/>
      <c r="AC172" s="94"/>
      <c r="AD172" s="93"/>
      <c r="AE172" s="85"/>
    </row>
    <row r="173" spans="7:31" x14ac:dyDescent="0.35">
      <c r="G173" s="85"/>
      <c r="H173" s="87"/>
      <c r="J173" s="93"/>
      <c r="K173" s="85"/>
      <c r="M173" s="94"/>
      <c r="N173" s="93"/>
      <c r="O173" s="85"/>
      <c r="Q173" s="94"/>
      <c r="R173" s="93"/>
      <c r="S173" s="85"/>
      <c r="U173" s="94"/>
      <c r="V173" s="93"/>
      <c r="W173" s="85"/>
      <c r="Y173" s="94"/>
      <c r="Z173" s="93"/>
      <c r="AA173" s="85"/>
      <c r="AC173" s="94"/>
      <c r="AD173" s="93"/>
      <c r="AE173" s="85"/>
    </row>
    <row r="174" spans="7:31" x14ac:dyDescent="0.35">
      <c r="G174" s="85"/>
      <c r="H174" s="87"/>
      <c r="J174" s="93"/>
      <c r="K174" s="85"/>
      <c r="M174" s="94"/>
      <c r="N174" s="93"/>
      <c r="O174" s="85"/>
      <c r="Q174" s="94"/>
      <c r="R174" s="93"/>
      <c r="S174" s="85"/>
      <c r="U174" s="94"/>
      <c r="V174" s="93"/>
      <c r="W174" s="85"/>
      <c r="Y174" s="94"/>
      <c r="Z174" s="93"/>
      <c r="AA174" s="85"/>
      <c r="AC174" s="94"/>
      <c r="AD174" s="93"/>
      <c r="AE174" s="85"/>
    </row>
    <row r="175" spans="7:31" x14ac:dyDescent="0.35">
      <c r="G175" s="85"/>
      <c r="H175" s="87"/>
      <c r="J175" s="93"/>
      <c r="K175" s="85"/>
      <c r="M175" s="94"/>
      <c r="N175" s="93"/>
      <c r="O175" s="85"/>
      <c r="Q175" s="94"/>
      <c r="R175" s="93"/>
      <c r="S175" s="85"/>
      <c r="U175" s="94"/>
      <c r="V175" s="93"/>
      <c r="W175" s="85"/>
      <c r="Y175" s="94"/>
      <c r="Z175" s="93"/>
      <c r="AA175" s="85"/>
      <c r="AC175" s="94"/>
      <c r="AD175" s="93"/>
      <c r="AE175" s="85"/>
    </row>
    <row r="176" spans="7:31" x14ac:dyDescent="0.35">
      <c r="G176" s="85"/>
      <c r="H176" s="87"/>
      <c r="J176" s="93"/>
      <c r="K176" s="85"/>
      <c r="M176" s="94"/>
      <c r="N176" s="93"/>
      <c r="O176" s="85"/>
      <c r="Q176" s="94"/>
      <c r="R176" s="93"/>
      <c r="S176" s="85"/>
      <c r="U176" s="94"/>
      <c r="V176" s="93"/>
      <c r="W176" s="85"/>
      <c r="Y176" s="94"/>
      <c r="Z176" s="93"/>
      <c r="AA176" s="85"/>
      <c r="AC176" s="94"/>
      <c r="AD176" s="93"/>
      <c r="AE176" s="85"/>
    </row>
    <row r="177" spans="7:31" x14ac:dyDescent="0.35">
      <c r="G177" s="85"/>
      <c r="H177" s="87"/>
      <c r="J177" s="93"/>
      <c r="K177" s="85"/>
      <c r="M177" s="94"/>
      <c r="N177" s="93"/>
      <c r="O177" s="85"/>
      <c r="Q177" s="94"/>
      <c r="R177" s="93"/>
      <c r="S177" s="85"/>
      <c r="U177" s="94"/>
      <c r="V177" s="93"/>
      <c r="W177" s="85"/>
      <c r="Y177" s="94"/>
      <c r="Z177" s="93"/>
      <c r="AA177" s="85"/>
      <c r="AC177" s="94"/>
      <c r="AD177" s="93"/>
      <c r="AE177" s="85"/>
    </row>
    <row r="178" spans="7:31" x14ac:dyDescent="0.35">
      <c r="G178" s="85"/>
      <c r="H178" s="87"/>
      <c r="J178" s="93"/>
      <c r="K178" s="85"/>
      <c r="M178" s="94"/>
      <c r="N178" s="93"/>
      <c r="O178" s="85"/>
      <c r="Q178" s="94"/>
      <c r="R178" s="93"/>
      <c r="S178" s="85"/>
      <c r="U178" s="94"/>
      <c r="V178" s="93"/>
      <c r="W178" s="85"/>
      <c r="Y178" s="94"/>
      <c r="Z178" s="93"/>
      <c r="AA178" s="85"/>
      <c r="AC178" s="94"/>
      <c r="AD178" s="93"/>
      <c r="AE178" s="85"/>
    </row>
    <row r="179" spans="7:31" x14ac:dyDescent="0.35">
      <c r="G179" s="85"/>
      <c r="H179" s="87"/>
      <c r="J179" s="93"/>
      <c r="K179" s="85"/>
      <c r="M179" s="94"/>
      <c r="N179" s="93"/>
      <c r="O179" s="85"/>
      <c r="Q179" s="94"/>
      <c r="R179" s="93"/>
      <c r="S179" s="85"/>
      <c r="U179" s="94"/>
      <c r="V179" s="93"/>
      <c r="W179" s="85"/>
      <c r="Y179" s="94"/>
      <c r="Z179" s="93"/>
      <c r="AA179" s="85"/>
      <c r="AC179" s="94"/>
      <c r="AD179" s="93"/>
      <c r="AE179" s="85"/>
    </row>
    <row r="180" spans="7:31" x14ac:dyDescent="0.35">
      <c r="G180" s="85"/>
      <c r="H180" s="87"/>
      <c r="J180" s="93"/>
      <c r="K180" s="85"/>
      <c r="M180" s="94"/>
      <c r="N180" s="93"/>
      <c r="O180" s="85"/>
      <c r="Q180" s="94"/>
      <c r="R180" s="93"/>
      <c r="S180" s="85"/>
      <c r="U180" s="94"/>
      <c r="V180" s="93"/>
      <c r="W180" s="85"/>
      <c r="Y180" s="94"/>
      <c r="Z180" s="93"/>
      <c r="AA180" s="85"/>
      <c r="AC180" s="94"/>
      <c r="AD180" s="93"/>
      <c r="AE180" s="85"/>
    </row>
    <row r="181" spans="7:31" x14ac:dyDescent="0.35">
      <c r="G181" s="85"/>
      <c r="H181" s="87"/>
      <c r="J181" s="93"/>
      <c r="K181" s="85"/>
      <c r="M181" s="94"/>
      <c r="N181" s="93"/>
      <c r="O181" s="85"/>
      <c r="Q181" s="94"/>
      <c r="R181" s="93"/>
      <c r="S181" s="85"/>
      <c r="U181" s="94"/>
      <c r="V181" s="93"/>
      <c r="W181" s="85"/>
      <c r="Y181" s="94"/>
      <c r="Z181" s="93"/>
      <c r="AA181" s="85"/>
      <c r="AC181" s="94"/>
      <c r="AD181" s="93"/>
      <c r="AE181" s="85"/>
    </row>
    <row r="182" spans="7:31" x14ac:dyDescent="0.35">
      <c r="G182" s="85"/>
      <c r="H182" s="87"/>
      <c r="J182" s="93"/>
      <c r="K182" s="85"/>
      <c r="M182" s="94"/>
      <c r="N182" s="93"/>
      <c r="O182" s="85"/>
      <c r="Q182" s="94"/>
      <c r="R182" s="93"/>
      <c r="S182" s="85"/>
      <c r="U182" s="94"/>
      <c r="V182" s="93"/>
      <c r="W182" s="85"/>
      <c r="Y182" s="94"/>
      <c r="Z182" s="93"/>
      <c r="AA182" s="85"/>
      <c r="AC182" s="94"/>
      <c r="AD182" s="93"/>
      <c r="AE182" s="85"/>
    </row>
    <row r="183" spans="7:31" x14ac:dyDescent="0.35">
      <c r="G183" s="85"/>
      <c r="H183" s="87"/>
      <c r="J183" s="93"/>
      <c r="K183" s="85"/>
      <c r="M183" s="94"/>
      <c r="N183" s="93"/>
      <c r="O183" s="85"/>
      <c r="Q183" s="94"/>
      <c r="R183" s="93"/>
      <c r="S183" s="85"/>
      <c r="U183" s="94"/>
      <c r="V183" s="93"/>
      <c r="W183" s="85"/>
      <c r="Y183" s="94"/>
      <c r="Z183" s="93"/>
      <c r="AA183" s="85"/>
      <c r="AC183" s="94"/>
      <c r="AD183" s="93"/>
      <c r="AE183" s="85"/>
    </row>
    <row r="184" spans="7:31" x14ac:dyDescent="0.35">
      <c r="G184" s="85"/>
      <c r="H184" s="87"/>
      <c r="J184" s="93"/>
      <c r="K184" s="85"/>
      <c r="M184" s="94"/>
      <c r="N184" s="93"/>
      <c r="O184" s="85"/>
      <c r="Q184" s="94"/>
      <c r="R184" s="93"/>
      <c r="S184" s="85"/>
      <c r="U184" s="94"/>
      <c r="V184" s="93"/>
      <c r="W184" s="85"/>
      <c r="Y184" s="94"/>
      <c r="Z184" s="93"/>
      <c r="AA184" s="85"/>
      <c r="AC184" s="94"/>
      <c r="AD184" s="93"/>
      <c r="AE184" s="85"/>
    </row>
    <row r="185" spans="7:31" x14ac:dyDescent="0.35">
      <c r="G185" s="85"/>
      <c r="H185" s="87"/>
      <c r="J185" s="93"/>
      <c r="K185" s="85"/>
      <c r="M185" s="94"/>
      <c r="N185" s="93"/>
      <c r="O185" s="85"/>
      <c r="Q185" s="94"/>
      <c r="R185" s="93"/>
      <c r="S185" s="85"/>
      <c r="U185" s="94"/>
      <c r="V185" s="93"/>
      <c r="W185" s="85"/>
      <c r="Y185" s="94"/>
      <c r="Z185" s="93"/>
      <c r="AA185" s="85"/>
      <c r="AC185" s="94"/>
      <c r="AD185" s="93"/>
      <c r="AE185" s="85"/>
    </row>
    <row r="186" spans="7:31" x14ac:dyDescent="0.35">
      <c r="G186" s="85"/>
      <c r="H186" s="87"/>
      <c r="J186" s="93"/>
      <c r="K186" s="85"/>
      <c r="M186" s="94"/>
      <c r="N186" s="93"/>
      <c r="O186" s="85"/>
      <c r="Q186" s="94"/>
      <c r="R186" s="93"/>
      <c r="S186" s="85"/>
      <c r="U186" s="94"/>
      <c r="V186" s="93"/>
      <c r="W186" s="85"/>
      <c r="Y186" s="94"/>
      <c r="Z186" s="93"/>
      <c r="AA186" s="85"/>
      <c r="AC186" s="94"/>
      <c r="AD186" s="93"/>
      <c r="AE186" s="85"/>
    </row>
    <row r="187" spans="7:31" x14ac:dyDescent="0.35">
      <c r="G187" s="85"/>
      <c r="H187" s="87"/>
      <c r="J187" s="93"/>
      <c r="K187" s="85"/>
      <c r="M187" s="94"/>
      <c r="N187" s="93"/>
      <c r="O187" s="85"/>
      <c r="Q187" s="94"/>
      <c r="R187" s="93"/>
      <c r="S187" s="85"/>
      <c r="U187" s="94"/>
      <c r="V187" s="93"/>
      <c r="W187" s="85"/>
      <c r="Y187" s="94"/>
      <c r="Z187" s="93"/>
      <c r="AA187" s="85"/>
      <c r="AC187" s="94"/>
      <c r="AD187" s="93"/>
      <c r="AE187" s="85"/>
    </row>
    <row r="188" spans="7:31" x14ac:dyDescent="0.35">
      <c r="G188" s="85"/>
      <c r="H188" s="87"/>
      <c r="J188" s="93"/>
      <c r="K188" s="85"/>
      <c r="M188" s="94"/>
      <c r="N188" s="93"/>
      <c r="O188" s="85"/>
      <c r="Q188" s="94"/>
      <c r="R188" s="93"/>
      <c r="S188" s="85"/>
      <c r="U188" s="94"/>
      <c r="V188" s="93"/>
      <c r="W188" s="85"/>
      <c r="Y188" s="94"/>
      <c r="Z188" s="93"/>
      <c r="AA188" s="85"/>
      <c r="AC188" s="94"/>
      <c r="AD188" s="93"/>
      <c r="AE188" s="85"/>
    </row>
    <row r="189" spans="7:31" x14ac:dyDescent="0.35">
      <c r="G189" s="85"/>
      <c r="H189" s="87"/>
      <c r="J189" s="93"/>
      <c r="K189" s="85"/>
      <c r="M189" s="94"/>
      <c r="N189" s="93"/>
      <c r="O189" s="85"/>
      <c r="Q189" s="94"/>
      <c r="R189" s="93"/>
      <c r="S189" s="85"/>
      <c r="U189" s="94"/>
      <c r="V189" s="93"/>
      <c r="W189" s="85"/>
      <c r="Y189" s="94"/>
      <c r="Z189" s="93"/>
      <c r="AA189" s="85"/>
      <c r="AC189" s="94"/>
      <c r="AD189" s="93"/>
      <c r="AE189" s="85"/>
    </row>
    <row r="190" spans="7:31" x14ac:dyDescent="0.35">
      <c r="G190" s="85"/>
      <c r="H190" s="87"/>
      <c r="J190" s="93"/>
      <c r="K190" s="85"/>
      <c r="M190" s="94"/>
      <c r="N190" s="93"/>
      <c r="O190" s="85"/>
      <c r="Q190" s="94"/>
      <c r="R190" s="93"/>
      <c r="S190" s="85"/>
      <c r="U190" s="94"/>
      <c r="V190" s="93"/>
      <c r="W190" s="85"/>
      <c r="Y190" s="94"/>
      <c r="Z190" s="93"/>
      <c r="AA190" s="85"/>
      <c r="AC190" s="94"/>
      <c r="AD190" s="93"/>
      <c r="AE190" s="85"/>
    </row>
    <row r="191" spans="7:31" x14ac:dyDescent="0.35">
      <c r="G191" s="85"/>
      <c r="H191" s="87"/>
      <c r="J191" s="93"/>
      <c r="K191" s="85"/>
      <c r="M191" s="94"/>
      <c r="N191" s="93"/>
      <c r="O191" s="85"/>
      <c r="Q191" s="94"/>
      <c r="R191" s="93"/>
      <c r="S191" s="85"/>
      <c r="U191" s="94"/>
      <c r="V191" s="93"/>
      <c r="W191" s="85"/>
      <c r="Y191" s="94"/>
      <c r="Z191" s="93"/>
      <c r="AA191" s="85"/>
      <c r="AC191" s="94"/>
      <c r="AD191" s="93"/>
      <c r="AE191" s="85"/>
    </row>
    <row r="192" spans="7:31" x14ac:dyDescent="0.35">
      <c r="G192" s="85"/>
      <c r="H192" s="87"/>
      <c r="J192" s="93"/>
      <c r="K192" s="85"/>
      <c r="M192" s="94"/>
      <c r="N192" s="93"/>
      <c r="O192" s="85"/>
      <c r="Q192" s="94"/>
      <c r="R192" s="93"/>
      <c r="S192" s="85"/>
      <c r="U192" s="94"/>
      <c r="V192" s="93"/>
      <c r="W192" s="85"/>
      <c r="Y192" s="94"/>
      <c r="Z192" s="93"/>
      <c r="AA192" s="85"/>
      <c r="AC192" s="94"/>
      <c r="AD192" s="93"/>
      <c r="AE192" s="85"/>
    </row>
    <row r="193" spans="7:31" x14ac:dyDescent="0.35">
      <c r="G193" s="85"/>
      <c r="H193" s="87"/>
      <c r="J193" s="93"/>
      <c r="K193" s="85"/>
      <c r="M193" s="94"/>
      <c r="N193" s="93"/>
      <c r="O193" s="85"/>
      <c r="Q193" s="94"/>
      <c r="R193" s="93"/>
      <c r="S193" s="85"/>
      <c r="U193" s="94"/>
      <c r="V193" s="93"/>
      <c r="W193" s="85"/>
      <c r="Y193" s="94"/>
      <c r="Z193" s="93"/>
      <c r="AA193" s="85"/>
      <c r="AC193" s="94"/>
      <c r="AD193" s="93"/>
      <c r="AE193" s="85"/>
    </row>
    <row r="194" spans="7:31" x14ac:dyDescent="0.35">
      <c r="G194" s="85"/>
      <c r="H194" s="87"/>
      <c r="J194" s="93"/>
      <c r="K194" s="85"/>
      <c r="M194" s="94"/>
      <c r="N194" s="93"/>
      <c r="O194" s="85"/>
      <c r="Q194" s="94"/>
      <c r="R194" s="93"/>
      <c r="S194" s="85"/>
      <c r="U194" s="94"/>
      <c r="V194" s="93"/>
      <c r="W194" s="85"/>
      <c r="Y194" s="94"/>
      <c r="Z194" s="93"/>
      <c r="AA194" s="85"/>
      <c r="AC194" s="94"/>
      <c r="AD194" s="93"/>
      <c r="AE194" s="85"/>
    </row>
    <row r="195" spans="7:31" x14ac:dyDescent="0.35">
      <c r="G195" s="85"/>
      <c r="H195" s="87"/>
      <c r="J195" s="93"/>
      <c r="K195" s="85"/>
      <c r="M195" s="94"/>
      <c r="N195" s="93"/>
      <c r="O195" s="85"/>
      <c r="Q195" s="94"/>
      <c r="R195" s="93"/>
      <c r="S195" s="85"/>
      <c r="U195" s="94"/>
      <c r="V195" s="93"/>
      <c r="W195" s="85"/>
      <c r="Y195" s="94"/>
      <c r="Z195" s="93"/>
      <c r="AA195" s="85"/>
      <c r="AC195" s="94"/>
      <c r="AD195" s="93"/>
      <c r="AE195" s="85"/>
    </row>
    <row r="196" spans="7:31" x14ac:dyDescent="0.35">
      <c r="G196" s="85"/>
      <c r="H196" s="87"/>
      <c r="J196" s="93"/>
      <c r="K196" s="85"/>
      <c r="M196" s="94"/>
      <c r="N196" s="93"/>
      <c r="O196" s="85"/>
      <c r="Q196" s="94"/>
      <c r="R196" s="93"/>
      <c r="S196" s="85"/>
      <c r="U196" s="94"/>
      <c r="V196" s="93"/>
      <c r="W196" s="85"/>
      <c r="Y196" s="94"/>
      <c r="Z196" s="93"/>
      <c r="AA196" s="85"/>
      <c r="AC196" s="94"/>
      <c r="AD196" s="93"/>
      <c r="AE196" s="85"/>
    </row>
    <row r="197" spans="7:31" x14ac:dyDescent="0.35">
      <c r="G197" s="85"/>
      <c r="H197" s="87"/>
      <c r="J197" s="93"/>
      <c r="K197" s="85"/>
      <c r="M197" s="94"/>
      <c r="N197" s="93"/>
      <c r="O197" s="85"/>
      <c r="Q197" s="94"/>
      <c r="R197" s="93"/>
      <c r="S197" s="85"/>
      <c r="U197" s="94"/>
      <c r="V197" s="93"/>
      <c r="W197" s="85"/>
      <c r="Y197" s="94"/>
      <c r="Z197" s="93"/>
      <c r="AA197" s="85"/>
      <c r="AC197" s="94"/>
      <c r="AD197" s="93"/>
      <c r="AE197" s="85"/>
    </row>
    <row r="198" spans="7:31" x14ac:dyDescent="0.35">
      <c r="G198" s="85"/>
      <c r="H198" s="87"/>
      <c r="J198" s="93"/>
      <c r="K198" s="85"/>
      <c r="M198" s="94"/>
      <c r="N198" s="93"/>
      <c r="O198" s="85"/>
      <c r="Q198" s="94"/>
      <c r="R198" s="93"/>
      <c r="S198" s="85"/>
      <c r="U198" s="94"/>
      <c r="V198" s="93"/>
      <c r="W198" s="85"/>
      <c r="Y198" s="94"/>
      <c r="Z198" s="93"/>
      <c r="AA198" s="85"/>
      <c r="AC198" s="94"/>
      <c r="AD198" s="93"/>
      <c r="AE198" s="85"/>
    </row>
    <row r="199" spans="7:31" x14ac:dyDescent="0.35">
      <c r="G199" s="85"/>
      <c r="H199" s="87"/>
      <c r="J199" s="93"/>
      <c r="K199" s="85"/>
      <c r="M199" s="94"/>
      <c r="N199" s="93"/>
      <c r="O199" s="85"/>
      <c r="Q199" s="94"/>
      <c r="R199" s="93"/>
      <c r="S199" s="85"/>
      <c r="U199" s="94"/>
      <c r="V199" s="93"/>
      <c r="W199" s="85"/>
      <c r="Y199" s="94"/>
      <c r="Z199" s="93"/>
      <c r="AA199" s="85"/>
      <c r="AC199" s="94"/>
      <c r="AD199" s="93"/>
      <c r="AE199" s="85"/>
    </row>
    <row r="200" spans="7:31" x14ac:dyDescent="0.35">
      <c r="G200" s="85"/>
      <c r="H200" s="87"/>
      <c r="J200" s="93"/>
      <c r="K200" s="85"/>
      <c r="M200" s="94"/>
      <c r="N200" s="93"/>
      <c r="O200" s="85"/>
      <c r="Q200" s="94"/>
      <c r="R200" s="93"/>
      <c r="S200" s="85"/>
      <c r="U200" s="94"/>
      <c r="V200" s="93"/>
      <c r="W200" s="85"/>
      <c r="Y200" s="94"/>
      <c r="Z200" s="93"/>
      <c r="AA200" s="85"/>
      <c r="AC200" s="94"/>
      <c r="AD200" s="93"/>
      <c r="AE200" s="85"/>
    </row>
    <row r="201" spans="7:31" x14ac:dyDescent="0.35">
      <c r="G201" s="85"/>
      <c r="H201" s="87"/>
      <c r="J201" s="93"/>
      <c r="K201" s="85"/>
      <c r="M201" s="94"/>
      <c r="N201" s="93"/>
      <c r="O201" s="85"/>
      <c r="Q201" s="94"/>
      <c r="R201" s="93"/>
      <c r="S201" s="85"/>
      <c r="U201" s="94"/>
      <c r="V201" s="93"/>
      <c r="W201" s="85"/>
      <c r="Y201" s="94"/>
      <c r="Z201" s="93"/>
      <c r="AA201" s="85"/>
      <c r="AC201" s="94"/>
      <c r="AD201" s="93"/>
      <c r="AE201" s="85"/>
    </row>
    <row r="202" spans="7:31" x14ac:dyDescent="0.35">
      <c r="G202" s="85"/>
      <c r="H202" s="87"/>
      <c r="J202" s="93"/>
      <c r="K202" s="85"/>
      <c r="M202" s="94"/>
      <c r="N202" s="93"/>
      <c r="O202" s="85"/>
      <c r="Q202" s="94"/>
      <c r="R202" s="93"/>
      <c r="S202" s="85"/>
      <c r="U202" s="94"/>
      <c r="V202" s="93"/>
      <c r="W202" s="85"/>
      <c r="Y202" s="94"/>
      <c r="Z202" s="93"/>
      <c r="AA202" s="85"/>
      <c r="AC202" s="94"/>
      <c r="AD202" s="93"/>
      <c r="AE202" s="85"/>
    </row>
    <row r="203" spans="7:31" x14ac:dyDescent="0.35">
      <c r="G203" s="85"/>
      <c r="H203" s="87"/>
      <c r="J203" s="93"/>
      <c r="K203" s="85"/>
      <c r="M203" s="94"/>
      <c r="N203" s="93"/>
      <c r="O203" s="85"/>
      <c r="Q203" s="94"/>
      <c r="R203" s="93"/>
      <c r="S203" s="85"/>
      <c r="U203" s="94"/>
      <c r="V203" s="93"/>
      <c r="W203" s="85"/>
      <c r="Y203" s="94"/>
      <c r="Z203" s="93"/>
      <c r="AA203" s="85"/>
      <c r="AC203" s="94"/>
      <c r="AD203" s="93"/>
      <c r="AE203" s="85"/>
    </row>
    <row r="204" spans="7:31" x14ac:dyDescent="0.35">
      <c r="G204" s="85"/>
      <c r="H204" s="87"/>
      <c r="J204" s="93"/>
      <c r="K204" s="85"/>
      <c r="M204" s="94"/>
      <c r="N204" s="93"/>
      <c r="O204" s="85"/>
      <c r="Q204" s="94"/>
      <c r="R204" s="93"/>
      <c r="S204" s="85"/>
      <c r="U204" s="94"/>
      <c r="V204" s="93"/>
      <c r="W204" s="85"/>
      <c r="Y204" s="94"/>
      <c r="Z204" s="93"/>
      <c r="AA204" s="85"/>
      <c r="AC204" s="94"/>
      <c r="AD204" s="93"/>
      <c r="AE204" s="85"/>
    </row>
    <row r="205" spans="7:31" x14ac:dyDescent="0.35">
      <c r="G205" s="85"/>
      <c r="H205" s="87"/>
      <c r="J205" s="93"/>
      <c r="K205" s="85"/>
      <c r="M205" s="94"/>
      <c r="N205" s="93"/>
      <c r="O205" s="85"/>
      <c r="Q205" s="94"/>
      <c r="R205" s="93"/>
      <c r="S205" s="85"/>
      <c r="U205" s="94"/>
      <c r="V205" s="93"/>
      <c r="W205" s="85"/>
      <c r="Y205" s="94"/>
      <c r="Z205" s="93"/>
      <c r="AA205" s="85"/>
      <c r="AC205" s="94"/>
      <c r="AD205" s="93"/>
      <c r="AE205" s="85"/>
    </row>
    <row r="206" spans="7:31" x14ac:dyDescent="0.35">
      <c r="G206" s="85"/>
      <c r="H206" s="87"/>
      <c r="J206" s="93"/>
      <c r="K206" s="85"/>
      <c r="M206" s="94"/>
      <c r="N206" s="93"/>
      <c r="O206" s="85"/>
      <c r="Q206" s="94"/>
      <c r="R206" s="93"/>
      <c r="S206" s="85"/>
      <c r="U206" s="94"/>
      <c r="V206" s="93"/>
      <c r="W206" s="85"/>
      <c r="Y206" s="94"/>
      <c r="Z206" s="93"/>
      <c r="AA206" s="85"/>
      <c r="AC206" s="94"/>
      <c r="AD206" s="93"/>
      <c r="AE206" s="85"/>
    </row>
    <row r="207" spans="7:31" x14ac:dyDescent="0.35">
      <c r="G207" s="85"/>
      <c r="H207" s="87"/>
      <c r="J207" s="93"/>
      <c r="K207" s="85"/>
      <c r="M207" s="94"/>
      <c r="N207" s="93"/>
      <c r="O207" s="85"/>
      <c r="Q207" s="94"/>
      <c r="R207" s="93"/>
      <c r="S207" s="85"/>
      <c r="U207" s="94"/>
      <c r="V207" s="93"/>
      <c r="W207" s="85"/>
      <c r="Y207" s="94"/>
      <c r="Z207" s="93"/>
      <c r="AA207" s="85"/>
      <c r="AC207" s="94"/>
      <c r="AD207" s="93"/>
      <c r="AE207" s="85"/>
    </row>
    <row r="208" spans="7:31" x14ac:dyDescent="0.35">
      <c r="G208" s="85"/>
      <c r="H208" s="87"/>
      <c r="J208" s="93"/>
      <c r="K208" s="85"/>
      <c r="M208" s="94"/>
      <c r="N208" s="93"/>
      <c r="O208" s="85"/>
      <c r="Q208" s="94"/>
      <c r="R208" s="93"/>
      <c r="S208" s="85"/>
      <c r="U208" s="94"/>
      <c r="V208" s="93"/>
      <c r="W208" s="85"/>
      <c r="Y208" s="94"/>
      <c r="Z208" s="93"/>
      <c r="AA208" s="85"/>
      <c r="AC208" s="94"/>
      <c r="AD208" s="93"/>
      <c r="AE208" s="85"/>
    </row>
    <row r="209" spans="7:31" x14ac:dyDescent="0.35">
      <c r="G209" s="85"/>
      <c r="H209" s="87"/>
      <c r="J209" s="93"/>
      <c r="K209" s="85"/>
      <c r="M209" s="94"/>
      <c r="N209" s="93"/>
      <c r="O209" s="85"/>
      <c r="Q209" s="94"/>
      <c r="R209" s="93"/>
      <c r="S209" s="85"/>
      <c r="U209" s="94"/>
      <c r="V209" s="93"/>
      <c r="W209" s="85"/>
      <c r="Y209" s="94"/>
      <c r="Z209" s="93"/>
      <c r="AA209" s="85"/>
      <c r="AC209" s="94"/>
      <c r="AD209" s="93"/>
      <c r="AE209" s="85"/>
    </row>
    <row r="210" spans="7:31" x14ac:dyDescent="0.35">
      <c r="G210" s="85"/>
      <c r="H210" s="87"/>
      <c r="J210" s="93"/>
      <c r="K210" s="85"/>
      <c r="M210" s="94"/>
      <c r="N210" s="93"/>
      <c r="O210" s="85"/>
      <c r="Q210" s="94"/>
      <c r="R210" s="93"/>
      <c r="S210" s="85"/>
      <c r="U210" s="94"/>
      <c r="V210" s="93"/>
      <c r="W210" s="85"/>
      <c r="Y210" s="94"/>
      <c r="Z210" s="93"/>
      <c r="AA210" s="85"/>
      <c r="AC210" s="94"/>
      <c r="AD210" s="93"/>
      <c r="AE210" s="85"/>
    </row>
    <row r="211" spans="7:31" x14ac:dyDescent="0.35">
      <c r="G211" s="85"/>
      <c r="H211" s="87"/>
      <c r="J211" s="93"/>
      <c r="K211" s="85"/>
      <c r="M211" s="94"/>
      <c r="N211" s="93"/>
      <c r="O211" s="85"/>
      <c r="Q211" s="94"/>
      <c r="R211" s="93"/>
      <c r="S211" s="85"/>
      <c r="U211" s="94"/>
      <c r="V211" s="93"/>
      <c r="W211" s="85"/>
      <c r="Y211" s="94"/>
      <c r="Z211" s="93"/>
      <c r="AA211" s="85"/>
      <c r="AC211" s="94"/>
      <c r="AD211" s="93"/>
      <c r="AE211" s="85"/>
    </row>
    <row r="212" spans="7:31" x14ac:dyDescent="0.35">
      <c r="G212" s="85"/>
      <c r="H212" s="87"/>
      <c r="J212" s="93"/>
      <c r="K212" s="85"/>
      <c r="M212" s="94"/>
      <c r="N212" s="93"/>
      <c r="O212" s="85"/>
      <c r="Q212" s="94"/>
      <c r="R212" s="93"/>
      <c r="S212" s="85"/>
      <c r="U212" s="94"/>
      <c r="V212" s="93"/>
      <c r="W212" s="85"/>
      <c r="Y212" s="94"/>
      <c r="Z212" s="93"/>
      <c r="AA212" s="85"/>
      <c r="AC212" s="94"/>
      <c r="AD212" s="93"/>
      <c r="AE212" s="85"/>
    </row>
    <row r="213" spans="7:31" x14ac:dyDescent="0.35">
      <c r="G213" s="85"/>
      <c r="H213" s="87"/>
      <c r="J213" s="93"/>
      <c r="K213" s="85"/>
      <c r="M213" s="94"/>
      <c r="N213" s="93"/>
      <c r="O213" s="85"/>
      <c r="Q213" s="94"/>
      <c r="R213" s="93"/>
      <c r="S213" s="85"/>
      <c r="U213" s="94"/>
      <c r="V213" s="93"/>
      <c r="W213" s="85"/>
      <c r="Y213" s="94"/>
      <c r="Z213" s="93"/>
      <c r="AA213" s="85"/>
      <c r="AC213" s="94"/>
      <c r="AD213" s="93"/>
      <c r="AE213" s="85"/>
    </row>
    <row r="214" spans="7:31" x14ac:dyDescent="0.35">
      <c r="G214" s="85"/>
      <c r="H214" s="87"/>
      <c r="J214" s="93"/>
      <c r="K214" s="85"/>
      <c r="M214" s="94"/>
      <c r="N214" s="93"/>
      <c r="O214" s="85"/>
      <c r="Q214" s="94"/>
      <c r="R214" s="93"/>
      <c r="S214" s="85"/>
      <c r="U214" s="94"/>
      <c r="V214" s="93"/>
      <c r="W214" s="85"/>
      <c r="Y214" s="94"/>
      <c r="Z214" s="93"/>
      <c r="AA214" s="85"/>
      <c r="AC214" s="94"/>
      <c r="AD214" s="93"/>
      <c r="AE214" s="85"/>
    </row>
    <row r="215" spans="7:31" x14ac:dyDescent="0.35">
      <c r="G215" s="85"/>
      <c r="H215" s="87"/>
      <c r="J215" s="93"/>
      <c r="K215" s="85"/>
      <c r="M215" s="94"/>
      <c r="N215" s="93"/>
      <c r="O215" s="85"/>
      <c r="Q215" s="94"/>
      <c r="R215" s="93"/>
      <c r="S215" s="85"/>
      <c r="U215" s="94"/>
      <c r="V215" s="93"/>
      <c r="W215" s="85"/>
      <c r="Y215" s="94"/>
      <c r="Z215" s="93"/>
      <c r="AA215" s="85"/>
      <c r="AC215" s="94"/>
      <c r="AD215" s="93"/>
      <c r="AE215" s="85"/>
    </row>
    <row r="216" spans="7:31" x14ac:dyDescent="0.35">
      <c r="G216" s="85"/>
      <c r="H216" s="87"/>
      <c r="J216" s="93"/>
      <c r="K216" s="85"/>
      <c r="M216" s="94"/>
      <c r="N216" s="93"/>
      <c r="O216" s="85"/>
      <c r="Q216" s="94"/>
      <c r="R216" s="93"/>
      <c r="S216" s="85"/>
      <c r="U216" s="94"/>
      <c r="V216" s="93"/>
      <c r="W216" s="85"/>
      <c r="Y216" s="94"/>
      <c r="Z216" s="93"/>
      <c r="AA216" s="85"/>
      <c r="AC216" s="94"/>
      <c r="AD216" s="93"/>
      <c r="AE216" s="85"/>
    </row>
    <row r="217" spans="7:31" x14ac:dyDescent="0.35">
      <c r="G217" s="85"/>
      <c r="H217" s="87"/>
      <c r="J217" s="93"/>
      <c r="K217" s="85"/>
      <c r="M217" s="94"/>
      <c r="N217" s="93"/>
      <c r="O217" s="85"/>
      <c r="Q217" s="94"/>
      <c r="R217" s="93"/>
      <c r="S217" s="85"/>
      <c r="U217" s="94"/>
      <c r="V217" s="93"/>
      <c r="W217" s="85"/>
      <c r="Y217" s="94"/>
      <c r="Z217" s="93"/>
      <c r="AA217" s="85"/>
      <c r="AC217" s="94"/>
      <c r="AD217" s="93"/>
      <c r="AE217" s="85"/>
    </row>
    <row r="218" spans="7:31" x14ac:dyDescent="0.35">
      <c r="G218" s="85"/>
      <c r="H218" s="87"/>
      <c r="J218" s="93"/>
      <c r="K218" s="85"/>
      <c r="M218" s="94"/>
      <c r="N218" s="93"/>
      <c r="O218" s="85"/>
      <c r="Q218" s="94"/>
      <c r="R218" s="93"/>
      <c r="S218" s="85"/>
      <c r="U218" s="94"/>
      <c r="V218" s="93"/>
      <c r="W218" s="85"/>
      <c r="Y218" s="94"/>
      <c r="Z218" s="93"/>
      <c r="AA218" s="85"/>
      <c r="AC218" s="94"/>
      <c r="AD218" s="93"/>
      <c r="AE218" s="85"/>
    </row>
    <row r="219" spans="7:31" x14ac:dyDescent="0.35">
      <c r="G219" s="85"/>
      <c r="H219" s="87"/>
      <c r="J219" s="93"/>
      <c r="K219" s="85"/>
      <c r="M219" s="94"/>
      <c r="N219" s="93"/>
      <c r="O219" s="85"/>
      <c r="Q219" s="94"/>
      <c r="R219" s="93"/>
      <c r="S219" s="85"/>
      <c r="U219" s="94"/>
      <c r="V219" s="93"/>
      <c r="W219" s="85"/>
      <c r="Y219" s="94"/>
      <c r="Z219" s="93"/>
      <c r="AA219" s="85"/>
      <c r="AC219" s="94"/>
      <c r="AD219" s="93"/>
      <c r="AE219" s="85"/>
    </row>
    <row r="220" spans="7:31" x14ac:dyDescent="0.35">
      <c r="G220" s="85"/>
      <c r="H220" s="87"/>
      <c r="J220" s="93"/>
      <c r="K220" s="85"/>
      <c r="M220" s="94"/>
      <c r="N220" s="93"/>
      <c r="O220" s="85"/>
      <c r="Q220" s="94"/>
      <c r="R220" s="93"/>
      <c r="S220" s="85"/>
      <c r="U220" s="94"/>
      <c r="V220" s="93"/>
      <c r="W220" s="85"/>
      <c r="Y220" s="94"/>
      <c r="Z220" s="93"/>
      <c r="AA220" s="85"/>
      <c r="AC220" s="94"/>
      <c r="AD220" s="93"/>
      <c r="AE220" s="85"/>
    </row>
    <row r="221" spans="7:31" x14ac:dyDescent="0.35">
      <c r="G221" s="85"/>
      <c r="H221" s="87"/>
      <c r="J221" s="93"/>
      <c r="K221" s="85"/>
      <c r="M221" s="94"/>
      <c r="N221" s="93"/>
      <c r="O221" s="85"/>
      <c r="Q221" s="94"/>
      <c r="R221" s="93"/>
      <c r="S221" s="85"/>
      <c r="U221" s="94"/>
      <c r="V221" s="93"/>
      <c r="W221" s="85"/>
      <c r="Y221" s="94"/>
      <c r="Z221" s="93"/>
      <c r="AA221" s="85"/>
      <c r="AC221" s="94"/>
      <c r="AD221" s="93"/>
      <c r="AE221" s="85"/>
    </row>
    <row r="222" spans="7:31" x14ac:dyDescent="0.35">
      <c r="G222" s="85"/>
      <c r="H222" s="87"/>
      <c r="J222" s="93"/>
      <c r="K222" s="85"/>
      <c r="M222" s="94"/>
      <c r="N222" s="93"/>
      <c r="O222" s="85"/>
      <c r="Q222" s="94"/>
      <c r="R222" s="93"/>
      <c r="S222" s="85"/>
      <c r="U222" s="94"/>
      <c r="V222" s="93"/>
      <c r="W222" s="85"/>
      <c r="Y222" s="94"/>
      <c r="Z222" s="93"/>
      <c r="AA222" s="85"/>
      <c r="AC222" s="94"/>
      <c r="AD222" s="93"/>
      <c r="AE222" s="85"/>
    </row>
    <row r="223" spans="7:31" x14ac:dyDescent="0.35">
      <c r="G223" s="85"/>
      <c r="H223" s="87"/>
      <c r="J223" s="93"/>
      <c r="K223" s="85"/>
      <c r="M223" s="94"/>
      <c r="N223" s="93"/>
      <c r="O223" s="85"/>
      <c r="Q223" s="94"/>
      <c r="R223" s="93"/>
      <c r="S223" s="85"/>
      <c r="U223" s="94"/>
      <c r="V223" s="93"/>
      <c r="W223" s="85"/>
      <c r="Y223" s="94"/>
      <c r="Z223" s="93"/>
      <c r="AA223" s="85"/>
      <c r="AC223" s="94"/>
      <c r="AD223" s="93"/>
      <c r="AE223" s="85"/>
    </row>
    <row r="224" spans="7:31" x14ac:dyDescent="0.35">
      <c r="G224" s="85"/>
      <c r="H224" s="87"/>
      <c r="J224" s="93"/>
      <c r="K224" s="85"/>
      <c r="M224" s="94"/>
      <c r="N224" s="93"/>
      <c r="O224" s="85"/>
      <c r="Q224" s="94"/>
      <c r="R224" s="93"/>
      <c r="S224" s="85"/>
      <c r="U224" s="94"/>
      <c r="V224" s="93"/>
      <c r="W224" s="85"/>
      <c r="Y224" s="94"/>
      <c r="Z224" s="93"/>
      <c r="AA224" s="85"/>
      <c r="AC224" s="94"/>
      <c r="AD224" s="93"/>
      <c r="AE224" s="85"/>
    </row>
    <row r="225" spans="7:31" x14ac:dyDescent="0.35">
      <c r="G225" s="85"/>
      <c r="H225" s="87"/>
      <c r="J225" s="93"/>
      <c r="K225" s="85"/>
      <c r="M225" s="94"/>
      <c r="N225" s="93"/>
      <c r="O225" s="85"/>
      <c r="Q225" s="94"/>
      <c r="R225" s="93"/>
      <c r="S225" s="85"/>
      <c r="U225" s="94"/>
      <c r="V225" s="93"/>
      <c r="W225" s="85"/>
      <c r="Y225" s="94"/>
      <c r="Z225" s="93"/>
      <c r="AA225" s="85"/>
      <c r="AC225" s="94"/>
      <c r="AD225" s="93"/>
      <c r="AE225" s="85"/>
    </row>
    <row r="226" spans="7:31" x14ac:dyDescent="0.35">
      <c r="G226" s="85"/>
      <c r="H226" s="87"/>
      <c r="J226" s="93"/>
      <c r="K226" s="85"/>
      <c r="M226" s="94"/>
      <c r="N226" s="93"/>
      <c r="O226" s="85"/>
      <c r="Q226" s="94"/>
      <c r="R226" s="93"/>
      <c r="S226" s="85"/>
      <c r="U226" s="94"/>
      <c r="V226" s="93"/>
      <c r="W226" s="85"/>
      <c r="Y226" s="94"/>
      <c r="Z226" s="93"/>
      <c r="AA226" s="85"/>
      <c r="AC226" s="94"/>
      <c r="AD226" s="93"/>
      <c r="AE226" s="85"/>
    </row>
    <row r="227" spans="7:31" x14ac:dyDescent="0.35">
      <c r="G227" s="85"/>
      <c r="H227" s="87"/>
      <c r="J227" s="93"/>
      <c r="K227" s="85"/>
      <c r="M227" s="94"/>
      <c r="N227" s="93"/>
      <c r="O227" s="85"/>
      <c r="Q227" s="94"/>
      <c r="R227" s="93"/>
      <c r="S227" s="85"/>
      <c r="U227" s="94"/>
      <c r="V227" s="93"/>
      <c r="W227" s="85"/>
      <c r="Y227" s="94"/>
      <c r="Z227" s="93"/>
      <c r="AA227" s="85"/>
      <c r="AC227" s="94"/>
      <c r="AD227" s="93"/>
      <c r="AE227" s="85"/>
    </row>
    <row r="228" spans="7:31" x14ac:dyDescent="0.35">
      <c r="G228" s="85"/>
      <c r="H228" s="87"/>
      <c r="J228" s="93"/>
      <c r="K228" s="85"/>
      <c r="M228" s="94"/>
      <c r="N228" s="93"/>
      <c r="O228" s="85"/>
      <c r="Q228" s="94"/>
      <c r="R228" s="93"/>
      <c r="S228" s="85"/>
      <c r="U228" s="94"/>
      <c r="V228" s="93"/>
      <c r="W228" s="85"/>
      <c r="Y228" s="94"/>
      <c r="Z228" s="93"/>
      <c r="AA228" s="85"/>
      <c r="AC228" s="94"/>
      <c r="AD228" s="93"/>
      <c r="AE228" s="85"/>
    </row>
    <row r="229" spans="7:31" x14ac:dyDescent="0.35">
      <c r="G229" s="85"/>
      <c r="H229" s="87"/>
      <c r="J229" s="93"/>
      <c r="K229" s="85"/>
      <c r="M229" s="94"/>
      <c r="N229" s="93"/>
      <c r="O229" s="85"/>
      <c r="Q229" s="94"/>
      <c r="R229" s="93"/>
      <c r="S229" s="85"/>
      <c r="U229" s="94"/>
      <c r="V229" s="93"/>
      <c r="W229" s="85"/>
      <c r="Y229" s="94"/>
      <c r="Z229" s="93"/>
      <c r="AA229" s="85"/>
      <c r="AC229" s="94"/>
      <c r="AD229" s="93"/>
      <c r="AE229" s="85"/>
    </row>
    <row r="230" spans="7:31" x14ac:dyDescent="0.35">
      <c r="G230" s="85"/>
      <c r="H230" s="87"/>
      <c r="J230" s="93"/>
      <c r="K230" s="85"/>
      <c r="M230" s="94"/>
      <c r="N230" s="93"/>
      <c r="O230" s="85"/>
      <c r="Q230" s="94"/>
      <c r="R230" s="93"/>
      <c r="S230" s="85"/>
      <c r="U230" s="94"/>
      <c r="V230" s="93"/>
      <c r="W230" s="85"/>
      <c r="Y230" s="94"/>
      <c r="Z230" s="93"/>
      <c r="AA230" s="85"/>
      <c r="AC230" s="94"/>
      <c r="AD230" s="93"/>
      <c r="AE230" s="85"/>
    </row>
    <row r="231" spans="7:31" x14ac:dyDescent="0.35">
      <c r="G231" s="85"/>
      <c r="H231" s="87"/>
      <c r="J231" s="93"/>
      <c r="K231" s="85"/>
      <c r="M231" s="94"/>
      <c r="N231" s="93"/>
      <c r="O231" s="85"/>
      <c r="Q231" s="94"/>
      <c r="R231" s="93"/>
      <c r="S231" s="85"/>
      <c r="U231" s="94"/>
      <c r="V231" s="93"/>
      <c r="W231" s="85"/>
      <c r="Y231" s="94"/>
      <c r="Z231" s="93"/>
      <c r="AA231" s="85"/>
      <c r="AC231" s="94"/>
      <c r="AD231" s="93"/>
      <c r="AE231" s="85"/>
    </row>
    <row r="232" spans="7:31" x14ac:dyDescent="0.35">
      <c r="G232" s="85"/>
      <c r="H232" s="87"/>
      <c r="J232" s="93"/>
      <c r="K232" s="85"/>
      <c r="M232" s="94"/>
      <c r="N232" s="93"/>
      <c r="O232" s="85"/>
      <c r="Q232" s="94"/>
      <c r="R232" s="93"/>
      <c r="S232" s="85"/>
      <c r="U232" s="94"/>
      <c r="V232" s="93"/>
      <c r="W232" s="85"/>
      <c r="Y232" s="94"/>
      <c r="Z232" s="93"/>
      <c r="AA232" s="85"/>
      <c r="AC232" s="94"/>
      <c r="AD232" s="93"/>
      <c r="AE232" s="85"/>
    </row>
    <row r="233" spans="7:31" x14ac:dyDescent="0.35">
      <c r="G233" s="85"/>
      <c r="H233" s="87"/>
      <c r="J233" s="93"/>
      <c r="K233" s="85"/>
      <c r="M233" s="94"/>
      <c r="N233" s="93"/>
      <c r="O233" s="85"/>
      <c r="Q233" s="94"/>
      <c r="R233" s="93"/>
      <c r="S233" s="85"/>
      <c r="U233" s="94"/>
      <c r="V233" s="93"/>
      <c r="W233" s="85"/>
      <c r="Y233" s="94"/>
      <c r="Z233" s="93"/>
      <c r="AA233" s="85"/>
      <c r="AC233" s="94"/>
      <c r="AD233" s="93"/>
      <c r="AE233" s="85"/>
    </row>
    <row r="234" spans="7:31" x14ac:dyDescent="0.35">
      <c r="G234" s="85"/>
      <c r="H234" s="87"/>
      <c r="J234" s="93"/>
      <c r="K234" s="85"/>
      <c r="M234" s="94"/>
      <c r="N234" s="93"/>
      <c r="O234" s="85"/>
      <c r="Q234" s="94"/>
      <c r="R234" s="93"/>
      <c r="S234" s="85"/>
      <c r="U234" s="94"/>
      <c r="V234" s="93"/>
      <c r="W234" s="85"/>
      <c r="Y234" s="94"/>
      <c r="Z234" s="93"/>
      <c r="AA234" s="85"/>
      <c r="AC234" s="94"/>
      <c r="AD234" s="93"/>
      <c r="AE234" s="85"/>
    </row>
    <row r="235" spans="7:31" x14ac:dyDescent="0.35">
      <c r="G235" s="85"/>
      <c r="H235" s="87"/>
      <c r="J235" s="93"/>
      <c r="K235" s="85"/>
      <c r="M235" s="94"/>
      <c r="N235" s="93"/>
      <c r="O235" s="85"/>
      <c r="Q235" s="94"/>
      <c r="R235" s="93"/>
      <c r="S235" s="85"/>
      <c r="U235" s="94"/>
      <c r="V235" s="93"/>
      <c r="W235" s="85"/>
      <c r="Y235" s="94"/>
      <c r="Z235" s="93"/>
      <c r="AA235" s="85"/>
      <c r="AC235" s="94"/>
      <c r="AD235" s="93"/>
      <c r="AE235" s="85"/>
    </row>
    <row r="236" spans="7:31" x14ac:dyDescent="0.35">
      <c r="G236" s="85"/>
      <c r="H236" s="87"/>
      <c r="J236" s="93"/>
      <c r="K236" s="85"/>
      <c r="M236" s="94"/>
      <c r="N236" s="93"/>
      <c r="O236" s="85"/>
      <c r="Q236" s="94"/>
      <c r="R236" s="93"/>
      <c r="S236" s="85"/>
      <c r="U236" s="94"/>
      <c r="V236" s="93"/>
      <c r="W236" s="85"/>
      <c r="Y236" s="94"/>
      <c r="Z236" s="93"/>
      <c r="AA236" s="85"/>
      <c r="AC236" s="94"/>
      <c r="AD236" s="93"/>
      <c r="AE236" s="85"/>
    </row>
    <row r="237" spans="7:31" x14ac:dyDescent="0.35">
      <c r="G237" s="85"/>
      <c r="H237" s="87"/>
      <c r="J237" s="93"/>
      <c r="K237" s="85"/>
      <c r="M237" s="94"/>
      <c r="N237" s="93"/>
      <c r="O237" s="85"/>
      <c r="Q237" s="94"/>
      <c r="R237" s="93"/>
      <c r="S237" s="85"/>
      <c r="U237" s="94"/>
      <c r="V237" s="93"/>
      <c r="W237" s="85"/>
      <c r="Y237" s="94"/>
      <c r="Z237" s="93"/>
      <c r="AA237" s="85"/>
      <c r="AC237" s="94"/>
      <c r="AD237" s="93"/>
      <c r="AE237" s="85"/>
    </row>
    <row r="238" spans="7:31" x14ac:dyDescent="0.35">
      <c r="G238" s="85"/>
      <c r="H238" s="87"/>
      <c r="J238" s="93"/>
      <c r="K238" s="85"/>
      <c r="M238" s="94"/>
      <c r="N238" s="93"/>
      <c r="O238" s="85"/>
      <c r="Q238" s="94"/>
      <c r="R238" s="93"/>
      <c r="S238" s="85"/>
      <c r="U238" s="94"/>
      <c r="V238" s="93"/>
      <c r="W238" s="85"/>
      <c r="Y238" s="94"/>
      <c r="Z238" s="93"/>
      <c r="AA238" s="85"/>
      <c r="AC238" s="94"/>
      <c r="AD238" s="93"/>
      <c r="AE238" s="85"/>
    </row>
    <row r="239" spans="7:31" x14ac:dyDescent="0.35">
      <c r="G239" s="85"/>
      <c r="H239" s="87"/>
      <c r="J239" s="93"/>
      <c r="K239" s="85"/>
      <c r="M239" s="94"/>
      <c r="N239" s="93"/>
      <c r="O239" s="85"/>
      <c r="Q239" s="94"/>
      <c r="R239" s="93"/>
      <c r="S239" s="85"/>
      <c r="U239" s="94"/>
      <c r="V239" s="93"/>
      <c r="W239" s="85"/>
      <c r="Y239" s="94"/>
      <c r="Z239" s="93"/>
      <c r="AA239" s="85"/>
      <c r="AC239" s="94"/>
      <c r="AD239" s="93"/>
      <c r="AE239" s="85"/>
    </row>
    <row r="240" spans="7:31" x14ac:dyDescent="0.35">
      <c r="G240" s="85"/>
      <c r="H240" s="87"/>
      <c r="J240" s="93"/>
      <c r="K240" s="85"/>
      <c r="M240" s="94"/>
      <c r="N240" s="93"/>
      <c r="O240" s="85"/>
      <c r="Q240" s="94"/>
      <c r="R240" s="93"/>
      <c r="S240" s="85"/>
      <c r="U240" s="94"/>
      <c r="V240" s="93"/>
      <c r="W240" s="85"/>
      <c r="Y240" s="94"/>
      <c r="Z240" s="93"/>
      <c r="AA240" s="85"/>
      <c r="AC240" s="94"/>
      <c r="AD240" s="93"/>
      <c r="AE240" s="85"/>
    </row>
    <row r="241" spans="7:31" x14ac:dyDescent="0.35">
      <c r="G241" s="85"/>
      <c r="H241" s="87"/>
      <c r="J241" s="93"/>
      <c r="K241" s="85"/>
      <c r="M241" s="94"/>
      <c r="N241" s="93"/>
      <c r="O241" s="85"/>
      <c r="Q241" s="94"/>
      <c r="R241" s="93"/>
      <c r="S241" s="85"/>
      <c r="U241" s="94"/>
      <c r="V241" s="93"/>
      <c r="W241" s="85"/>
      <c r="Y241" s="94"/>
      <c r="Z241" s="93"/>
      <c r="AA241" s="85"/>
      <c r="AC241" s="94"/>
      <c r="AD241" s="93"/>
      <c r="AE241" s="85"/>
    </row>
    <row r="242" spans="7:31" x14ac:dyDescent="0.35">
      <c r="G242" s="85"/>
      <c r="H242" s="87"/>
      <c r="J242" s="93"/>
      <c r="K242" s="85"/>
      <c r="M242" s="94"/>
      <c r="N242" s="93"/>
      <c r="O242" s="85"/>
      <c r="Q242" s="94"/>
      <c r="R242" s="93"/>
      <c r="S242" s="85"/>
      <c r="U242" s="94"/>
      <c r="V242" s="93"/>
      <c r="W242" s="85"/>
      <c r="Y242" s="94"/>
      <c r="Z242" s="93"/>
      <c r="AA242" s="85"/>
      <c r="AC242" s="94"/>
      <c r="AD242" s="93"/>
      <c r="AE242" s="85"/>
    </row>
    <row r="243" spans="7:31" x14ac:dyDescent="0.35">
      <c r="G243" s="85"/>
      <c r="H243" s="87"/>
      <c r="J243" s="93"/>
      <c r="K243" s="85"/>
      <c r="M243" s="94"/>
      <c r="N243" s="93"/>
      <c r="O243" s="85"/>
      <c r="Q243" s="94"/>
      <c r="R243" s="93"/>
      <c r="S243" s="85"/>
      <c r="U243" s="94"/>
      <c r="V243" s="93"/>
      <c r="W243" s="85"/>
      <c r="Y243" s="94"/>
      <c r="Z243" s="93"/>
      <c r="AA243" s="85"/>
      <c r="AC243" s="94"/>
      <c r="AD243" s="93"/>
      <c r="AE243" s="85"/>
    </row>
    <row r="244" spans="7:31" x14ac:dyDescent="0.35">
      <c r="G244" s="85"/>
      <c r="H244" s="87"/>
      <c r="J244" s="93"/>
      <c r="K244" s="85"/>
      <c r="M244" s="94"/>
      <c r="N244" s="93"/>
      <c r="O244" s="85"/>
      <c r="Q244" s="94"/>
      <c r="R244" s="93"/>
      <c r="S244" s="85"/>
      <c r="U244" s="94"/>
      <c r="V244" s="93"/>
      <c r="W244" s="85"/>
      <c r="Y244" s="94"/>
      <c r="Z244" s="93"/>
      <c r="AA244" s="85"/>
      <c r="AC244" s="94"/>
      <c r="AD244" s="93"/>
      <c r="AE244" s="85"/>
    </row>
    <row r="245" spans="7:31" x14ac:dyDescent="0.35">
      <c r="G245" s="85"/>
      <c r="H245" s="87"/>
      <c r="J245" s="93"/>
      <c r="K245" s="85"/>
      <c r="M245" s="94"/>
      <c r="N245" s="93"/>
      <c r="O245" s="85"/>
      <c r="Q245" s="94"/>
      <c r="R245" s="93"/>
      <c r="S245" s="85"/>
      <c r="U245" s="94"/>
      <c r="V245" s="93"/>
      <c r="W245" s="85"/>
      <c r="Y245" s="94"/>
      <c r="Z245" s="93"/>
      <c r="AA245" s="85"/>
      <c r="AC245" s="94"/>
      <c r="AD245" s="93"/>
      <c r="AE245" s="85"/>
    </row>
    <row r="246" spans="7:31" x14ac:dyDescent="0.35">
      <c r="G246" s="85"/>
      <c r="H246" s="87"/>
      <c r="J246" s="93"/>
      <c r="K246" s="85"/>
      <c r="M246" s="94"/>
      <c r="N246" s="93"/>
      <c r="O246" s="85"/>
      <c r="Q246" s="94"/>
      <c r="R246" s="93"/>
      <c r="S246" s="85"/>
      <c r="U246" s="94"/>
      <c r="V246" s="93"/>
      <c r="W246" s="85"/>
      <c r="Y246" s="94"/>
      <c r="Z246" s="93"/>
      <c r="AA246" s="85"/>
      <c r="AC246" s="94"/>
      <c r="AD246" s="93"/>
      <c r="AE246" s="85"/>
    </row>
    <row r="247" spans="7:31" x14ac:dyDescent="0.35">
      <c r="G247" s="85"/>
      <c r="H247" s="87"/>
      <c r="J247" s="93"/>
      <c r="K247" s="85"/>
      <c r="M247" s="94"/>
      <c r="N247" s="93"/>
      <c r="O247" s="85"/>
      <c r="Q247" s="94"/>
      <c r="R247" s="93"/>
      <c r="S247" s="85"/>
      <c r="U247" s="94"/>
      <c r="V247" s="93"/>
      <c r="W247" s="85"/>
      <c r="Y247" s="94"/>
      <c r="Z247" s="93"/>
      <c r="AA247" s="85"/>
      <c r="AC247" s="94"/>
      <c r="AD247" s="93"/>
      <c r="AE247" s="85"/>
    </row>
    <row r="248" spans="7:31" x14ac:dyDescent="0.35">
      <c r="G248" s="85"/>
      <c r="H248" s="87"/>
      <c r="J248" s="93"/>
      <c r="K248" s="85"/>
      <c r="M248" s="94"/>
      <c r="N248" s="93"/>
      <c r="O248" s="85"/>
      <c r="Q248" s="94"/>
      <c r="R248" s="93"/>
      <c r="S248" s="85"/>
      <c r="U248" s="94"/>
      <c r="V248" s="93"/>
      <c r="W248" s="85"/>
      <c r="Y248" s="94"/>
      <c r="Z248" s="93"/>
      <c r="AA248" s="85"/>
      <c r="AC248" s="94"/>
      <c r="AD248" s="93"/>
      <c r="AE248" s="85"/>
    </row>
    <row r="249" spans="7:31" x14ac:dyDescent="0.35">
      <c r="G249" s="85"/>
      <c r="H249" s="87"/>
      <c r="J249" s="93"/>
      <c r="K249" s="85"/>
      <c r="M249" s="94"/>
      <c r="N249" s="93"/>
      <c r="O249" s="85"/>
      <c r="Q249" s="94"/>
      <c r="R249" s="93"/>
      <c r="S249" s="85"/>
      <c r="U249" s="94"/>
      <c r="V249" s="93"/>
      <c r="W249" s="85"/>
      <c r="Y249" s="94"/>
      <c r="Z249" s="93"/>
      <c r="AA249" s="85"/>
      <c r="AC249" s="94"/>
      <c r="AD249" s="93"/>
      <c r="AE249" s="85"/>
    </row>
    <row r="250" spans="7:31" x14ac:dyDescent="0.35">
      <c r="G250" s="85"/>
      <c r="H250" s="87"/>
      <c r="J250" s="93"/>
      <c r="K250" s="85"/>
      <c r="M250" s="94"/>
      <c r="N250" s="93"/>
      <c r="O250" s="85"/>
      <c r="Q250" s="94"/>
      <c r="R250" s="93"/>
      <c r="S250" s="85"/>
      <c r="U250" s="94"/>
      <c r="V250" s="93"/>
      <c r="W250" s="85"/>
      <c r="Y250" s="94"/>
      <c r="Z250" s="93"/>
      <c r="AA250" s="85"/>
      <c r="AC250" s="94"/>
      <c r="AD250" s="93"/>
      <c r="AE250" s="85"/>
    </row>
    <row r="251" spans="7:31" x14ac:dyDescent="0.35">
      <c r="G251" s="85"/>
      <c r="H251" s="87"/>
      <c r="J251" s="93"/>
      <c r="K251" s="85"/>
      <c r="M251" s="94"/>
      <c r="N251" s="93"/>
      <c r="O251" s="85"/>
      <c r="Q251" s="94"/>
      <c r="R251" s="93"/>
      <c r="S251" s="85"/>
      <c r="U251" s="94"/>
      <c r="V251" s="93"/>
      <c r="W251" s="85"/>
      <c r="Y251" s="94"/>
      <c r="Z251" s="93"/>
      <c r="AA251" s="85"/>
      <c r="AC251" s="94"/>
      <c r="AD251" s="93"/>
      <c r="AE251" s="85"/>
    </row>
    <row r="252" spans="7:31" x14ac:dyDescent="0.35">
      <c r="G252" s="85"/>
      <c r="H252" s="87"/>
      <c r="J252" s="93"/>
      <c r="K252" s="85"/>
      <c r="M252" s="94"/>
      <c r="N252" s="93"/>
      <c r="O252" s="85"/>
      <c r="Q252" s="94"/>
      <c r="R252" s="93"/>
      <c r="S252" s="85"/>
      <c r="U252" s="94"/>
      <c r="V252" s="93"/>
      <c r="W252" s="85"/>
      <c r="Y252" s="94"/>
      <c r="Z252" s="93"/>
      <c r="AA252" s="85"/>
      <c r="AC252" s="94"/>
      <c r="AD252" s="93"/>
      <c r="AE252" s="85"/>
    </row>
    <row r="253" spans="7:31" x14ac:dyDescent="0.35">
      <c r="G253" s="85"/>
      <c r="H253" s="87"/>
      <c r="J253" s="93"/>
      <c r="K253" s="85"/>
      <c r="M253" s="94"/>
      <c r="N253" s="93"/>
      <c r="O253" s="85"/>
      <c r="Q253" s="94"/>
      <c r="R253" s="93"/>
      <c r="S253" s="85"/>
      <c r="U253" s="94"/>
      <c r="V253" s="93"/>
      <c r="W253" s="85"/>
      <c r="Y253" s="94"/>
      <c r="Z253" s="93"/>
      <c r="AA253" s="85"/>
      <c r="AC253" s="94"/>
      <c r="AD253" s="93"/>
      <c r="AE253" s="85"/>
    </row>
    <row r="254" spans="7:31" x14ac:dyDescent="0.35">
      <c r="G254" s="85"/>
      <c r="H254" s="87"/>
      <c r="J254" s="93"/>
      <c r="K254" s="85"/>
      <c r="M254" s="94"/>
      <c r="N254" s="93"/>
      <c r="O254" s="85"/>
      <c r="Q254" s="94"/>
      <c r="R254" s="93"/>
      <c r="S254" s="85"/>
      <c r="U254" s="94"/>
      <c r="V254" s="93"/>
      <c r="W254" s="85"/>
      <c r="Y254" s="94"/>
      <c r="Z254" s="93"/>
      <c r="AA254" s="85"/>
      <c r="AC254" s="94"/>
      <c r="AD254" s="93"/>
      <c r="AE254" s="85"/>
    </row>
    <row r="255" spans="7:31" x14ac:dyDescent="0.35">
      <c r="G255" s="85"/>
      <c r="H255" s="87"/>
      <c r="J255" s="93"/>
      <c r="K255" s="85"/>
      <c r="M255" s="94"/>
      <c r="N255" s="93"/>
      <c r="O255" s="85"/>
      <c r="Q255" s="94"/>
      <c r="R255" s="93"/>
      <c r="S255" s="85"/>
      <c r="U255" s="94"/>
      <c r="V255" s="93"/>
      <c r="W255" s="85"/>
      <c r="Y255" s="94"/>
      <c r="Z255" s="93"/>
      <c r="AA255" s="85"/>
      <c r="AC255" s="94"/>
      <c r="AD255" s="93"/>
      <c r="AE255" s="85"/>
    </row>
    <row r="256" spans="7:31" x14ac:dyDescent="0.35">
      <c r="G256" s="85"/>
      <c r="H256" s="87"/>
      <c r="J256" s="93"/>
      <c r="K256" s="85"/>
      <c r="M256" s="94"/>
      <c r="N256" s="93"/>
      <c r="O256" s="85"/>
      <c r="Q256" s="94"/>
      <c r="R256" s="93"/>
      <c r="S256" s="85"/>
      <c r="U256" s="94"/>
      <c r="V256" s="93"/>
      <c r="W256" s="85"/>
      <c r="Y256" s="94"/>
      <c r="Z256" s="93"/>
      <c r="AA256" s="85"/>
      <c r="AC256" s="94"/>
      <c r="AD256" s="93"/>
      <c r="AE256" s="85"/>
    </row>
    <row r="257" spans="7:31" x14ac:dyDescent="0.35">
      <c r="G257" s="85"/>
      <c r="H257" s="87"/>
      <c r="J257" s="93"/>
      <c r="K257" s="85"/>
      <c r="M257" s="94"/>
      <c r="N257" s="93"/>
      <c r="O257" s="85"/>
      <c r="Q257" s="94"/>
      <c r="R257" s="93"/>
      <c r="S257" s="85"/>
      <c r="U257" s="94"/>
      <c r="V257" s="93"/>
      <c r="W257" s="85"/>
      <c r="Y257" s="94"/>
      <c r="Z257" s="93"/>
      <c r="AA257" s="85"/>
      <c r="AC257" s="94"/>
      <c r="AD257" s="93"/>
      <c r="AE257" s="85"/>
    </row>
    <row r="258" spans="7:31" x14ac:dyDescent="0.35">
      <c r="G258" s="85"/>
      <c r="H258" s="87"/>
      <c r="J258" s="93"/>
      <c r="K258" s="85"/>
      <c r="M258" s="94"/>
      <c r="N258" s="93"/>
      <c r="O258" s="85"/>
      <c r="Q258" s="94"/>
      <c r="R258" s="93"/>
      <c r="S258" s="85"/>
      <c r="U258" s="94"/>
      <c r="V258" s="93"/>
      <c r="W258" s="85"/>
      <c r="Y258" s="94"/>
      <c r="Z258" s="93"/>
      <c r="AA258" s="85"/>
      <c r="AC258" s="94"/>
      <c r="AD258" s="93"/>
      <c r="AE258" s="85"/>
    </row>
    <row r="259" spans="7:31" x14ac:dyDescent="0.35">
      <c r="G259" s="85"/>
      <c r="H259" s="87"/>
      <c r="J259" s="93"/>
      <c r="K259" s="85"/>
      <c r="M259" s="94"/>
      <c r="N259" s="93"/>
      <c r="O259" s="85"/>
      <c r="Q259" s="94"/>
      <c r="R259" s="93"/>
      <c r="S259" s="85"/>
      <c r="U259" s="94"/>
      <c r="V259" s="93"/>
      <c r="W259" s="85"/>
      <c r="Y259" s="94"/>
      <c r="Z259" s="93"/>
      <c r="AA259" s="85"/>
      <c r="AC259" s="94"/>
      <c r="AD259" s="93"/>
      <c r="AE259" s="85"/>
    </row>
    <row r="260" spans="7:31" x14ac:dyDescent="0.35">
      <c r="G260" s="85"/>
      <c r="H260" s="87"/>
      <c r="J260" s="93"/>
      <c r="K260" s="85"/>
      <c r="M260" s="94"/>
      <c r="N260" s="93"/>
      <c r="O260" s="85"/>
      <c r="Q260" s="94"/>
      <c r="R260" s="93"/>
      <c r="S260" s="85"/>
      <c r="U260" s="94"/>
      <c r="V260" s="93"/>
      <c r="W260" s="85"/>
      <c r="Y260" s="94"/>
      <c r="Z260" s="93"/>
      <c r="AA260" s="85"/>
      <c r="AC260" s="94"/>
      <c r="AD260" s="93"/>
      <c r="AE260" s="85"/>
    </row>
    <row r="261" spans="7:31" x14ac:dyDescent="0.35">
      <c r="G261" s="85"/>
      <c r="H261" s="87"/>
      <c r="J261" s="93"/>
      <c r="K261" s="85"/>
      <c r="M261" s="94"/>
      <c r="N261" s="93"/>
      <c r="O261" s="85"/>
      <c r="Q261" s="94"/>
      <c r="R261" s="93"/>
      <c r="S261" s="85"/>
      <c r="U261" s="94"/>
      <c r="V261" s="93"/>
      <c r="W261" s="85"/>
      <c r="Y261" s="94"/>
      <c r="Z261" s="93"/>
      <c r="AA261" s="85"/>
      <c r="AC261" s="94"/>
      <c r="AD261" s="93"/>
      <c r="AE261" s="85"/>
    </row>
    <row r="262" spans="7:31" x14ac:dyDescent="0.35">
      <c r="G262" s="85"/>
      <c r="H262" s="87"/>
      <c r="J262" s="93"/>
      <c r="K262" s="85"/>
      <c r="M262" s="94"/>
      <c r="N262" s="93"/>
      <c r="O262" s="85"/>
      <c r="Q262" s="94"/>
      <c r="R262" s="93"/>
      <c r="S262" s="85"/>
      <c r="U262" s="94"/>
      <c r="V262" s="93"/>
      <c r="W262" s="85"/>
      <c r="Y262" s="94"/>
      <c r="Z262" s="93"/>
      <c r="AA262" s="85"/>
      <c r="AC262" s="94"/>
      <c r="AD262" s="93"/>
      <c r="AE262" s="85"/>
    </row>
    <row r="263" spans="7:31" x14ac:dyDescent="0.35">
      <c r="G263" s="85"/>
      <c r="H263" s="87"/>
      <c r="J263" s="93"/>
      <c r="K263" s="85"/>
      <c r="M263" s="94"/>
      <c r="N263" s="93"/>
      <c r="O263" s="85"/>
      <c r="Q263" s="94"/>
      <c r="R263" s="93"/>
      <c r="S263" s="85"/>
      <c r="U263" s="94"/>
      <c r="V263" s="93"/>
      <c r="W263" s="85"/>
      <c r="Y263" s="94"/>
      <c r="Z263" s="93"/>
      <c r="AA263" s="85"/>
      <c r="AC263" s="94"/>
      <c r="AD263" s="93"/>
      <c r="AE263" s="85"/>
    </row>
    <row r="264" spans="7:31" x14ac:dyDescent="0.35">
      <c r="G264" s="85"/>
      <c r="H264" s="87"/>
      <c r="J264" s="93"/>
      <c r="K264" s="85"/>
      <c r="M264" s="94"/>
      <c r="N264" s="93"/>
      <c r="O264" s="85"/>
      <c r="Q264" s="94"/>
      <c r="R264" s="93"/>
      <c r="S264" s="85"/>
      <c r="U264" s="94"/>
      <c r="V264" s="93"/>
      <c r="W264" s="85"/>
      <c r="Y264" s="94"/>
      <c r="Z264" s="93"/>
      <c r="AA264" s="85"/>
      <c r="AC264" s="94"/>
      <c r="AD264" s="93"/>
      <c r="AE264" s="85"/>
    </row>
    <row r="265" spans="7:31" x14ac:dyDescent="0.35">
      <c r="G265" s="85"/>
      <c r="H265" s="87"/>
      <c r="J265" s="93"/>
      <c r="K265" s="85"/>
      <c r="M265" s="94"/>
      <c r="N265" s="93"/>
      <c r="O265" s="85"/>
      <c r="Q265" s="94"/>
      <c r="R265" s="93"/>
      <c r="S265" s="85"/>
      <c r="U265" s="94"/>
      <c r="V265" s="93"/>
      <c r="W265" s="85"/>
      <c r="Y265" s="94"/>
      <c r="Z265" s="93"/>
      <c r="AA265" s="85"/>
      <c r="AC265" s="94"/>
      <c r="AD265" s="93"/>
      <c r="AE265" s="85"/>
    </row>
    <row r="266" spans="7:31" x14ac:dyDescent="0.35">
      <c r="G266" s="85"/>
      <c r="H266" s="87"/>
      <c r="J266" s="93"/>
      <c r="K266" s="85"/>
      <c r="M266" s="94"/>
      <c r="N266" s="93"/>
      <c r="O266" s="85"/>
      <c r="Q266" s="94"/>
      <c r="R266" s="93"/>
      <c r="S266" s="85"/>
      <c r="U266" s="94"/>
      <c r="V266" s="93"/>
      <c r="W266" s="85"/>
      <c r="Y266" s="94"/>
      <c r="Z266" s="93"/>
      <c r="AA266" s="85"/>
      <c r="AC266" s="94"/>
      <c r="AD266" s="93"/>
      <c r="AE266" s="85"/>
    </row>
    <row r="267" spans="7:31" x14ac:dyDescent="0.35">
      <c r="G267" s="85"/>
      <c r="H267" s="87"/>
      <c r="J267" s="93"/>
      <c r="K267" s="85"/>
      <c r="M267" s="94"/>
      <c r="N267" s="93"/>
      <c r="O267" s="85"/>
      <c r="Q267" s="94"/>
      <c r="R267" s="93"/>
      <c r="S267" s="85"/>
      <c r="U267" s="94"/>
      <c r="V267" s="93"/>
      <c r="W267" s="85"/>
      <c r="Y267" s="94"/>
      <c r="Z267" s="93"/>
      <c r="AA267" s="85"/>
      <c r="AC267" s="94"/>
      <c r="AD267" s="93"/>
      <c r="AE267" s="85"/>
    </row>
    <row r="268" spans="7:31" x14ac:dyDescent="0.35">
      <c r="G268" s="85"/>
      <c r="H268" s="87"/>
      <c r="J268" s="93"/>
      <c r="K268" s="85"/>
      <c r="M268" s="94"/>
      <c r="N268" s="93"/>
      <c r="O268" s="85"/>
      <c r="Q268" s="94"/>
      <c r="R268" s="93"/>
      <c r="S268" s="85"/>
      <c r="U268" s="94"/>
      <c r="V268" s="93"/>
      <c r="W268" s="85"/>
      <c r="Y268" s="94"/>
      <c r="Z268" s="93"/>
      <c r="AA268" s="85"/>
      <c r="AC268" s="94"/>
      <c r="AD268" s="93"/>
      <c r="AE268" s="85"/>
    </row>
    <row r="269" spans="7:31" x14ac:dyDescent="0.35">
      <c r="G269" s="85"/>
      <c r="H269" s="87"/>
      <c r="J269" s="93"/>
      <c r="K269" s="85"/>
      <c r="M269" s="94"/>
      <c r="N269" s="93"/>
      <c r="O269" s="85"/>
      <c r="Q269" s="94"/>
      <c r="R269" s="93"/>
      <c r="S269" s="85"/>
      <c r="U269" s="94"/>
      <c r="V269" s="93"/>
      <c r="W269" s="85"/>
      <c r="Y269" s="94"/>
      <c r="Z269" s="93"/>
      <c r="AA269" s="85"/>
      <c r="AC269" s="94"/>
      <c r="AD269" s="93"/>
      <c r="AE269" s="85"/>
    </row>
    <row r="270" spans="7:31" x14ac:dyDescent="0.35">
      <c r="G270" s="85"/>
      <c r="H270" s="87"/>
      <c r="J270" s="93"/>
      <c r="K270" s="85"/>
      <c r="M270" s="94"/>
      <c r="N270" s="93"/>
      <c r="O270" s="85"/>
      <c r="Q270" s="94"/>
      <c r="R270" s="93"/>
      <c r="S270" s="85"/>
      <c r="U270" s="94"/>
      <c r="V270" s="93"/>
      <c r="W270" s="85"/>
      <c r="Y270" s="94"/>
      <c r="Z270" s="93"/>
      <c r="AA270" s="85"/>
      <c r="AC270" s="94"/>
      <c r="AD270" s="93"/>
      <c r="AE270" s="85"/>
    </row>
    <row r="271" spans="7:31" x14ac:dyDescent="0.35">
      <c r="G271" s="85"/>
      <c r="H271" s="87"/>
      <c r="J271" s="93"/>
      <c r="K271" s="85"/>
      <c r="M271" s="94"/>
      <c r="N271" s="93"/>
      <c r="O271" s="85"/>
      <c r="Q271" s="94"/>
      <c r="R271" s="93"/>
      <c r="S271" s="85"/>
      <c r="U271" s="94"/>
      <c r="V271" s="93"/>
      <c r="W271" s="85"/>
      <c r="Y271" s="94"/>
      <c r="Z271" s="93"/>
      <c r="AA271" s="85"/>
      <c r="AC271" s="94"/>
      <c r="AD271" s="93"/>
      <c r="AE271" s="85"/>
    </row>
    <row r="272" spans="7:31" x14ac:dyDescent="0.35">
      <c r="G272" s="85"/>
      <c r="H272" s="87"/>
      <c r="J272" s="93"/>
      <c r="K272" s="85"/>
      <c r="M272" s="94"/>
      <c r="N272" s="93"/>
      <c r="O272" s="85"/>
      <c r="Q272" s="94"/>
      <c r="R272" s="93"/>
      <c r="S272" s="85"/>
      <c r="U272" s="94"/>
      <c r="V272" s="93"/>
      <c r="W272" s="85"/>
      <c r="Y272" s="94"/>
      <c r="Z272" s="93"/>
      <c r="AA272" s="85"/>
      <c r="AC272" s="94"/>
      <c r="AD272" s="93"/>
      <c r="AE272" s="85"/>
    </row>
    <row r="273" spans="7:31" x14ac:dyDescent="0.35">
      <c r="G273" s="85"/>
      <c r="H273" s="87"/>
      <c r="J273" s="93"/>
      <c r="K273" s="85"/>
      <c r="M273" s="94"/>
      <c r="N273" s="93"/>
      <c r="O273" s="85"/>
      <c r="Q273" s="94"/>
      <c r="R273" s="93"/>
      <c r="S273" s="85"/>
      <c r="U273" s="94"/>
      <c r="V273" s="93"/>
      <c r="W273" s="85"/>
      <c r="Y273" s="94"/>
      <c r="Z273" s="93"/>
      <c r="AA273" s="85"/>
      <c r="AC273" s="94"/>
      <c r="AD273" s="93"/>
      <c r="AE273" s="85"/>
    </row>
    <row r="274" spans="7:31" x14ac:dyDescent="0.35">
      <c r="G274" s="85"/>
      <c r="H274" s="87"/>
      <c r="J274" s="93"/>
      <c r="K274" s="85"/>
      <c r="M274" s="94"/>
      <c r="N274" s="93"/>
      <c r="O274" s="85"/>
      <c r="Q274" s="94"/>
      <c r="R274" s="93"/>
      <c r="S274" s="85"/>
      <c r="U274" s="94"/>
      <c r="V274" s="93"/>
      <c r="W274" s="85"/>
      <c r="Y274" s="94"/>
      <c r="Z274" s="93"/>
      <c r="AA274" s="85"/>
      <c r="AC274" s="94"/>
      <c r="AD274" s="93"/>
      <c r="AE274" s="85"/>
    </row>
    <row r="275" spans="7:31" x14ac:dyDescent="0.35">
      <c r="G275" s="85"/>
      <c r="H275" s="87"/>
      <c r="J275" s="93"/>
      <c r="K275" s="85"/>
      <c r="M275" s="94"/>
      <c r="N275" s="93"/>
      <c r="O275" s="85"/>
      <c r="Q275" s="94"/>
      <c r="R275" s="93"/>
      <c r="S275" s="85"/>
      <c r="U275" s="94"/>
      <c r="V275" s="93"/>
      <c r="W275" s="85"/>
      <c r="Y275" s="94"/>
      <c r="Z275" s="93"/>
      <c r="AA275" s="85"/>
      <c r="AC275" s="94"/>
      <c r="AD275" s="93"/>
      <c r="AE275" s="85"/>
    </row>
    <row r="276" spans="7:31" x14ac:dyDescent="0.35">
      <c r="G276" s="85"/>
      <c r="H276" s="87"/>
      <c r="J276" s="93"/>
      <c r="K276" s="85"/>
      <c r="M276" s="94"/>
      <c r="N276" s="93"/>
      <c r="O276" s="85"/>
      <c r="Q276" s="94"/>
      <c r="R276" s="93"/>
      <c r="S276" s="85"/>
      <c r="U276" s="94"/>
      <c r="V276" s="93"/>
      <c r="W276" s="85"/>
      <c r="Y276" s="94"/>
      <c r="Z276" s="93"/>
      <c r="AA276" s="85"/>
      <c r="AC276" s="94"/>
      <c r="AD276" s="93"/>
      <c r="AE276" s="85"/>
    </row>
    <row r="277" spans="7:31" x14ac:dyDescent="0.35">
      <c r="G277" s="85"/>
      <c r="H277" s="87"/>
      <c r="J277" s="93"/>
      <c r="K277" s="85"/>
      <c r="M277" s="94"/>
      <c r="N277" s="93"/>
      <c r="O277" s="85"/>
      <c r="Q277" s="94"/>
      <c r="R277" s="93"/>
      <c r="S277" s="85"/>
      <c r="U277" s="94"/>
      <c r="V277" s="93"/>
      <c r="W277" s="85"/>
      <c r="Y277" s="94"/>
      <c r="Z277" s="93"/>
      <c r="AA277" s="85"/>
      <c r="AC277" s="94"/>
      <c r="AD277" s="93"/>
      <c r="AE277" s="85"/>
    </row>
    <row r="278" spans="7:31" x14ac:dyDescent="0.35">
      <c r="G278" s="85"/>
      <c r="H278" s="87"/>
      <c r="J278" s="93"/>
      <c r="K278" s="85"/>
      <c r="M278" s="94"/>
      <c r="N278" s="93"/>
      <c r="O278" s="85"/>
      <c r="Q278" s="94"/>
      <c r="R278" s="93"/>
      <c r="S278" s="85"/>
      <c r="U278" s="94"/>
      <c r="V278" s="93"/>
      <c r="W278" s="85"/>
      <c r="Y278" s="94"/>
      <c r="Z278" s="93"/>
      <c r="AA278" s="85"/>
      <c r="AC278" s="94"/>
      <c r="AD278" s="93"/>
      <c r="AE278" s="85"/>
    </row>
    <row r="279" spans="7:31" x14ac:dyDescent="0.35">
      <c r="G279" s="85"/>
      <c r="H279" s="87"/>
      <c r="J279" s="93"/>
      <c r="K279" s="85"/>
      <c r="M279" s="94"/>
      <c r="N279" s="93"/>
      <c r="O279" s="85"/>
      <c r="Q279" s="94"/>
      <c r="R279" s="93"/>
      <c r="S279" s="85"/>
      <c r="U279" s="94"/>
      <c r="V279" s="93"/>
      <c r="W279" s="85"/>
      <c r="Y279" s="94"/>
      <c r="Z279" s="93"/>
      <c r="AA279" s="85"/>
      <c r="AC279" s="94"/>
      <c r="AD279" s="93"/>
      <c r="AE279" s="85"/>
    </row>
    <row r="280" spans="7:31" x14ac:dyDescent="0.35">
      <c r="G280" s="85"/>
      <c r="H280" s="87"/>
      <c r="J280" s="93"/>
      <c r="K280" s="85"/>
      <c r="M280" s="94"/>
      <c r="N280" s="93"/>
      <c r="O280" s="85"/>
      <c r="Q280" s="94"/>
      <c r="R280" s="93"/>
      <c r="S280" s="85"/>
      <c r="U280" s="94"/>
      <c r="V280" s="93"/>
      <c r="W280" s="85"/>
      <c r="Y280" s="94"/>
      <c r="Z280" s="93"/>
      <c r="AA280" s="85"/>
      <c r="AC280" s="94"/>
      <c r="AD280" s="93"/>
      <c r="AE280" s="85"/>
    </row>
    <row r="281" spans="7:31" x14ac:dyDescent="0.35">
      <c r="G281" s="85"/>
      <c r="H281" s="87"/>
      <c r="J281" s="93"/>
      <c r="K281" s="85"/>
      <c r="M281" s="94"/>
      <c r="N281" s="93"/>
      <c r="O281" s="85"/>
      <c r="Q281" s="94"/>
      <c r="R281" s="93"/>
      <c r="S281" s="85"/>
      <c r="U281" s="94"/>
      <c r="V281" s="93"/>
      <c r="W281" s="85"/>
      <c r="Y281" s="94"/>
      <c r="Z281" s="93"/>
      <c r="AA281" s="85"/>
      <c r="AC281" s="94"/>
      <c r="AD281" s="93"/>
      <c r="AE281" s="85"/>
    </row>
    <row r="282" spans="7:31" x14ac:dyDescent="0.35">
      <c r="G282" s="85"/>
      <c r="H282" s="87"/>
      <c r="J282" s="93"/>
      <c r="K282" s="85"/>
      <c r="M282" s="94"/>
      <c r="N282" s="93"/>
      <c r="O282" s="85"/>
      <c r="Q282" s="94"/>
      <c r="R282" s="93"/>
      <c r="S282" s="85"/>
      <c r="U282" s="94"/>
      <c r="V282" s="93"/>
      <c r="W282" s="85"/>
      <c r="Y282" s="94"/>
      <c r="Z282" s="93"/>
      <c r="AA282" s="85"/>
      <c r="AC282" s="94"/>
      <c r="AD282" s="93"/>
      <c r="AE282" s="85"/>
    </row>
    <row r="283" spans="7:31" x14ac:dyDescent="0.35">
      <c r="G283" s="85"/>
      <c r="H283" s="87"/>
      <c r="J283" s="93"/>
      <c r="K283" s="85"/>
      <c r="M283" s="94"/>
      <c r="N283" s="93"/>
      <c r="O283" s="85"/>
      <c r="Q283" s="94"/>
      <c r="R283" s="93"/>
      <c r="S283" s="85"/>
      <c r="U283" s="94"/>
      <c r="V283" s="93"/>
      <c r="W283" s="85"/>
      <c r="Y283" s="94"/>
      <c r="Z283" s="93"/>
      <c r="AA283" s="85"/>
      <c r="AC283" s="94"/>
      <c r="AD283" s="93"/>
      <c r="AE283" s="85"/>
    </row>
    <row r="284" spans="7:31" x14ac:dyDescent="0.35">
      <c r="G284" s="85"/>
      <c r="H284" s="87"/>
      <c r="J284" s="93"/>
      <c r="K284" s="85"/>
      <c r="M284" s="94"/>
      <c r="N284" s="93"/>
      <c r="O284" s="85"/>
      <c r="Q284" s="94"/>
      <c r="R284" s="93"/>
      <c r="S284" s="85"/>
      <c r="U284" s="94"/>
      <c r="V284" s="93"/>
      <c r="W284" s="85"/>
      <c r="Y284" s="94"/>
      <c r="Z284" s="93"/>
      <c r="AA284" s="85"/>
      <c r="AC284" s="94"/>
      <c r="AD284" s="93"/>
      <c r="AE284" s="85"/>
    </row>
    <row r="285" spans="7:31" x14ac:dyDescent="0.35">
      <c r="G285" s="85"/>
      <c r="H285" s="87"/>
      <c r="J285" s="93"/>
      <c r="K285" s="85"/>
      <c r="M285" s="94"/>
      <c r="N285" s="93"/>
      <c r="O285" s="85"/>
      <c r="Q285" s="94"/>
      <c r="R285" s="93"/>
      <c r="S285" s="85"/>
      <c r="U285" s="94"/>
      <c r="V285" s="93"/>
      <c r="W285" s="85"/>
      <c r="Y285" s="94"/>
      <c r="Z285" s="93"/>
      <c r="AA285" s="85"/>
      <c r="AC285" s="94"/>
      <c r="AD285" s="93"/>
      <c r="AE285" s="85"/>
    </row>
    <row r="286" spans="7:31" x14ac:dyDescent="0.35">
      <c r="G286" s="85"/>
      <c r="H286" s="87"/>
      <c r="J286" s="93"/>
      <c r="K286" s="85"/>
      <c r="M286" s="94"/>
      <c r="N286" s="93"/>
      <c r="O286" s="85"/>
      <c r="Q286" s="94"/>
      <c r="R286" s="93"/>
      <c r="S286" s="85"/>
      <c r="U286" s="94"/>
      <c r="V286" s="93"/>
      <c r="W286" s="85"/>
      <c r="Y286" s="94"/>
      <c r="Z286" s="93"/>
      <c r="AA286" s="85"/>
      <c r="AC286" s="94"/>
      <c r="AD286" s="93"/>
      <c r="AE286" s="85"/>
    </row>
    <row r="287" spans="7:31" x14ac:dyDescent="0.35">
      <c r="G287" s="85"/>
      <c r="H287" s="87"/>
      <c r="J287" s="93"/>
      <c r="K287" s="85"/>
      <c r="M287" s="94"/>
      <c r="N287" s="93"/>
      <c r="O287" s="85"/>
      <c r="Q287" s="94"/>
      <c r="R287" s="93"/>
      <c r="S287" s="85"/>
      <c r="U287" s="94"/>
      <c r="V287" s="93"/>
      <c r="W287" s="85"/>
      <c r="Y287" s="94"/>
      <c r="Z287" s="93"/>
      <c r="AA287" s="85"/>
      <c r="AC287" s="94"/>
      <c r="AD287" s="93"/>
      <c r="AE287" s="85"/>
    </row>
    <row r="288" spans="7:31" x14ac:dyDescent="0.35">
      <c r="G288" s="85"/>
      <c r="H288" s="87"/>
      <c r="J288" s="93"/>
      <c r="K288" s="85"/>
      <c r="M288" s="94"/>
      <c r="N288" s="93"/>
      <c r="O288" s="85"/>
      <c r="Q288" s="94"/>
      <c r="R288" s="93"/>
      <c r="S288" s="85"/>
      <c r="U288" s="94"/>
      <c r="V288" s="93"/>
      <c r="W288" s="85"/>
      <c r="Y288" s="94"/>
      <c r="Z288" s="93"/>
      <c r="AA288" s="85"/>
      <c r="AC288" s="94"/>
      <c r="AD288" s="93"/>
      <c r="AE288" s="85"/>
    </row>
    <row r="289" spans="7:31" x14ac:dyDescent="0.35">
      <c r="G289" s="85"/>
      <c r="H289" s="87"/>
      <c r="J289" s="93"/>
      <c r="K289" s="85"/>
      <c r="M289" s="94"/>
      <c r="N289" s="93"/>
      <c r="O289" s="85"/>
      <c r="Q289" s="94"/>
      <c r="R289" s="93"/>
      <c r="S289" s="85"/>
      <c r="U289" s="94"/>
      <c r="V289" s="93"/>
      <c r="W289" s="85"/>
      <c r="Y289" s="94"/>
      <c r="Z289" s="93"/>
      <c r="AA289" s="85"/>
      <c r="AC289" s="94"/>
      <c r="AD289" s="93"/>
      <c r="AE289" s="85"/>
    </row>
    <row r="290" spans="7:31" x14ac:dyDescent="0.35">
      <c r="G290" s="85"/>
      <c r="H290" s="87"/>
      <c r="J290" s="93"/>
      <c r="K290" s="85"/>
      <c r="M290" s="94"/>
      <c r="N290" s="93"/>
      <c r="O290" s="85"/>
      <c r="Q290" s="94"/>
      <c r="R290" s="93"/>
      <c r="S290" s="85"/>
      <c r="U290" s="94"/>
      <c r="V290" s="93"/>
      <c r="W290" s="85"/>
      <c r="Y290" s="94"/>
      <c r="Z290" s="93"/>
      <c r="AA290" s="85"/>
      <c r="AC290" s="94"/>
      <c r="AD290" s="93"/>
      <c r="AE290" s="85"/>
    </row>
    <row r="291" spans="7:31" x14ac:dyDescent="0.35">
      <c r="G291" s="85"/>
      <c r="H291" s="87"/>
      <c r="J291" s="93"/>
      <c r="K291" s="85"/>
      <c r="M291" s="94"/>
      <c r="N291" s="93"/>
      <c r="O291" s="85"/>
      <c r="Q291" s="94"/>
      <c r="R291" s="93"/>
      <c r="S291" s="85"/>
      <c r="U291" s="94"/>
      <c r="V291" s="93"/>
      <c r="W291" s="85"/>
      <c r="Y291" s="94"/>
      <c r="Z291" s="93"/>
      <c r="AA291" s="85"/>
      <c r="AC291" s="94"/>
      <c r="AD291" s="93"/>
      <c r="AE291" s="85"/>
    </row>
    <row r="292" spans="7:31" x14ac:dyDescent="0.35">
      <c r="G292" s="85"/>
      <c r="H292" s="87"/>
      <c r="J292" s="93"/>
      <c r="K292" s="85"/>
      <c r="M292" s="94"/>
      <c r="N292" s="93"/>
      <c r="O292" s="85"/>
      <c r="Q292" s="94"/>
      <c r="R292" s="93"/>
      <c r="S292" s="85"/>
      <c r="U292" s="94"/>
      <c r="V292" s="93"/>
      <c r="W292" s="85"/>
      <c r="Y292" s="94"/>
      <c r="Z292" s="93"/>
      <c r="AA292" s="85"/>
      <c r="AC292" s="94"/>
      <c r="AD292" s="93"/>
      <c r="AE292" s="85"/>
    </row>
    <row r="293" spans="7:31" x14ac:dyDescent="0.35">
      <c r="G293" s="85"/>
      <c r="H293" s="87"/>
      <c r="J293" s="93"/>
      <c r="K293" s="85"/>
      <c r="M293" s="94"/>
      <c r="N293" s="93"/>
      <c r="O293" s="85"/>
      <c r="Q293" s="94"/>
      <c r="R293" s="93"/>
      <c r="S293" s="85"/>
      <c r="U293" s="94"/>
      <c r="V293" s="93"/>
      <c r="W293" s="85"/>
      <c r="Y293" s="94"/>
      <c r="Z293" s="93"/>
      <c r="AA293" s="85"/>
      <c r="AC293" s="94"/>
      <c r="AD293" s="93"/>
      <c r="AE293" s="85"/>
    </row>
    <row r="294" spans="7:31" x14ac:dyDescent="0.35">
      <c r="G294" s="85"/>
      <c r="H294" s="87"/>
      <c r="J294" s="93"/>
      <c r="K294" s="85"/>
      <c r="M294" s="94"/>
      <c r="N294" s="93"/>
      <c r="O294" s="85"/>
      <c r="Q294" s="94"/>
      <c r="R294" s="93"/>
      <c r="S294" s="85"/>
      <c r="U294" s="94"/>
      <c r="V294" s="93"/>
      <c r="W294" s="85"/>
      <c r="Y294" s="94"/>
      <c r="Z294" s="93"/>
      <c r="AA294" s="85"/>
      <c r="AC294" s="94"/>
      <c r="AD294" s="93"/>
      <c r="AE294" s="85"/>
    </row>
    <row r="295" spans="7:31" x14ac:dyDescent="0.35">
      <c r="G295" s="85"/>
      <c r="H295" s="87"/>
      <c r="J295" s="93"/>
      <c r="K295" s="85"/>
      <c r="M295" s="94"/>
      <c r="N295" s="93"/>
      <c r="O295" s="85"/>
      <c r="Q295" s="94"/>
      <c r="R295" s="93"/>
      <c r="S295" s="85"/>
      <c r="U295" s="94"/>
      <c r="V295" s="93"/>
      <c r="W295" s="85"/>
      <c r="Y295" s="94"/>
      <c r="Z295" s="93"/>
      <c r="AA295" s="85"/>
      <c r="AC295" s="94"/>
      <c r="AD295" s="93"/>
      <c r="AE295" s="85"/>
    </row>
    <row r="296" spans="7:31" x14ac:dyDescent="0.35">
      <c r="G296" s="85"/>
      <c r="H296" s="87"/>
      <c r="J296" s="93"/>
      <c r="K296" s="85"/>
      <c r="M296" s="94"/>
      <c r="N296" s="93"/>
      <c r="O296" s="85"/>
      <c r="Q296" s="94"/>
      <c r="R296" s="93"/>
      <c r="S296" s="85"/>
      <c r="U296" s="94"/>
      <c r="V296" s="93"/>
      <c r="W296" s="85"/>
      <c r="Y296" s="94"/>
      <c r="Z296" s="93"/>
      <c r="AA296" s="85"/>
      <c r="AC296" s="94"/>
      <c r="AD296" s="93"/>
      <c r="AE296" s="85"/>
    </row>
    <row r="297" spans="7:31" x14ac:dyDescent="0.35">
      <c r="G297" s="85"/>
      <c r="H297" s="87"/>
      <c r="J297" s="93"/>
      <c r="K297" s="85"/>
      <c r="M297" s="94"/>
      <c r="N297" s="93"/>
      <c r="O297" s="85"/>
      <c r="Q297" s="94"/>
      <c r="R297" s="93"/>
      <c r="S297" s="85"/>
      <c r="U297" s="94"/>
      <c r="V297" s="93"/>
      <c r="W297" s="85"/>
      <c r="Y297" s="94"/>
      <c r="Z297" s="93"/>
      <c r="AA297" s="85"/>
      <c r="AC297" s="94"/>
      <c r="AD297" s="93"/>
      <c r="AE297" s="85"/>
    </row>
    <row r="298" spans="7:31" x14ac:dyDescent="0.35">
      <c r="G298" s="85"/>
      <c r="H298" s="87"/>
      <c r="J298" s="93"/>
      <c r="K298" s="85"/>
      <c r="M298" s="94"/>
      <c r="N298" s="93"/>
      <c r="O298" s="85"/>
      <c r="Q298" s="94"/>
      <c r="R298" s="93"/>
      <c r="S298" s="85"/>
      <c r="U298" s="94"/>
      <c r="V298" s="93"/>
      <c r="W298" s="85"/>
      <c r="Y298" s="94"/>
      <c r="Z298" s="93"/>
      <c r="AA298" s="85"/>
      <c r="AC298" s="94"/>
      <c r="AD298" s="93"/>
      <c r="AE298" s="85"/>
    </row>
    <row r="299" spans="7:31" x14ac:dyDescent="0.35">
      <c r="G299" s="85"/>
      <c r="H299" s="87"/>
      <c r="J299" s="93"/>
      <c r="K299" s="85"/>
      <c r="M299" s="94"/>
      <c r="N299" s="93"/>
      <c r="O299" s="85"/>
      <c r="Q299" s="94"/>
      <c r="R299" s="93"/>
      <c r="S299" s="85"/>
      <c r="U299" s="94"/>
      <c r="V299" s="93"/>
      <c r="W299" s="85"/>
      <c r="Y299" s="94"/>
      <c r="Z299" s="93"/>
      <c r="AA299" s="85"/>
      <c r="AC299" s="94"/>
      <c r="AD299" s="93"/>
      <c r="AE299" s="85"/>
    </row>
    <row r="300" spans="7:31" x14ac:dyDescent="0.35">
      <c r="G300" s="85"/>
      <c r="H300" s="87"/>
      <c r="J300" s="93"/>
      <c r="K300" s="85"/>
      <c r="M300" s="94"/>
      <c r="N300" s="93"/>
      <c r="O300" s="85"/>
      <c r="Q300" s="94"/>
      <c r="R300" s="93"/>
      <c r="S300" s="85"/>
      <c r="U300" s="94"/>
      <c r="V300" s="93"/>
      <c r="W300" s="85"/>
      <c r="Y300" s="94"/>
      <c r="Z300" s="93"/>
      <c r="AA300" s="85"/>
      <c r="AC300" s="94"/>
      <c r="AD300" s="93"/>
      <c r="AE300" s="85"/>
    </row>
    <row r="301" spans="7:31" x14ac:dyDescent="0.35">
      <c r="G301" s="85"/>
      <c r="H301" s="87"/>
      <c r="J301" s="93"/>
      <c r="K301" s="85"/>
      <c r="M301" s="94"/>
      <c r="N301" s="93"/>
      <c r="O301" s="85"/>
      <c r="Q301" s="94"/>
      <c r="R301" s="93"/>
      <c r="S301" s="85"/>
      <c r="U301" s="94"/>
      <c r="V301" s="93"/>
      <c r="W301" s="85"/>
      <c r="Y301" s="94"/>
      <c r="Z301" s="93"/>
      <c r="AA301" s="85"/>
      <c r="AC301" s="94"/>
      <c r="AD301" s="93"/>
      <c r="AE301" s="85"/>
    </row>
    <row r="302" spans="7:31" x14ac:dyDescent="0.35">
      <c r="G302" s="85"/>
      <c r="H302" s="87"/>
      <c r="J302" s="93"/>
      <c r="K302" s="85"/>
      <c r="M302" s="94"/>
      <c r="N302" s="93"/>
      <c r="O302" s="85"/>
      <c r="Q302" s="94"/>
      <c r="R302" s="93"/>
      <c r="S302" s="85"/>
      <c r="U302" s="94"/>
      <c r="V302" s="93"/>
      <c r="W302" s="85"/>
      <c r="Y302" s="94"/>
      <c r="Z302" s="93"/>
      <c r="AA302" s="85"/>
      <c r="AC302" s="94"/>
      <c r="AD302" s="93"/>
      <c r="AE302" s="85"/>
    </row>
    <row r="303" spans="7:31" x14ac:dyDescent="0.35">
      <c r="G303" s="85"/>
      <c r="H303" s="87"/>
      <c r="J303" s="93"/>
      <c r="K303" s="85"/>
      <c r="M303" s="94"/>
      <c r="N303" s="93"/>
      <c r="O303" s="85"/>
      <c r="Q303" s="94"/>
      <c r="R303" s="93"/>
      <c r="S303" s="85"/>
      <c r="U303" s="94"/>
      <c r="V303" s="93"/>
      <c r="W303" s="85"/>
      <c r="Y303" s="94"/>
      <c r="Z303" s="93"/>
      <c r="AA303" s="85"/>
      <c r="AC303" s="94"/>
      <c r="AD303" s="93"/>
      <c r="AE303" s="85"/>
    </row>
    <row r="304" spans="7:31" x14ac:dyDescent="0.35">
      <c r="G304" s="85"/>
      <c r="H304" s="87"/>
      <c r="J304" s="93"/>
      <c r="K304" s="85"/>
      <c r="M304" s="94"/>
      <c r="N304" s="93"/>
      <c r="O304" s="85"/>
      <c r="Q304" s="94"/>
      <c r="R304" s="93"/>
      <c r="S304" s="85"/>
      <c r="U304" s="94"/>
      <c r="V304" s="93"/>
      <c r="W304" s="85"/>
      <c r="Y304" s="94"/>
      <c r="Z304" s="93"/>
      <c r="AA304" s="85"/>
      <c r="AC304" s="94"/>
      <c r="AD304" s="93"/>
      <c r="AE304" s="85"/>
    </row>
    <row r="305" spans="7:31" x14ac:dyDescent="0.35">
      <c r="G305" s="85"/>
      <c r="H305" s="87"/>
      <c r="J305" s="93"/>
      <c r="K305" s="85"/>
      <c r="M305" s="94"/>
      <c r="N305" s="93"/>
      <c r="O305" s="85"/>
      <c r="Q305" s="94"/>
      <c r="R305" s="93"/>
      <c r="S305" s="85"/>
      <c r="U305" s="94"/>
      <c r="V305" s="93"/>
      <c r="W305" s="85"/>
      <c r="Y305" s="94"/>
      <c r="Z305" s="93"/>
      <c r="AA305" s="85"/>
      <c r="AC305" s="94"/>
      <c r="AD305" s="93"/>
      <c r="AE305" s="85"/>
    </row>
    <row r="306" spans="7:31" x14ac:dyDescent="0.35">
      <c r="G306" s="85"/>
      <c r="H306" s="87"/>
      <c r="J306" s="93"/>
      <c r="K306" s="85"/>
      <c r="M306" s="94"/>
      <c r="N306" s="93"/>
      <c r="O306" s="85"/>
      <c r="Q306" s="94"/>
      <c r="R306" s="93"/>
      <c r="S306" s="85"/>
      <c r="U306" s="94"/>
      <c r="V306" s="93"/>
      <c r="W306" s="85"/>
      <c r="Y306" s="94"/>
      <c r="Z306" s="93"/>
      <c r="AA306" s="85"/>
      <c r="AC306" s="94"/>
      <c r="AD306" s="93"/>
      <c r="AE306" s="85"/>
    </row>
    <row r="307" spans="7:31" x14ac:dyDescent="0.35">
      <c r="G307" s="85"/>
      <c r="H307" s="87"/>
      <c r="J307" s="93"/>
      <c r="K307" s="85"/>
      <c r="M307" s="94"/>
      <c r="N307" s="93"/>
      <c r="O307" s="85"/>
      <c r="Q307" s="94"/>
      <c r="R307" s="93"/>
      <c r="S307" s="85"/>
      <c r="U307" s="94"/>
      <c r="V307" s="93"/>
      <c r="W307" s="85"/>
      <c r="Y307" s="94"/>
      <c r="Z307" s="93"/>
      <c r="AA307" s="85"/>
      <c r="AC307" s="94"/>
      <c r="AD307" s="93"/>
      <c r="AE307" s="85"/>
    </row>
    <row r="308" spans="7:31" x14ac:dyDescent="0.35">
      <c r="G308" s="85"/>
      <c r="H308" s="87"/>
      <c r="J308" s="93"/>
      <c r="K308" s="85"/>
      <c r="M308" s="94"/>
      <c r="N308" s="93"/>
      <c r="O308" s="85"/>
      <c r="Q308" s="94"/>
      <c r="R308" s="93"/>
      <c r="S308" s="85"/>
      <c r="U308" s="94"/>
      <c r="V308" s="93"/>
      <c r="W308" s="85"/>
      <c r="Y308" s="94"/>
      <c r="Z308" s="93"/>
      <c r="AA308" s="85"/>
      <c r="AC308" s="94"/>
      <c r="AD308" s="93"/>
      <c r="AE308" s="85"/>
    </row>
    <row r="309" spans="7:31" x14ac:dyDescent="0.35">
      <c r="G309" s="85"/>
      <c r="H309" s="87"/>
      <c r="J309" s="93"/>
      <c r="K309" s="85"/>
      <c r="M309" s="94"/>
      <c r="N309" s="93"/>
      <c r="O309" s="85"/>
      <c r="Q309" s="94"/>
      <c r="R309" s="93"/>
      <c r="S309" s="85"/>
      <c r="U309" s="94"/>
      <c r="V309" s="93"/>
      <c r="W309" s="85"/>
      <c r="Y309" s="94"/>
      <c r="Z309" s="93"/>
      <c r="AA309" s="85"/>
      <c r="AC309" s="94"/>
      <c r="AD309" s="93"/>
      <c r="AE309" s="85"/>
    </row>
    <row r="310" spans="7:31" x14ac:dyDescent="0.35">
      <c r="G310" s="85"/>
      <c r="H310" s="87"/>
      <c r="J310" s="93"/>
      <c r="K310" s="85"/>
      <c r="M310" s="94"/>
      <c r="N310" s="93"/>
      <c r="O310" s="85"/>
      <c r="Q310" s="94"/>
      <c r="R310" s="93"/>
      <c r="S310" s="85"/>
      <c r="U310" s="94"/>
      <c r="V310" s="93"/>
      <c r="W310" s="85"/>
      <c r="Y310" s="94"/>
      <c r="Z310" s="93"/>
      <c r="AA310" s="85"/>
      <c r="AC310" s="94"/>
      <c r="AD310" s="93"/>
      <c r="AE310" s="85"/>
    </row>
    <row r="311" spans="7:31" x14ac:dyDescent="0.35">
      <c r="G311" s="85"/>
      <c r="H311" s="87"/>
      <c r="J311" s="93"/>
      <c r="K311" s="85"/>
      <c r="M311" s="94"/>
      <c r="N311" s="93"/>
      <c r="O311" s="85"/>
      <c r="Q311" s="94"/>
      <c r="R311" s="93"/>
      <c r="S311" s="85"/>
      <c r="U311" s="94"/>
      <c r="V311" s="93"/>
      <c r="W311" s="85"/>
      <c r="Y311" s="94"/>
      <c r="Z311" s="93"/>
      <c r="AA311" s="85"/>
      <c r="AC311" s="94"/>
      <c r="AD311" s="93"/>
      <c r="AE311" s="85"/>
    </row>
    <row r="312" spans="7:31" x14ac:dyDescent="0.35">
      <c r="G312" s="85"/>
      <c r="H312" s="87"/>
      <c r="J312" s="93"/>
      <c r="K312" s="85"/>
      <c r="M312" s="94"/>
      <c r="N312" s="93"/>
      <c r="O312" s="85"/>
      <c r="Q312" s="94"/>
      <c r="R312" s="93"/>
      <c r="S312" s="85"/>
      <c r="U312" s="94"/>
      <c r="V312" s="93"/>
      <c r="W312" s="85"/>
      <c r="Y312" s="94"/>
      <c r="Z312" s="93"/>
      <c r="AA312" s="85"/>
      <c r="AC312" s="94"/>
      <c r="AD312" s="93"/>
      <c r="AE312" s="85"/>
    </row>
    <row r="313" spans="7:31" x14ac:dyDescent="0.35">
      <c r="G313" s="85"/>
      <c r="H313" s="87"/>
      <c r="J313" s="93"/>
      <c r="K313" s="85"/>
      <c r="M313" s="94"/>
      <c r="N313" s="93"/>
      <c r="O313" s="85"/>
      <c r="Q313" s="94"/>
      <c r="R313" s="93"/>
      <c r="S313" s="85"/>
      <c r="U313" s="94"/>
      <c r="V313" s="93"/>
      <c r="W313" s="85"/>
      <c r="Y313" s="94"/>
      <c r="Z313" s="93"/>
      <c r="AA313" s="85"/>
      <c r="AC313" s="94"/>
      <c r="AD313" s="93"/>
      <c r="AE313" s="85"/>
    </row>
    <row r="314" spans="7:31" x14ac:dyDescent="0.35">
      <c r="G314" s="85"/>
      <c r="H314" s="87"/>
      <c r="J314" s="93"/>
      <c r="K314" s="85"/>
      <c r="M314" s="94"/>
      <c r="N314" s="93"/>
      <c r="O314" s="85"/>
      <c r="Q314" s="94"/>
      <c r="R314" s="93"/>
      <c r="S314" s="85"/>
      <c r="U314" s="94"/>
      <c r="V314" s="93"/>
      <c r="W314" s="85"/>
      <c r="Y314" s="94"/>
      <c r="Z314" s="93"/>
      <c r="AA314" s="85"/>
      <c r="AC314" s="94"/>
      <c r="AD314" s="93"/>
      <c r="AE314" s="85"/>
    </row>
    <row r="315" spans="7:31" x14ac:dyDescent="0.35">
      <c r="G315" s="85"/>
      <c r="H315" s="87"/>
      <c r="J315" s="93"/>
      <c r="K315" s="85"/>
      <c r="M315" s="94"/>
      <c r="N315" s="93"/>
      <c r="O315" s="85"/>
      <c r="Q315" s="94"/>
      <c r="R315" s="93"/>
      <c r="S315" s="85"/>
      <c r="U315" s="94"/>
      <c r="V315" s="93"/>
      <c r="W315" s="85"/>
      <c r="Y315" s="94"/>
      <c r="Z315" s="93"/>
      <c r="AA315" s="85"/>
      <c r="AC315" s="94"/>
      <c r="AD315" s="93"/>
      <c r="AE315" s="85"/>
    </row>
    <row r="316" spans="7:31" x14ac:dyDescent="0.35">
      <c r="G316" s="85"/>
      <c r="H316" s="87"/>
      <c r="J316" s="93"/>
      <c r="K316" s="85"/>
      <c r="M316" s="94"/>
      <c r="N316" s="93"/>
      <c r="O316" s="85"/>
      <c r="Q316" s="94"/>
      <c r="R316" s="93"/>
      <c r="S316" s="85"/>
      <c r="U316" s="94"/>
      <c r="V316" s="93"/>
      <c r="W316" s="85"/>
      <c r="Y316" s="94"/>
      <c r="Z316" s="93"/>
      <c r="AA316" s="85"/>
      <c r="AC316" s="94"/>
      <c r="AD316" s="93"/>
      <c r="AE316" s="85"/>
    </row>
    <row r="317" spans="7:31" x14ac:dyDescent="0.35">
      <c r="G317" s="85"/>
      <c r="H317" s="87"/>
      <c r="J317" s="93"/>
      <c r="K317" s="85"/>
      <c r="M317" s="94"/>
      <c r="N317" s="93"/>
      <c r="O317" s="85"/>
      <c r="Q317" s="94"/>
      <c r="R317" s="93"/>
      <c r="S317" s="85"/>
      <c r="U317" s="94"/>
      <c r="V317" s="93"/>
      <c r="W317" s="85"/>
      <c r="Y317" s="94"/>
      <c r="Z317" s="93"/>
      <c r="AA317" s="85"/>
      <c r="AC317" s="94"/>
      <c r="AD317" s="93"/>
      <c r="AE317" s="85"/>
    </row>
    <row r="318" spans="7:31" x14ac:dyDescent="0.35">
      <c r="G318" s="85"/>
      <c r="H318" s="87"/>
      <c r="J318" s="93"/>
      <c r="K318" s="85"/>
      <c r="M318" s="94"/>
      <c r="N318" s="93"/>
      <c r="O318" s="85"/>
      <c r="Q318" s="94"/>
      <c r="R318" s="93"/>
      <c r="S318" s="85"/>
      <c r="U318" s="94"/>
      <c r="V318" s="93"/>
      <c r="W318" s="85"/>
      <c r="Y318" s="94"/>
      <c r="Z318" s="93"/>
      <c r="AA318" s="85"/>
      <c r="AC318" s="94"/>
      <c r="AD318" s="93"/>
      <c r="AE318" s="85"/>
    </row>
    <row r="319" spans="7:31" x14ac:dyDescent="0.35">
      <c r="G319" s="85"/>
      <c r="H319" s="87"/>
      <c r="J319" s="93"/>
      <c r="K319" s="85"/>
      <c r="M319" s="94"/>
      <c r="N319" s="93"/>
      <c r="O319" s="85"/>
      <c r="Q319" s="94"/>
      <c r="R319" s="93"/>
      <c r="S319" s="85"/>
      <c r="U319" s="94"/>
      <c r="V319" s="93"/>
      <c r="W319" s="85"/>
      <c r="Y319" s="94"/>
      <c r="Z319" s="93"/>
      <c r="AA319" s="85"/>
      <c r="AC319" s="94"/>
      <c r="AD319" s="93"/>
      <c r="AE319" s="85"/>
    </row>
    <row r="320" spans="7:31" x14ac:dyDescent="0.35">
      <c r="G320" s="85"/>
      <c r="H320" s="87"/>
      <c r="J320" s="93"/>
      <c r="K320" s="85"/>
      <c r="M320" s="94"/>
      <c r="N320" s="93"/>
      <c r="O320" s="85"/>
      <c r="Q320" s="94"/>
      <c r="R320" s="93"/>
      <c r="S320" s="85"/>
      <c r="U320" s="94"/>
      <c r="V320" s="93"/>
      <c r="W320" s="85"/>
      <c r="Y320" s="94"/>
      <c r="Z320" s="93"/>
      <c r="AA320" s="85"/>
      <c r="AC320" s="94"/>
      <c r="AD320" s="93"/>
      <c r="AE320" s="85"/>
    </row>
    <row r="321" spans="7:31" x14ac:dyDescent="0.35">
      <c r="G321" s="85"/>
      <c r="H321" s="87"/>
      <c r="J321" s="93"/>
      <c r="K321" s="85"/>
      <c r="M321" s="94"/>
      <c r="N321" s="93"/>
      <c r="O321" s="85"/>
      <c r="Q321" s="94"/>
      <c r="R321" s="93"/>
      <c r="S321" s="85"/>
      <c r="U321" s="94"/>
      <c r="V321" s="93"/>
      <c r="W321" s="85"/>
      <c r="Y321" s="94"/>
      <c r="Z321" s="93"/>
      <c r="AA321" s="85"/>
      <c r="AC321" s="94"/>
      <c r="AD321" s="93"/>
      <c r="AE321" s="85"/>
    </row>
    <row r="322" spans="7:31" x14ac:dyDescent="0.35">
      <c r="G322" s="85"/>
      <c r="H322" s="87"/>
      <c r="J322" s="93"/>
      <c r="K322" s="85"/>
      <c r="M322" s="94"/>
      <c r="N322" s="93"/>
      <c r="O322" s="85"/>
      <c r="Q322" s="94"/>
      <c r="R322" s="93"/>
      <c r="S322" s="85"/>
      <c r="U322" s="94"/>
      <c r="V322" s="93"/>
      <c r="W322" s="85"/>
      <c r="Y322" s="94"/>
      <c r="Z322" s="93"/>
      <c r="AA322" s="85"/>
      <c r="AC322" s="94"/>
      <c r="AD322" s="93"/>
      <c r="AE322" s="85"/>
    </row>
    <row r="323" spans="7:31" x14ac:dyDescent="0.35">
      <c r="G323" s="85"/>
      <c r="H323" s="87"/>
      <c r="J323" s="93"/>
      <c r="K323" s="85"/>
      <c r="M323" s="94"/>
      <c r="N323" s="93"/>
      <c r="O323" s="85"/>
      <c r="Q323" s="94"/>
      <c r="R323" s="93"/>
      <c r="S323" s="85"/>
      <c r="U323" s="94"/>
      <c r="V323" s="93"/>
      <c r="W323" s="85"/>
      <c r="Y323" s="94"/>
      <c r="Z323" s="93"/>
      <c r="AA323" s="85"/>
      <c r="AC323" s="94"/>
      <c r="AD323" s="93"/>
      <c r="AE323" s="85"/>
    </row>
    <row r="324" spans="7:31" x14ac:dyDescent="0.35">
      <c r="G324" s="85"/>
      <c r="H324" s="87"/>
      <c r="J324" s="93"/>
      <c r="K324" s="85"/>
      <c r="M324" s="94"/>
      <c r="N324" s="93"/>
      <c r="O324" s="85"/>
      <c r="Q324" s="94"/>
      <c r="R324" s="93"/>
      <c r="S324" s="85"/>
      <c r="U324" s="94"/>
      <c r="V324" s="93"/>
      <c r="W324" s="85"/>
      <c r="Y324" s="94"/>
      <c r="Z324" s="93"/>
      <c r="AA324" s="85"/>
      <c r="AC324" s="94"/>
      <c r="AD324" s="93"/>
      <c r="AE324" s="85"/>
    </row>
    <row r="325" spans="7:31" x14ac:dyDescent="0.35">
      <c r="G325" s="85"/>
      <c r="H325" s="87"/>
      <c r="J325" s="93"/>
      <c r="K325" s="85"/>
      <c r="M325" s="94"/>
      <c r="N325" s="93"/>
      <c r="O325" s="85"/>
      <c r="Q325" s="94"/>
      <c r="R325" s="93"/>
      <c r="S325" s="85"/>
      <c r="U325" s="94"/>
      <c r="V325" s="93"/>
      <c r="W325" s="85"/>
      <c r="Y325" s="94"/>
      <c r="Z325" s="93"/>
      <c r="AA325" s="85"/>
      <c r="AC325" s="94"/>
      <c r="AD325" s="93"/>
      <c r="AE325" s="85"/>
    </row>
    <row r="326" spans="7:31" x14ac:dyDescent="0.35">
      <c r="G326" s="85"/>
      <c r="H326" s="87"/>
      <c r="J326" s="93"/>
      <c r="K326" s="85"/>
      <c r="M326" s="94"/>
      <c r="N326" s="93"/>
      <c r="O326" s="85"/>
      <c r="Q326" s="94"/>
      <c r="R326" s="93"/>
      <c r="S326" s="85"/>
      <c r="U326" s="94"/>
      <c r="V326" s="93"/>
      <c r="W326" s="85"/>
      <c r="Y326" s="94"/>
      <c r="Z326" s="93"/>
      <c r="AA326" s="85"/>
      <c r="AC326" s="94"/>
      <c r="AD326" s="93"/>
      <c r="AE326" s="85"/>
    </row>
    <row r="327" spans="7:31" x14ac:dyDescent="0.35">
      <c r="G327" s="85"/>
      <c r="H327" s="87"/>
      <c r="J327" s="93"/>
      <c r="K327" s="85"/>
      <c r="M327" s="94"/>
      <c r="N327" s="93"/>
      <c r="O327" s="85"/>
      <c r="Q327" s="94"/>
      <c r="R327" s="93"/>
      <c r="S327" s="85"/>
      <c r="U327" s="94"/>
      <c r="V327" s="93"/>
      <c r="W327" s="85"/>
      <c r="Y327" s="94"/>
      <c r="Z327" s="93"/>
      <c r="AA327" s="85"/>
      <c r="AC327" s="94"/>
      <c r="AD327" s="93"/>
      <c r="AE327" s="85"/>
    </row>
    <row r="328" spans="7:31" x14ac:dyDescent="0.35">
      <c r="G328" s="85"/>
      <c r="H328" s="87"/>
      <c r="J328" s="93"/>
      <c r="K328" s="85"/>
      <c r="M328" s="94"/>
      <c r="N328" s="93"/>
      <c r="O328" s="85"/>
      <c r="Q328" s="94"/>
      <c r="R328" s="93"/>
      <c r="S328" s="85"/>
      <c r="U328" s="94"/>
      <c r="V328" s="93"/>
      <c r="W328" s="85"/>
      <c r="Y328" s="94"/>
      <c r="Z328" s="93"/>
      <c r="AA328" s="85"/>
      <c r="AC328" s="94"/>
      <c r="AD328" s="93"/>
      <c r="AE328" s="85"/>
    </row>
    <row r="329" spans="7:31" x14ac:dyDescent="0.35">
      <c r="G329" s="85"/>
      <c r="H329" s="87"/>
      <c r="J329" s="93"/>
      <c r="K329" s="85"/>
      <c r="M329" s="94"/>
      <c r="N329" s="93"/>
      <c r="O329" s="85"/>
      <c r="Q329" s="94"/>
      <c r="R329" s="93"/>
      <c r="S329" s="85"/>
      <c r="U329" s="94"/>
      <c r="V329" s="93"/>
      <c r="W329" s="85"/>
      <c r="Y329" s="94"/>
      <c r="Z329" s="93"/>
      <c r="AA329" s="85"/>
      <c r="AC329" s="94"/>
      <c r="AD329" s="93"/>
      <c r="AE329" s="85"/>
    </row>
    <row r="330" spans="7:31" x14ac:dyDescent="0.35">
      <c r="G330" s="85"/>
      <c r="H330" s="87"/>
      <c r="J330" s="93"/>
      <c r="K330" s="85"/>
      <c r="M330" s="94"/>
      <c r="N330" s="93"/>
      <c r="O330" s="85"/>
      <c r="Q330" s="94"/>
      <c r="R330" s="93"/>
      <c r="S330" s="85"/>
      <c r="U330" s="94"/>
      <c r="V330" s="93"/>
      <c r="W330" s="85"/>
      <c r="Y330" s="94"/>
      <c r="Z330" s="93"/>
      <c r="AA330" s="85"/>
      <c r="AC330" s="94"/>
      <c r="AD330" s="93"/>
      <c r="AE330" s="85"/>
    </row>
    <row r="331" spans="7:31" x14ac:dyDescent="0.35">
      <c r="G331" s="85"/>
      <c r="H331" s="87"/>
      <c r="J331" s="93"/>
      <c r="K331" s="85"/>
      <c r="M331" s="94"/>
      <c r="N331" s="93"/>
      <c r="O331" s="85"/>
      <c r="Q331" s="94"/>
      <c r="R331" s="93"/>
      <c r="S331" s="85"/>
      <c r="U331" s="94"/>
      <c r="V331" s="93"/>
      <c r="W331" s="85"/>
      <c r="Y331" s="94"/>
      <c r="Z331" s="93"/>
      <c r="AA331" s="85"/>
      <c r="AC331" s="94"/>
      <c r="AD331" s="93"/>
      <c r="AE331" s="85"/>
    </row>
    <row r="332" spans="7:31" x14ac:dyDescent="0.35">
      <c r="G332" s="85"/>
      <c r="H332" s="87"/>
      <c r="J332" s="93"/>
      <c r="K332" s="85"/>
      <c r="M332" s="94"/>
      <c r="N332" s="93"/>
      <c r="O332" s="85"/>
      <c r="Q332" s="94"/>
      <c r="R332" s="93"/>
      <c r="S332" s="85"/>
      <c r="U332" s="94"/>
      <c r="V332" s="93"/>
      <c r="W332" s="85"/>
      <c r="Y332" s="94"/>
      <c r="Z332" s="93"/>
      <c r="AA332" s="85"/>
      <c r="AC332" s="94"/>
      <c r="AD332" s="93"/>
      <c r="AE332" s="85"/>
    </row>
    <row r="333" spans="7:31" x14ac:dyDescent="0.35">
      <c r="G333" s="85"/>
      <c r="H333" s="87"/>
      <c r="J333" s="93"/>
      <c r="K333" s="85"/>
      <c r="M333" s="94"/>
      <c r="N333" s="93"/>
      <c r="O333" s="85"/>
      <c r="Q333" s="94"/>
      <c r="R333" s="93"/>
      <c r="S333" s="85"/>
      <c r="U333" s="94"/>
      <c r="V333" s="93"/>
      <c r="W333" s="85"/>
      <c r="Y333" s="94"/>
      <c r="Z333" s="93"/>
      <c r="AA333" s="85"/>
      <c r="AC333" s="94"/>
      <c r="AD333" s="93"/>
      <c r="AE333" s="85"/>
    </row>
    <row r="334" spans="7:31" x14ac:dyDescent="0.35">
      <c r="G334" s="85"/>
      <c r="H334" s="87"/>
      <c r="J334" s="93"/>
      <c r="K334" s="85"/>
      <c r="M334" s="94"/>
      <c r="N334" s="93"/>
      <c r="O334" s="85"/>
      <c r="Q334" s="94"/>
      <c r="R334" s="93"/>
      <c r="S334" s="85"/>
      <c r="U334" s="94"/>
      <c r="V334" s="93"/>
      <c r="W334" s="85"/>
      <c r="Y334" s="94"/>
      <c r="Z334" s="93"/>
      <c r="AA334" s="85"/>
      <c r="AC334" s="94"/>
      <c r="AD334" s="93"/>
      <c r="AE334" s="85"/>
    </row>
    <row r="335" spans="7:31" x14ac:dyDescent="0.35">
      <c r="G335" s="85"/>
      <c r="H335" s="87"/>
      <c r="J335" s="93"/>
      <c r="K335" s="85"/>
      <c r="M335" s="94"/>
      <c r="N335" s="93"/>
      <c r="O335" s="85"/>
      <c r="Q335" s="94"/>
      <c r="R335" s="93"/>
      <c r="S335" s="85"/>
      <c r="U335" s="94"/>
      <c r="V335" s="93"/>
      <c r="W335" s="85"/>
      <c r="Y335" s="94"/>
      <c r="Z335" s="93"/>
      <c r="AA335" s="85"/>
      <c r="AC335" s="94"/>
      <c r="AD335" s="93"/>
      <c r="AE335" s="85"/>
    </row>
    <row r="336" spans="7:31" x14ac:dyDescent="0.35">
      <c r="G336" s="85"/>
      <c r="H336" s="87"/>
      <c r="J336" s="93"/>
      <c r="K336" s="85"/>
      <c r="M336" s="94"/>
      <c r="N336" s="93"/>
      <c r="O336" s="85"/>
      <c r="Q336" s="94"/>
      <c r="R336" s="93"/>
      <c r="S336" s="85"/>
      <c r="U336" s="94"/>
      <c r="V336" s="93"/>
      <c r="W336" s="85"/>
      <c r="Y336" s="94"/>
      <c r="Z336" s="93"/>
      <c r="AA336" s="85"/>
      <c r="AC336" s="94"/>
      <c r="AD336" s="93"/>
      <c r="AE336" s="85"/>
    </row>
    <row r="337" spans="7:31" x14ac:dyDescent="0.35">
      <c r="G337" s="85"/>
      <c r="H337" s="87"/>
      <c r="J337" s="93"/>
      <c r="K337" s="85"/>
      <c r="M337" s="94"/>
      <c r="N337" s="93"/>
      <c r="O337" s="85"/>
      <c r="Q337" s="94"/>
      <c r="R337" s="93"/>
      <c r="S337" s="85"/>
      <c r="U337" s="94"/>
      <c r="V337" s="93"/>
      <c r="W337" s="85"/>
      <c r="Y337" s="94"/>
      <c r="Z337" s="93"/>
      <c r="AA337" s="85"/>
      <c r="AC337" s="94"/>
      <c r="AD337" s="93"/>
      <c r="AE337" s="85"/>
    </row>
    <row r="338" spans="7:31" x14ac:dyDescent="0.35">
      <c r="G338" s="85"/>
      <c r="H338" s="87"/>
      <c r="J338" s="93"/>
      <c r="K338" s="85"/>
      <c r="M338" s="94"/>
      <c r="N338" s="93"/>
      <c r="O338" s="85"/>
      <c r="Q338" s="94"/>
      <c r="R338" s="93"/>
      <c r="S338" s="85"/>
      <c r="U338" s="94"/>
      <c r="V338" s="93"/>
      <c r="W338" s="85"/>
      <c r="Y338" s="94"/>
      <c r="Z338" s="93"/>
      <c r="AA338" s="85"/>
      <c r="AC338" s="94"/>
      <c r="AD338" s="93"/>
      <c r="AE338" s="85"/>
    </row>
    <row r="339" spans="7:31" x14ac:dyDescent="0.35">
      <c r="G339" s="85"/>
      <c r="H339" s="87"/>
      <c r="J339" s="93"/>
      <c r="K339" s="85"/>
      <c r="M339" s="94"/>
      <c r="N339" s="93"/>
      <c r="O339" s="85"/>
      <c r="Q339" s="94"/>
      <c r="R339" s="93"/>
      <c r="S339" s="85"/>
      <c r="U339" s="94"/>
      <c r="V339" s="93"/>
      <c r="W339" s="85"/>
      <c r="Y339" s="94"/>
      <c r="Z339" s="93"/>
      <c r="AA339" s="85"/>
      <c r="AC339" s="94"/>
      <c r="AD339" s="93"/>
      <c r="AE339" s="85"/>
    </row>
    <row r="340" spans="7:31" x14ac:dyDescent="0.35">
      <c r="G340" s="85"/>
      <c r="H340" s="87"/>
      <c r="J340" s="93"/>
      <c r="K340" s="85"/>
      <c r="M340" s="94"/>
      <c r="N340" s="93"/>
      <c r="O340" s="85"/>
      <c r="Q340" s="94"/>
      <c r="R340" s="93"/>
      <c r="S340" s="85"/>
      <c r="U340" s="94"/>
      <c r="V340" s="93"/>
      <c r="W340" s="85"/>
      <c r="Y340" s="94"/>
      <c r="Z340" s="93"/>
      <c r="AA340" s="85"/>
      <c r="AC340" s="94"/>
      <c r="AD340" s="93"/>
      <c r="AE340" s="85"/>
    </row>
    <row r="341" spans="7:31" x14ac:dyDescent="0.35">
      <c r="G341" s="85"/>
      <c r="H341" s="87"/>
      <c r="J341" s="93"/>
      <c r="K341" s="85"/>
      <c r="M341" s="94"/>
      <c r="N341" s="93"/>
      <c r="O341" s="85"/>
      <c r="Q341" s="94"/>
      <c r="R341" s="93"/>
      <c r="S341" s="85"/>
      <c r="U341" s="94"/>
      <c r="V341" s="93"/>
      <c r="W341" s="85"/>
      <c r="Y341" s="94"/>
      <c r="Z341" s="93"/>
      <c r="AA341" s="85"/>
      <c r="AC341" s="94"/>
      <c r="AD341" s="93"/>
      <c r="AE341" s="85"/>
    </row>
    <row r="342" spans="7:31" x14ac:dyDescent="0.35">
      <c r="G342" s="85"/>
      <c r="H342" s="87"/>
      <c r="J342" s="93"/>
      <c r="K342" s="85"/>
      <c r="M342" s="94"/>
      <c r="N342" s="93"/>
      <c r="O342" s="85"/>
      <c r="Q342" s="94"/>
      <c r="R342" s="93"/>
      <c r="S342" s="85"/>
      <c r="U342" s="94"/>
      <c r="V342" s="93"/>
      <c r="W342" s="85"/>
      <c r="Y342" s="94"/>
      <c r="Z342" s="93"/>
      <c r="AA342" s="85"/>
      <c r="AC342" s="94"/>
      <c r="AD342" s="93"/>
      <c r="AE342" s="85"/>
    </row>
    <row r="343" spans="7:31" x14ac:dyDescent="0.35">
      <c r="G343" s="85"/>
      <c r="H343" s="87"/>
      <c r="J343" s="93"/>
      <c r="K343" s="85"/>
      <c r="M343" s="94"/>
      <c r="N343" s="93"/>
      <c r="O343" s="85"/>
      <c r="Q343" s="94"/>
      <c r="R343" s="93"/>
      <c r="S343" s="85"/>
      <c r="U343" s="94"/>
      <c r="V343" s="93"/>
      <c r="W343" s="85"/>
      <c r="Y343" s="94"/>
      <c r="Z343" s="93"/>
      <c r="AA343" s="85"/>
      <c r="AC343" s="94"/>
      <c r="AD343" s="93"/>
      <c r="AE343" s="85"/>
    </row>
    <row r="344" spans="7:31" x14ac:dyDescent="0.35">
      <c r="G344" s="85"/>
      <c r="H344" s="87"/>
      <c r="J344" s="93"/>
      <c r="K344" s="85"/>
      <c r="M344" s="94"/>
      <c r="N344" s="93"/>
      <c r="O344" s="85"/>
      <c r="Q344" s="94"/>
      <c r="R344" s="93"/>
      <c r="S344" s="85"/>
      <c r="U344" s="94"/>
      <c r="V344" s="93"/>
      <c r="W344" s="85"/>
      <c r="Y344" s="94"/>
      <c r="Z344" s="93"/>
      <c r="AA344" s="85"/>
      <c r="AC344" s="94"/>
      <c r="AD344" s="93"/>
      <c r="AE344" s="85"/>
    </row>
    <row r="345" spans="7:31" x14ac:dyDescent="0.35">
      <c r="G345" s="85"/>
      <c r="H345" s="87"/>
      <c r="J345" s="93"/>
      <c r="K345" s="85"/>
      <c r="M345" s="94"/>
      <c r="N345" s="93"/>
      <c r="O345" s="85"/>
      <c r="Q345" s="94"/>
      <c r="R345" s="93"/>
      <c r="S345" s="85"/>
      <c r="U345" s="94"/>
      <c r="V345" s="93"/>
      <c r="W345" s="85"/>
      <c r="Y345" s="94"/>
      <c r="Z345" s="93"/>
      <c r="AA345" s="85"/>
      <c r="AC345" s="94"/>
      <c r="AD345" s="93"/>
      <c r="AE345" s="85"/>
    </row>
    <row r="346" spans="7:31" x14ac:dyDescent="0.35">
      <c r="G346" s="85"/>
      <c r="H346" s="87"/>
      <c r="J346" s="93"/>
      <c r="K346" s="85"/>
      <c r="M346" s="94"/>
      <c r="N346" s="93"/>
      <c r="O346" s="85"/>
      <c r="Q346" s="94"/>
      <c r="R346" s="93"/>
      <c r="S346" s="85"/>
      <c r="U346" s="94"/>
      <c r="V346" s="93"/>
      <c r="W346" s="85"/>
      <c r="Y346" s="94"/>
      <c r="Z346" s="93"/>
      <c r="AA346" s="85"/>
      <c r="AC346" s="94"/>
      <c r="AD346" s="93"/>
      <c r="AE346" s="85"/>
    </row>
    <row r="347" spans="7:31" x14ac:dyDescent="0.35">
      <c r="G347" s="85"/>
      <c r="H347" s="87"/>
      <c r="J347" s="93"/>
      <c r="K347" s="85"/>
      <c r="M347" s="94"/>
      <c r="N347" s="93"/>
      <c r="O347" s="85"/>
      <c r="Q347" s="94"/>
      <c r="R347" s="93"/>
      <c r="S347" s="85"/>
      <c r="U347" s="94"/>
      <c r="V347" s="93"/>
      <c r="W347" s="85"/>
      <c r="Y347" s="94"/>
      <c r="Z347" s="93"/>
      <c r="AA347" s="85"/>
      <c r="AC347" s="94"/>
      <c r="AD347" s="93"/>
      <c r="AE347" s="85"/>
    </row>
    <row r="348" spans="7:31" x14ac:dyDescent="0.35">
      <c r="G348" s="85"/>
      <c r="H348" s="87"/>
      <c r="J348" s="93"/>
      <c r="K348" s="85"/>
      <c r="M348" s="94"/>
      <c r="N348" s="93"/>
      <c r="O348" s="85"/>
      <c r="Q348" s="94"/>
      <c r="R348" s="93"/>
      <c r="S348" s="85"/>
      <c r="U348" s="94"/>
      <c r="V348" s="93"/>
      <c r="W348" s="85"/>
      <c r="Y348" s="94"/>
      <c r="Z348" s="93"/>
      <c r="AA348" s="85"/>
      <c r="AC348" s="94"/>
      <c r="AD348" s="93"/>
      <c r="AE348" s="85"/>
    </row>
    <row r="349" spans="7:31" x14ac:dyDescent="0.35">
      <c r="G349" s="85"/>
      <c r="H349" s="87"/>
      <c r="J349" s="93"/>
      <c r="K349" s="85"/>
      <c r="M349" s="94"/>
      <c r="N349" s="93"/>
      <c r="O349" s="85"/>
      <c r="Q349" s="94"/>
      <c r="R349" s="93"/>
      <c r="S349" s="85"/>
      <c r="U349" s="94"/>
      <c r="V349" s="93"/>
      <c r="W349" s="85"/>
      <c r="Y349" s="94"/>
      <c r="Z349" s="93"/>
      <c r="AA349" s="85"/>
      <c r="AC349" s="94"/>
      <c r="AD349" s="93"/>
      <c r="AE349" s="85"/>
    </row>
    <row r="350" spans="7:31" x14ac:dyDescent="0.35">
      <c r="G350" s="85"/>
      <c r="H350" s="87"/>
      <c r="J350" s="93"/>
      <c r="K350" s="85"/>
      <c r="M350" s="94"/>
      <c r="N350" s="93"/>
      <c r="O350" s="85"/>
      <c r="Q350" s="94"/>
      <c r="R350" s="93"/>
      <c r="S350" s="85"/>
      <c r="U350" s="94"/>
      <c r="V350" s="93"/>
      <c r="W350" s="85"/>
      <c r="Y350" s="94"/>
      <c r="Z350" s="93"/>
      <c r="AA350" s="85"/>
      <c r="AC350" s="94"/>
      <c r="AD350" s="93"/>
      <c r="AE350" s="85"/>
    </row>
    <row r="351" spans="7:31" x14ac:dyDescent="0.35">
      <c r="G351" s="85"/>
      <c r="H351" s="87"/>
      <c r="J351" s="93"/>
      <c r="K351" s="85"/>
      <c r="M351" s="94"/>
      <c r="N351" s="93"/>
      <c r="O351" s="85"/>
      <c r="Q351" s="94"/>
      <c r="R351" s="93"/>
      <c r="S351" s="85"/>
      <c r="U351" s="94"/>
      <c r="V351" s="93"/>
      <c r="W351" s="85"/>
      <c r="Y351" s="94"/>
      <c r="Z351" s="93"/>
      <c r="AA351" s="85"/>
      <c r="AC351" s="94"/>
      <c r="AD351" s="93"/>
      <c r="AE351" s="85"/>
    </row>
    <row r="352" spans="7:31" x14ac:dyDescent="0.35">
      <c r="G352" s="85"/>
      <c r="H352" s="87"/>
      <c r="J352" s="93"/>
      <c r="K352" s="85"/>
      <c r="M352" s="94"/>
      <c r="N352" s="93"/>
      <c r="O352" s="85"/>
      <c r="Q352" s="94"/>
      <c r="R352" s="93"/>
      <c r="S352" s="85"/>
      <c r="U352" s="94"/>
      <c r="V352" s="93"/>
      <c r="W352" s="85"/>
      <c r="Y352" s="94"/>
      <c r="Z352" s="93"/>
      <c r="AA352" s="85"/>
      <c r="AC352" s="94"/>
      <c r="AD352" s="93"/>
      <c r="AE352" s="85"/>
    </row>
    <row r="353" spans="7:31" x14ac:dyDescent="0.35">
      <c r="G353" s="85"/>
      <c r="H353" s="87"/>
      <c r="J353" s="93"/>
      <c r="K353" s="85"/>
      <c r="M353" s="94"/>
      <c r="N353" s="93"/>
      <c r="O353" s="85"/>
      <c r="Q353" s="94"/>
      <c r="R353" s="93"/>
      <c r="S353" s="85"/>
      <c r="U353" s="94"/>
      <c r="V353" s="93"/>
      <c r="W353" s="85"/>
      <c r="Y353" s="94"/>
      <c r="Z353" s="93"/>
      <c r="AA353" s="85"/>
      <c r="AC353" s="94"/>
      <c r="AD353" s="93"/>
      <c r="AE353" s="85"/>
    </row>
    <row r="354" spans="7:31" x14ac:dyDescent="0.35">
      <c r="G354" s="85"/>
      <c r="H354" s="87"/>
      <c r="J354" s="93"/>
      <c r="K354" s="85"/>
      <c r="M354" s="94"/>
      <c r="N354" s="93"/>
      <c r="O354" s="85"/>
      <c r="Q354" s="94"/>
      <c r="R354" s="93"/>
      <c r="S354" s="85"/>
      <c r="U354" s="94"/>
      <c r="V354" s="93"/>
      <c r="W354" s="85"/>
      <c r="Y354" s="94"/>
      <c r="Z354" s="93"/>
      <c r="AA354" s="85"/>
      <c r="AC354" s="94"/>
      <c r="AD354" s="93"/>
      <c r="AE354" s="85"/>
    </row>
    <row r="355" spans="7:31" x14ac:dyDescent="0.35">
      <c r="G355" s="85"/>
      <c r="H355" s="87"/>
      <c r="J355" s="93"/>
      <c r="K355" s="85"/>
      <c r="M355" s="94"/>
      <c r="N355" s="93"/>
      <c r="O355" s="85"/>
      <c r="Q355" s="94"/>
      <c r="R355" s="93"/>
      <c r="S355" s="85"/>
      <c r="U355" s="94"/>
      <c r="V355" s="93"/>
      <c r="W355" s="85"/>
      <c r="Y355" s="94"/>
      <c r="Z355" s="93"/>
      <c r="AA355" s="85"/>
      <c r="AC355" s="94"/>
      <c r="AD355" s="93"/>
      <c r="AE355" s="85"/>
    </row>
    <row r="356" spans="7:31" x14ac:dyDescent="0.35">
      <c r="G356" s="85"/>
      <c r="H356" s="87"/>
      <c r="J356" s="93"/>
      <c r="K356" s="85"/>
      <c r="M356" s="94"/>
      <c r="N356" s="93"/>
      <c r="O356" s="85"/>
      <c r="Q356" s="94"/>
      <c r="R356" s="93"/>
      <c r="S356" s="85"/>
      <c r="U356" s="94"/>
      <c r="V356" s="93"/>
      <c r="W356" s="85"/>
      <c r="Y356" s="94"/>
      <c r="Z356" s="93"/>
      <c r="AA356" s="85"/>
      <c r="AC356" s="94"/>
      <c r="AD356" s="93"/>
      <c r="AE356" s="85"/>
    </row>
    <row r="357" spans="7:31" x14ac:dyDescent="0.35">
      <c r="G357" s="85"/>
      <c r="H357" s="87"/>
      <c r="J357" s="93"/>
      <c r="K357" s="85"/>
      <c r="M357" s="94"/>
      <c r="N357" s="93"/>
      <c r="O357" s="85"/>
      <c r="Q357" s="94"/>
      <c r="R357" s="93"/>
      <c r="S357" s="85"/>
      <c r="U357" s="94"/>
      <c r="V357" s="93"/>
      <c r="W357" s="85"/>
      <c r="Y357" s="94"/>
      <c r="Z357" s="93"/>
      <c r="AA357" s="85"/>
      <c r="AC357" s="94"/>
      <c r="AD357" s="93"/>
      <c r="AE357" s="85"/>
    </row>
    <row r="358" spans="7:31" x14ac:dyDescent="0.35">
      <c r="G358" s="85"/>
      <c r="H358" s="87"/>
      <c r="J358" s="93"/>
      <c r="K358" s="85"/>
      <c r="M358" s="94"/>
      <c r="N358" s="93"/>
      <c r="O358" s="85"/>
      <c r="Q358" s="94"/>
      <c r="R358" s="93"/>
      <c r="S358" s="85"/>
      <c r="U358" s="94"/>
      <c r="V358" s="93"/>
      <c r="W358" s="85"/>
      <c r="Y358" s="94"/>
      <c r="Z358" s="93"/>
      <c r="AA358" s="85"/>
      <c r="AC358" s="94"/>
      <c r="AD358" s="93"/>
      <c r="AE358" s="85"/>
    </row>
    <row r="359" spans="7:31" x14ac:dyDescent="0.35">
      <c r="G359" s="85"/>
      <c r="H359" s="87"/>
      <c r="J359" s="93"/>
      <c r="K359" s="85"/>
      <c r="M359" s="94"/>
      <c r="N359" s="93"/>
      <c r="O359" s="85"/>
      <c r="Q359" s="94"/>
      <c r="R359" s="93"/>
      <c r="S359" s="85"/>
      <c r="U359" s="94"/>
      <c r="V359" s="93"/>
      <c r="W359" s="85"/>
      <c r="Y359" s="94"/>
      <c r="Z359" s="93"/>
      <c r="AA359" s="85"/>
      <c r="AC359" s="94"/>
      <c r="AD359" s="93"/>
      <c r="AE359" s="85"/>
    </row>
    <row r="360" spans="7:31" x14ac:dyDescent="0.35">
      <c r="G360" s="85"/>
      <c r="H360" s="87"/>
      <c r="J360" s="93"/>
      <c r="K360" s="85"/>
      <c r="M360" s="94"/>
      <c r="N360" s="93"/>
      <c r="O360" s="85"/>
      <c r="Q360" s="94"/>
      <c r="R360" s="93"/>
      <c r="S360" s="85"/>
      <c r="U360" s="94"/>
      <c r="V360" s="93"/>
      <c r="W360" s="85"/>
      <c r="Y360" s="94"/>
      <c r="Z360" s="93"/>
      <c r="AA360" s="85"/>
      <c r="AC360" s="94"/>
      <c r="AD360" s="93"/>
      <c r="AE360" s="85"/>
    </row>
    <row r="361" spans="7:31" x14ac:dyDescent="0.35">
      <c r="G361" s="85"/>
      <c r="H361" s="87"/>
      <c r="J361" s="93"/>
      <c r="K361" s="85"/>
      <c r="M361" s="94"/>
      <c r="N361" s="93"/>
      <c r="O361" s="85"/>
      <c r="Q361" s="94"/>
      <c r="R361" s="93"/>
      <c r="S361" s="85"/>
      <c r="U361" s="94"/>
      <c r="V361" s="93"/>
      <c r="W361" s="85"/>
      <c r="Y361" s="94"/>
      <c r="Z361" s="93"/>
      <c r="AA361" s="85"/>
      <c r="AC361" s="94"/>
      <c r="AD361" s="93"/>
      <c r="AE361" s="85"/>
    </row>
    <row r="362" spans="7:31" x14ac:dyDescent="0.35">
      <c r="G362" s="85"/>
      <c r="H362" s="87"/>
      <c r="J362" s="93"/>
      <c r="K362" s="85"/>
      <c r="M362" s="94"/>
      <c r="N362" s="93"/>
      <c r="O362" s="85"/>
      <c r="Q362" s="94"/>
      <c r="R362" s="93"/>
      <c r="S362" s="85"/>
      <c r="U362" s="94"/>
      <c r="V362" s="93"/>
      <c r="W362" s="85"/>
      <c r="Y362" s="94"/>
      <c r="Z362" s="93"/>
      <c r="AA362" s="85"/>
      <c r="AC362" s="94"/>
      <c r="AD362" s="93"/>
      <c r="AE362" s="85"/>
    </row>
    <row r="363" spans="7:31" x14ac:dyDescent="0.35">
      <c r="G363" s="85"/>
      <c r="H363" s="87"/>
      <c r="J363" s="93"/>
      <c r="K363" s="85"/>
      <c r="M363" s="94"/>
      <c r="N363" s="93"/>
      <c r="O363" s="85"/>
      <c r="Q363" s="94"/>
      <c r="R363" s="93"/>
      <c r="S363" s="85"/>
      <c r="U363" s="94"/>
      <c r="V363" s="93"/>
      <c r="W363" s="85"/>
      <c r="Y363" s="94"/>
      <c r="Z363" s="93"/>
      <c r="AA363" s="85"/>
      <c r="AC363" s="94"/>
      <c r="AD363" s="93"/>
      <c r="AE363" s="85"/>
    </row>
    <row r="364" spans="7:31" x14ac:dyDescent="0.35">
      <c r="G364" s="85"/>
      <c r="H364" s="87"/>
      <c r="J364" s="93"/>
      <c r="K364" s="85"/>
      <c r="M364" s="94"/>
      <c r="N364" s="93"/>
      <c r="O364" s="85"/>
      <c r="Q364" s="94"/>
      <c r="R364" s="93"/>
      <c r="S364" s="85"/>
      <c r="U364" s="94"/>
      <c r="V364" s="93"/>
      <c r="W364" s="85"/>
      <c r="Y364" s="94"/>
      <c r="Z364" s="93"/>
      <c r="AA364" s="85"/>
      <c r="AC364" s="94"/>
      <c r="AD364" s="93"/>
      <c r="AE364" s="85"/>
    </row>
    <row r="365" spans="7:31" x14ac:dyDescent="0.35">
      <c r="G365" s="85"/>
      <c r="H365" s="87"/>
      <c r="J365" s="93"/>
      <c r="K365" s="85"/>
      <c r="M365" s="94"/>
      <c r="N365" s="93"/>
      <c r="O365" s="85"/>
      <c r="Q365" s="94"/>
      <c r="R365" s="93"/>
      <c r="S365" s="85"/>
      <c r="U365" s="94"/>
      <c r="V365" s="93"/>
      <c r="W365" s="85"/>
      <c r="Y365" s="94"/>
      <c r="Z365" s="93"/>
      <c r="AA365" s="85"/>
      <c r="AC365" s="94"/>
      <c r="AD365" s="93"/>
      <c r="AE365" s="85"/>
    </row>
    <row r="366" spans="7:31" x14ac:dyDescent="0.35">
      <c r="G366" s="85"/>
      <c r="H366" s="87"/>
      <c r="J366" s="93"/>
      <c r="K366" s="85"/>
      <c r="M366" s="94"/>
      <c r="N366" s="93"/>
      <c r="O366" s="85"/>
      <c r="Q366" s="94"/>
      <c r="R366" s="93"/>
      <c r="S366" s="85"/>
      <c r="U366" s="94"/>
      <c r="V366" s="93"/>
      <c r="W366" s="85"/>
      <c r="Y366" s="94"/>
      <c r="Z366" s="93"/>
      <c r="AA366" s="85"/>
      <c r="AC366" s="94"/>
      <c r="AD366" s="93"/>
      <c r="AE366" s="85"/>
    </row>
    <row r="367" spans="7:31" x14ac:dyDescent="0.35">
      <c r="G367" s="85"/>
      <c r="H367" s="87"/>
      <c r="J367" s="93"/>
      <c r="K367" s="85"/>
      <c r="M367" s="94"/>
      <c r="N367" s="93"/>
      <c r="O367" s="85"/>
      <c r="Q367" s="94"/>
      <c r="R367" s="93"/>
      <c r="S367" s="85"/>
      <c r="U367" s="94"/>
      <c r="V367" s="93"/>
      <c r="W367" s="85"/>
      <c r="Y367" s="94"/>
      <c r="Z367" s="93"/>
      <c r="AA367" s="85"/>
      <c r="AC367" s="94"/>
      <c r="AD367" s="93"/>
      <c r="AE367" s="85"/>
    </row>
    <row r="368" spans="7:31" x14ac:dyDescent="0.35">
      <c r="G368" s="85"/>
      <c r="H368" s="87"/>
      <c r="J368" s="93"/>
      <c r="K368" s="85"/>
      <c r="M368" s="94"/>
      <c r="N368" s="93"/>
      <c r="O368" s="85"/>
      <c r="Q368" s="94"/>
      <c r="R368" s="93"/>
      <c r="S368" s="85"/>
      <c r="U368" s="94"/>
      <c r="V368" s="93"/>
      <c r="W368" s="85"/>
      <c r="Y368" s="94"/>
      <c r="Z368" s="93"/>
      <c r="AA368" s="85"/>
      <c r="AC368" s="94"/>
      <c r="AD368" s="93"/>
      <c r="AE368" s="85"/>
    </row>
    <row r="369" spans="7:31" x14ac:dyDescent="0.35">
      <c r="G369" s="85"/>
      <c r="H369" s="87"/>
      <c r="J369" s="93"/>
      <c r="K369" s="85"/>
      <c r="M369" s="94"/>
      <c r="N369" s="93"/>
      <c r="O369" s="85"/>
      <c r="Q369" s="94"/>
      <c r="R369" s="93"/>
      <c r="S369" s="85"/>
      <c r="U369" s="94"/>
      <c r="V369" s="93"/>
      <c r="W369" s="85"/>
      <c r="Y369" s="94"/>
      <c r="Z369" s="93"/>
      <c r="AA369" s="85"/>
      <c r="AC369" s="94"/>
      <c r="AD369" s="93"/>
      <c r="AE369" s="85"/>
    </row>
    <row r="370" spans="7:31" x14ac:dyDescent="0.35">
      <c r="G370" s="85"/>
      <c r="H370" s="87"/>
      <c r="J370" s="93"/>
      <c r="K370" s="85"/>
      <c r="M370" s="94"/>
      <c r="N370" s="93"/>
      <c r="O370" s="85"/>
      <c r="Q370" s="94"/>
      <c r="R370" s="93"/>
      <c r="S370" s="85"/>
      <c r="U370" s="94"/>
      <c r="V370" s="93"/>
      <c r="W370" s="85"/>
      <c r="Y370" s="94"/>
      <c r="Z370" s="93"/>
      <c r="AA370" s="85"/>
      <c r="AC370" s="94"/>
      <c r="AD370" s="93"/>
      <c r="AE370" s="85"/>
    </row>
    <row r="371" spans="7:31" x14ac:dyDescent="0.35">
      <c r="G371" s="85"/>
      <c r="H371" s="87"/>
      <c r="J371" s="93"/>
      <c r="K371" s="85"/>
      <c r="M371" s="94"/>
      <c r="N371" s="93"/>
      <c r="O371" s="85"/>
      <c r="Q371" s="94"/>
      <c r="R371" s="93"/>
      <c r="S371" s="85"/>
      <c r="U371" s="94"/>
      <c r="V371" s="93"/>
      <c r="W371" s="85"/>
      <c r="Y371" s="94"/>
      <c r="Z371" s="93"/>
      <c r="AA371" s="85"/>
      <c r="AC371" s="94"/>
      <c r="AD371" s="93"/>
      <c r="AE371" s="85"/>
    </row>
    <row r="372" spans="7:31" x14ac:dyDescent="0.35">
      <c r="G372" s="85"/>
      <c r="H372" s="87"/>
      <c r="J372" s="93"/>
      <c r="K372" s="85"/>
      <c r="M372" s="94"/>
      <c r="N372" s="93"/>
      <c r="O372" s="85"/>
      <c r="Q372" s="94"/>
      <c r="R372" s="93"/>
      <c r="S372" s="85"/>
      <c r="U372" s="94"/>
      <c r="V372" s="93"/>
      <c r="W372" s="85"/>
      <c r="Y372" s="94"/>
      <c r="Z372" s="93"/>
      <c r="AA372" s="85"/>
      <c r="AC372" s="94"/>
      <c r="AD372" s="93"/>
      <c r="AE372" s="85"/>
    </row>
    <row r="373" spans="7:31" x14ac:dyDescent="0.35">
      <c r="G373" s="85"/>
      <c r="H373" s="87"/>
      <c r="J373" s="93"/>
      <c r="K373" s="85"/>
      <c r="M373" s="94"/>
      <c r="N373" s="93"/>
      <c r="O373" s="85"/>
      <c r="Q373" s="94"/>
      <c r="R373" s="93"/>
      <c r="S373" s="85"/>
      <c r="U373" s="94"/>
      <c r="V373" s="93"/>
      <c r="W373" s="85"/>
      <c r="Y373" s="94"/>
      <c r="Z373" s="93"/>
      <c r="AA373" s="85"/>
      <c r="AC373" s="94"/>
      <c r="AD373" s="93"/>
      <c r="AE373" s="85"/>
    </row>
    <row r="374" spans="7:31" x14ac:dyDescent="0.35">
      <c r="G374" s="85"/>
      <c r="H374" s="87"/>
      <c r="J374" s="93"/>
      <c r="K374" s="85"/>
      <c r="M374" s="94"/>
      <c r="N374" s="93"/>
      <c r="O374" s="85"/>
      <c r="Q374" s="94"/>
      <c r="R374" s="93"/>
      <c r="S374" s="85"/>
      <c r="U374" s="94"/>
      <c r="V374" s="93"/>
      <c r="W374" s="85"/>
      <c r="Y374" s="94"/>
      <c r="Z374" s="93"/>
      <c r="AA374" s="85"/>
      <c r="AC374" s="94"/>
      <c r="AD374" s="93"/>
      <c r="AE374" s="85"/>
    </row>
    <row r="375" spans="7:31" x14ac:dyDescent="0.35">
      <c r="G375" s="85"/>
      <c r="H375" s="87"/>
      <c r="J375" s="93"/>
      <c r="K375" s="85"/>
      <c r="M375" s="94"/>
      <c r="N375" s="93"/>
      <c r="O375" s="85"/>
      <c r="Q375" s="94"/>
      <c r="R375" s="93"/>
      <c r="S375" s="85"/>
      <c r="U375" s="94"/>
      <c r="V375" s="93"/>
      <c r="W375" s="85"/>
      <c r="Y375" s="94"/>
      <c r="Z375" s="93"/>
      <c r="AA375" s="85"/>
      <c r="AC375" s="94"/>
      <c r="AD375" s="93"/>
      <c r="AE375" s="85"/>
    </row>
    <row r="376" spans="7:31" x14ac:dyDescent="0.35">
      <c r="G376" s="85"/>
      <c r="H376" s="87"/>
      <c r="J376" s="93"/>
      <c r="K376" s="85"/>
      <c r="M376" s="94"/>
      <c r="N376" s="93"/>
      <c r="O376" s="85"/>
      <c r="Q376" s="94"/>
      <c r="R376" s="93"/>
      <c r="S376" s="85"/>
      <c r="U376" s="94"/>
      <c r="V376" s="93"/>
      <c r="W376" s="85"/>
      <c r="Y376" s="94"/>
      <c r="Z376" s="93"/>
      <c r="AA376" s="85"/>
      <c r="AC376" s="94"/>
      <c r="AD376" s="93"/>
      <c r="AE376" s="85"/>
    </row>
    <row r="377" spans="7:31" x14ac:dyDescent="0.35">
      <c r="G377" s="85"/>
      <c r="H377" s="87"/>
      <c r="J377" s="93"/>
      <c r="K377" s="85"/>
      <c r="M377" s="94"/>
      <c r="N377" s="93"/>
      <c r="O377" s="85"/>
      <c r="Q377" s="94"/>
      <c r="R377" s="93"/>
      <c r="S377" s="85"/>
      <c r="U377" s="94"/>
      <c r="V377" s="93"/>
      <c r="W377" s="85"/>
      <c r="Y377" s="94"/>
      <c r="Z377" s="93"/>
      <c r="AA377" s="85"/>
      <c r="AC377" s="94"/>
      <c r="AD377" s="93"/>
      <c r="AE377" s="85"/>
    </row>
    <row r="378" spans="7:31" x14ac:dyDescent="0.35">
      <c r="G378" s="85"/>
      <c r="H378" s="87"/>
      <c r="J378" s="93"/>
      <c r="K378" s="85"/>
      <c r="M378" s="94"/>
      <c r="N378" s="93"/>
      <c r="O378" s="85"/>
      <c r="Q378" s="94"/>
      <c r="R378" s="93"/>
      <c r="S378" s="85"/>
      <c r="U378" s="94"/>
      <c r="V378" s="93"/>
      <c r="W378" s="85"/>
      <c r="Y378" s="94"/>
      <c r="Z378" s="93"/>
      <c r="AA378" s="85"/>
      <c r="AC378" s="94"/>
      <c r="AD378" s="93"/>
      <c r="AE378" s="85"/>
    </row>
    <row r="379" spans="7:31" x14ac:dyDescent="0.35">
      <c r="G379" s="85"/>
      <c r="H379" s="87"/>
      <c r="J379" s="93"/>
      <c r="K379" s="85"/>
      <c r="M379" s="94"/>
      <c r="N379" s="93"/>
      <c r="O379" s="85"/>
      <c r="Q379" s="94"/>
      <c r="R379" s="93"/>
      <c r="S379" s="85"/>
      <c r="U379" s="94"/>
      <c r="V379" s="93"/>
      <c r="W379" s="85"/>
      <c r="Y379" s="94"/>
      <c r="Z379" s="93"/>
      <c r="AA379" s="85"/>
      <c r="AC379" s="94"/>
      <c r="AD379" s="93"/>
      <c r="AE379" s="85"/>
    </row>
    <row r="380" spans="7:31" x14ac:dyDescent="0.35">
      <c r="G380" s="85"/>
      <c r="H380" s="87"/>
      <c r="J380" s="93"/>
      <c r="K380" s="85"/>
      <c r="M380" s="94"/>
      <c r="N380" s="93"/>
      <c r="O380" s="85"/>
      <c r="Q380" s="94"/>
      <c r="R380" s="93"/>
      <c r="S380" s="85"/>
      <c r="U380" s="94"/>
      <c r="V380" s="93"/>
      <c r="W380" s="85"/>
      <c r="Y380" s="94"/>
      <c r="Z380" s="93"/>
      <c r="AA380" s="85"/>
      <c r="AC380" s="94"/>
      <c r="AD380" s="93"/>
      <c r="AE380" s="85"/>
    </row>
    <row r="381" spans="7:31" x14ac:dyDescent="0.35">
      <c r="G381" s="85"/>
      <c r="H381" s="87"/>
      <c r="J381" s="93"/>
      <c r="K381" s="85"/>
      <c r="M381" s="94"/>
      <c r="N381" s="93"/>
      <c r="O381" s="85"/>
      <c r="Q381" s="94"/>
      <c r="R381" s="93"/>
      <c r="S381" s="85"/>
      <c r="U381" s="94"/>
      <c r="V381" s="93"/>
      <c r="W381" s="85"/>
      <c r="Y381" s="94"/>
      <c r="Z381" s="93"/>
      <c r="AA381" s="85"/>
      <c r="AC381" s="94"/>
      <c r="AD381" s="93"/>
      <c r="AE381" s="85"/>
    </row>
    <row r="382" spans="7:31" x14ac:dyDescent="0.35">
      <c r="G382" s="85"/>
      <c r="H382" s="87"/>
      <c r="J382" s="93"/>
      <c r="K382" s="85"/>
      <c r="M382" s="94"/>
      <c r="N382" s="93"/>
      <c r="O382" s="85"/>
      <c r="Q382" s="94"/>
      <c r="R382" s="93"/>
      <c r="S382" s="85"/>
      <c r="U382" s="94"/>
      <c r="V382" s="93"/>
      <c r="W382" s="85"/>
      <c r="Y382" s="94"/>
      <c r="Z382" s="93"/>
      <c r="AA382" s="85"/>
      <c r="AC382" s="94"/>
      <c r="AD382" s="93"/>
      <c r="AE382" s="85"/>
    </row>
    <row r="383" spans="7:31" x14ac:dyDescent="0.35">
      <c r="G383" s="85"/>
      <c r="H383" s="87"/>
      <c r="J383" s="93"/>
      <c r="K383" s="85"/>
      <c r="M383" s="94"/>
      <c r="N383" s="93"/>
      <c r="O383" s="85"/>
      <c r="Q383" s="94"/>
      <c r="R383" s="93"/>
      <c r="S383" s="85"/>
      <c r="U383" s="94"/>
      <c r="V383" s="93"/>
      <c r="W383" s="85"/>
      <c r="Y383" s="94"/>
      <c r="Z383" s="93"/>
      <c r="AA383" s="85"/>
      <c r="AC383" s="94"/>
      <c r="AD383" s="93"/>
      <c r="AE383" s="85"/>
    </row>
    <row r="384" spans="7:31" x14ac:dyDescent="0.35">
      <c r="G384" s="85"/>
      <c r="H384" s="87"/>
      <c r="J384" s="93"/>
      <c r="K384" s="85"/>
      <c r="M384" s="94"/>
      <c r="N384" s="93"/>
      <c r="O384" s="85"/>
      <c r="Q384" s="94"/>
      <c r="R384" s="93"/>
      <c r="S384" s="85"/>
      <c r="U384" s="94"/>
      <c r="V384" s="93"/>
      <c r="W384" s="85"/>
      <c r="Y384" s="94"/>
      <c r="Z384" s="93"/>
      <c r="AA384" s="85"/>
      <c r="AC384" s="94"/>
      <c r="AD384" s="93"/>
      <c r="AE384" s="85"/>
    </row>
    <row r="385" spans="7:31" x14ac:dyDescent="0.35">
      <c r="G385" s="85"/>
      <c r="H385" s="87"/>
      <c r="J385" s="93"/>
      <c r="K385" s="85"/>
      <c r="M385" s="94"/>
      <c r="N385" s="93"/>
      <c r="O385" s="85"/>
      <c r="Q385" s="94"/>
      <c r="R385" s="93"/>
      <c r="S385" s="85"/>
      <c r="U385" s="94"/>
      <c r="V385" s="93"/>
      <c r="W385" s="85"/>
      <c r="Y385" s="94"/>
      <c r="Z385" s="93"/>
      <c r="AA385" s="85"/>
      <c r="AC385" s="94"/>
      <c r="AD385" s="93"/>
      <c r="AE385" s="85"/>
    </row>
    <row r="386" spans="7:31" x14ac:dyDescent="0.35">
      <c r="G386" s="85"/>
      <c r="H386" s="87"/>
      <c r="J386" s="93"/>
      <c r="K386" s="85"/>
      <c r="M386" s="94"/>
      <c r="N386" s="93"/>
      <c r="O386" s="85"/>
      <c r="Q386" s="94"/>
      <c r="R386" s="93"/>
      <c r="S386" s="85"/>
      <c r="U386" s="94"/>
      <c r="V386" s="93"/>
      <c r="W386" s="85"/>
      <c r="Y386" s="94"/>
      <c r="Z386" s="93"/>
      <c r="AA386" s="85"/>
      <c r="AC386" s="94"/>
      <c r="AD386" s="93"/>
      <c r="AE386" s="85"/>
    </row>
    <row r="387" spans="7:31" x14ac:dyDescent="0.35">
      <c r="G387" s="85"/>
      <c r="H387" s="87"/>
      <c r="J387" s="93"/>
      <c r="K387" s="85"/>
      <c r="M387" s="94"/>
      <c r="N387" s="93"/>
      <c r="O387" s="85"/>
      <c r="Q387" s="94"/>
      <c r="R387" s="93"/>
      <c r="S387" s="85"/>
      <c r="U387" s="94"/>
      <c r="V387" s="93"/>
      <c r="W387" s="85"/>
      <c r="Y387" s="94"/>
      <c r="Z387" s="93"/>
      <c r="AA387" s="85"/>
      <c r="AC387" s="94"/>
      <c r="AD387" s="93"/>
      <c r="AE387" s="85"/>
    </row>
    <row r="388" spans="7:31" x14ac:dyDescent="0.35">
      <c r="G388" s="85"/>
      <c r="H388" s="87"/>
      <c r="J388" s="93"/>
      <c r="K388" s="85"/>
      <c r="M388" s="94"/>
      <c r="N388" s="93"/>
      <c r="O388" s="85"/>
      <c r="Q388" s="94"/>
      <c r="R388" s="93"/>
      <c r="S388" s="85"/>
      <c r="U388" s="94"/>
      <c r="V388" s="93"/>
      <c r="W388" s="85"/>
      <c r="Y388" s="94"/>
      <c r="Z388" s="93"/>
      <c r="AA388" s="85"/>
      <c r="AC388" s="94"/>
      <c r="AD388" s="93"/>
      <c r="AE388" s="85"/>
    </row>
    <row r="389" spans="7:31" x14ac:dyDescent="0.35">
      <c r="G389" s="85"/>
      <c r="H389" s="87"/>
      <c r="J389" s="93"/>
      <c r="K389" s="85"/>
      <c r="M389" s="94"/>
      <c r="N389" s="93"/>
      <c r="O389" s="85"/>
      <c r="Q389" s="94"/>
      <c r="R389" s="93"/>
      <c r="S389" s="85"/>
      <c r="U389" s="94"/>
      <c r="V389" s="93"/>
      <c r="W389" s="85"/>
      <c r="Y389" s="94"/>
      <c r="Z389" s="93"/>
      <c r="AA389" s="85"/>
      <c r="AC389" s="94"/>
      <c r="AD389" s="93"/>
      <c r="AE389" s="85"/>
    </row>
    <row r="390" spans="7:31" x14ac:dyDescent="0.35">
      <c r="G390" s="85"/>
      <c r="H390" s="87"/>
      <c r="J390" s="93"/>
      <c r="K390" s="85"/>
      <c r="M390" s="94"/>
      <c r="N390" s="93"/>
      <c r="O390" s="85"/>
      <c r="Q390" s="94"/>
      <c r="R390" s="93"/>
      <c r="S390" s="85"/>
      <c r="U390" s="94"/>
      <c r="V390" s="93"/>
      <c r="W390" s="85"/>
      <c r="Y390" s="94"/>
      <c r="Z390" s="93"/>
      <c r="AA390" s="85"/>
      <c r="AC390" s="94"/>
      <c r="AD390" s="93"/>
      <c r="AE390" s="85"/>
    </row>
    <row r="391" spans="7:31" x14ac:dyDescent="0.35">
      <c r="G391" s="85"/>
      <c r="H391" s="87"/>
      <c r="J391" s="93"/>
      <c r="K391" s="85"/>
      <c r="M391" s="94"/>
      <c r="N391" s="93"/>
      <c r="O391" s="85"/>
      <c r="Q391" s="94"/>
      <c r="R391" s="93"/>
      <c r="S391" s="85"/>
      <c r="U391" s="94"/>
      <c r="V391" s="93"/>
      <c r="W391" s="85"/>
      <c r="Y391" s="94"/>
      <c r="Z391" s="93"/>
      <c r="AA391" s="85"/>
      <c r="AC391" s="94"/>
      <c r="AD391" s="93"/>
      <c r="AE391" s="85"/>
    </row>
    <row r="392" spans="7:31" x14ac:dyDescent="0.35">
      <c r="G392" s="85"/>
      <c r="H392" s="87"/>
      <c r="J392" s="93"/>
      <c r="K392" s="85"/>
      <c r="M392" s="94"/>
      <c r="N392" s="93"/>
      <c r="O392" s="85"/>
      <c r="Q392" s="94"/>
      <c r="R392" s="93"/>
      <c r="S392" s="85"/>
      <c r="U392" s="94"/>
      <c r="V392" s="93"/>
      <c r="W392" s="85"/>
      <c r="Y392" s="94"/>
      <c r="Z392" s="93"/>
      <c r="AA392" s="85"/>
      <c r="AC392" s="94"/>
      <c r="AD392" s="93"/>
      <c r="AE392" s="85"/>
    </row>
    <row r="393" spans="7:31" x14ac:dyDescent="0.35">
      <c r="G393" s="85"/>
      <c r="H393" s="87"/>
      <c r="J393" s="93"/>
      <c r="K393" s="85"/>
      <c r="M393" s="94"/>
      <c r="N393" s="93"/>
      <c r="O393" s="85"/>
      <c r="Q393" s="94"/>
      <c r="R393" s="93"/>
      <c r="S393" s="85"/>
      <c r="U393" s="94"/>
      <c r="V393" s="93"/>
      <c r="W393" s="85"/>
      <c r="Y393" s="94"/>
      <c r="Z393" s="93"/>
      <c r="AA393" s="85"/>
      <c r="AC393" s="94"/>
      <c r="AD393" s="93"/>
      <c r="AE393" s="85"/>
    </row>
    <row r="394" spans="7:31" x14ac:dyDescent="0.35">
      <c r="G394" s="85"/>
      <c r="H394" s="87"/>
      <c r="J394" s="93"/>
      <c r="K394" s="85"/>
      <c r="M394" s="94"/>
      <c r="N394" s="93"/>
      <c r="O394" s="85"/>
      <c r="Q394" s="94"/>
      <c r="R394" s="93"/>
      <c r="S394" s="85"/>
      <c r="U394" s="94"/>
      <c r="V394" s="93"/>
      <c r="W394" s="85"/>
      <c r="Y394" s="94"/>
      <c r="Z394" s="93"/>
      <c r="AA394" s="85"/>
      <c r="AC394" s="94"/>
      <c r="AD394" s="93"/>
      <c r="AE394" s="85"/>
    </row>
    <row r="395" spans="7:31" x14ac:dyDescent="0.35">
      <c r="G395" s="85"/>
      <c r="H395" s="87"/>
      <c r="J395" s="93"/>
      <c r="K395" s="85"/>
      <c r="M395" s="94"/>
      <c r="N395" s="93"/>
      <c r="O395" s="85"/>
      <c r="Q395" s="94"/>
      <c r="R395" s="93"/>
      <c r="S395" s="85"/>
      <c r="U395" s="94"/>
      <c r="V395" s="93"/>
      <c r="W395" s="85"/>
      <c r="Y395" s="94"/>
      <c r="Z395" s="93"/>
      <c r="AA395" s="85"/>
      <c r="AC395" s="94"/>
      <c r="AD395" s="93"/>
      <c r="AE395" s="85"/>
    </row>
    <row r="396" spans="7:31" x14ac:dyDescent="0.35">
      <c r="G396" s="85"/>
      <c r="H396" s="87"/>
      <c r="J396" s="93"/>
      <c r="K396" s="85"/>
      <c r="M396" s="94"/>
      <c r="N396" s="93"/>
      <c r="O396" s="85"/>
      <c r="Q396" s="94"/>
      <c r="R396" s="93"/>
      <c r="S396" s="85"/>
      <c r="U396" s="94"/>
      <c r="V396" s="93"/>
      <c r="W396" s="85"/>
      <c r="Y396" s="94"/>
      <c r="Z396" s="93"/>
      <c r="AA396" s="85"/>
      <c r="AC396" s="94"/>
      <c r="AD396" s="93"/>
      <c r="AE396" s="85"/>
    </row>
    <row r="397" spans="7:31" x14ac:dyDescent="0.35">
      <c r="G397" s="85"/>
      <c r="H397" s="87"/>
      <c r="J397" s="93"/>
      <c r="K397" s="85"/>
      <c r="M397" s="94"/>
      <c r="N397" s="93"/>
      <c r="O397" s="85"/>
      <c r="Q397" s="94"/>
      <c r="R397" s="93"/>
      <c r="S397" s="85"/>
      <c r="U397" s="94"/>
      <c r="V397" s="93"/>
      <c r="W397" s="85"/>
      <c r="Y397" s="94"/>
      <c r="Z397" s="93"/>
      <c r="AA397" s="85"/>
      <c r="AC397" s="94"/>
      <c r="AD397" s="93"/>
      <c r="AE397" s="85"/>
    </row>
    <row r="398" spans="7:31" x14ac:dyDescent="0.35">
      <c r="G398" s="85"/>
      <c r="H398" s="87"/>
      <c r="J398" s="93"/>
      <c r="K398" s="85"/>
      <c r="M398" s="94"/>
      <c r="N398" s="93"/>
      <c r="O398" s="85"/>
      <c r="Q398" s="94"/>
      <c r="R398" s="93"/>
      <c r="S398" s="85"/>
      <c r="U398" s="94"/>
      <c r="V398" s="93"/>
      <c r="W398" s="85"/>
      <c r="Y398" s="94"/>
      <c r="Z398" s="93"/>
      <c r="AA398" s="85"/>
      <c r="AC398" s="94"/>
      <c r="AD398" s="93"/>
      <c r="AE398" s="85"/>
    </row>
    <row r="399" spans="7:31" x14ac:dyDescent="0.35">
      <c r="G399" s="85"/>
      <c r="H399" s="87"/>
      <c r="J399" s="93"/>
      <c r="K399" s="85"/>
      <c r="M399" s="94"/>
      <c r="N399" s="93"/>
      <c r="O399" s="85"/>
      <c r="Q399" s="94"/>
      <c r="R399" s="93"/>
      <c r="S399" s="85"/>
      <c r="U399" s="94"/>
      <c r="V399" s="93"/>
      <c r="W399" s="85"/>
      <c r="Y399" s="94"/>
      <c r="Z399" s="93"/>
      <c r="AA399" s="85"/>
      <c r="AC399" s="94"/>
      <c r="AD399" s="93"/>
      <c r="AE399" s="85"/>
    </row>
    <row r="400" spans="7:31" x14ac:dyDescent="0.35">
      <c r="G400" s="85"/>
      <c r="H400" s="87"/>
      <c r="J400" s="93"/>
      <c r="K400" s="85"/>
      <c r="M400" s="94"/>
      <c r="N400" s="93"/>
      <c r="O400" s="85"/>
      <c r="Q400" s="94"/>
      <c r="R400" s="93"/>
      <c r="S400" s="85"/>
      <c r="U400" s="94"/>
      <c r="V400" s="93"/>
      <c r="W400" s="85"/>
      <c r="Y400" s="94"/>
      <c r="Z400" s="93"/>
      <c r="AA400" s="85"/>
      <c r="AC400" s="94"/>
      <c r="AD400" s="93"/>
      <c r="AE400" s="85"/>
    </row>
    <row r="401" spans="7:31" x14ac:dyDescent="0.35">
      <c r="G401" s="85"/>
      <c r="H401" s="87"/>
      <c r="J401" s="93"/>
      <c r="K401" s="85"/>
      <c r="M401" s="94"/>
      <c r="N401" s="93"/>
      <c r="O401" s="85"/>
      <c r="Q401" s="94"/>
      <c r="R401" s="93"/>
      <c r="S401" s="85"/>
      <c r="U401" s="94"/>
      <c r="V401" s="93"/>
      <c r="W401" s="85"/>
      <c r="Y401" s="94"/>
      <c r="Z401" s="93"/>
      <c r="AA401" s="85"/>
      <c r="AC401" s="94"/>
      <c r="AD401" s="93"/>
      <c r="AE401" s="85"/>
    </row>
    <row r="402" spans="7:31" x14ac:dyDescent="0.35">
      <c r="G402" s="85"/>
      <c r="H402" s="87"/>
      <c r="J402" s="93"/>
      <c r="K402" s="85"/>
      <c r="M402" s="94"/>
      <c r="N402" s="93"/>
      <c r="O402" s="85"/>
      <c r="Q402" s="94"/>
      <c r="R402" s="93"/>
      <c r="S402" s="85"/>
      <c r="U402" s="94"/>
      <c r="V402" s="93"/>
      <c r="W402" s="85"/>
      <c r="Y402" s="94"/>
      <c r="Z402" s="93"/>
      <c r="AA402" s="85"/>
      <c r="AC402" s="94"/>
      <c r="AD402" s="93"/>
      <c r="AE402" s="85"/>
    </row>
    <row r="403" spans="7:31" x14ac:dyDescent="0.35">
      <c r="G403" s="85"/>
      <c r="H403" s="87"/>
      <c r="J403" s="93"/>
      <c r="K403" s="85"/>
      <c r="M403" s="94"/>
      <c r="N403" s="93"/>
      <c r="O403" s="85"/>
      <c r="Q403" s="94"/>
      <c r="R403" s="93"/>
      <c r="S403" s="85"/>
      <c r="U403" s="94"/>
      <c r="V403" s="93"/>
      <c r="W403" s="85"/>
      <c r="Y403" s="94"/>
      <c r="Z403" s="93"/>
      <c r="AA403" s="85"/>
      <c r="AC403" s="94"/>
      <c r="AD403" s="93"/>
      <c r="AE403" s="85"/>
    </row>
    <row r="404" spans="7:31" x14ac:dyDescent="0.35">
      <c r="G404" s="85"/>
      <c r="H404" s="87"/>
      <c r="J404" s="93"/>
      <c r="K404" s="85"/>
      <c r="M404" s="94"/>
      <c r="N404" s="93"/>
      <c r="O404" s="85"/>
      <c r="Q404" s="94"/>
      <c r="R404" s="93"/>
      <c r="S404" s="85"/>
      <c r="U404" s="94"/>
      <c r="V404" s="93"/>
      <c r="W404" s="85"/>
      <c r="Y404" s="94"/>
      <c r="Z404" s="93"/>
      <c r="AA404" s="85"/>
      <c r="AC404" s="94"/>
      <c r="AD404" s="93"/>
      <c r="AE404" s="85"/>
    </row>
    <row r="405" spans="7:31" x14ac:dyDescent="0.35">
      <c r="G405" s="85"/>
      <c r="H405" s="87"/>
      <c r="J405" s="93"/>
      <c r="K405" s="85"/>
      <c r="M405" s="94"/>
      <c r="N405" s="93"/>
      <c r="O405" s="85"/>
      <c r="Q405" s="94"/>
      <c r="R405" s="93"/>
      <c r="S405" s="85"/>
      <c r="U405" s="94"/>
      <c r="V405" s="93"/>
      <c r="W405" s="85"/>
      <c r="Y405" s="94"/>
      <c r="Z405" s="93"/>
      <c r="AA405" s="85"/>
      <c r="AC405" s="94"/>
      <c r="AD405" s="93"/>
      <c r="AE405" s="85"/>
    </row>
    <row r="406" spans="7:31" x14ac:dyDescent="0.35">
      <c r="G406" s="85"/>
      <c r="H406" s="87"/>
      <c r="J406" s="93"/>
      <c r="K406" s="85"/>
      <c r="M406" s="94"/>
      <c r="N406" s="93"/>
      <c r="O406" s="85"/>
      <c r="Q406" s="94"/>
      <c r="R406" s="93"/>
      <c r="S406" s="85"/>
      <c r="U406" s="94"/>
      <c r="V406" s="93"/>
      <c r="W406" s="85"/>
      <c r="Y406" s="94"/>
      <c r="Z406" s="93"/>
      <c r="AA406" s="85"/>
      <c r="AC406" s="94"/>
      <c r="AD406" s="93"/>
      <c r="AE406" s="85"/>
    </row>
    <row r="407" spans="7:31" x14ac:dyDescent="0.35">
      <c r="G407" s="85"/>
      <c r="H407" s="87"/>
      <c r="J407" s="93"/>
      <c r="K407" s="85"/>
      <c r="M407" s="94"/>
      <c r="N407" s="93"/>
      <c r="O407" s="85"/>
      <c r="Q407" s="94"/>
      <c r="R407" s="93"/>
      <c r="S407" s="85"/>
      <c r="U407" s="94"/>
      <c r="V407" s="93"/>
      <c r="W407" s="85"/>
      <c r="Y407" s="94"/>
      <c r="Z407" s="93"/>
      <c r="AA407" s="85"/>
      <c r="AC407" s="94"/>
      <c r="AD407" s="93"/>
      <c r="AE407" s="85"/>
    </row>
    <row r="408" spans="7:31" x14ac:dyDescent="0.35">
      <c r="G408" s="85"/>
      <c r="H408" s="87"/>
      <c r="J408" s="93"/>
      <c r="K408" s="85"/>
      <c r="M408" s="94"/>
      <c r="N408" s="93"/>
      <c r="O408" s="85"/>
      <c r="Q408" s="94"/>
      <c r="R408" s="93"/>
      <c r="S408" s="85"/>
      <c r="U408" s="94"/>
      <c r="V408" s="93"/>
      <c r="W408" s="85"/>
      <c r="Y408" s="94"/>
      <c r="Z408" s="93"/>
      <c r="AA408" s="85"/>
      <c r="AC408" s="94"/>
      <c r="AD408" s="93"/>
      <c r="AE408" s="85"/>
    </row>
    <row r="409" spans="7:31" x14ac:dyDescent="0.35">
      <c r="G409" s="85"/>
      <c r="H409" s="87"/>
      <c r="J409" s="93"/>
      <c r="K409" s="85"/>
      <c r="M409" s="94"/>
      <c r="N409" s="93"/>
      <c r="O409" s="85"/>
      <c r="Q409" s="94"/>
      <c r="R409" s="93"/>
      <c r="S409" s="85"/>
      <c r="U409" s="94"/>
      <c r="V409" s="93"/>
      <c r="W409" s="85"/>
      <c r="Y409" s="94"/>
      <c r="Z409" s="93"/>
      <c r="AA409" s="85"/>
      <c r="AC409" s="94"/>
      <c r="AD409" s="93"/>
      <c r="AE409" s="85"/>
    </row>
    <row r="410" spans="7:31" x14ac:dyDescent="0.35">
      <c r="G410" s="85"/>
      <c r="H410" s="87"/>
      <c r="J410" s="93"/>
      <c r="K410" s="85"/>
      <c r="M410" s="94"/>
      <c r="N410" s="93"/>
      <c r="O410" s="85"/>
      <c r="Q410" s="94"/>
      <c r="R410" s="93"/>
      <c r="S410" s="85"/>
      <c r="U410" s="94"/>
      <c r="V410" s="93"/>
      <c r="W410" s="85"/>
      <c r="Y410" s="94"/>
      <c r="Z410" s="93"/>
      <c r="AA410" s="85"/>
      <c r="AC410" s="94"/>
      <c r="AD410" s="93"/>
      <c r="AE410" s="85"/>
    </row>
    <row r="411" spans="7:31" x14ac:dyDescent="0.35">
      <c r="G411" s="85"/>
      <c r="H411" s="87"/>
      <c r="J411" s="93"/>
      <c r="K411" s="85"/>
      <c r="M411" s="94"/>
      <c r="N411" s="93"/>
      <c r="O411" s="85"/>
      <c r="Q411" s="94"/>
      <c r="R411" s="93"/>
      <c r="S411" s="85"/>
      <c r="U411" s="94"/>
      <c r="V411" s="93"/>
      <c r="W411" s="85"/>
      <c r="Y411" s="94"/>
      <c r="Z411" s="93"/>
      <c r="AA411" s="85"/>
      <c r="AC411" s="94"/>
      <c r="AD411" s="93"/>
      <c r="AE411" s="85"/>
    </row>
    <row r="412" spans="7:31" x14ac:dyDescent="0.35">
      <c r="G412" s="85"/>
      <c r="H412" s="87"/>
      <c r="J412" s="93"/>
      <c r="K412" s="85"/>
      <c r="M412" s="94"/>
      <c r="N412" s="93"/>
      <c r="O412" s="85"/>
      <c r="Q412" s="94"/>
      <c r="R412" s="93"/>
      <c r="S412" s="85"/>
      <c r="U412" s="94"/>
      <c r="V412" s="93"/>
      <c r="W412" s="85"/>
      <c r="Y412" s="94"/>
      <c r="Z412" s="93"/>
      <c r="AA412" s="85"/>
      <c r="AC412" s="94"/>
      <c r="AD412" s="93"/>
      <c r="AE412" s="85"/>
    </row>
    <row r="413" spans="7:31" x14ac:dyDescent="0.35">
      <c r="G413" s="85"/>
      <c r="H413" s="87"/>
      <c r="J413" s="93"/>
      <c r="K413" s="85"/>
      <c r="M413" s="94"/>
      <c r="N413" s="93"/>
      <c r="O413" s="85"/>
      <c r="Q413" s="94"/>
      <c r="R413" s="93"/>
      <c r="S413" s="85"/>
      <c r="U413" s="94"/>
      <c r="V413" s="93"/>
      <c r="W413" s="85"/>
      <c r="Y413" s="94"/>
      <c r="Z413" s="93"/>
      <c r="AA413" s="85"/>
      <c r="AC413" s="94"/>
      <c r="AD413" s="93"/>
      <c r="AE413" s="85"/>
    </row>
    <row r="414" spans="7:31" x14ac:dyDescent="0.35">
      <c r="G414" s="85"/>
      <c r="H414" s="87"/>
      <c r="J414" s="93"/>
      <c r="K414" s="85"/>
      <c r="M414" s="94"/>
      <c r="N414" s="93"/>
      <c r="O414" s="85"/>
      <c r="Q414" s="94"/>
      <c r="R414" s="93"/>
      <c r="S414" s="85"/>
      <c r="U414" s="94"/>
      <c r="V414" s="93"/>
      <c r="W414" s="85"/>
      <c r="Y414" s="94"/>
      <c r="Z414" s="93"/>
      <c r="AA414" s="85"/>
      <c r="AC414" s="94"/>
      <c r="AD414" s="93"/>
      <c r="AE414" s="85"/>
    </row>
    <row r="415" spans="7:31" x14ac:dyDescent="0.35">
      <c r="G415" s="85"/>
      <c r="H415" s="87"/>
      <c r="J415" s="93"/>
      <c r="K415" s="85"/>
      <c r="M415" s="94"/>
      <c r="N415" s="93"/>
      <c r="O415" s="85"/>
      <c r="Q415" s="94"/>
      <c r="R415" s="93"/>
      <c r="S415" s="85"/>
      <c r="U415" s="94"/>
      <c r="V415" s="93"/>
      <c r="W415" s="85"/>
      <c r="Y415" s="94"/>
      <c r="Z415" s="93"/>
      <c r="AA415" s="85"/>
      <c r="AC415" s="94"/>
      <c r="AD415" s="93"/>
      <c r="AE415" s="85"/>
    </row>
    <row r="416" spans="7:31" x14ac:dyDescent="0.35">
      <c r="G416" s="85"/>
      <c r="H416" s="87"/>
      <c r="J416" s="93"/>
      <c r="K416" s="85"/>
      <c r="M416" s="94"/>
      <c r="N416" s="93"/>
      <c r="O416" s="85"/>
      <c r="Q416" s="94"/>
      <c r="R416" s="93"/>
      <c r="S416" s="85"/>
      <c r="U416" s="94"/>
      <c r="V416" s="93"/>
      <c r="W416" s="85"/>
      <c r="Y416" s="94"/>
      <c r="Z416" s="93"/>
      <c r="AA416" s="85"/>
      <c r="AC416" s="94"/>
      <c r="AD416" s="93"/>
      <c r="AE416" s="85"/>
    </row>
    <row r="417" spans="7:31" x14ac:dyDescent="0.35">
      <c r="G417" s="85"/>
      <c r="H417" s="87"/>
      <c r="J417" s="93"/>
      <c r="K417" s="85"/>
      <c r="M417" s="94"/>
      <c r="N417" s="93"/>
      <c r="O417" s="85"/>
      <c r="Q417" s="94"/>
      <c r="R417" s="93"/>
      <c r="S417" s="85"/>
      <c r="U417" s="94"/>
      <c r="V417" s="93"/>
      <c r="W417" s="85"/>
      <c r="Y417" s="94"/>
      <c r="Z417" s="93"/>
      <c r="AA417" s="85"/>
      <c r="AC417" s="94"/>
      <c r="AD417" s="93"/>
      <c r="AE417" s="85"/>
    </row>
    <row r="418" spans="7:31" x14ac:dyDescent="0.35">
      <c r="G418" s="85"/>
      <c r="H418" s="87"/>
      <c r="J418" s="93"/>
      <c r="K418" s="85"/>
      <c r="M418" s="94"/>
      <c r="N418" s="93"/>
      <c r="O418" s="85"/>
      <c r="Q418" s="94"/>
      <c r="R418" s="93"/>
      <c r="S418" s="85"/>
      <c r="U418" s="94"/>
      <c r="V418" s="93"/>
      <c r="W418" s="85"/>
      <c r="Y418" s="94"/>
      <c r="Z418" s="93"/>
      <c r="AA418" s="85"/>
      <c r="AC418" s="94"/>
      <c r="AD418" s="93"/>
      <c r="AE418" s="85"/>
    </row>
    <row r="419" spans="7:31" x14ac:dyDescent="0.35">
      <c r="G419" s="85"/>
      <c r="H419" s="87"/>
      <c r="J419" s="93"/>
      <c r="K419" s="85"/>
      <c r="M419" s="94"/>
      <c r="N419" s="93"/>
      <c r="O419" s="85"/>
      <c r="Q419" s="94"/>
      <c r="R419" s="93"/>
      <c r="S419" s="85"/>
      <c r="U419" s="94"/>
      <c r="V419" s="93"/>
      <c r="W419" s="85"/>
      <c r="Y419" s="94"/>
      <c r="Z419" s="93"/>
      <c r="AA419" s="85"/>
      <c r="AC419" s="94"/>
      <c r="AD419" s="93"/>
      <c r="AE419" s="85"/>
    </row>
    <row r="420" spans="7:31" x14ac:dyDescent="0.35">
      <c r="G420" s="85"/>
      <c r="H420" s="87"/>
      <c r="J420" s="93"/>
      <c r="K420" s="85"/>
      <c r="M420" s="94"/>
      <c r="N420" s="93"/>
      <c r="O420" s="85"/>
      <c r="Q420" s="94"/>
      <c r="R420" s="93"/>
      <c r="S420" s="85"/>
      <c r="U420" s="94"/>
      <c r="V420" s="93"/>
      <c r="W420" s="85"/>
      <c r="Y420" s="94"/>
      <c r="Z420" s="93"/>
      <c r="AA420" s="85"/>
      <c r="AC420" s="94"/>
      <c r="AD420" s="93"/>
      <c r="AE420" s="85"/>
    </row>
    <row r="421" spans="7:31" x14ac:dyDescent="0.35">
      <c r="G421" s="85"/>
      <c r="H421" s="87"/>
      <c r="J421" s="93"/>
      <c r="K421" s="85"/>
      <c r="M421" s="94"/>
      <c r="N421" s="93"/>
      <c r="O421" s="85"/>
      <c r="Q421" s="94"/>
      <c r="R421" s="93"/>
      <c r="S421" s="85"/>
      <c r="U421" s="94"/>
      <c r="V421" s="93"/>
      <c r="W421" s="85"/>
      <c r="Y421" s="94"/>
      <c r="Z421" s="93"/>
      <c r="AA421" s="85"/>
      <c r="AC421" s="94"/>
      <c r="AD421" s="93"/>
      <c r="AE421" s="85"/>
    </row>
    <row r="422" spans="7:31" x14ac:dyDescent="0.35">
      <c r="G422" s="85"/>
      <c r="H422" s="87"/>
      <c r="J422" s="93"/>
      <c r="K422" s="85"/>
      <c r="M422" s="94"/>
      <c r="N422" s="93"/>
      <c r="O422" s="85"/>
      <c r="Q422" s="94"/>
      <c r="R422" s="93"/>
      <c r="S422" s="85"/>
      <c r="U422" s="94"/>
      <c r="V422" s="93"/>
      <c r="W422" s="85"/>
      <c r="Y422" s="94"/>
      <c r="Z422" s="93"/>
      <c r="AA422" s="85"/>
      <c r="AC422" s="94"/>
      <c r="AD422" s="93"/>
      <c r="AE422" s="85"/>
    </row>
    <row r="423" spans="7:31" x14ac:dyDescent="0.35">
      <c r="G423" s="85"/>
      <c r="H423" s="87"/>
      <c r="J423" s="93"/>
      <c r="K423" s="85"/>
      <c r="M423" s="94"/>
      <c r="N423" s="93"/>
      <c r="O423" s="85"/>
      <c r="Q423" s="94"/>
      <c r="R423" s="93"/>
      <c r="S423" s="85"/>
      <c r="U423" s="94"/>
      <c r="V423" s="93"/>
      <c r="W423" s="85"/>
      <c r="Y423" s="94"/>
      <c r="Z423" s="93"/>
      <c r="AA423" s="85"/>
      <c r="AC423" s="94"/>
      <c r="AD423" s="93"/>
      <c r="AE423" s="85"/>
    </row>
    <row r="424" spans="7:31" x14ac:dyDescent="0.35">
      <c r="G424" s="85"/>
      <c r="H424" s="87"/>
      <c r="J424" s="93"/>
      <c r="K424" s="85"/>
      <c r="M424" s="94"/>
      <c r="N424" s="93"/>
      <c r="O424" s="85"/>
      <c r="Q424" s="94"/>
      <c r="R424" s="93"/>
      <c r="S424" s="85"/>
      <c r="U424" s="94"/>
      <c r="V424" s="93"/>
      <c r="W424" s="85"/>
      <c r="Y424" s="94"/>
      <c r="Z424" s="93"/>
      <c r="AA424" s="85"/>
      <c r="AC424" s="94"/>
      <c r="AD424" s="93"/>
      <c r="AE424" s="85"/>
    </row>
    <row r="425" spans="7:31" x14ac:dyDescent="0.35">
      <c r="G425" s="85"/>
      <c r="H425" s="87"/>
      <c r="J425" s="93"/>
      <c r="K425" s="85"/>
      <c r="M425" s="94"/>
      <c r="N425" s="93"/>
      <c r="O425" s="85"/>
      <c r="Q425" s="94"/>
      <c r="R425" s="93"/>
      <c r="S425" s="85"/>
      <c r="U425" s="94"/>
      <c r="V425" s="93"/>
      <c r="W425" s="85"/>
      <c r="Y425" s="94"/>
      <c r="Z425" s="93"/>
      <c r="AA425" s="85"/>
      <c r="AC425" s="94"/>
      <c r="AD425" s="93"/>
      <c r="AE425" s="85"/>
    </row>
    <row r="426" spans="7:31" x14ac:dyDescent="0.35">
      <c r="G426" s="85"/>
      <c r="H426" s="87"/>
      <c r="J426" s="93"/>
      <c r="K426" s="85"/>
      <c r="M426" s="94"/>
      <c r="N426" s="93"/>
      <c r="O426" s="85"/>
      <c r="Q426" s="94"/>
      <c r="R426" s="93"/>
      <c r="S426" s="85"/>
      <c r="U426" s="94"/>
      <c r="V426" s="93"/>
      <c r="W426" s="85"/>
      <c r="Y426" s="94"/>
      <c r="Z426" s="93"/>
      <c r="AA426" s="85"/>
      <c r="AC426" s="94"/>
      <c r="AD426" s="93"/>
      <c r="AE426" s="85"/>
    </row>
    <row r="427" spans="7:31" x14ac:dyDescent="0.35">
      <c r="G427" s="85"/>
      <c r="H427" s="87"/>
      <c r="J427" s="93"/>
      <c r="K427" s="85"/>
      <c r="M427" s="94"/>
      <c r="N427" s="93"/>
      <c r="O427" s="85"/>
      <c r="Q427" s="94"/>
      <c r="R427" s="93"/>
      <c r="S427" s="85"/>
      <c r="U427" s="94"/>
      <c r="V427" s="93"/>
      <c r="W427" s="85"/>
      <c r="Y427" s="94"/>
      <c r="Z427" s="93"/>
      <c r="AA427" s="85"/>
      <c r="AC427" s="94"/>
      <c r="AD427" s="93"/>
      <c r="AE427" s="85"/>
    </row>
    <row r="428" spans="7:31" x14ac:dyDescent="0.35">
      <c r="G428" s="85"/>
      <c r="H428" s="87"/>
      <c r="J428" s="93"/>
      <c r="K428" s="85"/>
      <c r="M428" s="94"/>
      <c r="N428" s="93"/>
      <c r="O428" s="85"/>
      <c r="Q428" s="94"/>
      <c r="R428" s="93"/>
      <c r="S428" s="85"/>
      <c r="U428" s="94"/>
      <c r="V428" s="93"/>
      <c r="W428" s="85"/>
      <c r="Y428" s="94"/>
      <c r="Z428" s="93"/>
      <c r="AA428" s="85"/>
      <c r="AC428" s="94"/>
      <c r="AD428" s="93"/>
      <c r="AE428" s="85"/>
    </row>
    <row r="429" spans="7:31" x14ac:dyDescent="0.35">
      <c r="G429" s="85"/>
      <c r="H429" s="87"/>
      <c r="J429" s="93"/>
      <c r="K429" s="85"/>
      <c r="M429" s="94"/>
      <c r="N429" s="93"/>
      <c r="O429" s="85"/>
      <c r="Q429" s="94"/>
      <c r="R429" s="93"/>
      <c r="S429" s="85"/>
      <c r="U429" s="94"/>
      <c r="V429" s="93"/>
      <c r="W429" s="85"/>
      <c r="Y429" s="94"/>
      <c r="Z429" s="93"/>
      <c r="AA429" s="85"/>
      <c r="AC429" s="94"/>
      <c r="AD429" s="93"/>
      <c r="AE429" s="85"/>
    </row>
    <row r="430" spans="7:31" x14ac:dyDescent="0.35">
      <c r="G430" s="85"/>
      <c r="H430" s="87"/>
      <c r="J430" s="93"/>
      <c r="K430" s="85"/>
      <c r="M430" s="94"/>
      <c r="N430" s="93"/>
      <c r="O430" s="85"/>
      <c r="Q430" s="94"/>
      <c r="R430" s="93"/>
      <c r="S430" s="85"/>
      <c r="U430" s="94"/>
      <c r="V430" s="93"/>
      <c r="W430" s="85"/>
      <c r="Y430" s="94"/>
      <c r="Z430" s="93"/>
      <c r="AA430" s="85"/>
      <c r="AC430" s="94"/>
      <c r="AD430" s="93"/>
      <c r="AE430" s="85"/>
    </row>
    <row r="431" spans="7:31" x14ac:dyDescent="0.35">
      <c r="G431" s="85"/>
      <c r="H431" s="87"/>
      <c r="J431" s="93"/>
      <c r="K431" s="85"/>
      <c r="M431" s="94"/>
      <c r="N431" s="93"/>
      <c r="O431" s="85"/>
      <c r="Q431" s="94"/>
      <c r="R431" s="93"/>
      <c r="S431" s="85"/>
      <c r="U431" s="94"/>
      <c r="V431" s="93"/>
      <c r="W431" s="85"/>
      <c r="Y431" s="94"/>
      <c r="Z431" s="93"/>
      <c r="AA431" s="85"/>
      <c r="AC431" s="94"/>
      <c r="AD431" s="93"/>
      <c r="AE431" s="85"/>
    </row>
    <row r="432" spans="7:31" x14ac:dyDescent="0.35">
      <c r="G432" s="85"/>
      <c r="H432" s="87"/>
      <c r="J432" s="93"/>
      <c r="K432" s="85"/>
      <c r="M432" s="94"/>
      <c r="N432" s="93"/>
      <c r="O432" s="85"/>
      <c r="Q432" s="94"/>
      <c r="R432" s="93"/>
      <c r="S432" s="85"/>
      <c r="U432" s="94"/>
      <c r="V432" s="93"/>
      <c r="W432" s="85"/>
      <c r="Y432" s="94"/>
      <c r="Z432" s="93"/>
      <c r="AA432" s="85"/>
      <c r="AC432" s="94"/>
      <c r="AD432" s="93"/>
      <c r="AE432" s="85"/>
    </row>
    <row r="433" spans="7:31" x14ac:dyDescent="0.35">
      <c r="G433" s="85"/>
      <c r="H433" s="87"/>
      <c r="J433" s="93"/>
      <c r="K433" s="85"/>
      <c r="M433" s="94"/>
      <c r="N433" s="93"/>
      <c r="O433" s="85"/>
      <c r="Q433" s="94"/>
      <c r="R433" s="93"/>
      <c r="S433" s="85"/>
      <c r="U433" s="94"/>
      <c r="V433" s="93"/>
      <c r="W433" s="85"/>
      <c r="Y433" s="94"/>
      <c r="Z433" s="93"/>
      <c r="AA433" s="85"/>
      <c r="AC433" s="94"/>
      <c r="AD433" s="93"/>
      <c r="AE433" s="85"/>
    </row>
    <row r="434" spans="7:31" x14ac:dyDescent="0.35">
      <c r="G434" s="85"/>
      <c r="H434" s="87"/>
      <c r="J434" s="93"/>
      <c r="K434" s="85"/>
      <c r="M434" s="94"/>
      <c r="N434" s="93"/>
      <c r="O434" s="85"/>
      <c r="Q434" s="94"/>
      <c r="R434" s="93"/>
      <c r="S434" s="85"/>
      <c r="U434" s="94"/>
      <c r="V434" s="93"/>
      <c r="W434" s="85"/>
      <c r="Y434" s="94"/>
      <c r="Z434" s="93"/>
      <c r="AA434" s="85"/>
      <c r="AC434" s="94"/>
      <c r="AD434" s="93"/>
      <c r="AE434" s="85"/>
    </row>
    <row r="435" spans="7:31" x14ac:dyDescent="0.35">
      <c r="G435" s="85"/>
      <c r="H435" s="87"/>
      <c r="J435" s="93"/>
      <c r="K435" s="85"/>
      <c r="M435" s="94"/>
      <c r="N435" s="93"/>
      <c r="O435" s="85"/>
      <c r="Q435" s="94"/>
      <c r="R435" s="93"/>
      <c r="S435" s="85"/>
      <c r="U435" s="94"/>
      <c r="V435" s="93"/>
      <c r="W435" s="85"/>
      <c r="Y435" s="94"/>
      <c r="Z435" s="93"/>
      <c r="AA435" s="85"/>
      <c r="AC435" s="94"/>
      <c r="AD435" s="93"/>
      <c r="AE435" s="85"/>
    </row>
    <row r="436" spans="7:31" x14ac:dyDescent="0.35">
      <c r="G436" s="85"/>
      <c r="H436" s="87"/>
      <c r="J436" s="93"/>
      <c r="K436" s="85"/>
      <c r="M436" s="94"/>
      <c r="N436" s="93"/>
      <c r="O436" s="85"/>
      <c r="Q436" s="94"/>
      <c r="R436" s="93"/>
      <c r="S436" s="85"/>
      <c r="U436" s="94"/>
      <c r="V436" s="93"/>
      <c r="W436" s="85"/>
      <c r="Y436" s="94"/>
      <c r="Z436" s="93"/>
      <c r="AA436" s="85"/>
      <c r="AC436" s="94"/>
      <c r="AD436" s="93"/>
      <c r="AE436" s="85"/>
    </row>
    <row r="437" spans="7:31" x14ac:dyDescent="0.35">
      <c r="G437" s="85"/>
      <c r="H437" s="87"/>
      <c r="J437" s="93"/>
      <c r="K437" s="85"/>
      <c r="M437" s="94"/>
      <c r="N437" s="93"/>
      <c r="O437" s="85"/>
      <c r="Q437" s="94"/>
      <c r="R437" s="93"/>
      <c r="S437" s="85"/>
      <c r="U437" s="94"/>
      <c r="V437" s="93"/>
      <c r="W437" s="85"/>
      <c r="Y437" s="94"/>
      <c r="Z437" s="93"/>
      <c r="AA437" s="85"/>
      <c r="AC437" s="94"/>
      <c r="AD437" s="93"/>
      <c r="AE437" s="85"/>
    </row>
    <row r="438" spans="7:31" x14ac:dyDescent="0.35">
      <c r="G438" s="85"/>
      <c r="H438" s="87"/>
      <c r="J438" s="93"/>
      <c r="K438" s="85"/>
      <c r="M438" s="94"/>
      <c r="N438" s="93"/>
      <c r="O438" s="85"/>
      <c r="Q438" s="94"/>
      <c r="R438" s="93"/>
      <c r="S438" s="85"/>
      <c r="U438" s="94"/>
      <c r="V438" s="93"/>
      <c r="W438" s="85"/>
      <c r="Y438" s="94"/>
      <c r="Z438" s="93"/>
      <c r="AA438" s="85"/>
      <c r="AC438" s="94"/>
      <c r="AD438" s="93"/>
      <c r="AE438" s="85"/>
    </row>
    <row r="439" spans="7:31" x14ac:dyDescent="0.35">
      <c r="G439" s="85"/>
      <c r="H439" s="87"/>
      <c r="J439" s="93"/>
      <c r="K439" s="85"/>
      <c r="M439" s="94"/>
      <c r="N439" s="93"/>
      <c r="O439" s="85"/>
      <c r="Q439" s="94"/>
      <c r="R439" s="93"/>
      <c r="S439" s="85"/>
      <c r="U439" s="94"/>
      <c r="V439" s="93"/>
      <c r="W439" s="85"/>
      <c r="Y439" s="94"/>
      <c r="Z439" s="93"/>
      <c r="AA439" s="85"/>
      <c r="AC439" s="94"/>
      <c r="AD439" s="93"/>
      <c r="AE439" s="85"/>
    </row>
    <row r="440" spans="7:31" x14ac:dyDescent="0.35">
      <c r="G440" s="85"/>
      <c r="H440" s="87"/>
      <c r="J440" s="93"/>
      <c r="K440" s="85"/>
      <c r="M440" s="94"/>
      <c r="N440" s="93"/>
      <c r="O440" s="85"/>
      <c r="Q440" s="94"/>
      <c r="R440" s="93"/>
      <c r="S440" s="85"/>
      <c r="U440" s="94"/>
      <c r="V440" s="93"/>
      <c r="W440" s="85"/>
      <c r="Y440" s="94"/>
      <c r="Z440" s="93"/>
      <c r="AA440" s="85"/>
      <c r="AC440" s="94"/>
      <c r="AD440" s="93"/>
      <c r="AE440" s="85"/>
    </row>
    <row r="441" spans="7:31" x14ac:dyDescent="0.35">
      <c r="G441" s="85"/>
      <c r="H441" s="87"/>
      <c r="J441" s="93"/>
      <c r="K441" s="85"/>
      <c r="M441" s="94"/>
      <c r="N441" s="93"/>
      <c r="O441" s="85"/>
      <c r="Q441" s="94"/>
      <c r="R441" s="93"/>
      <c r="S441" s="85"/>
      <c r="U441" s="94"/>
      <c r="V441" s="93"/>
      <c r="W441" s="85"/>
      <c r="Y441" s="94"/>
      <c r="Z441" s="93"/>
      <c r="AA441" s="85"/>
      <c r="AC441" s="94"/>
      <c r="AD441" s="93"/>
      <c r="AE441" s="85"/>
    </row>
    <row r="442" spans="7:31" x14ac:dyDescent="0.35">
      <c r="G442" s="85"/>
      <c r="H442" s="87"/>
      <c r="J442" s="93"/>
      <c r="K442" s="85"/>
      <c r="M442" s="94"/>
      <c r="N442" s="93"/>
      <c r="O442" s="85"/>
      <c r="Q442" s="94"/>
      <c r="R442" s="93"/>
      <c r="S442" s="85"/>
      <c r="U442" s="94"/>
      <c r="V442" s="93"/>
      <c r="W442" s="85"/>
      <c r="Y442" s="94"/>
      <c r="Z442" s="93"/>
      <c r="AA442" s="85"/>
      <c r="AC442" s="94"/>
      <c r="AD442" s="93"/>
      <c r="AE442" s="85"/>
    </row>
    <row r="443" spans="7:31" x14ac:dyDescent="0.35">
      <c r="G443" s="85"/>
      <c r="H443" s="87"/>
      <c r="J443" s="93"/>
      <c r="K443" s="85"/>
      <c r="M443" s="94"/>
      <c r="N443" s="93"/>
      <c r="O443" s="85"/>
      <c r="Q443" s="94"/>
      <c r="R443" s="93"/>
      <c r="S443" s="85"/>
      <c r="U443" s="94"/>
      <c r="V443" s="93"/>
      <c r="W443" s="85"/>
      <c r="Y443" s="94"/>
      <c r="Z443" s="93"/>
      <c r="AA443" s="85"/>
      <c r="AC443" s="94"/>
      <c r="AD443" s="93"/>
      <c r="AE443" s="85"/>
    </row>
    <row r="444" spans="7:31" x14ac:dyDescent="0.35">
      <c r="G444" s="85"/>
      <c r="H444" s="87"/>
      <c r="J444" s="93"/>
      <c r="K444" s="85"/>
      <c r="M444" s="94"/>
      <c r="N444" s="93"/>
      <c r="O444" s="85"/>
      <c r="Q444" s="94"/>
      <c r="R444" s="93"/>
      <c r="S444" s="85"/>
      <c r="U444" s="94"/>
      <c r="V444" s="93"/>
      <c r="W444" s="85"/>
      <c r="Y444" s="94"/>
      <c r="Z444" s="93"/>
      <c r="AA444" s="85"/>
      <c r="AC444" s="94"/>
      <c r="AD444" s="93"/>
      <c r="AE444" s="85"/>
    </row>
    <row r="445" spans="7:31" x14ac:dyDescent="0.35">
      <c r="G445" s="85"/>
      <c r="H445" s="87"/>
      <c r="J445" s="93"/>
      <c r="K445" s="85"/>
      <c r="M445" s="94"/>
      <c r="N445" s="93"/>
      <c r="O445" s="85"/>
      <c r="Q445" s="94"/>
      <c r="R445" s="93"/>
      <c r="S445" s="85"/>
      <c r="U445" s="94"/>
      <c r="V445" s="93"/>
      <c r="W445" s="85"/>
      <c r="Y445" s="94"/>
      <c r="Z445" s="93"/>
      <c r="AA445" s="85"/>
      <c r="AC445" s="94"/>
      <c r="AD445" s="93"/>
      <c r="AE445" s="85"/>
    </row>
    <row r="446" spans="7:31" x14ac:dyDescent="0.35">
      <c r="G446" s="85"/>
      <c r="H446" s="87"/>
      <c r="J446" s="93"/>
      <c r="K446" s="85"/>
      <c r="M446" s="94"/>
      <c r="N446" s="93"/>
      <c r="O446" s="85"/>
      <c r="Q446" s="94"/>
      <c r="R446" s="93"/>
      <c r="S446" s="85"/>
      <c r="U446" s="94"/>
      <c r="V446" s="93"/>
      <c r="W446" s="85"/>
      <c r="Y446" s="94"/>
      <c r="Z446" s="93"/>
      <c r="AA446" s="85"/>
      <c r="AC446" s="94"/>
      <c r="AD446" s="93"/>
      <c r="AE446" s="85"/>
    </row>
    <row r="447" spans="7:31" x14ac:dyDescent="0.35">
      <c r="G447" s="85"/>
      <c r="H447" s="87"/>
      <c r="J447" s="93"/>
      <c r="K447" s="85"/>
      <c r="M447" s="94"/>
      <c r="N447" s="93"/>
      <c r="O447" s="85"/>
      <c r="Q447" s="94"/>
      <c r="R447" s="93"/>
      <c r="S447" s="85"/>
      <c r="U447" s="94"/>
      <c r="V447" s="93"/>
      <c r="W447" s="85"/>
      <c r="Y447" s="94"/>
      <c r="Z447" s="93"/>
      <c r="AA447" s="85"/>
      <c r="AC447" s="94"/>
      <c r="AD447" s="93"/>
      <c r="AE447" s="85"/>
    </row>
    <row r="448" spans="7:31" x14ac:dyDescent="0.35">
      <c r="G448" s="85"/>
      <c r="H448" s="87"/>
      <c r="J448" s="93"/>
      <c r="K448" s="85"/>
      <c r="M448" s="94"/>
      <c r="N448" s="93"/>
      <c r="O448" s="85"/>
      <c r="Q448" s="94"/>
      <c r="R448" s="93"/>
      <c r="S448" s="85"/>
      <c r="U448" s="94"/>
      <c r="V448" s="93"/>
      <c r="W448" s="85"/>
      <c r="Y448" s="94"/>
      <c r="Z448" s="93"/>
      <c r="AA448" s="85"/>
      <c r="AC448" s="94"/>
      <c r="AD448" s="93"/>
      <c r="AE448" s="85"/>
    </row>
    <row r="449" spans="7:31" x14ac:dyDescent="0.35">
      <c r="G449" s="85"/>
      <c r="H449" s="87"/>
      <c r="J449" s="93"/>
      <c r="K449" s="85"/>
      <c r="M449" s="94"/>
      <c r="N449" s="93"/>
      <c r="O449" s="85"/>
      <c r="Q449" s="94"/>
      <c r="R449" s="93"/>
      <c r="S449" s="85"/>
      <c r="U449" s="94"/>
      <c r="V449" s="93"/>
      <c r="W449" s="85"/>
      <c r="Y449" s="94"/>
      <c r="Z449" s="93"/>
      <c r="AA449" s="85"/>
      <c r="AC449" s="94"/>
      <c r="AD449" s="93"/>
      <c r="AE449" s="85"/>
    </row>
    <row r="450" spans="7:31" x14ac:dyDescent="0.35">
      <c r="G450" s="85"/>
      <c r="H450" s="87"/>
      <c r="J450" s="93"/>
      <c r="K450" s="85"/>
      <c r="M450" s="94"/>
      <c r="N450" s="93"/>
      <c r="O450" s="85"/>
      <c r="Q450" s="94"/>
      <c r="R450" s="93"/>
      <c r="S450" s="85"/>
      <c r="U450" s="94"/>
      <c r="V450" s="93"/>
      <c r="W450" s="85"/>
      <c r="Y450" s="94"/>
      <c r="Z450" s="93"/>
      <c r="AA450" s="85"/>
      <c r="AC450" s="94"/>
      <c r="AD450" s="93"/>
      <c r="AE450" s="85"/>
    </row>
    <row r="451" spans="7:31" x14ac:dyDescent="0.35">
      <c r="G451" s="85"/>
      <c r="H451" s="87"/>
      <c r="J451" s="93"/>
      <c r="K451" s="85"/>
      <c r="M451" s="94"/>
      <c r="N451" s="93"/>
      <c r="O451" s="85"/>
      <c r="Q451" s="94"/>
      <c r="R451" s="93"/>
      <c r="S451" s="85"/>
      <c r="U451" s="94"/>
      <c r="V451" s="93"/>
      <c r="W451" s="85"/>
      <c r="Y451" s="94"/>
      <c r="Z451" s="93"/>
      <c r="AA451" s="85"/>
      <c r="AC451" s="94"/>
      <c r="AD451" s="93"/>
      <c r="AE451" s="85"/>
    </row>
    <row r="452" spans="7:31" x14ac:dyDescent="0.35">
      <c r="G452" s="85"/>
      <c r="H452" s="87"/>
      <c r="J452" s="93"/>
      <c r="K452" s="85"/>
      <c r="M452" s="94"/>
      <c r="N452" s="93"/>
      <c r="O452" s="85"/>
      <c r="Q452" s="94"/>
      <c r="R452" s="93"/>
      <c r="S452" s="85"/>
      <c r="U452" s="94"/>
      <c r="V452" s="93"/>
      <c r="W452" s="85"/>
      <c r="Y452" s="94"/>
      <c r="Z452" s="93"/>
      <c r="AA452" s="85"/>
      <c r="AC452" s="94"/>
      <c r="AD452" s="93"/>
      <c r="AE452" s="85"/>
    </row>
    <row r="453" spans="7:31" x14ac:dyDescent="0.35">
      <c r="G453" s="85"/>
      <c r="H453" s="87"/>
      <c r="J453" s="93"/>
      <c r="K453" s="85"/>
      <c r="M453" s="94"/>
      <c r="N453" s="93"/>
      <c r="O453" s="85"/>
      <c r="Q453" s="94"/>
      <c r="R453" s="93"/>
      <c r="S453" s="85"/>
      <c r="U453" s="94"/>
      <c r="V453" s="93"/>
      <c r="W453" s="85"/>
      <c r="Y453" s="94"/>
      <c r="Z453" s="93"/>
      <c r="AA453" s="85"/>
      <c r="AC453" s="94"/>
      <c r="AD453" s="93"/>
      <c r="AE453" s="85"/>
    </row>
    <row r="454" spans="7:31" x14ac:dyDescent="0.35">
      <c r="G454" s="85"/>
      <c r="H454" s="87"/>
      <c r="J454" s="93"/>
      <c r="K454" s="85"/>
      <c r="M454" s="94"/>
      <c r="N454" s="93"/>
      <c r="O454" s="85"/>
      <c r="Q454" s="94"/>
      <c r="R454" s="93"/>
      <c r="S454" s="85"/>
      <c r="U454" s="94"/>
      <c r="V454" s="93"/>
      <c r="W454" s="85"/>
      <c r="Y454" s="94"/>
      <c r="Z454" s="93"/>
      <c r="AA454" s="85"/>
      <c r="AC454" s="94"/>
      <c r="AD454" s="93"/>
      <c r="AE454" s="85"/>
    </row>
    <row r="455" spans="7:31" x14ac:dyDescent="0.35">
      <c r="G455" s="85"/>
      <c r="H455" s="87"/>
      <c r="J455" s="93"/>
      <c r="K455" s="85"/>
      <c r="M455" s="94"/>
      <c r="N455" s="93"/>
      <c r="O455" s="85"/>
      <c r="Q455" s="94"/>
      <c r="R455" s="93"/>
      <c r="S455" s="85"/>
      <c r="U455" s="94"/>
      <c r="V455" s="93"/>
      <c r="W455" s="85"/>
      <c r="Y455" s="94"/>
      <c r="Z455" s="93"/>
      <c r="AA455" s="85"/>
      <c r="AC455" s="94"/>
      <c r="AD455" s="93"/>
      <c r="AE455" s="85"/>
    </row>
    <row r="456" spans="7:31" x14ac:dyDescent="0.35">
      <c r="G456" s="85"/>
      <c r="H456" s="87"/>
      <c r="J456" s="93"/>
      <c r="K456" s="85"/>
      <c r="M456" s="94"/>
      <c r="N456" s="93"/>
      <c r="O456" s="85"/>
      <c r="Q456" s="94"/>
      <c r="R456" s="93"/>
      <c r="S456" s="85"/>
      <c r="U456" s="94"/>
      <c r="V456" s="93"/>
      <c r="W456" s="85"/>
      <c r="Y456" s="94"/>
      <c r="Z456" s="93"/>
      <c r="AA456" s="85"/>
      <c r="AC456" s="94"/>
      <c r="AD456" s="93"/>
      <c r="AE456" s="85"/>
    </row>
    <row r="457" spans="7:31" x14ac:dyDescent="0.35">
      <c r="G457" s="85"/>
      <c r="H457" s="87"/>
      <c r="J457" s="93"/>
      <c r="K457" s="85"/>
      <c r="M457" s="94"/>
      <c r="N457" s="93"/>
      <c r="O457" s="85"/>
      <c r="Q457" s="94"/>
      <c r="R457" s="93"/>
      <c r="S457" s="85"/>
      <c r="U457" s="94"/>
      <c r="V457" s="93"/>
      <c r="W457" s="85"/>
      <c r="Y457" s="94"/>
      <c r="Z457" s="93"/>
      <c r="AA457" s="85"/>
      <c r="AC457" s="94"/>
      <c r="AD457" s="93"/>
      <c r="AE457" s="85"/>
    </row>
    <row r="458" spans="7:31" x14ac:dyDescent="0.35">
      <c r="G458" s="85"/>
      <c r="H458" s="87"/>
      <c r="J458" s="93"/>
      <c r="K458" s="85"/>
      <c r="M458" s="94"/>
      <c r="N458" s="93"/>
      <c r="O458" s="85"/>
      <c r="Q458" s="94"/>
      <c r="R458" s="93"/>
      <c r="S458" s="85"/>
      <c r="U458" s="94"/>
      <c r="V458" s="93"/>
      <c r="W458" s="85"/>
      <c r="Y458" s="94"/>
      <c r="Z458" s="93"/>
      <c r="AA458" s="85"/>
      <c r="AC458" s="94"/>
      <c r="AD458" s="93"/>
      <c r="AE458" s="85"/>
    </row>
    <row r="459" spans="7:31" x14ac:dyDescent="0.35">
      <c r="G459" s="85"/>
      <c r="H459" s="87"/>
      <c r="J459" s="93"/>
      <c r="K459" s="85"/>
      <c r="M459" s="94"/>
      <c r="N459" s="93"/>
      <c r="O459" s="85"/>
      <c r="Q459" s="94"/>
      <c r="R459" s="93"/>
      <c r="S459" s="85"/>
      <c r="U459" s="94"/>
      <c r="V459" s="93"/>
      <c r="W459" s="85"/>
      <c r="Y459" s="94"/>
      <c r="Z459" s="93"/>
      <c r="AA459" s="85"/>
      <c r="AC459" s="94"/>
      <c r="AD459" s="93"/>
      <c r="AE459" s="85"/>
    </row>
    <row r="460" spans="7:31" x14ac:dyDescent="0.35">
      <c r="G460" s="85"/>
      <c r="H460" s="87"/>
      <c r="J460" s="93"/>
      <c r="K460" s="85"/>
      <c r="M460" s="94"/>
      <c r="N460" s="93"/>
      <c r="O460" s="85"/>
      <c r="Q460" s="94"/>
      <c r="R460" s="93"/>
      <c r="S460" s="85"/>
      <c r="U460" s="94"/>
      <c r="V460" s="93"/>
      <c r="W460" s="85"/>
      <c r="Y460" s="94"/>
      <c r="Z460" s="93"/>
      <c r="AA460" s="85"/>
      <c r="AC460" s="94"/>
      <c r="AD460" s="93"/>
      <c r="AE460" s="85"/>
    </row>
    <row r="461" spans="7:31" x14ac:dyDescent="0.35">
      <c r="G461" s="85"/>
      <c r="H461" s="87"/>
      <c r="J461" s="93"/>
      <c r="K461" s="85"/>
      <c r="M461" s="94"/>
      <c r="N461" s="93"/>
      <c r="O461" s="85"/>
      <c r="Q461" s="94"/>
      <c r="R461" s="93"/>
      <c r="S461" s="85"/>
      <c r="U461" s="94"/>
      <c r="V461" s="93"/>
      <c r="W461" s="85"/>
      <c r="Y461" s="94"/>
      <c r="Z461" s="93"/>
      <c r="AA461" s="85"/>
      <c r="AC461" s="94"/>
      <c r="AD461" s="93"/>
      <c r="AE461" s="85"/>
    </row>
    <row r="462" spans="7:31" x14ac:dyDescent="0.35">
      <c r="G462" s="85"/>
      <c r="H462" s="87"/>
      <c r="J462" s="93"/>
      <c r="K462" s="85"/>
      <c r="M462" s="94"/>
      <c r="N462" s="93"/>
      <c r="O462" s="85"/>
      <c r="Q462" s="94"/>
      <c r="R462" s="93"/>
      <c r="S462" s="85"/>
      <c r="U462" s="94"/>
      <c r="V462" s="93"/>
      <c r="W462" s="85"/>
      <c r="Y462" s="94"/>
      <c r="Z462" s="93"/>
      <c r="AA462" s="85"/>
      <c r="AC462" s="94"/>
      <c r="AD462" s="93"/>
      <c r="AE462" s="85"/>
    </row>
    <row r="463" spans="7:31" x14ac:dyDescent="0.35">
      <c r="G463" s="85"/>
      <c r="H463" s="87"/>
      <c r="J463" s="93"/>
      <c r="K463" s="85"/>
      <c r="M463" s="94"/>
      <c r="N463" s="93"/>
      <c r="O463" s="85"/>
      <c r="Q463" s="94"/>
      <c r="R463" s="93"/>
      <c r="S463" s="85"/>
      <c r="U463" s="94"/>
      <c r="V463" s="93"/>
      <c r="W463" s="85"/>
      <c r="Y463" s="94"/>
      <c r="Z463" s="93"/>
      <c r="AA463" s="85"/>
      <c r="AC463" s="94"/>
      <c r="AD463" s="93"/>
      <c r="AE463" s="85"/>
    </row>
    <row r="464" spans="7:31" x14ac:dyDescent="0.35">
      <c r="G464" s="85"/>
      <c r="H464" s="87"/>
      <c r="J464" s="93"/>
      <c r="K464" s="85"/>
      <c r="M464" s="94"/>
      <c r="N464" s="93"/>
      <c r="O464" s="85"/>
      <c r="Q464" s="94"/>
      <c r="R464" s="93"/>
      <c r="S464" s="85"/>
      <c r="U464" s="94"/>
      <c r="V464" s="93"/>
      <c r="W464" s="85"/>
      <c r="Y464" s="94"/>
      <c r="Z464" s="93"/>
      <c r="AA464" s="85"/>
      <c r="AC464" s="94"/>
      <c r="AD464" s="93"/>
      <c r="AE464" s="85"/>
    </row>
    <row r="465" spans="7:31" x14ac:dyDescent="0.35">
      <c r="G465" s="85"/>
      <c r="H465" s="87"/>
      <c r="J465" s="93"/>
      <c r="K465" s="85"/>
      <c r="M465" s="94"/>
      <c r="N465" s="93"/>
      <c r="O465" s="85"/>
      <c r="Q465" s="94"/>
      <c r="R465" s="93"/>
      <c r="S465" s="85"/>
      <c r="U465" s="94"/>
      <c r="V465" s="93"/>
      <c r="W465" s="85"/>
      <c r="Y465" s="94"/>
      <c r="Z465" s="93"/>
      <c r="AA465" s="85"/>
      <c r="AC465" s="94"/>
      <c r="AD465" s="93"/>
      <c r="AE465" s="85"/>
    </row>
    <row r="466" spans="7:31" x14ac:dyDescent="0.35">
      <c r="G466" s="85"/>
      <c r="H466" s="87"/>
      <c r="J466" s="93"/>
      <c r="K466" s="85"/>
      <c r="M466" s="94"/>
      <c r="N466" s="93"/>
      <c r="O466" s="85"/>
      <c r="Q466" s="94"/>
      <c r="R466" s="93"/>
      <c r="S466" s="85"/>
      <c r="U466" s="94"/>
      <c r="V466" s="93"/>
      <c r="W466" s="85"/>
      <c r="Y466" s="94"/>
      <c r="Z466" s="93"/>
      <c r="AA466" s="85"/>
      <c r="AC466" s="94"/>
      <c r="AD466" s="93"/>
      <c r="AE466" s="85"/>
    </row>
    <row r="467" spans="7:31" x14ac:dyDescent="0.35">
      <c r="G467" s="85"/>
      <c r="H467" s="87"/>
      <c r="J467" s="93"/>
      <c r="K467" s="85"/>
      <c r="M467" s="94"/>
      <c r="N467" s="93"/>
      <c r="O467" s="85"/>
      <c r="Q467" s="94"/>
      <c r="R467" s="93"/>
      <c r="S467" s="85"/>
      <c r="U467" s="94"/>
      <c r="V467" s="93"/>
      <c r="W467" s="85"/>
      <c r="Y467" s="94"/>
      <c r="Z467" s="93"/>
      <c r="AA467" s="85"/>
      <c r="AC467" s="94"/>
      <c r="AD467" s="93"/>
      <c r="AE467" s="85"/>
    </row>
    <row r="468" spans="7:31" x14ac:dyDescent="0.35">
      <c r="G468" s="85"/>
      <c r="H468" s="87"/>
      <c r="J468" s="93"/>
      <c r="K468" s="85"/>
      <c r="M468" s="94"/>
      <c r="N468" s="93"/>
      <c r="O468" s="85"/>
      <c r="Q468" s="94"/>
      <c r="R468" s="93"/>
      <c r="S468" s="85"/>
      <c r="U468" s="94"/>
      <c r="V468" s="93"/>
      <c r="W468" s="85"/>
      <c r="Y468" s="94"/>
      <c r="Z468" s="93"/>
      <c r="AA468" s="85"/>
      <c r="AC468" s="94"/>
      <c r="AD468" s="93"/>
      <c r="AE468" s="85"/>
    </row>
    <row r="469" spans="7:31" x14ac:dyDescent="0.35">
      <c r="G469" s="85"/>
      <c r="H469" s="87"/>
      <c r="J469" s="93"/>
      <c r="K469" s="85"/>
      <c r="M469" s="94"/>
      <c r="N469" s="93"/>
      <c r="O469" s="85"/>
      <c r="Q469" s="94"/>
      <c r="R469" s="93"/>
      <c r="S469" s="85"/>
      <c r="U469" s="94"/>
      <c r="V469" s="93"/>
      <c r="W469" s="85"/>
      <c r="Y469" s="94"/>
      <c r="Z469" s="93"/>
      <c r="AA469" s="85"/>
      <c r="AC469" s="94"/>
      <c r="AD469" s="93"/>
      <c r="AE469" s="85"/>
    </row>
    <row r="470" spans="7:31" x14ac:dyDescent="0.35">
      <c r="G470" s="85"/>
      <c r="H470" s="87"/>
      <c r="J470" s="93"/>
      <c r="K470" s="85"/>
      <c r="M470" s="94"/>
      <c r="N470" s="93"/>
      <c r="O470" s="85"/>
      <c r="Q470" s="94"/>
      <c r="R470" s="93"/>
      <c r="S470" s="85"/>
      <c r="U470" s="94"/>
      <c r="V470" s="93"/>
      <c r="W470" s="85"/>
      <c r="Y470" s="94"/>
      <c r="Z470" s="93"/>
      <c r="AA470" s="85"/>
      <c r="AC470" s="94"/>
      <c r="AD470" s="93"/>
      <c r="AE470" s="85"/>
    </row>
    <row r="471" spans="7:31" x14ac:dyDescent="0.35">
      <c r="G471" s="85"/>
      <c r="H471" s="87"/>
      <c r="J471" s="93"/>
      <c r="K471" s="85"/>
      <c r="M471" s="94"/>
      <c r="N471" s="93"/>
      <c r="O471" s="85"/>
      <c r="Q471" s="94"/>
      <c r="R471" s="93"/>
      <c r="S471" s="85"/>
      <c r="U471" s="94"/>
      <c r="V471" s="93"/>
      <c r="W471" s="85"/>
      <c r="Y471" s="94"/>
      <c r="Z471" s="93"/>
      <c r="AA471" s="85"/>
      <c r="AC471" s="94"/>
      <c r="AD471" s="93"/>
      <c r="AE471" s="85"/>
    </row>
    <row r="472" spans="7:31" x14ac:dyDescent="0.35">
      <c r="G472" s="85"/>
      <c r="H472" s="87"/>
      <c r="J472" s="93"/>
      <c r="K472" s="85"/>
      <c r="M472" s="94"/>
      <c r="N472" s="93"/>
      <c r="O472" s="85"/>
      <c r="Q472" s="94"/>
      <c r="R472" s="93"/>
      <c r="S472" s="85"/>
      <c r="U472" s="94"/>
      <c r="V472" s="93"/>
      <c r="W472" s="85"/>
      <c r="Y472" s="94"/>
      <c r="Z472" s="93"/>
      <c r="AA472" s="85"/>
      <c r="AC472" s="94"/>
      <c r="AD472" s="93"/>
      <c r="AE472" s="85"/>
    </row>
    <row r="473" spans="7:31" x14ac:dyDescent="0.35">
      <c r="G473" s="85"/>
      <c r="H473" s="87"/>
      <c r="J473" s="93"/>
      <c r="K473" s="85"/>
      <c r="M473" s="94"/>
      <c r="N473" s="93"/>
      <c r="O473" s="85"/>
      <c r="Q473" s="94"/>
      <c r="R473" s="93"/>
      <c r="S473" s="85"/>
      <c r="U473" s="94"/>
      <c r="V473" s="93"/>
      <c r="W473" s="85"/>
      <c r="Y473" s="94"/>
      <c r="Z473" s="93"/>
      <c r="AA473" s="85"/>
      <c r="AC473" s="94"/>
      <c r="AD473" s="93"/>
      <c r="AE473" s="85"/>
    </row>
    <row r="474" spans="7:31" x14ac:dyDescent="0.35">
      <c r="G474" s="85"/>
      <c r="H474" s="87"/>
      <c r="J474" s="93"/>
      <c r="K474" s="85"/>
      <c r="M474" s="94"/>
      <c r="N474" s="93"/>
      <c r="O474" s="85"/>
      <c r="Q474" s="94"/>
      <c r="R474" s="93"/>
      <c r="S474" s="85"/>
      <c r="U474" s="94"/>
      <c r="V474" s="93"/>
      <c r="W474" s="85"/>
      <c r="Y474" s="94"/>
      <c r="Z474" s="93"/>
      <c r="AA474" s="85"/>
      <c r="AC474" s="94"/>
      <c r="AD474" s="93"/>
      <c r="AE474" s="85"/>
    </row>
    <row r="475" spans="7:31" x14ac:dyDescent="0.35">
      <c r="G475" s="85"/>
      <c r="H475" s="87"/>
      <c r="J475" s="93"/>
      <c r="K475" s="85"/>
      <c r="M475" s="94"/>
      <c r="N475" s="93"/>
      <c r="O475" s="85"/>
      <c r="Q475" s="94"/>
      <c r="R475" s="93"/>
      <c r="S475" s="85"/>
      <c r="U475" s="94"/>
      <c r="V475" s="93"/>
      <c r="W475" s="85"/>
      <c r="Y475" s="94"/>
      <c r="Z475" s="93"/>
      <c r="AA475" s="85"/>
      <c r="AC475" s="94"/>
      <c r="AD475" s="93"/>
      <c r="AE475" s="85"/>
    </row>
    <row r="476" spans="7:31" x14ac:dyDescent="0.35">
      <c r="G476" s="85"/>
      <c r="H476" s="87"/>
      <c r="J476" s="93"/>
      <c r="K476" s="85"/>
      <c r="M476" s="94"/>
      <c r="N476" s="93"/>
      <c r="O476" s="85"/>
      <c r="Q476" s="94"/>
      <c r="R476" s="93"/>
      <c r="S476" s="85"/>
      <c r="U476" s="94"/>
      <c r="V476" s="93"/>
      <c r="W476" s="85"/>
      <c r="Y476" s="94"/>
      <c r="Z476" s="93"/>
      <c r="AA476" s="85"/>
      <c r="AC476" s="94"/>
      <c r="AD476" s="93"/>
      <c r="AE476" s="85"/>
    </row>
    <row r="477" spans="7:31" x14ac:dyDescent="0.35">
      <c r="G477" s="85"/>
      <c r="H477" s="87"/>
      <c r="J477" s="93"/>
      <c r="K477" s="85"/>
      <c r="M477" s="94"/>
      <c r="N477" s="93"/>
      <c r="O477" s="85"/>
      <c r="Q477" s="94"/>
      <c r="R477" s="93"/>
      <c r="S477" s="85"/>
      <c r="U477" s="94"/>
      <c r="V477" s="93"/>
      <c r="W477" s="85"/>
      <c r="Y477" s="94"/>
      <c r="Z477" s="93"/>
      <c r="AA477" s="85"/>
      <c r="AC477" s="94"/>
      <c r="AD477" s="93"/>
      <c r="AE477" s="85"/>
    </row>
    <row r="478" spans="7:31" x14ac:dyDescent="0.35">
      <c r="G478" s="85"/>
      <c r="H478" s="87"/>
      <c r="J478" s="93"/>
      <c r="K478" s="85"/>
      <c r="M478" s="94"/>
      <c r="N478" s="93"/>
      <c r="O478" s="85"/>
      <c r="Q478" s="94"/>
      <c r="R478" s="93"/>
      <c r="S478" s="85"/>
      <c r="U478" s="94"/>
      <c r="V478" s="93"/>
      <c r="W478" s="85"/>
      <c r="Y478" s="94"/>
      <c r="Z478" s="93"/>
      <c r="AA478" s="85"/>
      <c r="AC478" s="94"/>
      <c r="AD478" s="93"/>
      <c r="AE478" s="85"/>
    </row>
    <row r="479" spans="7:31" x14ac:dyDescent="0.35">
      <c r="G479" s="85"/>
      <c r="H479" s="87"/>
      <c r="J479" s="93"/>
      <c r="K479" s="85"/>
      <c r="M479" s="94"/>
      <c r="N479" s="93"/>
      <c r="O479" s="85"/>
      <c r="Q479" s="94"/>
      <c r="R479" s="93"/>
      <c r="S479" s="85"/>
      <c r="U479" s="94"/>
      <c r="V479" s="93"/>
      <c r="W479" s="85"/>
      <c r="Y479" s="94"/>
      <c r="Z479" s="93"/>
      <c r="AA479" s="85"/>
      <c r="AC479" s="94"/>
      <c r="AD479" s="93"/>
      <c r="AE479" s="85"/>
    </row>
    <row r="480" spans="7:31" x14ac:dyDescent="0.35">
      <c r="G480" s="85"/>
      <c r="H480" s="87"/>
      <c r="J480" s="93"/>
      <c r="K480" s="85"/>
      <c r="M480" s="94"/>
      <c r="N480" s="93"/>
      <c r="O480" s="85"/>
      <c r="Q480" s="94"/>
      <c r="R480" s="93"/>
      <c r="S480" s="85"/>
      <c r="U480" s="94"/>
      <c r="V480" s="93"/>
      <c r="W480" s="85"/>
      <c r="Y480" s="94"/>
      <c r="Z480" s="93"/>
      <c r="AA480" s="85"/>
      <c r="AC480" s="94"/>
      <c r="AD480" s="93"/>
      <c r="AE480" s="85"/>
    </row>
    <row r="481" spans="7:31" x14ac:dyDescent="0.35">
      <c r="G481" s="85"/>
      <c r="H481" s="87"/>
      <c r="J481" s="93"/>
      <c r="K481" s="85"/>
      <c r="M481" s="94"/>
      <c r="N481" s="93"/>
      <c r="O481" s="85"/>
      <c r="Q481" s="94"/>
      <c r="R481" s="93"/>
      <c r="S481" s="85"/>
      <c r="U481" s="94"/>
      <c r="V481" s="93"/>
      <c r="W481" s="85"/>
      <c r="Y481" s="94"/>
      <c r="Z481" s="93"/>
      <c r="AA481" s="85"/>
      <c r="AC481" s="94"/>
      <c r="AD481" s="93"/>
      <c r="AE481" s="85"/>
    </row>
    <row r="482" spans="7:31" x14ac:dyDescent="0.35">
      <c r="G482" s="85"/>
      <c r="H482" s="87"/>
      <c r="J482" s="93"/>
      <c r="K482" s="85"/>
      <c r="M482" s="94"/>
      <c r="N482" s="93"/>
      <c r="O482" s="85"/>
      <c r="Q482" s="94"/>
      <c r="R482" s="93"/>
      <c r="S482" s="85"/>
      <c r="U482" s="94"/>
      <c r="V482" s="93"/>
      <c r="W482" s="85"/>
      <c r="Y482" s="94"/>
      <c r="Z482" s="93"/>
      <c r="AA482" s="85"/>
      <c r="AC482" s="94"/>
      <c r="AD482" s="93"/>
      <c r="AE482" s="85"/>
    </row>
    <row r="483" spans="7:31" x14ac:dyDescent="0.35">
      <c r="G483" s="85"/>
      <c r="H483" s="87"/>
      <c r="J483" s="93"/>
      <c r="K483" s="85"/>
      <c r="M483" s="94"/>
      <c r="N483" s="93"/>
      <c r="O483" s="85"/>
      <c r="Q483" s="94"/>
      <c r="R483" s="93"/>
      <c r="S483" s="85"/>
      <c r="U483" s="94"/>
      <c r="V483" s="93"/>
      <c r="W483" s="85"/>
      <c r="Y483" s="94"/>
      <c r="Z483" s="93"/>
      <c r="AA483" s="85"/>
      <c r="AC483" s="94"/>
      <c r="AD483" s="93"/>
      <c r="AE483" s="85"/>
    </row>
    <row r="484" spans="7:31" x14ac:dyDescent="0.35">
      <c r="G484" s="85"/>
      <c r="H484" s="87"/>
      <c r="J484" s="93"/>
      <c r="K484" s="85"/>
      <c r="M484" s="94"/>
      <c r="N484" s="93"/>
      <c r="O484" s="85"/>
      <c r="Q484" s="94"/>
      <c r="R484" s="93"/>
      <c r="S484" s="85"/>
      <c r="U484" s="94"/>
      <c r="V484" s="93"/>
      <c r="W484" s="85"/>
      <c r="Y484" s="94"/>
      <c r="Z484" s="93"/>
      <c r="AA484" s="85"/>
      <c r="AC484" s="94"/>
      <c r="AD484" s="93"/>
      <c r="AE484" s="85"/>
    </row>
    <row r="485" spans="7:31" x14ac:dyDescent="0.35">
      <c r="G485" s="85"/>
      <c r="H485" s="87"/>
      <c r="J485" s="93"/>
      <c r="K485" s="85"/>
      <c r="M485" s="94"/>
      <c r="N485" s="93"/>
      <c r="O485" s="85"/>
      <c r="Q485" s="94"/>
      <c r="R485" s="93"/>
      <c r="S485" s="85"/>
      <c r="U485" s="94"/>
      <c r="V485" s="93"/>
      <c r="W485" s="85"/>
      <c r="Y485" s="94"/>
      <c r="Z485" s="93"/>
      <c r="AA485" s="85"/>
      <c r="AC485" s="94"/>
      <c r="AD485" s="93"/>
      <c r="AE485" s="85"/>
    </row>
    <row r="486" spans="7:31" x14ac:dyDescent="0.35">
      <c r="G486" s="85"/>
      <c r="H486" s="87"/>
      <c r="J486" s="93"/>
      <c r="K486" s="85"/>
      <c r="M486" s="94"/>
      <c r="N486" s="93"/>
      <c r="O486" s="85"/>
      <c r="Q486" s="94"/>
      <c r="R486" s="93"/>
      <c r="S486" s="85"/>
      <c r="U486" s="94"/>
      <c r="V486" s="93"/>
      <c r="W486" s="85"/>
      <c r="Y486" s="94"/>
      <c r="Z486" s="93"/>
      <c r="AA486" s="85"/>
      <c r="AC486" s="94"/>
      <c r="AD486" s="93"/>
      <c r="AE486" s="85"/>
    </row>
    <row r="487" spans="7:31" x14ac:dyDescent="0.35">
      <c r="G487" s="85"/>
      <c r="H487" s="87"/>
      <c r="J487" s="93"/>
      <c r="K487" s="85"/>
      <c r="M487" s="94"/>
      <c r="N487" s="93"/>
      <c r="O487" s="85"/>
      <c r="Q487" s="94"/>
      <c r="R487" s="93"/>
      <c r="S487" s="85"/>
      <c r="U487" s="94"/>
      <c r="V487" s="93"/>
      <c r="W487" s="85"/>
      <c r="Y487" s="94"/>
      <c r="Z487" s="93"/>
      <c r="AA487" s="85"/>
      <c r="AC487" s="94"/>
      <c r="AD487" s="93"/>
      <c r="AE487" s="85"/>
    </row>
    <row r="488" spans="7:31" x14ac:dyDescent="0.35">
      <c r="G488" s="85"/>
      <c r="H488" s="87"/>
      <c r="J488" s="93"/>
      <c r="K488" s="85"/>
      <c r="M488" s="94"/>
      <c r="N488" s="93"/>
      <c r="O488" s="85"/>
      <c r="Q488" s="94"/>
      <c r="R488" s="93"/>
      <c r="S488" s="85"/>
      <c r="U488" s="94"/>
      <c r="V488" s="93"/>
      <c r="W488" s="85"/>
      <c r="Y488" s="94"/>
      <c r="Z488" s="93"/>
      <c r="AA488" s="85"/>
      <c r="AC488" s="94"/>
      <c r="AD488" s="93"/>
      <c r="AE488" s="85"/>
    </row>
    <row r="489" spans="7:31" x14ac:dyDescent="0.35">
      <c r="G489" s="85"/>
      <c r="H489" s="87"/>
      <c r="J489" s="93"/>
      <c r="K489" s="85"/>
      <c r="M489" s="94"/>
      <c r="N489" s="93"/>
      <c r="O489" s="85"/>
      <c r="Q489" s="94"/>
      <c r="R489" s="93"/>
      <c r="S489" s="85"/>
      <c r="U489" s="94"/>
      <c r="V489" s="93"/>
      <c r="W489" s="85"/>
      <c r="Y489" s="94"/>
      <c r="Z489" s="93"/>
      <c r="AA489" s="85"/>
      <c r="AC489" s="94"/>
      <c r="AD489" s="93"/>
      <c r="AE489" s="85"/>
    </row>
    <row r="490" spans="7:31" x14ac:dyDescent="0.35">
      <c r="G490" s="85"/>
      <c r="H490" s="87"/>
      <c r="J490" s="93"/>
      <c r="K490" s="85"/>
      <c r="M490" s="94"/>
      <c r="N490" s="93"/>
      <c r="O490" s="85"/>
      <c r="Q490" s="94"/>
      <c r="R490" s="93"/>
      <c r="S490" s="85"/>
      <c r="U490" s="94"/>
      <c r="V490" s="93"/>
      <c r="W490" s="85"/>
      <c r="Y490" s="94"/>
      <c r="Z490" s="93"/>
      <c r="AA490" s="85"/>
      <c r="AC490" s="94"/>
      <c r="AD490" s="93"/>
      <c r="AE490" s="85"/>
    </row>
    <row r="491" spans="7:31" x14ac:dyDescent="0.35">
      <c r="G491" s="85"/>
      <c r="H491" s="87"/>
      <c r="J491" s="93"/>
      <c r="K491" s="85"/>
      <c r="M491" s="94"/>
      <c r="N491" s="93"/>
      <c r="O491" s="85"/>
      <c r="Q491" s="94"/>
      <c r="R491" s="93"/>
      <c r="S491" s="85"/>
      <c r="U491" s="94"/>
      <c r="V491" s="93"/>
      <c r="W491" s="85"/>
      <c r="Y491" s="94"/>
      <c r="Z491" s="93"/>
      <c r="AA491" s="85"/>
      <c r="AC491" s="94"/>
      <c r="AD491" s="93"/>
      <c r="AE491" s="85"/>
    </row>
    <row r="492" spans="7:31" x14ac:dyDescent="0.35">
      <c r="G492" s="85"/>
      <c r="H492" s="87"/>
      <c r="J492" s="93"/>
      <c r="K492" s="85"/>
      <c r="M492" s="94"/>
      <c r="N492" s="93"/>
      <c r="O492" s="85"/>
      <c r="Q492" s="94"/>
      <c r="R492" s="93"/>
      <c r="S492" s="85"/>
      <c r="U492" s="94"/>
      <c r="V492" s="93"/>
      <c r="W492" s="85"/>
      <c r="Y492" s="94"/>
      <c r="Z492" s="93"/>
      <c r="AA492" s="85"/>
      <c r="AC492" s="94"/>
      <c r="AD492" s="93"/>
      <c r="AE492" s="85"/>
    </row>
    <row r="493" spans="7:31" x14ac:dyDescent="0.35">
      <c r="G493" s="85"/>
      <c r="H493" s="87"/>
      <c r="J493" s="93"/>
      <c r="K493" s="85"/>
      <c r="M493" s="94"/>
      <c r="N493" s="93"/>
      <c r="O493" s="85"/>
      <c r="Q493" s="94"/>
      <c r="R493" s="93"/>
      <c r="S493" s="85"/>
      <c r="U493" s="94"/>
      <c r="V493" s="93"/>
      <c r="W493" s="85"/>
      <c r="Y493" s="94"/>
      <c r="Z493" s="93"/>
      <c r="AA493" s="85"/>
      <c r="AC493" s="94"/>
      <c r="AD493" s="93"/>
      <c r="AE493" s="85"/>
    </row>
    <row r="494" spans="7:31" x14ac:dyDescent="0.35">
      <c r="G494" s="85"/>
      <c r="H494" s="87"/>
      <c r="J494" s="93"/>
      <c r="K494" s="85"/>
      <c r="M494" s="94"/>
      <c r="N494" s="93"/>
      <c r="O494" s="85"/>
      <c r="Q494" s="94"/>
      <c r="R494" s="93"/>
      <c r="S494" s="85"/>
      <c r="U494" s="94"/>
      <c r="V494" s="93"/>
      <c r="W494" s="85"/>
      <c r="Y494" s="94"/>
      <c r="Z494" s="93"/>
      <c r="AA494" s="85"/>
      <c r="AC494" s="94"/>
      <c r="AD494" s="93"/>
      <c r="AE494" s="85"/>
    </row>
    <row r="495" spans="7:31" x14ac:dyDescent="0.35">
      <c r="G495" s="85"/>
      <c r="H495" s="87"/>
      <c r="J495" s="93"/>
      <c r="K495" s="85"/>
      <c r="M495" s="94"/>
      <c r="N495" s="93"/>
      <c r="O495" s="85"/>
      <c r="Q495" s="94"/>
      <c r="R495" s="93"/>
      <c r="S495" s="85"/>
      <c r="U495" s="94"/>
      <c r="V495" s="93"/>
      <c r="W495" s="85"/>
      <c r="Y495" s="94"/>
      <c r="Z495" s="93"/>
      <c r="AA495" s="85"/>
      <c r="AC495" s="94"/>
      <c r="AD495" s="93"/>
      <c r="AE495" s="85"/>
    </row>
    <row r="496" spans="7:31" x14ac:dyDescent="0.35">
      <c r="G496" s="85"/>
      <c r="H496" s="87"/>
      <c r="J496" s="93"/>
      <c r="K496" s="85"/>
      <c r="M496" s="94"/>
      <c r="N496" s="93"/>
      <c r="O496" s="85"/>
      <c r="Q496" s="94"/>
      <c r="R496" s="93"/>
      <c r="S496" s="85"/>
      <c r="U496" s="94"/>
      <c r="V496" s="93"/>
      <c r="W496" s="85"/>
      <c r="Y496" s="94"/>
      <c r="Z496" s="93"/>
      <c r="AA496" s="85"/>
      <c r="AC496" s="94"/>
      <c r="AD496" s="93"/>
      <c r="AE496" s="85"/>
    </row>
    <row r="497" spans="7:31" x14ac:dyDescent="0.35">
      <c r="G497" s="85"/>
      <c r="H497" s="87"/>
      <c r="J497" s="93"/>
      <c r="K497" s="85"/>
      <c r="M497" s="94"/>
      <c r="N497" s="93"/>
      <c r="O497" s="85"/>
      <c r="Q497" s="94"/>
      <c r="R497" s="93"/>
      <c r="S497" s="85"/>
      <c r="U497" s="94"/>
      <c r="V497" s="93"/>
      <c r="W497" s="85"/>
      <c r="Y497" s="94"/>
      <c r="Z497" s="93"/>
      <c r="AA497" s="85"/>
      <c r="AC497" s="94"/>
      <c r="AD497" s="93"/>
      <c r="AE497" s="85"/>
    </row>
    <row r="498" spans="7:31" x14ac:dyDescent="0.35">
      <c r="G498" s="85"/>
      <c r="H498" s="87"/>
      <c r="J498" s="93"/>
      <c r="K498" s="85"/>
      <c r="M498" s="94"/>
      <c r="N498" s="93"/>
      <c r="O498" s="85"/>
      <c r="Q498" s="94"/>
      <c r="R498" s="93"/>
      <c r="S498" s="85"/>
      <c r="U498" s="94"/>
      <c r="V498" s="93"/>
      <c r="W498" s="85"/>
      <c r="Y498" s="94"/>
      <c r="Z498" s="93"/>
      <c r="AA498" s="85"/>
      <c r="AC498" s="94"/>
      <c r="AD498" s="93"/>
      <c r="AE498" s="85"/>
    </row>
    <row r="499" spans="7:31" x14ac:dyDescent="0.35">
      <c r="G499" s="85"/>
      <c r="H499" s="87"/>
      <c r="J499" s="93"/>
      <c r="K499" s="85"/>
      <c r="M499" s="94"/>
      <c r="N499" s="93"/>
      <c r="O499" s="85"/>
      <c r="Q499" s="94"/>
      <c r="R499" s="93"/>
      <c r="S499" s="85"/>
      <c r="U499" s="94"/>
      <c r="V499" s="93"/>
      <c r="W499" s="85"/>
      <c r="Y499" s="94"/>
      <c r="Z499" s="93"/>
      <c r="AA499" s="85"/>
      <c r="AC499" s="94"/>
      <c r="AD499" s="93"/>
      <c r="AE499" s="85"/>
    </row>
    <row r="500" spans="7:31" x14ac:dyDescent="0.35">
      <c r="G500" s="85"/>
      <c r="H500" s="87"/>
      <c r="J500" s="93"/>
      <c r="K500" s="85"/>
      <c r="M500" s="94"/>
      <c r="N500" s="93"/>
      <c r="O500" s="85"/>
      <c r="Q500" s="94"/>
      <c r="R500" s="93"/>
      <c r="S500" s="85"/>
      <c r="U500" s="94"/>
      <c r="V500" s="93"/>
      <c r="W500" s="85"/>
      <c r="Y500" s="94"/>
      <c r="Z500" s="93"/>
      <c r="AA500" s="85"/>
      <c r="AC500" s="94"/>
      <c r="AD500" s="93"/>
      <c r="AE500" s="85"/>
    </row>
    <row r="501" spans="7:31" x14ac:dyDescent="0.35">
      <c r="G501" s="85"/>
      <c r="H501" s="87"/>
      <c r="J501" s="93"/>
      <c r="K501" s="85"/>
      <c r="M501" s="94"/>
      <c r="N501" s="93"/>
      <c r="O501" s="85"/>
      <c r="Q501" s="94"/>
      <c r="R501" s="93"/>
      <c r="S501" s="85"/>
      <c r="U501" s="94"/>
      <c r="V501" s="93"/>
      <c r="W501" s="85"/>
      <c r="Y501" s="94"/>
      <c r="Z501" s="93"/>
      <c r="AA501" s="85"/>
      <c r="AC501" s="94"/>
      <c r="AD501" s="93"/>
      <c r="AE501" s="85"/>
    </row>
    <row r="502" spans="7:31" x14ac:dyDescent="0.35">
      <c r="G502" s="85"/>
      <c r="H502" s="87"/>
      <c r="J502" s="93"/>
      <c r="K502" s="85"/>
      <c r="M502" s="94"/>
      <c r="N502" s="93"/>
      <c r="O502" s="85"/>
      <c r="Q502" s="94"/>
      <c r="R502" s="93"/>
      <c r="S502" s="85"/>
      <c r="U502" s="94"/>
      <c r="V502" s="93"/>
      <c r="W502" s="85"/>
      <c r="Y502" s="94"/>
      <c r="Z502" s="93"/>
      <c r="AA502" s="85"/>
      <c r="AC502" s="94"/>
      <c r="AD502" s="93"/>
      <c r="AE502" s="85"/>
    </row>
    <row r="503" spans="7:31" x14ac:dyDescent="0.35">
      <c r="G503" s="85"/>
      <c r="H503" s="87"/>
      <c r="J503" s="93"/>
      <c r="K503" s="85"/>
      <c r="M503" s="94"/>
      <c r="N503" s="93"/>
      <c r="O503" s="85"/>
      <c r="Q503" s="94"/>
      <c r="R503" s="93"/>
      <c r="S503" s="85"/>
      <c r="U503" s="94"/>
      <c r="V503" s="93"/>
      <c r="W503" s="85"/>
      <c r="Y503" s="94"/>
      <c r="Z503" s="93"/>
      <c r="AA503" s="85"/>
      <c r="AC503" s="94"/>
      <c r="AD503" s="93"/>
      <c r="AE503" s="85"/>
    </row>
    <row r="504" spans="7:31" x14ac:dyDescent="0.35">
      <c r="G504" s="85"/>
      <c r="H504" s="87"/>
      <c r="J504" s="93"/>
      <c r="K504" s="85"/>
      <c r="M504" s="94"/>
      <c r="N504" s="93"/>
      <c r="O504" s="85"/>
      <c r="Q504" s="94"/>
      <c r="R504" s="93"/>
      <c r="S504" s="85"/>
      <c r="U504" s="94"/>
      <c r="V504" s="93"/>
      <c r="W504" s="85"/>
      <c r="Y504" s="94"/>
      <c r="Z504" s="93"/>
      <c r="AA504" s="85"/>
      <c r="AC504" s="94"/>
      <c r="AD504" s="93"/>
      <c r="AE504" s="85"/>
    </row>
    <row r="505" spans="7:31" x14ac:dyDescent="0.35">
      <c r="G505" s="85"/>
      <c r="H505" s="87"/>
      <c r="J505" s="93"/>
      <c r="K505" s="85"/>
      <c r="M505" s="94"/>
      <c r="N505" s="93"/>
      <c r="O505" s="85"/>
      <c r="Q505" s="94"/>
      <c r="R505" s="93"/>
      <c r="S505" s="85"/>
      <c r="U505" s="94"/>
      <c r="V505" s="93"/>
      <c r="W505" s="85"/>
      <c r="Y505" s="94"/>
      <c r="Z505" s="93"/>
      <c r="AA505" s="85"/>
      <c r="AC505" s="94"/>
      <c r="AD505" s="93"/>
      <c r="AE505" s="85"/>
    </row>
    <row r="506" spans="7:31" x14ac:dyDescent="0.35">
      <c r="G506" s="85"/>
      <c r="H506" s="87"/>
      <c r="J506" s="93"/>
      <c r="K506" s="85"/>
      <c r="M506" s="94"/>
      <c r="N506" s="93"/>
      <c r="O506" s="85"/>
      <c r="Q506" s="94"/>
      <c r="R506" s="93"/>
      <c r="S506" s="85"/>
      <c r="U506" s="94"/>
      <c r="V506" s="93"/>
      <c r="W506" s="85"/>
      <c r="Y506" s="94"/>
      <c r="Z506" s="93"/>
      <c r="AA506" s="85"/>
      <c r="AC506" s="94"/>
      <c r="AD506" s="93"/>
      <c r="AE506" s="85"/>
    </row>
    <row r="507" spans="7:31" x14ac:dyDescent="0.35">
      <c r="G507" s="85"/>
      <c r="H507" s="87"/>
      <c r="J507" s="93"/>
      <c r="K507" s="85"/>
      <c r="M507" s="94"/>
      <c r="N507" s="93"/>
      <c r="O507" s="85"/>
      <c r="Q507" s="94"/>
      <c r="R507" s="93"/>
      <c r="S507" s="85"/>
      <c r="U507" s="94"/>
      <c r="V507" s="93"/>
      <c r="W507" s="85"/>
      <c r="Y507" s="94"/>
      <c r="Z507" s="93"/>
      <c r="AA507" s="85"/>
      <c r="AC507" s="94"/>
      <c r="AD507" s="93"/>
      <c r="AE507" s="85"/>
    </row>
    <row r="508" spans="7:31" x14ac:dyDescent="0.35">
      <c r="G508" s="85"/>
      <c r="H508" s="87"/>
      <c r="J508" s="93"/>
      <c r="K508" s="85"/>
      <c r="M508" s="94"/>
      <c r="N508" s="93"/>
      <c r="O508" s="85"/>
      <c r="Q508" s="94"/>
      <c r="R508" s="93"/>
      <c r="S508" s="85"/>
      <c r="U508" s="94"/>
      <c r="V508" s="93"/>
      <c r="W508" s="85"/>
      <c r="Y508" s="94"/>
      <c r="Z508" s="93"/>
      <c r="AA508" s="85"/>
      <c r="AC508" s="94"/>
      <c r="AD508" s="93"/>
      <c r="AE508" s="85"/>
    </row>
    <row r="509" spans="7:31" x14ac:dyDescent="0.35">
      <c r="G509" s="85"/>
      <c r="H509" s="87"/>
      <c r="J509" s="93"/>
      <c r="K509" s="85"/>
      <c r="M509" s="94"/>
      <c r="N509" s="93"/>
      <c r="O509" s="85"/>
      <c r="Q509" s="94"/>
      <c r="R509" s="93"/>
      <c r="S509" s="85"/>
      <c r="U509" s="94"/>
      <c r="V509" s="93"/>
      <c r="W509" s="85"/>
      <c r="Y509" s="94"/>
      <c r="Z509" s="93"/>
      <c r="AA509" s="85"/>
      <c r="AC509" s="94"/>
      <c r="AD509" s="93"/>
      <c r="AE509" s="85"/>
    </row>
    <row r="510" spans="7:31" x14ac:dyDescent="0.35">
      <c r="G510" s="85"/>
      <c r="H510" s="87"/>
      <c r="J510" s="93"/>
      <c r="K510" s="85"/>
      <c r="M510" s="94"/>
      <c r="N510" s="93"/>
      <c r="O510" s="85"/>
      <c r="Q510" s="94"/>
      <c r="R510" s="93"/>
      <c r="S510" s="85"/>
      <c r="U510" s="94"/>
      <c r="V510" s="93"/>
      <c r="W510" s="85"/>
      <c r="Y510" s="94"/>
      <c r="Z510" s="93"/>
      <c r="AA510" s="85"/>
      <c r="AC510" s="94"/>
      <c r="AD510" s="93"/>
      <c r="AE510" s="85"/>
    </row>
    <row r="511" spans="7:31" x14ac:dyDescent="0.35">
      <c r="G511" s="85"/>
      <c r="H511" s="87"/>
      <c r="J511" s="93"/>
      <c r="K511" s="85"/>
      <c r="M511" s="94"/>
      <c r="N511" s="93"/>
      <c r="O511" s="85"/>
      <c r="Q511" s="94"/>
      <c r="R511" s="93"/>
      <c r="S511" s="85"/>
      <c r="U511" s="94"/>
      <c r="V511" s="93"/>
      <c r="W511" s="85"/>
      <c r="Y511" s="94"/>
      <c r="Z511" s="93"/>
      <c r="AA511" s="85"/>
      <c r="AC511" s="94"/>
      <c r="AD511" s="93"/>
      <c r="AE511" s="85"/>
    </row>
    <row r="512" spans="7:31" x14ac:dyDescent="0.35">
      <c r="G512" s="85"/>
      <c r="H512" s="87"/>
      <c r="J512" s="93"/>
      <c r="K512" s="85"/>
      <c r="M512" s="94"/>
      <c r="N512" s="93"/>
      <c r="O512" s="85"/>
      <c r="Q512" s="94"/>
      <c r="R512" s="93"/>
      <c r="S512" s="85"/>
      <c r="U512" s="94"/>
      <c r="V512" s="93"/>
      <c r="W512" s="85"/>
      <c r="Y512" s="94"/>
      <c r="Z512" s="93"/>
      <c r="AA512" s="85"/>
      <c r="AC512" s="94"/>
      <c r="AD512" s="93"/>
      <c r="AE512" s="85"/>
    </row>
    <row r="513" spans="7:31" x14ac:dyDescent="0.35">
      <c r="G513" s="85"/>
      <c r="H513" s="87"/>
      <c r="J513" s="93"/>
      <c r="K513" s="85"/>
      <c r="M513" s="94"/>
      <c r="N513" s="93"/>
      <c r="O513" s="85"/>
      <c r="Q513" s="94"/>
      <c r="R513" s="93"/>
      <c r="S513" s="85"/>
      <c r="U513" s="94"/>
      <c r="V513" s="93"/>
      <c r="W513" s="85"/>
      <c r="Y513" s="94"/>
      <c r="Z513" s="93"/>
      <c r="AA513" s="85"/>
      <c r="AC513" s="94"/>
      <c r="AD513" s="93"/>
      <c r="AE513" s="85"/>
    </row>
    <row r="514" spans="7:31" x14ac:dyDescent="0.35">
      <c r="G514" s="85"/>
      <c r="H514" s="87"/>
      <c r="J514" s="93"/>
      <c r="K514" s="85"/>
      <c r="M514" s="94"/>
      <c r="N514" s="93"/>
      <c r="O514" s="85"/>
      <c r="Q514" s="94"/>
      <c r="R514" s="93"/>
      <c r="S514" s="85"/>
      <c r="U514" s="94"/>
      <c r="V514" s="93"/>
      <c r="W514" s="85"/>
      <c r="Y514" s="94"/>
      <c r="Z514" s="93"/>
      <c r="AA514" s="85"/>
      <c r="AC514" s="94"/>
      <c r="AD514" s="93"/>
      <c r="AE514" s="85"/>
    </row>
    <row r="515" spans="7:31" x14ac:dyDescent="0.35">
      <c r="G515" s="85"/>
      <c r="H515" s="87"/>
      <c r="J515" s="93"/>
      <c r="K515" s="85"/>
      <c r="M515" s="94"/>
      <c r="N515" s="93"/>
      <c r="O515" s="85"/>
      <c r="Q515" s="94"/>
      <c r="R515" s="93"/>
      <c r="S515" s="85"/>
      <c r="U515" s="94"/>
      <c r="V515" s="93"/>
      <c r="W515" s="85"/>
      <c r="Y515" s="94"/>
      <c r="Z515" s="93"/>
      <c r="AA515" s="85"/>
      <c r="AC515" s="94"/>
      <c r="AD515" s="93"/>
      <c r="AE515" s="85"/>
    </row>
    <row r="516" spans="7:31" x14ac:dyDescent="0.35">
      <c r="G516" s="85"/>
      <c r="H516" s="87"/>
      <c r="J516" s="93"/>
      <c r="K516" s="85"/>
      <c r="M516" s="94"/>
      <c r="N516" s="93"/>
      <c r="O516" s="85"/>
      <c r="Q516" s="94"/>
      <c r="R516" s="93"/>
      <c r="S516" s="85"/>
      <c r="U516" s="94"/>
      <c r="V516" s="93"/>
      <c r="W516" s="85"/>
      <c r="Y516" s="94"/>
      <c r="Z516" s="93"/>
      <c r="AA516" s="85"/>
      <c r="AC516" s="94"/>
      <c r="AD516" s="93"/>
      <c r="AE516" s="85"/>
    </row>
    <row r="517" spans="7:31" x14ac:dyDescent="0.35">
      <c r="G517" s="85"/>
      <c r="H517" s="87"/>
      <c r="J517" s="93"/>
      <c r="K517" s="85"/>
      <c r="M517" s="94"/>
      <c r="N517" s="93"/>
      <c r="O517" s="85"/>
      <c r="Q517" s="94"/>
      <c r="R517" s="93"/>
      <c r="S517" s="85"/>
      <c r="U517" s="94"/>
      <c r="V517" s="93"/>
      <c r="W517" s="85"/>
      <c r="Y517" s="94"/>
      <c r="Z517" s="93"/>
      <c r="AA517" s="85"/>
      <c r="AC517" s="94"/>
      <c r="AD517" s="93"/>
      <c r="AE517" s="85"/>
    </row>
    <row r="518" spans="7:31" x14ac:dyDescent="0.35">
      <c r="G518" s="85"/>
      <c r="H518" s="87"/>
      <c r="J518" s="93"/>
      <c r="K518" s="85"/>
      <c r="M518" s="94"/>
      <c r="N518" s="93"/>
      <c r="O518" s="85"/>
      <c r="Q518" s="94"/>
      <c r="R518" s="93"/>
      <c r="S518" s="85"/>
      <c r="U518" s="94"/>
      <c r="V518" s="93"/>
      <c r="W518" s="85"/>
      <c r="Y518" s="94"/>
      <c r="Z518" s="93"/>
      <c r="AA518" s="85"/>
      <c r="AC518" s="94"/>
      <c r="AD518" s="93"/>
      <c r="AE518" s="85"/>
    </row>
    <row r="519" spans="7:31" x14ac:dyDescent="0.35">
      <c r="G519" s="85"/>
      <c r="H519" s="87"/>
      <c r="J519" s="93"/>
      <c r="K519" s="85"/>
      <c r="M519" s="94"/>
      <c r="N519" s="93"/>
      <c r="O519" s="85"/>
      <c r="Q519" s="94"/>
      <c r="R519" s="93"/>
      <c r="S519" s="85"/>
      <c r="U519" s="94"/>
      <c r="V519" s="93"/>
      <c r="W519" s="85"/>
      <c r="Y519" s="94"/>
      <c r="Z519" s="93"/>
      <c r="AA519" s="85"/>
      <c r="AC519" s="94"/>
      <c r="AD519" s="93"/>
      <c r="AE519" s="85"/>
    </row>
    <row r="520" spans="7:31" x14ac:dyDescent="0.35">
      <c r="G520" s="85"/>
      <c r="H520" s="87"/>
      <c r="J520" s="93"/>
      <c r="K520" s="85"/>
      <c r="M520" s="94"/>
      <c r="N520" s="93"/>
      <c r="O520" s="85"/>
      <c r="Q520" s="94"/>
      <c r="R520" s="93"/>
      <c r="S520" s="85"/>
      <c r="U520" s="94"/>
      <c r="V520" s="93"/>
      <c r="W520" s="85"/>
      <c r="Y520" s="94"/>
      <c r="Z520" s="93"/>
      <c r="AA520" s="85"/>
      <c r="AC520" s="94"/>
      <c r="AD520" s="93"/>
      <c r="AE520" s="85"/>
    </row>
    <row r="521" spans="7:31" x14ac:dyDescent="0.35">
      <c r="G521" s="85"/>
      <c r="H521" s="87"/>
      <c r="J521" s="93"/>
      <c r="K521" s="85"/>
      <c r="M521" s="94"/>
      <c r="N521" s="93"/>
      <c r="O521" s="85"/>
      <c r="Q521" s="94"/>
      <c r="R521" s="93"/>
      <c r="S521" s="85"/>
      <c r="U521" s="94"/>
      <c r="V521" s="93"/>
      <c r="W521" s="85"/>
      <c r="Y521" s="94"/>
      <c r="Z521" s="93"/>
      <c r="AA521" s="85"/>
      <c r="AC521" s="94"/>
      <c r="AD521" s="93"/>
      <c r="AE521" s="85"/>
    </row>
    <row r="522" spans="7:31" x14ac:dyDescent="0.35">
      <c r="G522" s="85"/>
      <c r="H522" s="87"/>
      <c r="J522" s="93"/>
      <c r="K522" s="85"/>
      <c r="M522" s="94"/>
      <c r="N522" s="93"/>
      <c r="O522" s="85"/>
      <c r="Q522" s="94"/>
      <c r="R522" s="93"/>
      <c r="S522" s="85"/>
      <c r="U522" s="94"/>
      <c r="V522" s="93"/>
      <c r="W522" s="85"/>
      <c r="Y522" s="94"/>
      <c r="Z522" s="93"/>
      <c r="AA522" s="85"/>
      <c r="AC522" s="94"/>
      <c r="AD522" s="93"/>
      <c r="AE522" s="85"/>
    </row>
    <row r="523" spans="7:31" x14ac:dyDescent="0.35">
      <c r="G523" s="85"/>
      <c r="H523" s="87"/>
      <c r="J523" s="93"/>
      <c r="K523" s="85"/>
      <c r="M523" s="94"/>
      <c r="N523" s="93"/>
      <c r="O523" s="85"/>
      <c r="Q523" s="94"/>
      <c r="R523" s="93"/>
      <c r="S523" s="85"/>
      <c r="U523" s="94"/>
      <c r="V523" s="93"/>
      <c r="W523" s="85"/>
      <c r="Y523" s="94"/>
      <c r="Z523" s="93"/>
      <c r="AA523" s="85"/>
      <c r="AC523" s="94"/>
      <c r="AD523" s="93"/>
      <c r="AE523" s="85"/>
    </row>
    <row r="524" spans="7:31" x14ac:dyDescent="0.35">
      <c r="G524" s="85"/>
      <c r="H524" s="87"/>
      <c r="J524" s="93"/>
      <c r="K524" s="85"/>
      <c r="M524" s="94"/>
      <c r="N524" s="93"/>
      <c r="O524" s="85"/>
      <c r="Q524" s="94"/>
      <c r="R524" s="93"/>
      <c r="S524" s="85"/>
      <c r="U524" s="94"/>
      <c r="V524" s="93"/>
      <c r="W524" s="85"/>
      <c r="Y524" s="94"/>
      <c r="Z524" s="93"/>
      <c r="AA524" s="85"/>
      <c r="AC524" s="94"/>
      <c r="AD524" s="93"/>
      <c r="AE524" s="85"/>
    </row>
    <row r="525" spans="7:31" x14ac:dyDescent="0.35">
      <c r="G525" s="85"/>
      <c r="H525" s="87"/>
      <c r="J525" s="93"/>
      <c r="K525" s="85"/>
      <c r="M525" s="94"/>
      <c r="N525" s="93"/>
      <c r="O525" s="85"/>
      <c r="Q525" s="94"/>
      <c r="R525" s="93"/>
      <c r="S525" s="85"/>
      <c r="U525" s="94"/>
      <c r="V525" s="93"/>
      <c r="W525" s="85"/>
      <c r="Y525" s="94"/>
      <c r="Z525" s="93"/>
      <c r="AA525" s="85"/>
      <c r="AC525" s="94"/>
      <c r="AD525" s="93"/>
      <c r="AE525" s="85"/>
    </row>
    <row r="526" spans="7:31" x14ac:dyDescent="0.35">
      <c r="G526" s="85"/>
      <c r="H526" s="87"/>
      <c r="J526" s="93"/>
      <c r="K526" s="85"/>
      <c r="M526" s="94"/>
      <c r="N526" s="93"/>
      <c r="O526" s="85"/>
      <c r="Q526" s="94"/>
      <c r="R526" s="93"/>
      <c r="S526" s="85"/>
      <c r="U526" s="94"/>
      <c r="V526" s="93"/>
      <c r="W526" s="85"/>
      <c r="Y526" s="94"/>
      <c r="Z526" s="93"/>
      <c r="AA526" s="85"/>
      <c r="AC526" s="94"/>
      <c r="AD526" s="93"/>
      <c r="AE526" s="85"/>
    </row>
    <row r="527" spans="7:31" x14ac:dyDescent="0.35">
      <c r="G527" s="85"/>
      <c r="H527" s="87"/>
      <c r="J527" s="93"/>
      <c r="K527" s="85"/>
      <c r="M527" s="94"/>
      <c r="N527" s="93"/>
      <c r="O527" s="85"/>
      <c r="Q527" s="94"/>
      <c r="R527" s="93"/>
      <c r="S527" s="85"/>
      <c r="U527" s="94"/>
      <c r="V527" s="93"/>
      <c r="W527" s="85"/>
      <c r="Y527" s="94"/>
      <c r="Z527" s="93"/>
      <c r="AA527" s="85"/>
      <c r="AC527" s="94"/>
      <c r="AD527" s="93"/>
      <c r="AE527" s="85"/>
    </row>
    <row r="528" spans="7:31" x14ac:dyDescent="0.35">
      <c r="G528" s="85"/>
      <c r="H528" s="87"/>
      <c r="J528" s="93"/>
      <c r="K528" s="85"/>
      <c r="M528" s="94"/>
      <c r="N528" s="93"/>
      <c r="O528" s="85"/>
      <c r="Q528" s="94"/>
      <c r="R528" s="93"/>
      <c r="S528" s="85"/>
      <c r="U528" s="94"/>
      <c r="V528" s="93"/>
      <c r="W528" s="85"/>
      <c r="Y528" s="94"/>
      <c r="Z528" s="93"/>
      <c r="AA528" s="85"/>
      <c r="AC528" s="94"/>
      <c r="AD528" s="93"/>
      <c r="AE528" s="85"/>
    </row>
    <row r="529" spans="7:31" x14ac:dyDescent="0.35">
      <c r="G529" s="85"/>
      <c r="H529" s="87"/>
      <c r="J529" s="93"/>
      <c r="K529" s="85"/>
      <c r="M529" s="94"/>
      <c r="N529" s="93"/>
      <c r="O529" s="85"/>
      <c r="Q529" s="94"/>
      <c r="R529" s="93"/>
      <c r="S529" s="85"/>
      <c r="U529" s="94"/>
      <c r="V529" s="93"/>
      <c r="W529" s="85"/>
      <c r="Y529" s="94"/>
      <c r="Z529" s="93"/>
      <c r="AA529" s="85"/>
      <c r="AC529" s="94"/>
      <c r="AD529" s="93"/>
      <c r="AE529" s="85"/>
    </row>
    <row r="530" spans="7:31" x14ac:dyDescent="0.35">
      <c r="G530" s="85"/>
      <c r="H530" s="87"/>
      <c r="J530" s="93"/>
      <c r="K530" s="85"/>
      <c r="M530" s="94"/>
      <c r="N530" s="93"/>
      <c r="O530" s="85"/>
      <c r="Q530" s="94"/>
      <c r="R530" s="93"/>
      <c r="S530" s="85"/>
      <c r="U530" s="94"/>
      <c r="V530" s="93"/>
      <c r="W530" s="85"/>
      <c r="Y530" s="94"/>
      <c r="Z530" s="93"/>
      <c r="AA530" s="85"/>
      <c r="AC530" s="94"/>
      <c r="AD530" s="93"/>
      <c r="AE530" s="85"/>
    </row>
    <row r="531" spans="7:31" x14ac:dyDescent="0.35">
      <c r="G531" s="85"/>
      <c r="H531" s="87"/>
      <c r="J531" s="93"/>
      <c r="K531" s="85"/>
      <c r="M531" s="94"/>
      <c r="N531" s="93"/>
      <c r="O531" s="85"/>
      <c r="Q531" s="94"/>
      <c r="R531" s="93"/>
      <c r="S531" s="85"/>
      <c r="U531" s="94"/>
      <c r="V531" s="93"/>
      <c r="W531" s="85"/>
      <c r="Y531" s="94"/>
      <c r="Z531" s="93"/>
      <c r="AA531" s="85"/>
      <c r="AC531" s="94"/>
      <c r="AD531" s="93"/>
      <c r="AE531" s="85"/>
    </row>
    <row r="532" spans="7:31" x14ac:dyDescent="0.35">
      <c r="G532" s="85"/>
      <c r="H532" s="87"/>
      <c r="J532" s="93"/>
      <c r="K532" s="85"/>
      <c r="M532" s="94"/>
      <c r="N532" s="93"/>
      <c r="O532" s="85"/>
      <c r="Q532" s="94"/>
      <c r="R532" s="93"/>
      <c r="S532" s="85"/>
      <c r="U532" s="94"/>
      <c r="V532" s="93"/>
      <c r="W532" s="85"/>
      <c r="Y532" s="94"/>
      <c r="Z532" s="93"/>
      <c r="AA532" s="85"/>
      <c r="AC532" s="94"/>
      <c r="AD532" s="93"/>
      <c r="AE532" s="85"/>
    </row>
    <row r="533" spans="7:31" x14ac:dyDescent="0.35">
      <c r="G533" s="85"/>
      <c r="H533" s="87"/>
      <c r="J533" s="93"/>
      <c r="K533" s="85"/>
      <c r="M533" s="94"/>
      <c r="N533" s="93"/>
      <c r="O533" s="85"/>
      <c r="Q533" s="94"/>
      <c r="R533" s="93"/>
      <c r="S533" s="85"/>
      <c r="U533" s="94"/>
      <c r="V533" s="93"/>
      <c r="W533" s="85"/>
      <c r="Y533" s="94"/>
      <c r="Z533" s="93"/>
      <c r="AA533" s="85"/>
      <c r="AC533" s="94"/>
      <c r="AD533" s="93"/>
      <c r="AE533" s="85"/>
    </row>
    <row r="534" spans="7:31" x14ac:dyDescent="0.35">
      <c r="G534" s="85"/>
      <c r="H534" s="87"/>
      <c r="J534" s="93"/>
      <c r="K534" s="85"/>
      <c r="M534" s="94"/>
      <c r="N534" s="93"/>
      <c r="O534" s="85"/>
      <c r="Q534" s="94"/>
      <c r="R534" s="93"/>
      <c r="S534" s="85"/>
      <c r="U534" s="94"/>
      <c r="V534" s="93"/>
      <c r="W534" s="85"/>
      <c r="Y534" s="94"/>
      <c r="Z534" s="93"/>
      <c r="AA534" s="85"/>
      <c r="AC534" s="94"/>
      <c r="AD534" s="93"/>
      <c r="AE534" s="85"/>
    </row>
    <row r="535" spans="7:31" x14ac:dyDescent="0.35">
      <c r="G535" s="85"/>
      <c r="H535" s="87"/>
      <c r="J535" s="93"/>
      <c r="K535" s="85"/>
      <c r="M535" s="94"/>
      <c r="N535" s="93"/>
      <c r="O535" s="85"/>
      <c r="Q535" s="94"/>
      <c r="R535" s="93"/>
      <c r="S535" s="85"/>
      <c r="U535" s="94"/>
      <c r="V535" s="93"/>
      <c r="W535" s="85"/>
      <c r="Y535" s="94"/>
      <c r="Z535" s="93"/>
      <c r="AA535" s="85"/>
      <c r="AC535" s="94"/>
      <c r="AD535" s="93"/>
      <c r="AE535" s="85"/>
    </row>
    <row r="536" spans="7:31" x14ac:dyDescent="0.35">
      <c r="G536" s="85"/>
      <c r="H536" s="87"/>
      <c r="J536" s="93"/>
      <c r="K536" s="85"/>
      <c r="M536" s="94"/>
      <c r="N536" s="93"/>
      <c r="O536" s="85"/>
      <c r="Q536" s="94"/>
      <c r="R536" s="93"/>
      <c r="S536" s="85"/>
      <c r="U536" s="94"/>
      <c r="V536" s="93"/>
      <c r="W536" s="85"/>
      <c r="Y536" s="94"/>
      <c r="Z536" s="93"/>
      <c r="AA536" s="85"/>
      <c r="AC536" s="94"/>
      <c r="AD536" s="93"/>
      <c r="AE536" s="85"/>
    </row>
    <row r="537" spans="7:31" x14ac:dyDescent="0.35">
      <c r="G537" s="85"/>
      <c r="H537" s="87"/>
      <c r="J537" s="93"/>
      <c r="K537" s="85"/>
      <c r="M537" s="94"/>
      <c r="N537" s="93"/>
      <c r="O537" s="85"/>
      <c r="Q537" s="94"/>
      <c r="R537" s="93"/>
      <c r="S537" s="85"/>
      <c r="U537" s="94"/>
      <c r="V537" s="93"/>
      <c r="W537" s="85"/>
      <c r="Y537" s="94"/>
      <c r="Z537" s="93"/>
      <c r="AA537" s="85"/>
      <c r="AC537" s="94"/>
      <c r="AD537" s="93"/>
      <c r="AE537" s="85"/>
    </row>
    <row r="538" spans="7:31" x14ac:dyDescent="0.35">
      <c r="G538" s="85"/>
      <c r="H538" s="87"/>
      <c r="J538" s="93"/>
      <c r="K538" s="85"/>
      <c r="M538" s="94"/>
      <c r="N538" s="93"/>
      <c r="O538" s="85"/>
      <c r="Q538" s="94"/>
      <c r="R538" s="93"/>
      <c r="S538" s="85"/>
      <c r="U538" s="94"/>
      <c r="V538" s="93"/>
      <c r="W538" s="85"/>
      <c r="Y538" s="94"/>
      <c r="Z538" s="93"/>
      <c r="AA538" s="85"/>
      <c r="AC538" s="94"/>
      <c r="AD538" s="93"/>
      <c r="AE538" s="85"/>
    </row>
    <row r="539" spans="7:31" x14ac:dyDescent="0.35">
      <c r="G539" s="85"/>
      <c r="H539" s="87"/>
      <c r="J539" s="93"/>
      <c r="K539" s="85"/>
      <c r="M539" s="94"/>
      <c r="N539" s="93"/>
      <c r="O539" s="85"/>
      <c r="Q539" s="94"/>
      <c r="R539" s="93"/>
      <c r="S539" s="85"/>
      <c r="U539" s="94"/>
      <c r="V539" s="93"/>
      <c r="W539" s="85"/>
      <c r="Y539" s="94"/>
      <c r="Z539" s="93"/>
      <c r="AA539" s="85"/>
      <c r="AC539" s="94"/>
      <c r="AD539" s="93"/>
      <c r="AE539" s="85"/>
    </row>
    <row r="540" spans="7:31" x14ac:dyDescent="0.35">
      <c r="G540" s="85"/>
      <c r="H540" s="87"/>
      <c r="J540" s="93"/>
      <c r="K540" s="85"/>
      <c r="M540" s="94"/>
      <c r="N540" s="93"/>
      <c r="O540" s="85"/>
      <c r="Q540" s="94"/>
      <c r="R540" s="93"/>
      <c r="S540" s="85"/>
      <c r="U540" s="94"/>
      <c r="V540" s="93"/>
      <c r="W540" s="85"/>
      <c r="Y540" s="94"/>
      <c r="Z540" s="93"/>
      <c r="AA540" s="85"/>
      <c r="AC540" s="94"/>
      <c r="AD540" s="93"/>
      <c r="AE540" s="85"/>
    </row>
    <row r="541" spans="7:31" x14ac:dyDescent="0.35">
      <c r="G541" s="85"/>
      <c r="H541" s="87"/>
      <c r="J541" s="93"/>
      <c r="K541" s="85"/>
      <c r="M541" s="94"/>
      <c r="N541" s="93"/>
      <c r="O541" s="85"/>
      <c r="Q541" s="94"/>
      <c r="R541" s="93"/>
      <c r="S541" s="85"/>
      <c r="U541" s="94"/>
      <c r="V541" s="93"/>
      <c r="W541" s="85"/>
      <c r="Y541" s="94"/>
      <c r="Z541" s="93"/>
      <c r="AA541" s="85"/>
      <c r="AC541" s="94"/>
      <c r="AD541" s="93"/>
      <c r="AE541" s="85"/>
    </row>
    <row r="542" spans="7:31" x14ac:dyDescent="0.35">
      <c r="G542" s="85"/>
      <c r="H542" s="87"/>
      <c r="J542" s="93"/>
      <c r="K542" s="85"/>
      <c r="M542" s="94"/>
      <c r="N542" s="93"/>
      <c r="O542" s="85"/>
      <c r="Q542" s="94"/>
      <c r="R542" s="93"/>
      <c r="S542" s="85"/>
      <c r="U542" s="94"/>
      <c r="V542" s="93"/>
      <c r="W542" s="85"/>
      <c r="Y542" s="94"/>
      <c r="Z542" s="93"/>
      <c r="AA542" s="85"/>
      <c r="AC542" s="94"/>
      <c r="AD542" s="93"/>
      <c r="AE542" s="85"/>
    </row>
    <row r="543" spans="7:31" x14ac:dyDescent="0.35">
      <c r="G543" s="85"/>
      <c r="H543" s="87"/>
      <c r="J543" s="93"/>
      <c r="K543" s="85"/>
      <c r="M543" s="94"/>
      <c r="N543" s="93"/>
      <c r="O543" s="85"/>
      <c r="Q543" s="94"/>
      <c r="R543" s="93"/>
      <c r="S543" s="85"/>
      <c r="U543" s="94"/>
      <c r="V543" s="93"/>
      <c r="W543" s="85"/>
      <c r="Y543" s="94"/>
      <c r="Z543" s="93"/>
      <c r="AA543" s="85"/>
      <c r="AC543" s="94"/>
      <c r="AD543" s="93"/>
      <c r="AE543" s="85"/>
    </row>
    <row r="544" spans="7:31" x14ac:dyDescent="0.35">
      <c r="G544" s="85"/>
      <c r="H544" s="87"/>
      <c r="J544" s="93"/>
      <c r="K544" s="85"/>
      <c r="M544" s="94"/>
      <c r="N544" s="93"/>
      <c r="O544" s="85"/>
      <c r="Q544" s="94"/>
      <c r="R544" s="93"/>
      <c r="S544" s="85"/>
      <c r="U544" s="94"/>
      <c r="V544" s="93"/>
      <c r="W544" s="85"/>
      <c r="Y544" s="94"/>
      <c r="Z544" s="93"/>
      <c r="AA544" s="85"/>
      <c r="AC544" s="94"/>
      <c r="AD544" s="93"/>
      <c r="AE544" s="85"/>
    </row>
    <row r="545" spans="7:31" x14ac:dyDescent="0.35">
      <c r="G545" s="85"/>
      <c r="H545" s="87"/>
      <c r="J545" s="93"/>
      <c r="K545" s="85"/>
      <c r="M545" s="94"/>
      <c r="N545" s="93"/>
      <c r="O545" s="85"/>
      <c r="Q545" s="94"/>
      <c r="R545" s="93"/>
      <c r="S545" s="85"/>
      <c r="U545" s="94"/>
      <c r="V545" s="93"/>
      <c r="W545" s="85"/>
      <c r="Y545" s="94"/>
      <c r="Z545" s="93"/>
      <c r="AA545" s="85"/>
      <c r="AC545" s="94"/>
      <c r="AD545" s="93"/>
      <c r="AE545" s="85"/>
    </row>
    <row r="546" spans="7:31" x14ac:dyDescent="0.35">
      <c r="G546" s="85"/>
      <c r="H546" s="87"/>
      <c r="J546" s="93"/>
      <c r="K546" s="85"/>
      <c r="M546" s="94"/>
      <c r="N546" s="93"/>
      <c r="O546" s="85"/>
      <c r="Q546" s="94"/>
      <c r="R546" s="93"/>
      <c r="S546" s="85"/>
      <c r="U546" s="94"/>
      <c r="V546" s="93"/>
      <c r="W546" s="85"/>
      <c r="Y546" s="94"/>
      <c r="Z546" s="93"/>
      <c r="AA546" s="85"/>
      <c r="AC546" s="94"/>
      <c r="AD546" s="93"/>
      <c r="AE546" s="85"/>
    </row>
    <row r="547" spans="7:31" x14ac:dyDescent="0.35">
      <c r="G547" s="85"/>
      <c r="H547" s="87"/>
      <c r="J547" s="93"/>
      <c r="K547" s="85"/>
      <c r="M547" s="94"/>
      <c r="N547" s="93"/>
      <c r="O547" s="85"/>
      <c r="Q547" s="94"/>
      <c r="R547" s="93"/>
      <c r="S547" s="85"/>
      <c r="U547" s="94"/>
      <c r="V547" s="93"/>
      <c r="W547" s="85"/>
      <c r="Y547" s="94"/>
      <c r="Z547" s="93"/>
      <c r="AA547" s="85"/>
      <c r="AC547" s="94"/>
      <c r="AD547" s="93"/>
      <c r="AE547" s="85"/>
    </row>
    <row r="548" spans="7:31" x14ac:dyDescent="0.35">
      <c r="G548" s="85"/>
      <c r="H548" s="87"/>
      <c r="J548" s="93"/>
      <c r="K548" s="85"/>
      <c r="M548" s="94"/>
      <c r="N548" s="93"/>
      <c r="O548" s="85"/>
      <c r="Q548" s="94"/>
      <c r="R548" s="93"/>
      <c r="S548" s="85"/>
      <c r="U548" s="94"/>
      <c r="V548" s="93"/>
      <c r="W548" s="85"/>
      <c r="Y548" s="94"/>
      <c r="Z548" s="93"/>
      <c r="AA548" s="85"/>
      <c r="AC548" s="94"/>
      <c r="AD548" s="93"/>
      <c r="AE548" s="85"/>
    </row>
    <row r="549" spans="7:31" x14ac:dyDescent="0.35">
      <c r="G549" s="85"/>
      <c r="H549" s="87"/>
      <c r="J549" s="93"/>
      <c r="K549" s="85"/>
      <c r="M549" s="94"/>
      <c r="N549" s="93"/>
      <c r="O549" s="85"/>
      <c r="Q549" s="94"/>
      <c r="R549" s="93"/>
      <c r="S549" s="85"/>
      <c r="U549" s="94"/>
      <c r="V549" s="93"/>
      <c r="W549" s="85"/>
      <c r="Y549" s="94"/>
      <c r="Z549" s="93"/>
      <c r="AA549" s="85"/>
      <c r="AC549" s="94"/>
      <c r="AD549" s="93"/>
      <c r="AE549" s="85"/>
    </row>
    <row r="550" spans="7:31" x14ac:dyDescent="0.35">
      <c r="G550" s="85"/>
      <c r="H550" s="87"/>
      <c r="J550" s="93"/>
      <c r="K550" s="85"/>
      <c r="M550" s="94"/>
      <c r="N550" s="93"/>
      <c r="O550" s="85"/>
      <c r="Q550" s="94"/>
      <c r="R550" s="93"/>
      <c r="S550" s="85"/>
      <c r="U550" s="94"/>
      <c r="V550" s="93"/>
      <c r="W550" s="85"/>
      <c r="Y550" s="94"/>
      <c r="Z550" s="93"/>
      <c r="AA550" s="85"/>
      <c r="AC550" s="94"/>
      <c r="AD550" s="93"/>
      <c r="AE550" s="85"/>
    </row>
    <row r="551" spans="7:31" x14ac:dyDescent="0.35">
      <c r="G551" s="85"/>
      <c r="H551" s="87"/>
      <c r="J551" s="93"/>
      <c r="K551" s="85"/>
      <c r="M551" s="94"/>
      <c r="N551" s="93"/>
      <c r="O551" s="85"/>
      <c r="Q551" s="94"/>
      <c r="R551" s="93"/>
      <c r="S551" s="85"/>
      <c r="U551" s="94"/>
      <c r="V551" s="93"/>
      <c r="W551" s="85"/>
      <c r="Y551" s="94"/>
      <c r="Z551" s="93"/>
      <c r="AA551" s="85"/>
      <c r="AC551" s="94"/>
      <c r="AD551" s="93"/>
      <c r="AE551" s="85"/>
    </row>
    <row r="552" spans="7:31" x14ac:dyDescent="0.35">
      <c r="G552" s="85"/>
      <c r="H552" s="87"/>
      <c r="J552" s="93"/>
      <c r="K552" s="85"/>
      <c r="M552" s="94"/>
      <c r="N552" s="93"/>
      <c r="O552" s="85"/>
      <c r="Q552" s="94"/>
      <c r="R552" s="93"/>
      <c r="S552" s="85"/>
      <c r="U552" s="94"/>
      <c r="V552" s="93"/>
      <c r="W552" s="85"/>
      <c r="Y552" s="94"/>
      <c r="Z552" s="93"/>
      <c r="AA552" s="85"/>
      <c r="AC552" s="94"/>
      <c r="AD552" s="93"/>
      <c r="AE552" s="85"/>
    </row>
    <row r="553" spans="7:31" x14ac:dyDescent="0.35">
      <c r="G553" s="85"/>
      <c r="H553" s="87"/>
      <c r="J553" s="93"/>
      <c r="K553" s="85"/>
      <c r="M553" s="94"/>
      <c r="N553" s="93"/>
      <c r="O553" s="85"/>
      <c r="Q553" s="94"/>
      <c r="R553" s="93"/>
      <c r="S553" s="85"/>
      <c r="U553" s="94"/>
      <c r="V553" s="93"/>
      <c r="W553" s="85"/>
      <c r="Y553" s="94"/>
      <c r="Z553" s="93"/>
      <c r="AA553" s="85"/>
      <c r="AC553" s="94"/>
      <c r="AD553" s="93"/>
      <c r="AE553" s="85"/>
    </row>
    <row r="554" spans="7:31" x14ac:dyDescent="0.35">
      <c r="G554" s="85"/>
      <c r="H554" s="87"/>
      <c r="J554" s="93"/>
      <c r="K554" s="85"/>
      <c r="M554" s="94"/>
      <c r="N554" s="93"/>
      <c r="O554" s="85"/>
      <c r="Q554" s="94"/>
      <c r="R554" s="93"/>
      <c r="S554" s="85"/>
      <c r="U554" s="94"/>
      <c r="V554" s="93"/>
      <c r="W554" s="85"/>
      <c r="Y554" s="94"/>
      <c r="Z554" s="93"/>
      <c r="AA554" s="85"/>
      <c r="AC554" s="94"/>
      <c r="AD554" s="93"/>
      <c r="AE554" s="85"/>
    </row>
    <row r="555" spans="7:31" x14ac:dyDescent="0.35">
      <c r="G555" s="85"/>
      <c r="H555" s="87"/>
      <c r="J555" s="93"/>
      <c r="K555" s="85"/>
      <c r="M555" s="94"/>
      <c r="N555" s="93"/>
      <c r="O555" s="85"/>
      <c r="Q555" s="94"/>
      <c r="R555" s="93"/>
      <c r="S555" s="85"/>
      <c r="U555" s="94"/>
      <c r="V555" s="93"/>
      <c r="W555" s="85"/>
      <c r="Y555" s="94"/>
      <c r="Z555" s="93"/>
      <c r="AA555" s="85"/>
      <c r="AC555" s="94"/>
      <c r="AD555" s="93"/>
      <c r="AE555" s="85"/>
    </row>
    <row r="556" spans="7:31" x14ac:dyDescent="0.35">
      <c r="G556" s="85"/>
      <c r="H556" s="87"/>
      <c r="J556" s="93"/>
      <c r="K556" s="85"/>
      <c r="M556" s="94"/>
      <c r="N556" s="93"/>
      <c r="O556" s="85"/>
      <c r="Q556" s="94"/>
      <c r="R556" s="93"/>
      <c r="S556" s="85"/>
      <c r="U556" s="94"/>
      <c r="V556" s="93"/>
      <c r="W556" s="85"/>
      <c r="Y556" s="94"/>
      <c r="Z556" s="93"/>
      <c r="AA556" s="85"/>
      <c r="AC556" s="94"/>
      <c r="AD556" s="93"/>
      <c r="AE556" s="85"/>
    </row>
    <row r="557" spans="7:31" x14ac:dyDescent="0.35">
      <c r="G557" s="85"/>
      <c r="H557" s="87"/>
      <c r="J557" s="93"/>
      <c r="K557" s="85"/>
      <c r="M557" s="94"/>
      <c r="N557" s="93"/>
      <c r="O557" s="85"/>
      <c r="Q557" s="94"/>
      <c r="R557" s="93"/>
      <c r="S557" s="85"/>
      <c r="U557" s="94"/>
      <c r="V557" s="93"/>
      <c r="W557" s="85"/>
      <c r="Y557" s="94"/>
      <c r="Z557" s="93"/>
      <c r="AA557" s="85"/>
      <c r="AC557" s="94"/>
      <c r="AD557" s="93"/>
      <c r="AE557" s="85"/>
    </row>
    <row r="558" spans="7:31" x14ac:dyDescent="0.35">
      <c r="G558" s="85"/>
      <c r="H558" s="87"/>
      <c r="J558" s="93"/>
      <c r="K558" s="85"/>
      <c r="M558" s="94"/>
      <c r="N558" s="93"/>
      <c r="O558" s="85"/>
      <c r="Q558" s="94"/>
      <c r="R558" s="93"/>
      <c r="S558" s="85"/>
      <c r="U558" s="94"/>
      <c r="V558" s="93"/>
      <c r="W558" s="85"/>
      <c r="Y558" s="94"/>
      <c r="Z558" s="93"/>
      <c r="AA558" s="85"/>
      <c r="AC558" s="94"/>
      <c r="AD558" s="93"/>
      <c r="AE558" s="85"/>
    </row>
    <row r="559" spans="7:31" x14ac:dyDescent="0.35">
      <c r="G559" s="85"/>
      <c r="H559" s="87"/>
      <c r="J559" s="93"/>
      <c r="K559" s="85"/>
      <c r="M559" s="94"/>
      <c r="N559" s="93"/>
      <c r="O559" s="85"/>
      <c r="Q559" s="94"/>
      <c r="R559" s="93"/>
      <c r="S559" s="85"/>
      <c r="U559" s="94"/>
      <c r="V559" s="93"/>
      <c r="W559" s="85"/>
      <c r="Y559" s="94"/>
      <c r="Z559" s="93"/>
      <c r="AA559" s="85"/>
      <c r="AC559" s="94"/>
      <c r="AD559" s="93"/>
      <c r="AE559" s="85"/>
    </row>
    <row r="560" spans="7:31" x14ac:dyDescent="0.35">
      <c r="G560" s="85"/>
      <c r="H560" s="87"/>
      <c r="J560" s="93"/>
      <c r="K560" s="85"/>
      <c r="M560" s="94"/>
      <c r="N560" s="93"/>
      <c r="O560" s="85"/>
      <c r="Q560" s="94"/>
      <c r="R560" s="93"/>
      <c r="S560" s="85"/>
      <c r="U560" s="94"/>
      <c r="V560" s="93"/>
      <c r="W560" s="85"/>
      <c r="Y560" s="94"/>
      <c r="Z560" s="93"/>
      <c r="AA560" s="85"/>
      <c r="AC560" s="94"/>
      <c r="AD560" s="93"/>
      <c r="AE560" s="85"/>
    </row>
    <row r="561" spans="7:31" x14ac:dyDescent="0.35">
      <c r="G561" s="85"/>
      <c r="H561" s="87"/>
      <c r="J561" s="93"/>
      <c r="K561" s="85"/>
      <c r="M561" s="94"/>
      <c r="N561" s="93"/>
      <c r="O561" s="85"/>
      <c r="Q561" s="94"/>
      <c r="R561" s="93"/>
      <c r="S561" s="85"/>
      <c r="U561" s="94"/>
      <c r="V561" s="93"/>
      <c r="W561" s="85"/>
      <c r="Y561" s="94"/>
      <c r="Z561" s="93"/>
      <c r="AA561" s="85"/>
      <c r="AC561" s="94"/>
      <c r="AD561" s="93"/>
      <c r="AE561" s="85"/>
    </row>
    <row r="562" spans="7:31" x14ac:dyDescent="0.35">
      <c r="G562" s="85"/>
      <c r="H562" s="87"/>
      <c r="J562" s="93"/>
      <c r="K562" s="85"/>
      <c r="M562" s="94"/>
      <c r="N562" s="93"/>
      <c r="O562" s="85"/>
      <c r="Q562" s="94"/>
      <c r="R562" s="93"/>
      <c r="S562" s="85"/>
      <c r="U562" s="94"/>
      <c r="V562" s="93"/>
      <c r="W562" s="85"/>
      <c r="Y562" s="94"/>
      <c r="Z562" s="93"/>
      <c r="AA562" s="85"/>
      <c r="AC562" s="94"/>
      <c r="AD562" s="93"/>
      <c r="AE562" s="85"/>
    </row>
    <row r="563" spans="7:31" x14ac:dyDescent="0.35">
      <c r="G563" s="85"/>
      <c r="H563" s="87"/>
      <c r="J563" s="93"/>
      <c r="K563" s="85"/>
      <c r="M563" s="94"/>
      <c r="N563" s="93"/>
      <c r="O563" s="85"/>
      <c r="Q563" s="94"/>
      <c r="R563" s="93"/>
      <c r="S563" s="85"/>
      <c r="U563" s="94"/>
      <c r="V563" s="93"/>
      <c r="W563" s="85"/>
      <c r="Y563" s="94"/>
      <c r="Z563" s="93"/>
      <c r="AA563" s="85"/>
      <c r="AC563" s="94"/>
      <c r="AD563" s="93"/>
      <c r="AE563" s="85"/>
    </row>
    <row r="564" spans="7:31" x14ac:dyDescent="0.35">
      <c r="G564" s="85"/>
      <c r="H564" s="87"/>
      <c r="J564" s="93"/>
      <c r="K564" s="85"/>
      <c r="M564" s="94"/>
      <c r="N564" s="93"/>
      <c r="O564" s="85"/>
      <c r="Q564" s="94"/>
      <c r="R564" s="93"/>
      <c r="S564" s="85"/>
      <c r="U564" s="94"/>
      <c r="V564" s="93"/>
      <c r="W564" s="85"/>
      <c r="Y564" s="94"/>
      <c r="Z564" s="93"/>
      <c r="AA564" s="85"/>
      <c r="AC564" s="94"/>
      <c r="AD564" s="93"/>
      <c r="AE564" s="85"/>
    </row>
    <row r="565" spans="7:31" x14ac:dyDescent="0.35">
      <c r="G565" s="85"/>
      <c r="H565" s="87"/>
      <c r="J565" s="93"/>
      <c r="K565" s="85"/>
      <c r="M565" s="94"/>
      <c r="N565" s="93"/>
      <c r="O565" s="85"/>
      <c r="Q565" s="94"/>
      <c r="R565" s="93"/>
      <c r="S565" s="85"/>
      <c r="U565" s="94"/>
      <c r="V565" s="93"/>
      <c r="W565" s="85"/>
      <c r="Y565" s="94"/>
      <c r="Z565" s="93"/>
      <c r="AA565" s="85"/>
      <c r="AC565" s="94"/>
      <c r="AD565" s="93"/>
      <c r="AE565" s="85"/>
    </row>
    <row r="566" spans="7:31" x14ac:dyDescent="0.35">
      <c r="G566" s="85"/>
      <c r="H566" s="87"/>
      <c r="J566" s="93"/>
      <c r="K566" s="85"/>
      <c r="M566" s="94"/>
      <c r="N566" s="93"/>
      <c r="O566" s="85"/>
      <c r="Q566" s="94"/>
      <c r="R566" s="93"/>
      <c r="S566" s="85"/>
      <c r="U566" s="94"/>
      <c r="V566" s="93"/>
      <c r="W566" s="85"/>
      <c r="Y566" s="94"/>
      <c r="Z566" s="93"/>
      <c r="AA566" s="85"/>
      <c r="AC566" s="94"/>
      <c r="AD566" s="93"/>
      <c r="AE566" s="85"/>
    </row>
    <row r="567" spans="7:31" x14ac:dyDescent="0.35">
      <c r="G567" s="85"/>
      <c r="H567" s="87"/>
      <c r="J567" s="93"/>
      <c r="K567" s="85"/>
      <c r="M567" s="94"/>
      <c r="N567" s="93"/>
      <c r="O567" s="85"/>
      <c r="Q567" s="94"/>
      <c r="R567" s="93"/>
      <c r="S567" s="85"/>
      <c r="U567" s="94"/>
      <c r="V567" s="93"/>
      <c r="W567" s="85"/>
      <c r="Y567" s="94"/>
      <c r="Z567" s="93"/>
      <c r="AA567" s="85"/>
      <c r="AC567" s="94"/>
      <c r="AD567" s="93"/>
      <c r="AE567" s="85"/>
    </row>
    <row r="568" spans="7:31" x14ac:dyDescent="0.35">
      <c r="G568" s="85"/>
      <c r="H568" s="87"/>
      <c r="J568" s="93"/>
      <c r="K568" s="85"/>
      <c r="M568" s="94"/>
      <c r="N568" s="93"/>
      <c r="O568" s="85"/>
      <c r="Q568" s="94"/>
      <c r="R568" s="93"/>
      <c r="S568" s="85"/>
      <c r="U568" s="94"/>
      <c r="V568" s="93"/>
      <c r="W568" s="85"/>
      <c r="Y568" s="94"/>
      <c r="Z568" s="93"/>
      <c r="AA568" s="85"/>
      <c r="AC568" s="94"/>
      <c r="AD568" s="93"/>
      <c r="AE568" s="85"/>
    </row>
    <row r="569" spans="7:31" x14ac:dyDescent="0.35">
      <c r="G569" s="85"/>
      <c r="H569" s="87"/>
      <c r="J569" s="93"/>
      <c r="K569" s="85"/>
      <c r="M569" s="94"/>
      <c r="N569" s="93"/>
      <c r="O569" s="85"/>
      <c r="Q569" s="94"/>
      <c r="R569" s="93"/>
      <c r="S569" s="85"/>
      <c r="U569" s="94"/>
      <c r="V569" s="93"/>
      <c r="W569" s="85"/>
      <c r="Y569" s="94"/>
      <c r="Z569" s="93"/>
      <c r="AA569" s="85"/>
      <c r="AC569" s="94"/>
      <c r="AD569" s="93"/>
      <c r="AE569" s="85"/>
    </row>
    <row r="570" spans="7:31" x14ac:dyDescent="0.35">
      <c r="G570" s="85"/>
      <c r="H570" s="87"/>
      <c r="J570" s="93"/>
      <c r="K570" s="85"/>
      <c r="M570" s="94"/>
      <c r="N570" s="93"/>
      <c r="O570" s="85"/>
      <c r="Q570" s="94"/>
      <c r="R570" s="93"/>
      <c r="S570" s="85"/>
      <c r="U570" s="94"/>
      <c r="V570" s="93"/>
      <c r="W570" s="85"/>
      <c r="Y570" s="94"/>
      <c r="Z570" s="93"/>
      <c r="AA570" s="85"/>
      <c r="AC570" s="94"/>
      <c r="AD570" s="93"/>
      <c r="AE570" s="85"/>
    </row>
    <row r="571" spans="7:31" x14ac:dyDescent="0.35">
      <c r="G571" s="85"/>
      <c r="H571" s="87"/>
      <c r="J571" s="93"/>
      <c r="K571" s="85"/>
      <c r="M571" s="94"/>
      <c r="N571" s="93"/>
      <c r="O571" s="85"/>
      <c r="Q571" s="94"/>
      <c r="R571" s="93"/>
      <c r="S571" s="85"/>
      <c r="U571" s="94"/>
      <c r="V571" s="93"/>
      <c r="W571" s="85"/>
      <c r="Y571" s="94"/>
      <c r="Z571" s="93"/>
      <c r="AA571" s="85"/>
      <c r="AC571" s="94"/>
      <c r="AD571" s="93"/>
      <c r="AE571" s="85"/>
    </row>
    <row r="572" spans="7:31" x14ac:dyDescent="0.35">
      <c r="G572" s="85"/>
      <c r="H572" s="87"/>
      <c r="J572" s="93"/>
      <c r="K572" s="85"/>
      <c r="M572" s="94"/>
      <c r="N572" s="93"/>
      <c r="O572" s="85"/>
      <c r="Q572" s="94"/>
      <c r="R572" s="93"/>
      <c r="S572" s="85"/>
      <c r="U572" s="94"/>
      <c r="V572" s="93"/>
      <c r="W572" s="85"/>
      <c r="Y572" s="94"/>
      <c r="Z572" s="93"/>
      <c r="AA572" s="85"/>
      <c r="AC572" s="94"/>
      <c r="AD572" s="93"/>
      <c r="AE572" s="85"/>
    </row>
    <row r="573" spans="7:31" x14ac:dyDescent="0.35">
      <c r="G573" s="85"/>
      <c r="H573" s="87"/>
      <c r="J573" s="93"/>
      <c r="K573" s="85"/>
      <c r="M573" s="94"/>
      <c r="N573" s="93"/>
      <c r="O573" s="85"/>
      <c r="Q573" s="94"/>
      <c r="R573" s="93"/>
      <c r="S573" s="85"/>
      <c r="U573" s="94"/>
      <c r="V573" s="93"/>
      <c r="W573" s="85"/>
      <c r="Y573" s="94"/>
      <c r="Z573" s="93"/>
      <c r="AA573" s="85"/>
      <c r="AC573" s="94"/>
      <c r="AD573" s="93"/>
      <c r="AE573" s="85"/>
    </row>
    <row r="574" spans="7:31" x14ac:dyDescent="0.35">
      <c r="G574" s="85"/>
      <c r="H574" s="87"/>
      <c r="J574" s="93"/>
      <c r="K574" s="85"/>
      <c r="M574" s="94"/>
      <c r="N574" s="93"/>
      <c r="O574" s="85"/>
      <c r="Q574" s="94"/>
      <c r="R574" s="93"/>
      <c r="S574" s="85"/>
      <c r="U574" s="94"/>
      <c r="V574" s="93"/>
      <c r="W574" s="85"/>
      <c r="Y574" s="94"/>
      <c r="Z574" s="93"/>
      <c r="AA574" s="85"/>
      <c r="AC574" s="94"/>
      <c r="AD574" s="93"/>
      <c r="AE574" s="85"/>
    </row>
    <row r="575" spans="7:31" x14ac:dyDescent="0.35">
      <c r="G575" s="85"/>
      <c r="H575" s="87"/>
      <c r="J575" s="93"/>
      <c r="K575" s="85"/>
      <c r="M575" s="94"/>
      <c r="N575" s="93"/>
      <c r="O575" s="85"/>
      <c r="Q575" s="94"/>
      <c r="R575" s="93"/>
      <c r="S575" s="85"/>
      <c r="U575" s="94"/>
      <c r="V575" s="93"/>
      <c r="W575" s="85"/>
      <c r="Y575" s="94"/>
      <c r="Z575" s="93"/>
      <c r="AA575" s="85"/>
      <c r="AC575" s="94"/>
      <c r="AD575" s="93"/>
      <c r="AE575" s="85"/>
    </row>
    <row r="576" spans="7:31" x14ac:dyDescent="0.35">
      <c r="G576" s="85"/>
      <c r="H576" s="87"/>
      <c r="J576" s="93"/>
      <c r="K576" s="85"/>
      <c r="M576" s="94"/>
      <c r="N576" s="93"/>
      <c r="O576" s="85"/>
      <c r="Q576" s="94"/>
      <c r="R576" s="93"/>
      <c r="S576" s="85"/>
      <c r="U576" s="94"/>
      <c r="V576" s="93"/>
      <c r="W576" s="85"/>
      <c r="Y576" s="94"/>
      <c r="Z576" s="93"/>
      <c r="AA576" s="85"/>
      <c r="AC576" s="94"/>
      <c r="AD576" s="93"/>
      <c r="AE576" s="85"/>
    </row>
    <row r="577" spans="7:31" x14ac:dyDescent="0.35">
      <c r="G577" s="85"/>
      <c r="H577" s="87"/>
      <c r="J577" s="93"/>
      <c r="K577" s="85"/>
      <c r="M577" s="94"/>
      <c r="N577" s="93"/>
      <c r="O577" s="85"/>
      <c r="Q577" s="94"/>
      <c r="R577" s="93"/>
      <c r="S577" s="85"/>
      <c r="U577" s="94"/>
      <c r="V577" s="93"/>
      <c r="W577" s="85"/>
      <c r="Y577" s="94"/>
      <c r="Z577" s="93"/>
      <c r="AA577" s="85"/>
      <c r="AC577" s="94"/>
      <c r="AD577" s="93"/>
      <c r="AE577" s="85"/>
    </row>
    <row r="578" spans="7:31" x14ac:dyDescent="0.35">
      <c r="G578" s="85"/>
      <c r="H578" s="87"/>
      <c r="J578" s="93"/>
      <c r="K578" s="85"/>
      <c r="M578" s="94"/>
      <c r="N578" s="93"/>
      <c r="O578" s="85"/>
      <c r="Q578" s="94"/>
      <c r="R578" s="93"/>
      <c r="S578" s="85"/>
      <c r="U578" s="94"/>
      <c r="V578" s="93"/>
      <c r="W578" s="85"/>
      <c r="Y578" s="94"/>
      <c r="Z578" s="93"/>
      <c r="AA578" s="85"/>
      <c r="AC578" s="94"/>
      <c r="AD578" s="93"/>
      <c r="AE578" s="85"/>
    </row>
    <row r="579" spans="7:31" x14ac:dyDescent="0.35">
      <c r="G579" s="85"/>
      <c r="H579" s="87"/>
      <c r="J579" s="93"/>
      <c r="K579" s="85"/>
      <c r="M579" s="94"/>
      <c r="N579" s="93"/>
      <c r="O579" s="85"/>
      <c r="Q579" s="94"/>
      <c r="R579" s="93"/>
      <c r="S579" s="85"/>
      <c r="U579" s="94"/>
      <c r="V579" s="93"/>
      <c r="W579" s="85"/>
      <c r="Y579" s="94"/>
      <c r="Z579" s="93"/>
      <c r="AA579" s="85"/>
      <c r="AC579" s="94"/>
      <c r="AD579" s="93"/>
      <c r="AE579" s="85"/>
    </row>
    <row r="580" spans="7:31" x14ac:dyDescent="0.35">
      <c r="G580" s="85"/>
      <c r="H580" s="87"/>
      <c r="J580" s="93"/>
      <c r="K580" s="85"/>
      <c r="M580" s="94"/>
      <c r="N580" s="93"/>
      <c r="O580" s="85"/>
      <c r="Q580" s="94"/>
      <c r="R580" s="93"/>
      <c r="S580" s="85"/>
      <c r="U580" s="94"/>
      <c r="V580" s="93"/>
      <c r="W580" s="85"/>
      <c r="Y580" s="94"/>
      <c r="Z580" s="93"/>
      <c r="AA580" s="85"/>
      <c r="AC580" s="94"/>
      <c r="AD580" s="93"/>
      <c r="AE580" s="85"/>
    </row>
    <row r="581" spans="7:31" x14ac:dyDescent="0.35">
      <c r="G581" s="85"/>
      <c r="H581" s="87"/>
      <c r="J581" s="93"/>
      <c r="K581" s="85"/>
      <c r="M581" s="94"/>
      <c r="N581" s="93"/>
      <c r="O581" s="85"/>
      <c r="Q581" s="94"/>
      <c r="R581" s="93"/>
      <c r="S581" s="85"/>
      <c r="U581" s="94"/>
      <c r="V581" s="93"/>
      <c r="W581" s="85"/>
      <c r="Y581" s="94"/>
      <c r="Z581" s="93"/>
      <c r="AA581" s="85"/>
      <c r="AC581" s="94"/>
      <c r="AD581" s="93"/>
      <c r="AE581" s="85"/>
    </row>
    <row r="582" spans="7:31" x14ac:dyDescent="0.35">
      <c r="G582" s="85"/>
      <c r="H582" s="87"/>
      <c r="J582" s="93"/>
      <c r="K582" s="85"/>
      <c r="M582" s="94"/>
      <c r="N582" s="93"/>
      <c r="O582" s="85"/>
      <c r="Q582" s="94"/>
      <c r="R582" s="93"/>
      <c r="S582" s="85"/>
      <c r="U582" s="94"/>
      <c r="V582" s="93"/>
      <c r="W582" s="85"/>
      <c r="Y582" s="94"/>
      <c r="Z582" s="93"/>
      <c r="AA582" s="85"/>
      <c r="AC582" s="94"/>
      <c r="AD582" s="93"/>
      <c r="AE582" s="85"/>
    </row>
    <row r="583" spans="7:31" x14ac:dyDescent="0.35">
      <c r="G583" s="85"/>
      <c r="H583" s="87"/>
      <c r="J583" s="93"/>
      <c r="K583" s="85"/>
      <c r="M583" s="94"/>
      <c r="N583" s="93"/>
      <c r="O583" s="85"/>
      <c r="Q583" s="94"/>
      <c r="R583" s="93"/>
      <c r="S583" s="85"/>
      <c r="U583" s="94"/>
      <c r="V583" s="93"/>
      <c r="W583" s="85"/>
      <c r="Y583" s="94"/>
      <c r="Z583" s="93"/>
      <c r="AA583" s="85"/>
      <c r="AC583" s="94"/>
      <c r="AD583" s="93"/>
      <c r="AE583" s="85"/>
    </row>
    <row r="584" spans="7:31" x14ac:dyDescent="0.35">
      <c r="G584" s="85"/>
      <c r="H584" s="87"/>
      <c r="J584" s="93"/>
      <c r="K584" s="85"/>
      <c r="M584" s="94"/>
      <c r="N584" s="93"/>
      <c r="O584" s="85"/>
      <c r="Q584" s="94"/>
      <c r="R584" s="93"/>
      <c r="S584" s="85"/>
      <c r="U584" s="94"/>
      <c r="V584" s="93"/>
      <c r="W584" s="85"/>
      <c r="Y584" s="94"/>
      <c r="Z584" s="93"/>
      <c r="AA584" s="85"/>
      <c r="AC584" s="94"/>
      <c r="AD584" s="93"/>
      <c r="AE584" s="85"/>
    </row>
    <row r="585" spans="7:31" x14ac:dyDescent="0.35">
      <c r="G585" s="85"/>
      <c r="H585" s="87"/>
      <c r="J585" s="93"/>
      <c r="K585" s="85"/>
      <c r="M585" s="94"/>
      <c r="N585" s="93"/>
      <c r="O585" s="85"/>
      <c r="Q585" s="94"/>
      <c r="R585" s="93"/>
      <c r="S585" s="85"/>
      <c r="U585" s="94"/>
      <c r="V585" s="93"/>
      <c r="W585" s="85"/>
      <c r="Y585" s="94"/>
      <c r="Z585" s="93"/>
      <c r="AA585" s="85"/>
      <c r="AC585" s="94"/>
      <c r="AD585" s="93"/>
      <c r="AE585" s="85"/>
    </row>
    <row r="586" spans="7:31" x14ac:dyDescent="0.35">
      <c r="G586" s="85"/>
      <c r="H586" s="87"/>
      <c r="J586" s="93"/>
      <c r="K586" s="85"/>
      <c r="M586" s="94"/>
      <c r="N586" s="93"/>
      <c r="O586" s="85"/>
      <c r="Q586" s="94"/>
      <c r="R586" s="93"/>
      <c r="S586" s="85"/>
      <c r="U586" s="94"/>
      <c r="V586" s="93"/>
      <c r="W586" s="85"/>
      <c r="Y586" s="94"/>
      <c r="Z586" s="93"/>
      <c r="AA586" s="85"/>
      <c r="AC586" s="94"/>
      <c r="AD586" s="93"/>
      <c r="AE586" s="85"/>
    </row>
    <row r="587" spans="7:31" x14ac:dyDescent="0.35">
      <c r="G587" s="85"/>
      <c r="H587" s="87"/>
      <c r="J587" s="93"/>
      <c r="K587" s="85"/>
      <c r="M587" s="94"/>
      <c r="N587" s="93"/>
      <c r="O587" s="85"/>
      <c r="Q587" s="94"/>
      <c r="R587" s="93"/>
      <c r="S587" s="85"/>
      <c r="U587" s="94"/>
      <c r="V587" s="93"/>
      <c r="W587" s="85"/>
      <c r="Y587" s="94"/>
      <c r="Z587" s="93"/>
      <c r="AA587" s="85"/>
      <c r="AC587" s="94"/>
      <c r="AD587" s="93"/>
      <c r="AE587" s="85"/>
    </row>
    <row r="588" spans="7:31" x14ac:dyDescent="0.35">
      <c r="G588" s="85"/>
      <c r="H588" s="87"/>
      <c r="J588" s="93"/>
      <c r="K588" s="85"/>
      <c r="M588" s="94"/>
      <c r="N588" s="93"/>
      <c r="O588" s="85"/>
      <c r="Q588" s="94"/>
      <c r="R588" s="93"/>
      <c r="S588" s="85"/>
      <c r="U588" s="94"/>
      <c r="V588" s="93"/>
      <c r="W588" s="85"/>
      <c r="Y588" s="94"/>
      <c r="Z588" s="93"/>
      <c r="AA588" s="85"/>
      <c r="AC588" s="94"/>
      <c r="AD588" s="93"/>
      <c r="AE588" s="85"/>
    </row>
    <row r="589" spans="7:31" x14ac:dyDescent="0.35">
      <c r="G589" s="85"/>
      <c r="H589" s="87"/>
      <c r="J589" s="93"/>
      <c r="K589" s="85"/>
      <c r="M589" s="94"/>
      <c r="N589" s="93"/>
      <c r="O589" s="85"/>
      <c r="Q589" s="94"/>
      <c r="R589" s="93"/>
      <c r="S589" s="85"/>
      <c r="U589" s="94"/>
      <c r="V589" s="93"/>
      <c r="W589" s="85"/>
      <c r="Y589" s="94"/>
      <c r="Z589" s="93"/>
      <c r="AA589" s="85"/>
      <c r="AC589" s="94"/>
      <c r="AD589" s="93"/>
      <c r="AE589" s="85"/>
    </row>
    <row r="590" spans="7:31" x14ac:dyDescent="0.35">
      <c r="G590" s="85"/>
      <c r="H590" s="87"/>
      <c r="J590" s="93"/>
      <c r="K590" s="85"/>
      <c r="M590" s="94"/>
      <c r="N590" s="93"/>
      <c r="O590" s="85"/>
      <c r="Q590" s="94"/>
      <c r="R590" s="93"/>
      <c r="S590" s="85"/>
      <c r="U590" s="94"/>
      <c r="V590" s="93"/>
      <c r="W590" s="85"/>
      <c r="Y590" s="94"/>
      <c r="Z590" s="93"/>
      <c r="AA590" s="85"/>
      <c r="AC590" s="94"/>
      <c r="AD590" s="93"/>
      <c r="AE590" s="85"/>
    </row>
    <row r="591" spans="7:31" x14ac:dyDescent="0.35">
      <c r="G591" s="85"/>
      <c r="H591" s="87"/>
      <c r="J591" s="93"/>
      <c r="K591" s="85"/>
      <c r="M591" s="94"/>
      <c r="N591" s="93"/>
      <c r="O591" s="85"/>
      <c r="Q591" s="94"/>
      <c r="R591" s="93"/>
      <c r="S591" s="85"/>
      <c r="U591" s="94"/>
      <c r="V591" s="93"/>
      <c r="W591" s="85"/>
      <c r="Y591" s="94"/>
      <c r="Z591" s="93"/>
      <c r="AA591" s="85"/>
      <c r="AC591" s="94"/>
      <c r="AD591" s="93"/>
      <c r="AE591" s="85"/>
    </row>
    <row r="592" spans="7:31" x14ac:dyDescent="0.35">
      <c r="G592" s="85"/>
      <c r="H592" s="87"/>
      <c r="J592" s="93"/>
      <c r="K592" s="85"/>
      <c r="M592" s="94"/>
      <c r="N592" s="93"/>
      <c r="O592" s="85"/>
      <c r="Q592" s="94"/>
      <c r="R592" s="93"/>
      <c r="S592" s="85"/>
      <c r="U592" s="94"/>
      <c r="V592" s="93"/>
      <c r="W592" s="85"/>
      <c r="Y592" s="94"/>
      <c r="Z592" s="93"/>
      <c r="AA592" s="85"/>
      <c r="AC592" s="94"/>
      <c r="AD592" s="93"/>
      <c r="AE592" s="85"/>
    </row>
    <row r="593" spans="7:31" x14ac:dyDescent="0.35">
      <c r="G593" s="85"/>
      <c r="H593" s="87"/>
      <c r="J593" s="93"/>
      <c r="K593" s="85"/>
      <c r="M593" s="94"/>
      <c r="N593" s="93"/>
      <c r="O593" s="85"/>
      <c r="Q593" s="94"/>
      <c r="R593" s="93"/>
      <c r="S593" s="85"/>
      <c r="U593" s="94"/>
      <c r="V593" s="93"/>
      <c r="W593" s="85"/>
      <c r="Y593" s="94"/>
      <c r="Z593" s="93"/>
      <c r="AA593" s="85"/>
      <c r="AC593" s="94"/>
      <c r="AD593" s="93"/>
      <c r="AE593" s="85"/>
    </row>
    <row r="594" spans="7:31" x14ac:dyDescent="0.35">
      <c r="G594" s="85"/>
      <c r="H594" s="87"/>
      <c r="J594" s="93"/>
      <c r="K594" s="85"/>
      <c r="M594" s="94"/>
      <c r="N594" s="93"/>
      <c r="O594" s="85"/>
      <c r="Q594" s="94"/>
      <c r="R594" s="93"/>
      <c r="S594" s="85"/>
      <c r="U594" s="94"/>
      <c r="V594" s="93"/>
      <c r="W594" s="85"/>
      <c r="Y594" s="94"/>
      <c r="Z594" s="93"/>
      <c r="AA594" s="85"/>
      <c r="AC594" s="94"/>
      <c r="AD594" s="93"/>
      <c r="AE594" s="85"/>
    </row>
    <row r="595" spans="7:31" x14ac:dyDescent="0.35">
      <c r="G595" s="85"/>
      <c r="H595" s="87"/>
      <c r="J595" s="93"/>
      <c r="K595" s="85"/>
      <c r="M595" s="94"/>
      <c r="N595" s="93"/>
      <c r="O595" s="85"/>
      <c r="Q595" s="94"/>
      <c r="R595" s="93"/>
      <c r="S595" s="85"/>
      <c r="U595" s="94"/>
      <c r="V595" s="93"/>
      <c r="W595" s="85"/>
      <c r="Y595" s="94"/>
      <c r="Z595" s="93"/>
      <c r="AA595" s="85"/>
      <c r="AC595" s="94"/>
      <c r="AD595" s="93"/>
      <c r="AE595" s="85"/>
    </row>
    <row r="596" spans="7:31" x14ac:dyDescent="0.35">
      <c r="G596" s="85"/>
      <c r="H596" s="87"/>
      <c r="J596" s="93"/>
      <c r="K596" s="85"/>
      <c r="M596" s="94"/>
      <c r="N596" s="93"/>
      <c r="O596" s="85"/>
      <c r="Q596" s="94"/>
      <c r="R596" s="93"/>
      <c r="S596" s="85"/>
      <c r="U596" s="94"/>
      <c r="V596" s="93"/>
      <c r="W596" s="85"/>
      <c r="Y596" s="94"/>
      <c r="Z596" s="93"/>
      <c r="AA596" s="85"/>
      <c r="AC596" s="94"/>
      <c r="AD596" s="93"/>
      <c r="AE596" s="85"/>
    </row>
    <row r="597" spans="7:31" x14ac:dyDescent="0.35">
      <c r="G597" s="85"/>
      <c r="H597" s="87"/>
      <c r="J597" s="93"/>
      <c r="K597" s="85"/>
      <c r="M597" s="94"/>
      <c r="N597" s="93"/>
      <c r="O597" s="85"/>
      <c r="Q597" s="94"/>
      <c r="R597" s="93"/>
      <c r="S597" s="85"/>
      <c r="U597" s="94"/>
      <c r="V597" s="93"/>
      <c r="W597" s="85"/>
      <c r="Y597" s="94"/>
      <c r="Z597" s="93"/>
      <c r="AA597" s="85"/>
      <c r="AC597" s="94"/>
      <c r="AD597" s="93"/>
      <c r="AE597" s="85"/>
    </row>
    <row r="598" spans="7:31" x14ac:dyDescent="0.35">
      <c r="G598" s="85"/>
      <c r="H598" s="87"/>
      <c r="J598" s="93"/>
      <c r="K598" s="85"/>
      <c r="M598" s="94"/>
      <c r="N598" s="93"/>
      <c r="O598" s="85"/>
      <c r="Q598" s="94"/>
      <c r="R598" s="93"/>
      <c r="S598" s="85"/>
      <c r="U598" s="94"/>
      <c r="V598" s="93"/>
      <c r="W598" s="85"/>
      <c r="Y598" s="94"/>
      <c r="Z598" s="93"/>
      <c r="AA598" s="85"/>
      <c r="AC598" s="94"/>
      <c r="AD598" s="93"/>
      <c r="AE598" s="85"/>
    </row>
    <row r="599" spans="7:31" x14ac:dyDescent="0.35">
      <c r="G599" s="85"/>
      <c r="H599" s="87"/>
      <c r="J599" s="93"/>
      <c r="K599" s="85"/>
      <c r="M599" s="94"/>
      <c r="N599" s="93"/>
      <c r="O599" s="85"/>
      <c r="Q599" s="94"/>
      <c r="R599" s="93"/>
      <c r="S599" s="85"/>
      <c r="U599" s="94"/>
      <c r="V599" s="93"/>
      <c r="W599" s="85"/>
      <c r="Y599" s="94"/>
      <c r="Z599" s="93"/>
      <c r="AA599" s="85"/>
      <c r="AC599" s="94"/>
      <c r="AD599" s="93"/>
      <c r="AE599" s="85"/>
    </row>
    <row r="600" spans="7:31" x14ac:dyDescent="0.35">
      <c r="G600" s="85"/>
      <c r="H600" s="87"/>
      <c r="J600" s="93"/>
      <c r="K600" s="85"/>
      <c r="M600" s="94"/>
      <c r="N600" s="93"/>
      <c r="O600" s="85"/>
      <c r="Q600" s="94"/>
      <c r="R600" s="93"/>
      <c r="S600" s="85"/>
      <c r="U600" s="94"/>
      <c r="V600" s="93"/>
      <c r="W600" s="85"/>
      <c r="Y600" s="94"/>
      <c r="Z600" s="93"/>
      <c r="AA600" s="85"/>
      <c r="AC600" s="94"/>
      <c r="AD600" s="93"/>
      <c r="AE600" s="85"/>
    </row>
    <row r="601" spans="7:31" x14ac:dyDescent="0.35">
      <c r="G601" s="85"/>
      <c r="H601" s="87"/>
      <c r="J601" s="93"/>
      <c r="K601" s="85"/>
      <c r="M601" s="94"/>
      <c r="N601" s="93"/>
      <c r="O601" s="85"/>
      <c r="Q601" s="94"/>
      <c r="R601" s="93"/>
      <c r="S601" s="85"/>
      <c r="U601" s="94"/>
      <c r="V601" s="93"/>
      <c r="W601" s="85"/>
      <c r="Y601" s="94"/>
      <c r="Z601" s="93"/>
      <c r="AA601" s="85"/>
      <c r="AC601" s="94"/>
      <c r="AD601" s="93"/>
      <c r="AE601" s="85"/>
    </row>
    <row r="602" spans="7:31" x14ac:dyDescent="0.35">
      <c r="G602" s="85"/>
      <c r="H602" s="87"/>
      <c r="J602" s="93"/>
      <c r="K602" s="85"/>
      <c r="M602" s="94"/>
      <c r="N602" s="93"/>
      <c r="O602" s="85"/>
      <c r="Q602" s="94"/>
      <c r="R602" s="93"/>
      <c r="S602" s="85"/>
      <c r="U602" s="94"/>
      <c r="V602" s="93"/>
      <c r="W602" s="85"/>
      <c r="Y602" s="94"/>
      <c r="Z602" s="93"/>
      <c r="AA602" s="85"/>
      <c r="AC602" s="94"/>
      <c r="AD602" s="93"/>
      <c r="AE602" s="85"/>
    </row>
    <row r="603" spans="7:31" x14ac:dyDescent="0.35">
      <c r="G603" s="85"/>
      <c r="H603" s="87"/>
      <c r="J603" s="93"/>
      <c r="K603" s="85"/>
      <c r="M603" s="94"/>
      <c r="N603" s="93"/>
      <c r="O603" s="85"/>
      <c r="Q603" s="94"/>
      <c r="R603" s="93"/>
      <c r="S603" s="85"/>
      <c r="U603" s="94"/>
      <c r="V603" s="93"/>
      <c r="W603" s="85"/>
      <c r="Y603" s="94"/>
      <c r="Z603" s="93"/>
      <c r="AA603" s="85"/>
      <c r="AC603" s="94"/>
      <c r="AD603" s="93"/>
      <c r="AE603" s="85"/>
    </row>
    <row r="604" spans="7:31" x14ac:dyDescent="0.35">
      <c r="G604" s="85"/>
      <c r="H604" s="87"/>
      <c r="J604" s="93"/>
      <c r="K604" s="85"/>
      <c r="M604" s="94"/>
      <c r="N604" s="93"/>
      <c r="O604" s="85"/>
      <c r="Q604" s="94"/>
      <c r="R604" s="93"/>
      <c r="S604" s="85"/>
      <c r="U604" s="94"/>
      <c r="V604" s="93"/>
      <c r="W604" s="85"/>
      <c r="Y604" s="94"/>
      <c r="Z604" s="93"/>
      <c r="AA604" s="85"/>
      <c r="AC604" s="94"/>
      <c r="AD604" s="93"/>
      <c r="AE604" s="85"/>
    </row>
    <row r="605" spans="7:31" x14ac:dyDescent="0.35">
      <c r="G605" s="85"/>
      <c r="H605" s="87"/>
      <c r="J605" s="93"/>
      <c r="K605" s="85"/>
      <c r="M605" s="94"/>
      <c r="N605" s="93"/>
      <c r="O605" s="85"/>
      <c r="Q605" s="94"/>
      <c r="R605" s="93"/>
      <c r="S605" s="85"/>
      <c r="U605" s="94"/>
      <c r="V605" s="93"/>
      <c r="W605" s="85"/>
      <c r="Y605" s="94"/>
      <c r="Z605" s="93"/>
      <c r="AA605" s="85"/>
      <c r="AC605" s="94"/>
      <c r="AD605" s="93"/>
      <c r="AE605" s="85"/>
    </row>
    <row r="606" spans="7:31" x14ac:dyDescent="0.35">
      <c r="G606" s="85"/>
      <c r="H606" s="87"/>
      <c r="J606" s="93"/>
      <c r="K606" s="85"/>
      <c r="M606" s="94"/>
      <c r="N606" s="93"/>
      <c r="O606" s="85"/>
      <c r="Q606" s="94"/>
      <c r="R606" s="93"/>
      <c r="S606" s="85"/>
      <c r="U606" s="94"/>
      <c r="V606" s="93"/>
      <c r="W606" s="85"/>
      <c r="Y606" s="94"/>
      <c r="Z606" s="93"/>
      <c r="AA606" s="85"/>
      <c r="AC606" s="94"/>
      <c r="AD606" s="93"/>
      <c r="AE606" s="85"/>
    </row>
    <row r="607" spans="7:31" x14ac:dyDescent="0.35">
      <c r="G607" s="85"/>
      <c r="H607" s="87"/>
      <c r="J607" s="93"/>
      <c r="K607" s="85"/>
      <c r="M607" s="94"/>
      <c r="N607" s="93"/>
      <c r="O607" s="85"/>
      <c r="Q607" s="94"/>
      <c r="R607" s="93"/>
      <c r="S607" s="85"/>
      <c r="U607" s="94"/>
      <c r="V607" s="93"/>
      <c r="W607" s="85"/>
      <c r="Y607" s="94"/>
      <c r="Z607" s="93"/>
      <c r="AA607" s="85"/>
      <c r="AC607" s="94"/>
      <c r="AD607" s="93"/>
      <c r="AE607" s="85"/>
    </row>
    <row r="608" spans="7:31" x14ac:dyDescent="0.35">
      <c r="G608" s="85"/>
      <c r="H608" s="87"/>
      <c r="J608" s="93"/>
      <c r="K608" s="85"/>
      <c r="M608" s="94"/>
      <c r="N608" s="93"/>
      <c r="O608" s="85"/>
      <c r="Q608" s="94"/>
      <c r="R608" s="93"/>
      <c r="S608" s="85"/>
      <c r="U608" s="94"/>
      <c r="V608" s="93"/>
      <c r="W608" s="85"/>
      <c r="Y608" s="94"/>
      <c r="Z608" s="93"/>
      <c r="AA608" s="85"/>
      <c r="AC608" s="94"/>
      <c r="AD608" s="93"/>
      <c r="AE608" s="85"/>
    </row>
    <row r="609" spans="7:31" x14ac:dyDescent="0.35">
      <c r="G609" s="85"/>
      <c r="H609" s="87"/>
      <c r="J609" s="93"/>
      <c r="K609" s="85"/>
      <c r="M609" s="94"/>
      <c r="N609" s="93"/>
      <c r="O609" s="85"/>
      <c r="Q609" s="94"/>
      <c r="R609" s="93"/>
      <c r="S609" s="85"/>
      <c r="U609" s="94"/>
      <c r="V609" s="93"/>
      <c r="W609" s="85"/>
      <c r="Y609" s="94"/>
      <c r="Z609" s="93"/>
      <c r="AA609" s="85"/>
      <c r="AC609" s="94"/>
      <c r="AD609" s="93"/>
      <c r="AE609" s="85"/>
    </row>
    <row r="610" spans="7:31" x14ac:dyDescent="0.35">
      <c r="G610" s="85"/>
      <c r="H610" s="87"/>
      <c r="J610" s="93"/>
      <c r="K610" s="85"/>
      <c r="M610" s="94"/>
      <c r="N610" s="93"/>
      <c r="O610" s="85"/>
      <c r="Q610" s="94"/>
      <c r="R610" s="93"/>
      <c r="S610" s="85"/>
      <c r="U610" s="94"/>
      <c r="V610" s="93"/>
      <c r="W610" s="85"/>
      <c r="Y610" s="94"/>
      <c r="Z610" s="93"/>
      <c r="AA610" s="85"/>
      <c r="AC610" s="94"/>
      <c r="AD610" s="93"/>
      <c r="AE610" s="85"/>
    </row>
    <row r="611" spans="7:31" x14ac:dyDescent="0.35">
      <c r="G611" s="85"/>
      <c r="H611" s="87"/>
      <c r="J611" s="93"/>
      <c r="K611" s="85"/>
      <c r="M611" s="94"/>
      <c r="N611" s="93"/>
      <c r="O611" s="85"/>
      <c r="Q611" s="94"/>
      <c r="R611" s="93"/>
      <c r="S611" s="85"/>
      <c r="U611" s="94"/>
      <c r="V611" s="93"/>
      <c r="W611" s="85"/>
      <c r="Y611" s="94"/>
      <c r="Z611" s="93"/>
      <c r="AA611" s="85"/>
      <c r="AC611" s="94"/>
      <c r="AD611" s="93"/>
      <c r="AE611" s="85"/>
    </row>
    <row r="612" spans="7:31" x14ac:dyDescent="0.35">
      <c r="G612" s="85"/>
      <c r="H612" s="87"/>
      <c r="J612" s="93"/>
      <c r="K612" s="85"/>
      <c r="M612" s="94"/>
      <c r="N612" s="93"/>
      <c r="O612" s="85"/>
      <c r="Q612" s="94"/>
      <c r="R612" s="93"/>
      <c r="S612" s="85"/>
      <c r="U612" s="94"/>
      <c r="V612" s="93"/>
      <c r="W612" s="85"/>
      <c r="Y612" s="94"/>
      <c r="Z612" s="93"/>
      <c r="AA612" s="85"/>
      <c r="AC612" s="94"/>
      <c r="AD612" s="93"/>
      <c r="AE612" s="85"/>
    </row>
    <row r="613" spans="7:31" x14ac:dyDescent="0.35">
      <c r="G613" s="85"/>
      <c r="H613" s="87"/>
      <c r="J613" s="93"/>
      <c r="K613" s="85"/>
      <c r="M613" s="94"/>
      <c r="N613" s="93"/>
      <c r="O613" s="85"/>
      <c r="Q613" s="94"/>
      <c r="R613" s="93"/>
      <c r="S613" s="85"/>
      <c r="U613" s="94"/>
      <c r="V613" s="93"/>
      <c r="W613" s="85"/>
      <c r="Y613" s="94"/>
      <c r="Z613" s="93"/>
      <c r="AA613" s="85"/>
      <c r="AC613" s="94"/>
      <c r="AD613" s="93"/>
      <c r="AE613" s="85"/>
    </row>
    <row r="614" spans="7:31" x14ac:dyDescent="0.35">
      <c r="G614" s="85"/>
      <c r="H614" s="87"/>
      <c r="J614" s="93"/>
      <c r="K614" s="85"/>
      <c r="M614" s="94"/>
      <c r="N614" s="93"/>
      <c r="O614" s="85"/>
      <c r="Q614" s="94"/>
      <c r="R614" s="93"/>
      <c r="S614" s="85"/>
      <c r="U614" s="94"/>
      <c r="V614" s="93"/>
      <c r="W614" s="85"/>
      <c r="Y614" s="94"/>
      <c r="Z614" s="93"/>
      <c r="AA614" s="85"/>
      <c r="AC614" s="94"/>
      <c r="AD614" s="93"/>
      <c r="AE614" s="85"/>
    </row>
    <row r="615" spans="7:31" x14ac:dyDescent="0.35">
      <c r="G615" s="85"/>
      <c r="H615" s="87"/>
      <c r="J615" s="93"/>
      <c r="K615" s="85"/>
      <c r="M615" s="94"/>
      <c r="N615" s="93"/>
      <c r="O615" s="85"/>
      <c r="Q615" s="94"/>
      <c r="R615" s="93"/>
      <c r="S615" s="85"/>
      <c r="U615" s="94"/>
      <c r="V615" s="93"/>
      <c r="W615" s="85"/>
      <c r="Y615" s="94"/>
      <c r="Z615" s="93"/>
      <c r="AA615" s="85"/>
      <c r="AC615" s="94"/>
      <c r="AD615" s="93"/>
      <c r="AE615" s="85"/>
    </row>
    <row r="616" spans="7:31" x14ac:dyDescent="0.35">
      <c r="G616" s="85"/>
      <c r="H616" s="87"/>
      <c r="J616" s="93"/>
      <c r="K616" s="85"/>
      <c r="M616" s="94"/>
      <c r="N616" s="93"/>
      <c r="O616" s="85"/>
      <c r="Q616" s="94"/>
      <c r="R616" s="93"/>
      <c r="S616" s="85"/>
      <c r="U616" s="94"/>
      <c r="V616" s="93"/>
      <c r="W616" s="85"/>
      <c r="Y616" s="94"/>
      <c r="Z616" s="93"/>
      <c r="AA616" s="85"/>
      <c r="AC616" s="94"/>
      <c r="AD616" s="93"/>
      <c r="AE616" s="85"/>
    </row>
    <row r="617" spans="7:31" x14ac:dyDescent="0.35">
      <c r="G617" s="85"/>
      <c r="H617" s="87"/>
      <c r="J617" s="93"/>
      <c r="K617" s="85"/>
      <c r="M617" s="94"/>
      <c r="N617" s="93"/>
      <c r="O617" s="85"/>
      <c r="Q617" s="94"/>
      <c r="R617" s="93"/>
      <c r="S617" s="85"/>
      <c r="U617" s="94"/>
      <c r="V617" s="93"/>
      <c r="W617" s="85"/>
      <c r="Y617" s="94"/>
      <c r="Z617" s="93"/>
      <c r="AA617" s="85"/>
      <c r="AC617" s="94"/>
      <c r="AD617" s="93"/>
      <c r="AE617" s="85"/>
    </row>
    <row r="618" spans="7:31" x14ac:dyDescent="0.35">
      <c r="G618" s="85"/>
      <c r="H618" s="87"/>
      <c r="J618" s="93"/>
      <c r="K618" s="85"/>
      <c r="M618" s="94"/>
      <c r="N618" s="93"/>
      <c r="O618" s="85"/>
      <c r="Q618" s="94"/>
      <c r="R618" s="93"/>
      <c r="S618" s="85"/>
      <c r="U618" s="94"/>
      <c r="V618" s="93"/>
      <c r="W618" s="85"/>
      <c r="Y618" s="94"/>
      <c r="Z618" s="93"/>
      <c r="AA618" s="85"/>
      <c r="AC618" s="94"/>
      <c r="AD618" s="93"/>
      <c r="AE618" s="85"/>
    </row>
    <row r="619" spans="7:31" x14ac:dyDescent="0.35">
      <c r="G619" s="85"/>
      <c r="H619" s="87"/>
      <c r="J619" s="93"/>
      <c r="K619" s="85"/>
      <c r="M619" s="94"/>
      <c r="N619" s="93"/>
      <c r="O619" s="85"/>
      <c r="Q619" s="94"/>
      <c r="R619" s="93"/>
      <c r="S619" s="85"/>
      <c r="U619" s="94"/>
      <c r="V619" s="93"/>
      <c r="W619" s="85"/>
      <c r="Y619" s="94"/>
      <c r="Z619" s="93"/>
      <c r="AA619" s="85"/>
      <c r="AC619" s="94"/>
      <c r="AD619" s="93"/>
      <c r="AE619" s="85"/>
    </row>
    <row r="620" spans="7:31" x14ac:dyDescent="0.35">
      <c r="G620" s="85"/>
      <c r="H620" s="87"/>
      <c r="J620" s="93"/>
      <c r="K620" s="85"/>
      <c r="M620" s="94"/>
      <c r="N620" s="93"/>
      <c r="O620" s="85"/>
      <c r="Q620" s="94"/>
      <c r="R620" s="93"/>
      <c r="S620" s="85"/>
      <c r="U620" s="94"/>
      <c r="V620" s="93"/>
      <c r="W620" s="85"/>
      <c r="Y620" s="94"/>
      <c r="Z620" s="93"/>
      <c r="AA620" s="85"/>
      <c r="AC620" s="94"/>
      <c r="AD620" s="93"/>
      <c r="AE620" s="85"/>
    </row>
    <row r="621" spans="7:31" x14ac:dyDescent="0.35">
      <c r="G621" s="85"/>
      <c r="H621" s="87"/>
      <c r="J621" s="93"/>
      <c r="K621" s="85"/>
      <c r="M621" s="94"/>
      <c r="N621" s="93"/>
      <c r="O621" s="85"/>
      <c r="Q621" s="94"/>
      <c r="R621" s="93"/>
      <c r="S621" s="85"/>
      <c r="U621" s="94"/>
      <c r="V621" s="93"/>
      <c r="W621" s="85"/>
      <c r="Y621" s="94"/>
      <c r="Z621" s="93"/>
      <c r="AA621" s="85"/>
      <c r="AC621" s="94"/>
      <c r="AD621" s="93"/>
      <c r="AE621" s="85"/>
    </row>
    <row r="622" spans="7:31" x14ac:dyDescent="0.35">
      <c r="G622" s="85"/>
      <c r="H622" s="87"/>
      <c r="J622" s="93"/>
      <c r="K622" s="85"/>
      <c r="M622" s="94"/>
      <c r="N622" s="93"/>
      <c r="O622" s="85"/>
      <c r="Q622" s="94"/>
      <c r="R622" s="93"/>
      <c r="S622" s="85"/>
      <c r="U622" s="94"/>
      <c r="V622" s="93"/>
      <c r="W622" s="85"/>
      <c r="Y622" s="94"/>
      <c r="Z622" s="93"/>
      <c r="AA622" s="85"/>
      <c r="AC622" s="94"/>
      <c r="AD622" s="93"/>
      <c r="AE622" s="85"/>
    </row>
    <row r="623" spans="7:31" x14ac:dyDescent="0.35">
      <c r="G623" s="85"/>
      <c r="H623" s="87"/>
      <c r="J623" s="93"/>
      <c r="K623" s="85"/>
      <c r="M623" s="94"/>
      <c r="N623" s="93"/>
      <c r="O623" s="85"/>
      <c r="Q623" s="94"/>
      <c r="R623" s="93"/>
      <c r="S623" s="85"/>
      <c r="U623" s="94"/>
      <c r="V623" s="93"/>
      <c r="W623" s="85"/>
      <c r="Y623" s="94"/>
      <c r="Z623" s="93"/>
      <c r="AA623" s="85"/>
      <c r="AC623" s="94"/>
      <c r="AD623" s="93"/>
      <c r="AE623" s="85"/>
    </row>
    <row r="624" spans="7:31" x14ac:dyDescent="0.35">
      <c r="G624" s="85"/>
      <c r="H624" s="87"/>
      <c r="J624" s="93"/>
      <c r="K624" s="85"/>
      <c r="M624" s="94"/>
      <c r="N624" s="93"/>
      <c r="O624" s="85"/>
      <c r="Q624" s="94"/>
      <c r="R624" s="93"/>
      <c r="S624" s="85"/>
      <c r="U624" s="94"/>
      <c r="V624" s="93"/>
      <c r="W624" s="85"/>
      <c r="Y624" s="94"/>
      <c r="Z624" s="93"/>
      <c r="AA624" s="85"/>
      <c r="AC624" s="94"/>
      <c r="AD624" s="93"/>
      <c r="AE624" s="85"/>
    </row>
    <row r="625" spans="7:31" x14ac:dyDescent="0.35">
      <c r="G625" s="85"/>
      <c r="H625" s="87"/>
      <c r="J625" s="93"/>
      <c r="K625" s="85"/>
      <c r="M625" s="94"/>
      <c r="N625" s="93"/>
      <c r="O625" s="85"/>
      <c r="Q625" s="94"/>
      <c r="R625" s="93"/>
      <c r="S625" s="85"/>
      <c r="U625" s="94"/>
      <c r="V625" s="93"/>
      <c r="W625" s="85"/>
      <c r="Y625" s="94"/>
      <c r="Z625" s="93"/>
      <c r="AA625" s="85"/>
      <c r="AC625" s="94"/>
      <c r="AD625" s="93"/>
      <c r="AE625" s="85"/>
    </row>
    <row r="626" spans="7:31" x14ac:dyDescent="0.35">
      <c r="G626" s="85"/>
      <c r="H626" s="87"/>
      <c r="J626" s="93"/>
      <c r="K626" s="85"/>
      <c r="M626" s="94"/>
      <c r="N626" s="93"/>
      <c r="O626" s="85"/>
      <c r="Q626" s="94"/>
      <c r="R626" s="93"/>
      <c r="S626" s="85"/>
      <c r="U626" s="94"/>
      <c r="V626" s="93"/>
      <c r="W626" s="85"/>
      <c r="Y626" s="94"/>
      <c r="Z626" s="93"/>
      <c r="AA626" s="85"/>
      <c r="AC626" s="94"/>
      <c r="AD626" s="93"/>
      <c r="AE626" s="85"/>
    </row>
    <row r="627" spans="7:31" x14ac:dyDescent="0.35">
      <c r="G627" s="85"/>
      <c r="H627" s="87"/>
      <c r="J627" s="93"/>
      <c r="K627" s="85"/>
      <c r="M627" s="94"/>
      <c r="N627" s="93"/>
      <c r="O627" s="85"/>
      <c r="Q627" s="94"/>
      <c r="R627" s="93"/>
      <c r="S627" s="85"/>
      <c r="U627" s="94"/>
      <c r="V627" s="93"/>
      <c r="W627" s="85"/>
      <c r="Y627" s="94"/>
      <c r="Z627" s="93"/>
      <c r="AA627" s="85"/>
      <c r="AC627" s="94"/>
      <c r="AD627" s="93"/>
      <c r="AE627" s="85"/>
    </row>
    <row r="628" spans="7:31" x14ac:dyDescent="0.35">
      <c r="G628" s="85"/>
      <c r="H628" s="87"/>
      <c r="J628" s="93"/>
      <c r="K628" s="85"/>
      <c r="M628" s="94"/>
      <c r="N628" s="93"/>
      <c r="O628" s="85"/>
      <c r="Q628" s="94"/>
      <c r="R628" s="93"/>
      <c r="S628" s="85"/>
      <c r="U628" s="94"/>
      <c r="V628" s="93"/>
      <c r="W628" s="85"/>
      <c r="Y628" s="94"/>
      <c r="Z628" s="93"/>
      <c r="AA628" s="85"/>
      <c r="AC628" s="94"/>
      <c r="AD628" s="93"/>
      <c r="AE628" s="85"/>
    </row>
    <row r="629" spans="7:31" x14ac:dyDescent="0.35">
      <c r="G629" s="85"/>
      <c r="H629" s="87"/>
      <c r="J629" s="93"/>
      <c r="K629" s="85"/>
      <c r="M629" s="94"/>
      <c r="N629" s="93"/>
      <c r="O629" s="85"/>
      <c r="Q629" s="94"/>
      <c r="R629" s="93"/>
      <c r="S629" s="85"/>
      <c r="U629" s="94"/>
      <c r="V629" s="93"/>
      <c r="W629" s="85"/>
      <c r="Y629" s="94"/>
      <c r="Z629" s="93"/>
      <c r="AA629" s="85"/>
      <c r="AC629" s="94"/>
      <c r="AD629" s="93"/>
      <c r="AE629" s="85"/>
    </row>
    <row r="630" spans="7:31" x14ac:dyDescent="0.35">
      <c r="G630" s="85"/>
      <c r="H630" s="87"/>
      <c r="J630" s="93"/>
      <c r="K630" s="85"/>
      <c r="M630" s="94"/>
      <c r="N630" s="93"/>
      <c r="O630" s="85"/>
      <c r="Q630" s="94"/>
      <c r="R630" s="93"/>
      <c r="S630" s="85"/>
      <c r="U630" s="94"/>
      <c r="V630" s="93"/>
      <c r="W630" s="85"/>
      <c r="Y630" s="94"/>
      <c r="Z630" s="93"/>
      <c r="AA630" s="85"/>
      <c r="AC630" s="94"/>
      <c r="AD630" s="93"/>
      <c r="AE630" s="85"/>
    </row>
    <row r="631" spans="7:31" x14ac:dyDescent="0.35">
      <c r="G631" s="85"/>
      <c r="H631" s="87"/>
      <c r="J631" s="93"/>
      <c r="K631" s="85"/>
      <c r="M631" s="94"/>
      <c r="N631" s="93"/>
      <c r="O631" s="85"/>
      <c r="Q631" s="94"/>
      <c r="R631" s="93"/>
      <c r="S631" s="85"/>
      <c r="U631" s="94"/>
      <c r="V631" s="93"/>
      <c r="W631" s="85"/>
      <c r="Y631" s="94"/>
      <c r="Z631" s="93"/>
      <c r="AA631" s="85"/>
      <c r="AC631" s="94"/>
      <c r="AD631" s="93"/>
      <c r="AE631" s="85"/>
    </row>
    <row r="632" spans="7:31" x14ac:dyDescent="0.35">
      <c r="G632" s="85"/>
      <c r="H632" s="87"/>
      <c r="J632" s="93"/>
      <c r="K632" s="85"/>
      <c r="M632" s="94"/>
      <c r="N632" s="93"/>
      <c r="O632" s="85"/>
      <c r="Q632" s="94"/>
      <c r="R632" s="93"/>
      <c r="S632" s="85"/>
      <c r="U632" s="94"/>
      <c r="V632" s="93"/>
      <c r="W632" s="85"/>
      <c r="Y632" s="94"/>
      <c r="Z632" s="93"/>
      <c r="AA632" s="85"/>
      <c r="AC632" s="94"/>
      <c r="AD632" s="93"/>
      <c r="AE632" s="85"/>
    </row>
    <row r="633" spans="7:31" x14ac:dyDescent="0.35">
      <c r="G633" s="85"/>
      <c r="H633" s="87"/>
      <c r="J633" s="93"/>
      <c r="K633" s="85"/>
      <c r="M633" s="94"/>
      <c r="N633" s="93"/>
      <c r="O633" s="85"/>
      <c r="Q633" s="94"/>
      <c r="R633" s="93"/>
      <c r="S633" s="85"/>
      <c r="U633" s="94"/>
      <c r="V633" s="93"/>
      <c r="W633" s="85"/>
      <c r="Y633" s="94"/>
      <c r="Z633" s="93"/>
      <c r="AA633" s="85"/>
      <c r="AC633" s="94"/>
      <c r="AD633" s="93"/>
      <c r="AE633" s="85"/>
    </row>
    <row r="634" spans="7:31" x14ac:dyDescent="0.35">
      <c r="G634" s="85"/>
      <c r="H634" s="87"/>
      <c r="J634" s="93"/>
      <c r="K634" s="85"/>
      <c r="M634" s="94"/>
      <c r="N634" s="93"/>
      <c r="O634" s="85"/>
      <c r="Q634" s="94"/>
      <c r="R634" s="93"/>
      <c r="S634" s="85"/>
      <c r="U634" s="94"/>
      <c r="V634" s="93"/>
      <c r="W634" s="85"/>
      <c r="Y634" s="94"/>
      <c r="Z634" s="93"/>
      <c r="AA634" s="85"/>
      <c r="AC634" s="94"/>
      <c r="AD634" s="93"/>
      <c r="AE634" s="85"/>
    </row>
    <row r="635" spans="7:31" x14ac:dyDescent="0.35">
      <c r="G635" s="85"/>
      <c r="H635" s="87"/>
      <c r="J635" s="93"/>
      <c r="K635" s="85"/>
      <c r="M635" s="94"/>
      <c r="N635" s="93"/>
      <c r="O635" s="85"/>
      <c r="Q635" s="94"/>
      <c r="R635" s="93"/>
      <c r="S635" s="85"/>
      <c r="U635" s="94"/>
      <c r="V635" s="93"/>
      <c r="W635" s="85"/>
      <c r="Y635" s="94"/>
      <c r="Z635" s="93"/>
      <c r="AA635" s="85"/>
      <c r="AC635" s="94"/>
      <c r="AD635" s="93"/>
      <c r="AE635" s="85"/>
    </row>
    <row r="636" spans="7:31" x14ac:dyDescent="0.35">
      <c r="G636" s="85"/>
      <c r="H636" s="87"/>
      <c r="J636" s="93"/>
      <c r="K636" s="85"/>
      <c r="M636" s="94"/>
      <c r="N636" s="93"/>
      <c r="O636" s="85"/>
      <c r="Q636" s="94"/>
      <c r="R636" s="93"/>
      <c r="S636" s="85"/>
      <c r="U636" s="94"/>
      <c r="V636" s="93"/>
      <c r="W636" s="85"/>
      <c r="Y636" s="94"/>
      <c r="Z636" s="93"/>
      <c r="AA636" s="85"/>
      <c r="AC636" s="94"/>
      <c r="AD636" s="93"/>
      <c r="AE636" s="85"/>
    </row>
    <row r="637" spans="7:31" x14ac:dyDescent="0.35">
      <c r="G637" s="85"/>
      <c r="H637" s="87"/>
      <c r="J637" s="93"/>
      <c r="K637" s="85"/>
      <c r="M637" s="94"/>
      <c r="N637" s="93"/>
      <c r="O637" s="85"/>
      <c r="Q637" s="94"/>
      <c r="R637" s="93"/>
      <c r="S637" s="85"/>
      <c r="U637" s="94"/>
      <c r="V637" s="93"/>
      <c r="W637" s="85"/>
      <c r="Y637" s="94"/>
      <c r="Z637" s="93"/>
      <c r="AA637" s="85"/>
      <c r="AC637" s="94"/>
      <c r="AD637" s="93"/>
      <c r="AE637" s="85"/>
    </row>
    <row r="638" spans="7:31" x14ac:dyDescent="0.35">
      <c r="G638" s="85"/>
      <c r="H638" s="87"/>
      <c r="J638" s="93"/>
      <c r="K638" s="85"/>
      <c r="M638" s="94"/>
      <c r="N638" s="93"/>
      <c r="O638" s="85"/>
      <c r="Q638" s="94"/>
      <c r="R638" s="93"/>
      <c r="S638" s="85"/>
      <c r="U638" s="94"/>
      <c r="V638" s="93"/>
      <c r="W638" s="85"/>
      <c r="Y638" s="94"/>
      <c r="Z638" s="93"/>
      <c r="AA638" s="85"/>
      <c r="AC638" s="94"/>
      <c r="AD638" s="93"/>
      <c r="AE638" s="85"/>
    </row>
    <row r="639" spans="7:31" x14ac:dyDescent="0.35">
      <c r="G639" s="85"/>
      <c r="H639" s="87"/>
      <c r="J639" s="93"/>
      <c r="K639" s="85"/>
      <c r="M639" s="94"/>
      <c r="N639" s="93"/>
      <c r="O639" s="85"/>
      <c r="Q639" s="94"/>
      <c r="R639" s="93"/>
      <c r="S639" s="85"/>
      <c r="U639" s="94"/>
      <c r="V639" s="93"/>
      <c r="W639" s="85"/>
      <c r="Y639" s="94"/>
      <c r="Z639" s="93"/>
      <c r="AA639" s="85"/>
      <c r="AC639" s="94"/>
      <c r="AD639" s="93"/>
      <c r="AE639" s="85"/>
    </row>
    <row r="640" spans="7:31" x14ac:dyDescent="0.35">
      <c r="G640" s="85"/>
      <c r="H640" s="87"/>
      <c r="J640" s="93"/>
      <c r="K640" s="85"/>
      <c r="M640" s="94"/>
      <c r="N640" s="93"/>
      <c r="O640" s="85"/>
      <c r="Q640" s="94"/>
      <c r="R640" s="93"/>
      <c r="S640" s="85"/>
      <c r="U640" s="94"/>
      <c r="V640" s="93"/>
      <c r="W640" s="85"/>
      <c r="Y640" s="94"/>
      <c r="Z640" s="93"/>
      <c r="AA640" s="85"/>
      <c r="AC640" s="94"/>
      <c r="AD640" s="93"/>
      <c r="AE640" s="85"/>
    </row>
    <row r="641" spans="7:31" x14ac:dyDescent="0.35">
      <c r="G641" s="85"/>
      <c r="H641" s="87"/>
      <c r="J641" s="93"/>
      <c r="K641" s="85"/>
      <c r="M641" s="94"/>
      <c r="N641" s="93"/>
      <c r="O641" s="85"/>
      <c r="Q641" s="94"/>
      <c r="R641" s="93"/>
      <c r="S641" s="85"/>
      <c r="U641" s="94"/>
      <c r="V641" s="93"/>
      <c r="W641" s="85"/>
      <c r="Y641" s="94"/>
      <c r="Z641" s="93"/>
      <c r="AA641" s="85"/>
      <c r="AC641" s="94"/>
      <c r="AD641" s="93"/>
      <c r="AE641" s="85"/>
    </row>
    <row r="642" spans="7:31" x14ac:dyDescent="0.35">
      <c r="G642" s="85"/>
      <c r="H642" s="87"/>
      <c r="J642" s="93"/>
      <c r="K642" s="85"/>
      <c r="M642" s="94"/>
      <c r="N642" s="93"/>
      <c r="O642" s="85"/>
      <c r="Q642" s="94"/>
      <c r="R642" s="93"/>
      <c r="S642" s="85"/>
      <c r="U642" s="94"/>
      <c r="V642" s="93"/>
      <c r="W642" s="85"/>
      <c r="Y642" s="94"/>
      <c r="Z642" s="93"/>
      <c r="AA642" s="85"/>
      <c r="AC642" s="94"/>
      <c r="AD642" s="93"/>
      <c r="AE642" s="85"/>
    </row>
    <row r="643" spans="7:31" x14ac:dyDescent="0.35">
      <c r="G643" s="85"/>
      <c r="H643" s="87"/>
      <c r="J643" s="93"/>
      <c r="K643" s="85"/>
      <c r="M643" s="94"/>
      <c r="N643" s="93"/>
      <c r="O643" s="85"/>
      <c r="Q643" s="94"/>
      <c r="R643" s="93"/>
      <c r="S643" s="85"/>
      <c r="U643" s="94"/>
      <c r="V643" s="93"/>
      <c r="W643" s="85"/>
      <c r="Y643" s="94"/>
      <c r="Z643" s="93"/>
      <c r="AA643" s="85"/>
      <c r="AC643" s="94"/>
      <c r="AD643" s="93"/>
      <c r="AE643" s="85"/>
    </row>
    <row r="644" spans="7:31" x14ac:dyDescent="0.35">
      <c r="G644" s="85"/>
      <c r="H644" s="87"/>
      <c r="J644" s="93"/>
      <c r="K644" s="85"/>
      <c r="M644" s="94"/>
      <c r="N644" s="93"/>
      <c r="O644" s="85"/>
      <c r="Q644" s="94"/>
      <c r="R644" s="93"/>
      <c r="S644" s="85"/>
      <c r="U644" s="94"/>
      <c r="V644" s="93"/>
      <c r="W644" s="85"/>
      <c r="Y644" s="94"/>
      <c r="Z644" s="93"/>
      <c r="AA644" s="85"/>
      <c r="AC644" s="94"/>
      <c r="AD644" s="93"/>
      <c r="AE644" s="85"/>
    </row>
    <row r="645" spans="7:31" x14ac:dyDescent="0.35">
      <c r="G645" s="85"/>
      <c r="H645" s="87"/>
      <c r="J645" s="93"/>
      <c r="K645" s="85"/>
      <c r="M645" s="94"/>
      <c r="N645" s="93"/>
      <c r="O645" s="85"/>
      <c r="Q645" s="94"/>
      <c r="R645" s="93"/>
      <c r="S645" s="85"/>
      <c r="U645" s="94"/>
      <c r="V645" s="93"/>
      <c r="W645" s="85"/>
      <c r="Y645" s="94"/>
      <c r="Z645" s="93"/>
      <c r="AA645" s="85"/>
      <c r="AC645" s="94"/>
      <c r="AD645" s="93"/>
      <c r="AE645" s="85"/>
    </row>
    <row r="646" spans="7:31" x14ac:dyDescent="0.35">
      <c r="G646" s="85"/>
      <c r="H646" s="87"/>
      <c r="J646" s="93"/>
      <c r="K646" s="85"/>
      <c r="M646" s="94"/>
      <c r="N646" s="93"/>
      <c r="O646" s="85"/>
      <c r="Q646" s="94"/>
      <c r="R646" s="93"/>
      <c r="S646" s="85"/>
      <c r="U646" s="94"/>
      <c r="V646" s="93"/>
      <c r="W646" s="85"/>
      <c r="Y646" s="94"/>
      <c r="Z646" s="93"/>
      <c r="AA646" s="85"/>
      <c r="AC646" s="94"/>
      <c r="AD646" s="93"/>
      <c r="AE646" s="85"/>
    </row>
    <row r="647" spans="7:31" x14ac:dyDescent="0.35">
      <c r="G647" s="85"/>
      <c r="H647" s="87"/>
      <c r="J647" s="93"/>
      <c r="K647" s="85"/>
      <c r="M647" s="94"/>
      <c r="N647" s="93"/>
      <c r="O647" s="85"/>
      <c r="Q647" s="94"/>
      <c r="R647" s="93"/>
      <c r="S647" s="85"/>
      <c r="U647" s="94"/>
      <c r="V647" s="93"/>
      <c r="W647" s="85"/>
      <c r="Y647" s="94"/>
      <c r="Z647" s="93"/>
      <c r="AA647" s="85"/>
      <c r="AC647" s="94"/>
      <c r="AD647" s="93"/>
      <c r="AE647" s="85"/>
    </row>
    <row r="648" spans="7:31" x14ac:dyDescent="0.35">
      <c r="G648" s="85"/>
      <c r="H648" s="87"/>
      <c r="J648" s="93"/>
      <c r="K648" s="85"/>
      <c r="M648" s="94"/>
      <c r="N648" s="93"/>
      <c r="O648" s="85"/>
      <c r="Q648" s="94"/>
      <c r="R648" s="93"/>
      <c r="S648" s="85"/>
      <c r="U648" s="94"/>
      <c r="V648" s="93"/>
      <c r="W648" s="85"/>
      <c r="Y648" s="94"/>
      <c r="Z648" s="93"/>
      <c r="AA648" s="85"/>
      <c r="AC648" s="94"/>
      <c r="AD648" s="93"/>
      <c r="AE648" s="85"/>
    </row>
    <row r="649" spans="7:31" x14ac:dyDescent="0.35">
      <c r="G649" s="85"/>
      <c r="H649" s="87"/>
      <c r="J649" s="93"/>
      <c r="K649" s="85"/>
      <c r="M649" s="94"/>
      <c r="N649" s="93"/>
      <c r="O649" s="85"/>
      <c r="Q649" s="94"/>
      <c r="R649" s="93"/>
      <c r="S649" s="85"/>
      <c r="U649" s="94"/>
      <c r="V649" s="93"/>
      <c r="W649" s="85"/>
      <c r="Y649" s="94"/>
      <c r="Z649" s="93"/>
      <c r="AA649" s="85"/>
      <c r="AC649" s="94"/>
      <c r="AD649" s="93"/>
      <c r="AE649" s="85"/>
    </row>
    <row r="650" spans="7:31" x14ac:dyDescent="0.35">
      <c r="G650" s="85"/>
      <c r="H650" s="87"/>
      <c r="J650" s="93"/>
      <c r="K650" s="85"/>
      <c r="M650" s="94"/>
      <c r="N650" s="93"/>
      <c r="O650" s="85"/>
      <c r="Q650" s="94"/>
      <c r="R650" s="93"/>
      <c r="S650" s="85"/>
      <c r="U650" s="94"/>
      <c r="V650" s="93"/>
      <c r="W650" s="85"/>
      <c r="Y650" s="94"/>
      <c r="Z650" s="93"/>
      <c r="AA650" s="85"/>
      <c r="AC650" s="94"/>
      <c r="AD650" s="93"/>
      <c r="AE650" s="85"/>
    </row>
    <row r="651" spans="7:31" x14ac:dyDescent="0.35">
      <c r="G651" s="85"/>
      <c r="H651" s="87"/>
      <c r="J651" s="93"/>
      <c r="K651" s="85"/>
      <c r="M651" s="94"/>
      <c r="N651" s="93"/>
      <c r="O651" s="85"/>
      <c r="Q651" s="94"/>
      <c r="R651" s="93"/>
      <c r="S651" s="85"/>
      <c r="U651" s="94"/>
      <c r="V651" s="93"/>
      <c r="W651" s="85"/>
      <c r="Y651" s="94"/>
      <c r="Z651" s="93"/>
      <c r="AA651" s="85"/>
      <c r="AC651" s="94"/>
      <c r="AD651" s="93"/>
      <c r="AE651" s="85"/>
    </row>
    <row r="652" spans="7:31" x14ac:dyDescent="0.35">
      <c r="G652" s="85"/>
      <c r="H652" s="87"/>
      <c r="J652" s="93"/>
      <c r="K652" s="85"/>
      <c r="M652" s="94"/>
      <c r="N652" s="93"/>
      <c r="O652" s="85"/>
      <c r="Q652" s="94"/>
      <c r="R652" s="93"/>
      <c r="S652" s="85"/>
      <c r="U652" s="94"/>
      <c r="V652" s="93"/>
      <c r="W652" s="85"/>
      <c r="Y652" s="94"/>
      <c r="Z652" s="93"/>
      <c r="AA652" s="85"/>
      <c r="AC652" s="94"/>
      <c r="AD652" s="93"/>
      <c r="AE652" s="85"/>
    </row>
    <row r="653" spans="7:31" x14ac:dyDescent="0.35">
      <c r="G653" s="85"/>
      <c r="H653" s="87"/>
      <c r="J653" s="93"/>
      <c r="K653" s="85"/>
      <c r="M653" s="94"/>
      <c r="N653" s="93"/>
      <c r="O653" s="85"/>
      <c r="Q653" s="94"/>
      <c r="R653" s="93"/>
      <c r="S653" s="85"/>
      <c r="U653" s="94"/>
      <c r="V653" s="93"/>
      <c r="W653" s="85"/>
      <c r="Y653" s="94"/>
      <c r="Z653" s="93"/>
      <c r="AA653" s="85"/>
      <c r="AC653" s="94"/>
      <c r="AD653" s="93"/>
      <c r="AE653" s="85"/>
    </row>
    <row r="654" spans="7:31" x14ac:dyDescent="0.35">
      <c r="G654" s="85"/>
      <c r="H654" s="87"/>
      <c r="J654" s="93"/>
      <c r="K654" s="85"/>
      <c r="M654" s="94"/>
      <c r="N654" s="93"/>
      <c r="O654" s="85"/>
      <c r="Q654" s="94"/>
      <c r="R654" s="93"/>
      <c r="S654" s="85"/>
      <c r="U654" s="94"/>
      <c r="V654" s="93"/>
      <c r="W654" s="85"/>
      <c r="Y654" s="94"/>
      <c r="Z654" s="93"/>
      <c r="AA654" s="85"/>
      <c r="AC654" s="94"/>
      <c r="AD654" s="93"/>
      <c r="AE654" s="85"/>
    </row>
    <row r="655" spans="7:31" x14ac:dyDescent="0.35">
      <c r="G655" s="85"/>
      <c r="H655" s="87"/>
      <c r="J655" s="93"/>
      <c r="K655" s="85"/>
      <c r="M655" s="94"/>
      <c r="N655" s="93"/>
      <c r="O655" s="85"/>
      <c r="Q655" s="94"/>
      <c r="R655" s="93"/>
      <c r="S655" s="85"/>
      <c r="U655" s="94"/>
      <c r="V655" s="93"/>
      <c r="W655" s="85"/>
      <c r="Y655" s="94"/>
      <c r="Z655" s="93"/>
      <c r="AA655" s="85"/>
      <c r="AC655" s="94"/>
      <c r="AD655" s="93"/>
      <c r="AE655" s="85"/>
    </row>
    <row r="656" spans="7:31" x14ac:dyDescent="0.35">
      <c r="G656" s="85"/>
      <c r="H656" s="87"/>
      <c r="J656" s="93"/>
      <c r="K656" s="85"/>
      <c r="M656" s="94"/>
      <c r="N656" s="93"/>
      <c r="O656" s="85"/>
      <c r="Q656" s="94"/>
      <c r="R656" s="93"/>
      <c r="S656" s="85"/>
      <c r="U656" s="94"/>
      <c r="V656" s="93"/>
      <c r="W656" s="85"/>
      <c r="Y656" s="94"/>
      <c r="Z656" s="93"/>
      <c r="AA656" s="85"/>
      <c r="AC656" s="94"/>
      <c r="AD656" s="93"/>
      <c r="AE656" s="85"/>
    </row>
    <row r="657" spans="7:31" x14ac:dyDescent="0.35">
      <c r="G657" s="85"/>
      <c r="H657" s="87"/>
      <c r="J657" s="93"/>
      <c r="K657" s="85"/>
      <c r="M657" s="94"/>
      <c r="N657" s="93"/>
      <c r="O657" s="85"/>
      <c r="Q657" s="94"/>
      <c r="R657" s="93"/>
      <c r="S657" s="85"/>
      <c r="U657" s="94"/>
      <c r="V657" s="93"/>
      <c r="W657" s="85"/>
      <c r="Y657" s="94"/>
      <c r="Z657" s="93"/>
      <c r="AA657" s="85"/>
      <c r="AC657" s="94"/>
      <c r="AD657" s="93"/>
      <c r="AE657" s="85"/>
    </row>
    <row r="658" spans="7:31" x14ac:dyDescent="0.35">
      <c r="G658" s="85"/>
      <c r="H658" s="87"/>
      <c r="J658" s="93"/>
      <c r="K658" s="85"/>
      <c r="M658" s="94"/>
      <c r="N658" s="93"/>
      <c r="O658" s="85"/>
      <c r="Q658" s="94"/>
      <c r="R658" s="93"/>
      <c r="S658" s="85"/>
      <c r="U658" s="94"/>
      <c r="V658" s="93"/>
      <c r="W658" s="85"/>
      <c r="Y658" s="94"/>
      <c r="Z658" s="93"/>
      <c r="AA658" s="85"/>
      <c r="AC658" s="94"/>
      <c r="AD658" s="93"/>
      <c r="AE658" s="85"/>
    </row>
    <row r="659" spans="7:31" x14ac:dyDescent="0.35">
      <c r="G659" s="85"/>
      <c r="H659" s="87"/>
      <c r="J659" s="93"/>
      <c r="K659" s="85"/>
      <c r="M659" s="94"/>
      <c r="N659" s="93"/>
      <c r="O659" s="85"/>
      <c r="Q659" s="94"/>
      <c r="R659" s="93"/>
      <c r="S659" s="85"/>
      <c r="U659" s="94"/>
      <c r="V659" s="93"/>
      <c r="W659" s="85"/>
      <c r="Y659" s="94"/>
      <c r="Z659" s="93"/>
      <c r="AA659" s="85"/>
      <c r="AC659" s="94"/>
      <c r="AD659" s="93"/>
      <c r="AE659" s="85"/>
    </row>
    <row r="660" spans="7:31" x14ac:dyDescent="0.35">
      <c r="G660" s="85"/>
      <c r="H660" s="87"/>
      <c r="J660" s="93"/>
      <c r="K660" s="85"/>
      <c r="M660" s="94"/>
      <c r="N660" s="93"/>
      <c r="O660" s="85"/>
      <c r="Q660" s="94"/>
      <c r="R660" s="93"/>
      <c r="S660" s="85"/>
      <c r="U660" s="94"/>
      <c r="V660" s="93"/>
      <c r="W660" s="85"/>
      <c r="Y660" s="94"/>
      <c r="Z660" s="93"/>
      <c r="AA660" s="85"/>
      <c r="AC660" s="94"/>
      <c r="AD660" s="93"/>
      <c r="AE660" s="85"/>
    </row>
    <row r="661" spans="7:31" x14ac:dyDescent="0.35">
      <c r="G661" s="85"/>
      <c r="H661" s="87"/>
      <c r="J661" s="93"/>
      <c r="K661" s="85"/>
      <c r="M661" s="94"/>
      <c r="N661" s="93"/>
      <c r="O661" s="85"/>
      <c r="Q661" s="94"/>
      <c r="R661" s="93"/>
      <c r="S661" s="85"/>
      <c r="U661" s="94"/>
      <c r="V661" s="93"/>
      <c r="W661" s="85"/>
      <c r="Y661" s="94"/>
      <c r="Z661" s="93"/>
      <c r="AA661" s="85"/>
      <c r="AC661" s="94"/>
      <c r="AD661" s="93"/>
      <c r="AE661" s="85"/>
    </row>
    <row r="662" spans="7:31" x14ac:dyDescent="0.35">
      <c r="G662" s="85"/>
      <c r="H662" s="87"/>
      <c r="J662" s="93"/>
      <c r="K662" s="85"/>
      <c r="M662" s="94"/>
      <c r="N662" s="93"/>
      <c r="O662" s="85"/>
      <c r="Q662" s="94"/>
      <c r="R662" s="93"/>
      <c r="S662" s="85"/>
      <c r="U662" s="94"/>
      <c r="V662" s="93"/>
      <c r="W662" s="85"/>
      <c r="Y662" s="94"/>
      <c r="Z662" s="93"/>
      <c r="AA662" s="85"/>
      <c r="AC662" s="94"/>
      <c r="AD662" s="93"/>
      <c r="AE662" s="85"/>
    </row>
    <row r="663" spans="7:31" x14ac:dyDescent="0.35">
      <c r="G663" s="85"/>
      <c r="H663" s="87"/>
      <c r="J663" s="93"/>
      <c r="K663" s="85"/>
      <c r="M663" s="94"/>
      <c r="N663" s="93"/>
      <c r="O663" s="85"/>
      <c r="Q663" s="94"/>
      <c r="R663" s="93"/>
      <c r="S663" s="85"/>
      <c r="U663" s="94"/>
      <c r="V663" s="93"/>
      <c r="W663" s="85"/>
      <c r="Y663" s="94"/>
      <c r="Z663" s="93"/>
      <c r="AA663" s="85"/>
      <c r="AC663" s="94"/>
      <c r="AD663" s="93"/>
      <c r="AE663" s="85"/>
    </row>
    <row r="664" spans="7:31" x14ac:dyDescent="0.35">
      <c r="G664" s="85"/>
      <c r="H664" s="87"/>
      <c r="J664" s="93"/>
      <c r="K664" s="85"/>
      <c r="M664" s="94"/>
      <c r="N664" s="93"/>
      <c r="O664" s="85"/>
      <c r="Q664" s="94"/>
      <c r="R664" s="93"/>
      <c r="S664" s="85"/>
      <c r="U664" s="94"/>
      <c r="V664" s="93"/>
      <c r="W664" s="85"/>
      <c r="Y664" s="94"/>
      <c r="Z664" s="93"/>
      <c r="AA664" s="85"/>
      <c r="AC664" s="94"/>
      <c r="AD664" s="93"/>
      <c r="AE664" s="85"/>
    </row>
    <row r="665" spans="7:31" x14ac:dyDescent="0.35">
      <c r="G665" s="85"/>
      <c r="H665" s="87"/>
      <c r="J665" s="93"/>
      <c r="K665" s="85"/>
      <c r="M665" s="94"/>
      <c r="N665" s="93"/>
      <c r="O665" s="85"/>
      <c r="Q665" s="94"/>
      <c r="R665" s="93"/>
      <c r="S665" s="85"/>
      <c r="U665" s="94"/>
      <c r="V665" s="93"/>
      <c r="W665" s="85"/>
      <c r="Y665" s="94"/>
      <c r="Z665" s="93"/>
      <c r="AA665" s="85"/>
      <c r="AC665" s="94"/>
      <c r="AD665" s="93"/>
      <c r="AE665" s="85"/>
    </row>
    <row r="666" spans="7:31" x14ac:dyDescent="0.35">
      <c r="G666" s="85"/>
      <c r="H666" s="87"/>
      <c r="J666" s="93"/>
      <c r="K666" s="85"/>
      <c r="M666" s="94"/>
      <c r="N666" s="93"/>
      <c r="O666" s="85"/>
      <c r="Q666" s="94"/>
      <c r="R666" s="93"/>
      <c r="S666" s="85"/>
      <c r="U666" s="94"/>
      <c r="V666" s="93"/>
      <c r="W666" s="85"/>
      <c r="Y666" s="94"/>
      <c r="Z666" s="93"/>
      <c r="AA666" s="85"/>
      <c r="AC666" s="94"/>
      <c r="AD666" s="93"/>
      <c r="AE666" s="85"/>
    </row>
    <row r="667" spans="7:31" x14ac:dyDescent="0.35">
      <c r="G667" s="85"/>
      <c r="H667" s="87"/>
      <c r="J667" s="93"/>
      <c r="K667" s="85"/>
      <c r="M667" s="94"/>
      <c r="N667" s="93"/>
      <c r="O667" s="85"/>
      <c r="Q667" s="94"/>
      <c r="R667" s="93"/>
      <c r="S667" s="85"/>
      <c r="U667" s="94"/>
      <c r="V667" s="93"/>
      <c r="W667" s="85"/>
      <c r="Y667" s="94"/>
      <c r="Z667" s="93"/>
      <c r="AA667" s="85"/>
      <c r="AC667" s="94"/>
      <c r="AD667" s="93"/>
      <c r="AE667" s="85"/>
    </row>
    <row r="668" spans="7:31" x14ac:dyDescent="0.35">
      <c r="G668" s="85"/>
      <c r="H668" s="87"/>
      <c r="J668" s="93"/>
      <c r="K668" s="85"/>
      <c r="M668" s="94"/>
      <c r="N668" s="93"/>
      <c r="O668" s="85"/>
      <c r="Q668" s="94"/>
      <c r="R668" s="93"/>
      <c r="S668" s="85"/>
      <c r="U668" s="94"/>
      <c r="V668" s="93"/>
      <c r="W668" s="85"/>
      <c r="Y668" s="94"/>
      <c r="Z668" s="93"/>
      <c r="AA668" s="85"/>
      <c r="AC668" s="94"/>
      <c r="AD668" s="93"/>
      <c r="AE668" s="85"/>
    </row>
    <row r="669" spans="7:31" x14ac:dyDescent="0.35">
      <c r="G669" s="85"/>
      <c r="H669" s="87"/>
      <c r="J669" s="93"/>
      <c r="K669" s="85"/>
      <c r="M669" s="94"/>
      <c r="N669" s="93"/>
      <c r="O669" s="85"/>
      <c r="Q669" s="94"/>
      <c r="R669" s="93"/>
      <c r="S669" s="85"/>
      <c r="U669" s="94"/>
      <c r="V669" s="93"/>
      <c r="W669" s="85"/>
      <c r="Y669" s="94"/>
      <c r="Z669" s="93"/>
      <c r="AA669" s="85"/>
      <c r="AC669" s="94"/>
      <c r="AD669" s="93"/>
      <c r="AE669" s="85"/>
    </row>
    <row r="670" spans="7:31" x14ac:dyDescent="0.35">
      <c r="G670" s="85"/>
      <c r="H670" s="87"/>
      <c r="J670" s="93"/>
      <c r="K670" s="85"/>
      <c r="M670" s="94"/>
      <c r="N670" s="93"/>
      <c r="O670" s="85"/>
      <c r="Q670" s="94"/>
      <c r="R670" s="93"/>
      <c r="S670" s="85"/>
      <c r="U670" s="94"/>
      <c r="V670" s="93"/>
      <c r="W670" s="85"/>
      <c r="Y670" s="94"/>
      <c r="Z670" s="93"/>
      <c r="AA670" s="85"/>
      <c r="AC670" s="94"/>
      <c r="AD670" s="93"/>
      <c r="AE670" s="85"/>
    </row>
    <row r="671" spans="7:31" x14ac:dyDescent="0.35">
      <c r="G671" s="85"/>
      <c r="H671" s="87"/>
      <c r="J671" s="93"/>
      <c r="K671" s="85"/>
      <c r="M671" s="94"/>
      <c r="N671" s="93"/>
      <c r="O671" s="85"/>
      <c r="Q671" s="94"/>
      <c r="R671" s="93"/>
      <c r="S671" s="85"/>
      <c r="U671" s="94"/>
      <c r="V671" s="93"/>
      <c r="W671" s="85"/>
      <c r="Y671" s="94"/>
      <c r="Z671" s="93"/>
      <c r="AA671" s="85"/>
      <c r="AC671" s="94"/>
      <c r="AD671" s="93"/>
      <c r="AE671" s="85"/>
    </row>
    <row r="672" spans="7:31" x14ac:dyDescent="0.35">
      <c r="G672" s="85"/>
      <c r="H672" s="87"/>
      <c r="J672" s="93"/>
      <c r="K672" s="85"/>
      <c r="M672" s="94"/>
      <c r="N672" s="93"/>
      <c r="O672" s="85"/>
      <c r="Q672" s="94"/>
      <c r="R672" s="93"/>
      <c r="S672" s="85"/>
      <c r="U672" s="94"/>
      <c r="V672" s="93"/>
      <c r="W672" s="85"/>
      <c r="Y672" s="94"/>
      <c r="Z672" s="93"/>
      <c r="AA672" s="85"/>
      <c r="AC672" s="94"/>
      <c r="AD672" s="93"/>
      <c r="AE672" s="85"/>
    </row>
    <row r="673" spans="7:31" x14ac:dyDescent="0.35">
      <c r="G673" s="85"/>
      <c r="H673" s="87"/>
      <c r="J673" s="93"/>
      <c r="K673" s="85"/>
      <c r="M673" s="94"/>
      <c r="N673" s="93"/>
      <c r="O673" s="85"/>
      <c r="Q673" s="94"/>
      <c r="R673" s="93"/>
      <c r="S673" s="85"/>
      <c r="U673" s="94"/>
      <c r="V673" s="93"/>
      <c r="W673" s="85"/>
      <c r="Y673" s="94"/>
      <c r="Z673" s="93"/>
      <c r="AA673" s="85"/>
      <c r="AC673" s="94"/>
      <c r="AD673" s="93"/>
      <c r="AE673" s="85"/>
    </row>
    <row r="674" spans="7:31" x14ac:dyDescent="0.35">
      <c r="G674" s="85"/>
      <c r="H674" s="87"/>
      <c r="J674" s="93"/>
      <c r="K674" s="85"/>
      <c r="M674" s="94"/>
      <c r="N674" s="93"/>
      <c r="O674" s="85"/>
      <c r="Q674" s="94"/>
      <c r="R674" s="93"/>
      <c r="S674" s="85"/>
      <c r="U674" s="94"/>
      <c r="V674" s="93"/>
      <c r="W674" s="85"/>
      <c r="Y674" s="94"/>
      <c r="Z674" s="93"/>
      <c r="AA674" s="85"/>
      <c r="AC674" s="94"/>
      <c r="AD674" s="93"/>
      <c r="AE674" s="85"/>
    </row>
    <row r="675" spans="7:31" x14ac:dyDescent="0.35">
      <c r="G675" s="85"/>
      <c r="H675" s="87"/>
      <c r="J675" s="93"/>
      <c r="K675" s="85"/>
      <c r="M675" s="94"/>
      <c r="N675" s="93"/>
      <c r="O675" s="85"/>
      <c r="Q675" s="94"/>
      <c r="R675" s="93"/>
      <c r="S675" s="85"/>
      <c r="U675" s="94"/>
      <c r="V675" s="93"/>
      <c r="W675" s="85"/>
      <c r="Y675" s="94"/>
      <c r="Z675" s="93"/>
      <c r="AA675" s="85"/>
      <c r="AC675" s="94"/>
      <c r="AD675" s="93"/>
      <c r="AE675" s="85"/>
    </row>
    <row r="676" spans="7:31" x14ac:dyDescent="0.35">
      <c r="G676" s="85"/>
      <c r="H676" s="87"/>
      <c r="J676" s="93"/>
      <c r="K676" s="85"/>
      <c r="M676" s="94"/>
      <c r="N676" s="93"/>
      <c r="O676" s="85"/>
      <c r="Q676" s="94"/>
      <c r="R676" s="93"/>
      <c r="S676" s="85"/>
      <c r="U676" s="94"/>
      <c r="V676" s="93"/>
      <c r="W676" s="85"/>
      <c r="Y676" s="94"/>
      <c r="Z676" s="93"/>
      <c r="AA676" s="85"/>
      <c r="AC676" s="94"/>
      <c r="AD676" s="93"/>
      <c r="AE676" s="85"/>
    </row>
    <row r="677" spans="7:31" x14ac:dyDescent="0.35">
      <c r="G677" s="85"/>
      <c r="H677" s="87"/>
      <c r="J677" s="93"/>
      <c r="K677" s="85"/>
      <c r="M677" s="94"/>
      <c r="N677" s="93"/>
      <c r="O677" s="85"/>
      <c r="Q677" s="94"/>
      <c r="R677" s="93"/>
      <c r="S677" s="85"/>
      <c r="U677" s="94"/>
      <c r="V677" s="93"/>
      <c r="W677" s="85"/>
      <c r="Y677" s="94"/>
      <c r="Z677" s="93"/>
      <c r="AA677" s="85"/>
      <c r="AC677" s="94"/>
      <c r="AD677" s="93"/>
      <c r="AE677" s="85"/>
    </row>
    <row r="678" spans="7:31" x14ac:dyDescent="0.35">
      <c r="G678" s="85"/>
      <c r="H678" s="87"/>
      <c r="J678" s="93"/>
      <c r="K678" s="85"/>
      <c r="M678" s="94"/>
      <c r="N678" s="93"/>
      <c r="O678" s="85"/>
      <c r="Q678" s="94"/>
      <c r="R678" s="93"/>
      <c r="S678" s="85"/>
      <c r="U678" s="94"/>
      <c r="V678" s="93"/>
      <c r="W678" s="85"/>
      <c r="Y678" s="94"/>
      <c r="Z678" s="93"/>
      <c r="AA678" s="85"/>
      <c r="AC678" s="94"/>
      <c r="AD678" s="93"/>
      <c r="AE678" s="85"/>
    </row>
    <row r="679" spans="7:31" x14ac:dyDescent="0.35">
      <c r="G679" s="85"/>
      <c r="H679" s="87"/>
      <c r="J679" s="93"/>
      <c r="K679" s="85"/>
      <c r="M679" s="94"/>
      <c r="N679" s="93"/>
      <c r="O679" s="85"/>
      <c r="Q679" s="94"/>
      <c r="R679" s="93"/>
      <c r="S679" s="85"/>
      <c r="U679" s="94"/>
      <c r="V679" s="93"/>
      <c r="W679" s="85"/>
      <c r="Y679" s="94"/>
      <c r="Z679" s="93"/>
      <c r="AA679" s="85"/>
      <c r="AC679" s="94"/>
      <c r="AD679" s="93"/>
      <c r="AE679" s="85"/>
    </row>
    <row r="680" spans="7:31" x14ac:dyDescent="0.35">
      <c r="G680" s="85"/>
      <c r="H680" s="87"/>
      <c r="J680" s="93"/>
      <c r="K680" s="85"/>
      <c r="M680" s="94"/>
      <c r="N680" s="93"/>
      <c r="O680" s="85"/>
      <c r="Q680" s="94"/>
      <c r="R680" s="93"/>
      <c r="S680" s="85"/>
      <c r="U680" s="94"/>
      <c r="V680" s="93"/>
      <c r="W680" s="85"/>
      <c r="Y680" s="94"/>
      <c r="Z680" s="93"/>
      <c r="AA680" s="85"/>
      <c r="AC680" s="94"/>
      <c r="AD680" s="93"/>
      <c r="AE680" s="85"/>
    </row>
    <row r="681" spans="7:31" x14ac:dyDescent="0.35">
      <c r="G681" s="85"/>
      <c r="H681" s="87"/>
      <c r="J681" s="93"/>
      <c r="K681" s="85"/>
      <c r="M681" s="94"/>
      <c r="N681" s="93"/>
      <c r="O681" s="85"/>
      <c r="Q681" s="94"/>
      <c r="R681" s="93"/>
      <c r="S681" s="85"/>
      <c r="U681" s="94"/>
      <c r="V681" s="93"/>
      <c r="W681" s="85"/>
      <c r="Y681" s="94"/>
      <c r="Z681" s="93"/>
      <c r="AA681" s="85"/>
      <c r="AC681" s="94"/>
      <c r="AD681" s="93"/>
      <c r="AE681" s="85"/>
    </row>
    <row r="682" spans="7:31" x14ac:dyDescent="0.35">
      <c r="G682" s="85"/>
      <c r="H682" s="87"/>
      <c r="J682" s="93"/>
      <c r="K682" s="85"/>
      <c r="M682" s="94"/>
      <c r="N682" s="93"/>
      <c r="O682" s="85"/>
      <c r="Q682" s="94"/>
      <c r="R682" s="93"/>
      <c r="S682" s="85"/>
      <c r="U682" s="94"/>
      <c r="V682" s="93"/>
      <c r="W682" s="85"/>
      <c r="Y682" s="94"/>
      <c r="Z682" s="93"/>
      <c r="AA682" s="85"/>
      <c r="AC682" s="94"/>
      <c r="AD682" s="93"/>
      <c r="AE682" s="85"/>
    </row>
    <row r="683" spans="7:31" x14ac:dyDescent="0.35">
      <c r="G683" s="85"/>
      <c r="H683" s="87"/>
      <c r="J683" s="93"/>
      <c r="K683" s="85"/>
      <c r="M683" s="94"/>
      <c r="N683" s="93"/>
      <c r="O683" s="85"/>
      <c r="Q683" s="94"/>
      <c r="R683" s="93"/>
      <c r="S683" s="85"/>
      <c r="U683" s="94"/>
      <c r="V683" s="93"/>
      <c r="W683" s="85"/>
      <c r="Y683" s="94"/>
      <c r="Z683" s="93"/>
      <c r="AA683" s="85"/>
      <c r="AC683" s="94"/>
      <c r="AD683" s="93"/>
      <c r="AE683" s="85"/>
    </row>
    <row r="684" spans="7:31" x14ac:dyDescent="0.35">
      <c r="G684" s="85"/>
      <c r="H684" s="87"/>
      <c r="J684" s="93"/>
      <c r="K684" s="85"/>
      <c r="M684" s="94"/>
      <c r="N684" s="93"/>
      <c r="O684" s="85"/>
      <c r="Q684" s="94"/>
      <c r="R684" s="93"/>
      <c r="S684" s="85"/>
      <c r="U684" s="94"/>
      <c r="V684" s="93"/>
      <c r="W684" s="85"/>
      <c r="Y684" s="94"/>
      <c r="Z684" s="93"/>
      <c r="AA684" s="85"/>
      <c r="AC684" s="94"/>
      <c r="AD684" s="93"/>
      <c r="AE684" s="85"/>
    </row>
    <row r="685" spans="7:31" x14ac:dyDescent="0.35">
      <c r="G685" s="85"/>
      <c r="H685" s="87"/>
      <c r="J685" s="93"/>
      <c r="K685" s="85"/>
      <c r="M685" s="94"/>
      <c r="N685" s="93"/>
      <c r="O685" s="85"/>
      <c r="Q685" s="94"/>
      <c r="R685" s="93"/>
      <c r="S685" s="85"/>
      <c r="U685" s="94"/>
      <c r="V685" s="93"/>
      <c r="W685" s="85"/>
      <c r="Y685" s="94"/>
      <c r="Z685" s="93"/>
      <c r="AA685" s="85"/>
      <c r="AC685" s="94"/>
      <c r="AD685" s="93"/>
      <c r="AE685" s="85"/>
    </row>
    <row r="686" spans="7:31" x14ac:dyDescent="0.35">
      <c r="G686" s="85"/>
      <c r="H686" s="87"/>
      <c r="J686" s="93"/>
      <c r="K686" s="85"/>
      <c r="M686" s="94"/>
      <c r="N686" s="93"/>
      <c r="O686" s="85"/>
      <c r="Q686" s="94"/>
      <c r="R686" s="93"/>
      <c r="S686" s="85"/>
      <c r="U686" s="94"/>
      <c r="V686" s="93"/>
      <c r="W686" s="85"/>
      <c r="Y686" s="94"/>
      <c r="Z686" s="93"/>
      <c r="AA686" s="85"/>
      <c r="AC686" s="94"/>
      <c r="AD686" s="93"/>
      <c r="AE686" s="85"/>
    </row>
    <row r="687" spans="7:31" x14ac:dyDescent="0.35">
      <c r="G687" s="85"/>
      <c r="H687" s="87"/>
      <c r="J687" s="93"/>
      <c r="K687" s="85"/>
      <c r="M687" s="94"/>
      <c r="N687" s="93"/>
      <c r="O687" s="85"/>
      <c r="Q687" s="94"/>
      <c r="R687" s="93"/>
      <c r="S687" s="85"/>
      <c r="U687" s="94"/>
      <c r="V687" s="93"/>
      <c r="W687" s="85"/>
      <c r="Y687" s="94"/>
      <c r="Z687" s="93"/>
      <c r="AA687" s="85"/>
      <c r="AC687" s="94"/>
      <c r="AD687" s="93"/>
      <c r="AE687" s="85"/>
    </row>
    <row r="688" spans="7:31" x14ac:dyDescent="0.35">
      <c r="G688" s="85"/>
      <c r="H688" s="87"/>
      <c r="J688" s="93"/>
      <c r="K688" s="85"/>
      <c r="M688" s="94"/>
      <c r="N688" s="93"/>
      <c r="O688" s="85"/>
      <c r="Q688" s="94"/>
      <c r="R688" s="93"/>
      <c r="S688" s="85"/>
      <c r="U688" s="94"/>
      <c r="V688" s="93"/>
      <c r="W688" s="85"/>
      <c r="Y688" s="94"/>
      <c r="Z688" s="93"/>
      <c r="AA688" s="85"/>
      <c r="AC688" s="94"/>
      <c r="AD688" s="93"/>
      <c r="AE688" s="85"/>
    </row>
    <row r="689" spans="7:31" x14ac:dyDescent="0.35">
      <c r="G689" s="85"/>
      <c r="H689" s="87"/>
      <c r="J689" s="93"/>
      <c r="K689" s="85"/>
      <c r="M689" s="94"/>
      <c r="N689" s="93"/>
      <c r="O689" s="85"/>
      <c r="Q689" s="94"/>
      <c r="R689" s="93"/>
      <c r="S689" s="85"/>
      <c r="U689" s="94"/>
      <c r="V689" s="93"/>
      <c r="W689" s="85"/>
      <c r="Y689" s="94"/>
      <c r="Z689" s="93"/>
      <c r="AA689" s="85"/>
      <c r="AC689" s="94"/>
      <c r="AD689" s="93"/>
      <c r="AE689" s="85"/>
    </row>
    <row r="690" spans="7:31" x14ac:dyDescent="0.35">
      <c r="G690" s="85"/>
      <c r="H690" s="87"/>
      <c r="J690" s="93"/>
      <c r="K690" s="85"/>
      <c r="M690" s="94"/>
      <c r="N690" s="93"/>
      <c r="O690" s="85"/>
      <c r="Q690" s="94"/>
      <c r="R690" s="93"/>
      <c r="S690" s="85"/>
      <c r="U690" s="94"/>
      <c r="V690" s="93"/>
      <c r="W690" s="85"/>
      <c r="Y690" s="94"/>
      <c r="Z690" s="93"/>
      <c r="AA690" s="85"/>
      <c r="AC690" s="94"/>
      <c r="AD690" s="93"/>
      <c r="AE690" s="85"/>
    </row>
    <row r="691" spans="7:31" x14ac:dyDescent="0.35">
      <c r="G691" s="85"/>
      <c r="H691" s="87"/>
      <c r="J691" s="93"/>
      <c r="K691" s="85"/>
      <c r="M691" s="94"/>
      <c r="N691" s="93"/>
      <c r="O691" s="85"/>
      <c r="Q691" s="94"/>
      <c r="R691" s="93"/>
      <c r="S691" s="85"/>
      <c r="U691" s="94"/>
      <c r="V691" s="93"/>
      <c r="W691" s="85"/>
      <c r="Y691" s="94"/>
      <c r="Z691" s="93"/>
      <c r="AA691" s="85"/>
      <c r="AC691" s="94"/>
      <c r="AD691" s="93"/>
      <c r="AE691" s="85"/>
    </row>
    <row r="692" spans="7:31" x14ac:dyDescent="0.35">
      <c r="G692" s="85"/>
      <c r="H692" s="87"/>
      <c r="J692" s="93"/>
      <c r="K692" s="85"/>
      <c r="M692" s="94"/>
      <c r="N692" s="93"/>
      <c r="O692" s="85"/>
      <c r="Q692" s="94"/>
      <c r="R692" s="93"/>
      <c r="S692" s="85"/>
      <c r="U692" s="94"/>
      <c r="V692" s="93"/>
      <c r="W692" s="85"/>
      <c r="Y692" s="94"/>
      <c r="Z692" s="93"/>
      <c r="AA692" s="85"/>
      <c r="AC692" s="94"/>
      <c r="AD692" s="93"/>
      <c r="AE692" s="85"/>
    </row>
    <row r="693" spans="7:31" x14ac:dyDescent="0.35">
      <c r="G693" s="85"/>
      <c r="H693" s="87"/>
      <c r="J693" s="93"/>
      <c r="K693" s="85"/>
      <c r="M693" s="94"/>
      <c r="N693" s="93"/>
      <c r="O693" s="85"/>
      <c r="Q693" s="94"/>
      <c r="R693" s="93"/>
      <c r="S693" s="85"/>
      <c r="U693" s="94"/>
      <c r="V693" s="93"/>
      <c r="W693" s="85"/>
      <c r="Y693" s="94"/>
      <c r="Z693" s="93"/>
      <c r="AA693" s="85"/>
      <c r="AC693" s="94"/>
      <c r="AD693" s="93"/>
      <c r="AE693" s="85"/>
    </row>
    <row r="694" spans="7:31" x14ac:dyDescent="0.35">
      <c r="G694" s="85"/>
      <c r="H694" s="87"/>
      <c r="J694" s="93"/>
      <c r="K694" s="85"/>
      <c r="M694" s="94"/>
      <c r="N694" s="93"/>
      <c r="O694" s="85"/>
      <c r="Q694" s="94"/>
      <c r="R694" s="93"/>
      <c r="S694" s="85"/>
      <c r="U694" s="94"/>
      <c r="V694" s="93"/>
      <c r="W694" s="85"/>
      <c r="Y694" s="94"/>
      <c r="Z694" s="93"/>
      <c r="AA694" s="85"/>
      <c r="AC694" s="94"/>
      <c r="AD694" s="93"/>
      <c r="AE694" s="85"/>
    </row>
    <row r="695" spans="7:31" x14ac:dyDescent="0.35">
      <c r="G695" s="85"/>
      <c r="H695" s="87"/>
      <c r="J695" s="93"/>
      <c r="K695" s="85"/>
      <c r="M695" s="94"/>
      <c r="N695" s="93"/>
      <c r="O695" s="85"/>
      <c r="Q695" s="94"/>
      <c r="R695" s="93"/>
      <c r="S695" s="85"/>
      <c r="U695" s="94"/>
      <c r="V695" s="93"/>
      <c r="W695" s="85"/>
      <c r="Y695" s="94"/>
      <c r="Z695" s="93"/>
      <c r="AA695" s="85"/>
      <c r="AC695" s="94"/>
      <c r="AD695" s="93"/>
      <c r="AE695" s="85"/>
    </row>
    <row r="696" spans="7:31" x14ac:dyDescent="0.35">
      <c r="G696" s="85"/>
      <c r="H696" s="87"/>
      <c r="J696" s="93"/>
      <c r="K696" s="85"/>
      <c r="M696" s="94"/>
      <c r="N696" s="93"/>
      <c r="O696" s="85"/>
      <c r="Q696" s="94"/>
      <c r="R696" s="93"/>
      <c r="S696" s="85"/>
      <c r="U696" s="94"/>
      <c r="V696" s="93"/>
      <c r="W696" s="85"/>
      <c r="Y696" s="94"/>
      <c r="Z696" s="93"/>
      <c r="AA696" s="85"/>
      <c r="AC696" s="94"/>
      <c r="AD696" s="93"/>
      <c r="AE696" s="85"/>
    </row>
    <row r="697" spans="7:31" x14ac:dyDescent="0.35">
      <c r="G697" s="85"/>
      <c r="H697" s="87"/>
      <c r="J697" s="93"/>
      <c r="K697" s="85"/>
      <c r="M697" s="94"/>
      <c r="N697" s="93"/>
      <c r="O697" s="85"/>
      <c r="Q697" s="94"/>
      <c r="R697" s="93"/>
      <c r="S697" s="85"/>
      <c r="U697" s="94"/>
      <c r="V697" s="93"/>
      <c r="W697" s="85"/>
      <c r="Y697" s="94"/>
      <c r="Z697" s="93"/>
      <c r="AA697" s="85"/>
      <c r="AC697" s="94"/>
      <c r="AD697" s="93"/>
      <c r="AE697" s="85"/>
    </row>
    <row r="698" spans="7:31" x14ac:dyDescent="0.35">
      <c r="G698" s="85"/>
      <c r="H698" s="87"/>
      <c r="J698" s="93"/>
      <c r="K698" s="85"/>
      <c r="M698" s="94"/>
      <c r="N698" s="93"/>
      <c r="O698" s="85"/>
      <c r="Q698" s="94"/>
      <c r="R698" s="93"/>
      <c r="S698" s="85"/>
      <c r="U698" s="94"/>
      <c r="V698" s="93"/>
      <c r="W698" s="85"/>
      <c r="Y698" s="94"/>
      <c r="Z698" s="93"/>
      <c r="AA698" s="85"/>
      <c r="AC698" s="94"/>
      <c r="AD698" s="93"/>
      <c r="AE698" s="85"/>
    </row>
    <row r="699" spans="7:31" x14ac:dyDescent="0.35">
      <c r="G699" s="85"/>
      <c r="H699" s="87"/>
      <c r="J699" s="93"/>
      <c r="K699" s="85"/>
      <c r="M699" s="94"/>
      <c r="N699" s="93"/>
      <c r="O699" s="85"/>
      <c r="Q699" s="94"/>
      <c r="R699" s="93"/>
      <c r="S699" s="85"/>
      <c r="U699" s="94"/>
      <c r="V699" s="93"/>
      <c r="W699" s="85"/>
      <c r="Y699" s="94"/>
      <c r="Z699" s="93"/>
      <c r="AA699" s="85"/>
      <c r="AC699" s="94"/>
      <c r="AD699" s="93"/>
      <c r="AE699" s="85"/>
    </row>
    <row r="700" spans="7:31" x14ac:dyDescent="0.35">
      <c r="G700" s="85"/>
      <c r="H700" s="87"/>
      <c r="J700" s="93"/>
      <c r="K700" s="85"/>
      <c r="M700" s="94"/>
      <c r="N700" s="93"/>
      <c r="O700" s="85"/>
      <c r="Q700" s="94"/>
      <c r="R700" s="93"/>
      <c r="S700" s="85"/>
      <c r="U700" s="94"/>
      <c r="V700" s="93"/>
      <c r="W700" s="85"/>
      <c r="Y700" s="94"/>
      <c r="Z700" s="93"/>
      <c r="AA700" s="85"/>
      <c r="AC700" s="94"/>
      <c r="AD700" s="93"/>
      <c r="AE700" s="85"/>
    </row>
    <row r="701" spans="7:31" x14ac:dyDescent="0.35">
      <c r="G701" s="85"/>
      <c r="H701" s="87"/>
      <c r="J701" s="93"/>
      <c r="K701" s="85"/>
      <c r="M701" s="94"/>
      <c r="N701" s="93"/>
      <c r="O701" s="85"/>
      <c r="Q701" s="94"/>
      <c r="R701" s="93"/>
      <c r="S701" s="85"/>
      <c r="U701" s="94"/>
      <c r="V701" s="93"/>
      <c r="W701" s="85"/>
      <c r="Y701" s="94"/>
      <c r="Z701" s="93"/>
      <c r="AA701" s="85"/>
      <c r="AC701" s="94"/>
      <c r="AD701" s="93"/>
      <c r="AE701" s="85"/>
    </row>
    <row r="702" spans="7:31" x14ac:dyDescent="0.35">
      <c r="G702" s="85"/>
      <c r="H702" s="87"/>
      <c r="J702" s="93"/>
      <c r="K702" s="85"/>
      <c r="M702" s="94"/>
      <c r="N702" s="93"/>
      <c r="O702" s="85"/>
      <c r="Q702" s="94"/>
      <c r="R702" s="93"/>
      <c r="S702" s="85"/>
      <c r="U702" s="94"/>
      <c r="V702" s="93"/>
      <c r="W702" s="85"/>
      <c r="Y702" s="94"/>
      <c r="Z702" s="93"/>
      <c r="AA702" s="85"/>
      <c r="AC702" s="94"/>
      <c r="AD702" s="93"/>
      <c r="AE702" s="85"/>
    </row>
    <row r="703" spans="7:31" x14ac:dyDescent="0.35">
      <c r="G703" s="85"/>
      <c r="H703" s="87"/>
      <c r="J703" s="93"/>
      <c r="K703" s="85"/>
      <c r="M703" s="94"/>
      <c r="N703" s="93"/>
      <c r="O703" s="85"/>
      <c r="Q703" s="94"/>
      <c r="R703" s="93"/>
      <c r="S703" s="85"/>
      <c r="U703" s="94"/>
      <c r="V703" s="93"/>
      <c r="W703" s="85"/>
      <c r="Y703" s="94"/>
      <c r="Z703" s="93"/>
      <c r="AA703" s="85"/>
      <c r="AC703" s="94"/>
      <c r="AD703" s="93"/>
      <c r="AE703" s="85"/>
    </row>
    <row r="704" spans="7:31" x14ac:dyDescent="0.35">
      <c r="G704" s="85"/>
      <c r="H704" s="87"/>
      <c r="J704" s="93"/>
      <c r="K704" s="85"/>
      <c r="M704" s="94"/>
      <c r="N704" s="93"/>
      <c r="O704" s="85"/>
      <c r="Q704" s="94"/>
      <c r="R704" s="93"/>
      <c r="S704" s="85"/>
      <c r="U704" s="94"/>
      <c r="V704" s="93"/>
      <c r="W704" s="85"/>
      <c r="Y704" s="94"/>
      <c r="Z704" s="93"/>
      <c r="AA704" s="85"/>
      <c r="AC704" s="94"/>
      <c r="AD704" s="93"/>
      <c r="AE704" s="85"/>
    </row>
    <row r="705" spans="7:31" x14ac:dyDescent="0.35">
      <c r="G705" s="85"/>
      <c r="H705" s="87"/>
      <c r="J705" s="93"/>
      <c r="K705" s="85"/>
      <c r="M705" s="94"/>
      <c r="N705" s="93"/>
      <c r="O705" s="85"/>
      <c r="Q705" s="94"/>
      <c r="R705" s="93"/>
      <c r="S705" s="85"/>
      <c r="U705" s="94"/>
      <c r="V705" s="93"/>
      <c r="W705" s="85"/>
      <c r="Y705" s="94"/>
      <c r="Z705" s="93"/>
      <c r="AA705" s="85"/>
      <c r="AC705" s="94"/>
      <c r="AD705" s="93"/>
      <c r="AE705" s="85"/>
    </row>
    <row r="706" spans="7:31" x14ac:dyDescent="0.35">
      <c r="G706" s="85"/>
      <c r="H706" s="87"/>
      <c r="J706" s="93"/>
      <c r="K706" s="85"/>
      <c r="M706" s="94"/>
      <c r="N706" s="93"/>
      <c r="O706" s="85"/>
      <c r="Q706" s="94"/>
      <c r="R706" s="93"/>
      <c r="S706" s="85"/>
      <c r="U706" s="94"/>
      <c r="V706" s="93"/>
      <c r="W706" s="85"/>
      <c r="Y706" s="94"/>
      <c r="Z706" s="93"/>
      <c r="AA706" s="85"/>
      <c r="AC706" s="94"/>
      <c r="AD706" s="93"/>
      <c r="AE706" s="85"/>
    </row>
    <row r="707" spans="7:31" x14ac:dyDescent="0.35">
      <c r="G707" s="85"/>
      <c r="H707" s="87"/>
      <c r="J707" s="93"/>
      <c r="K707" s="85"/>
      <c r="M707" s="94"/>
      <c r="N707" s="93"/>
      <c r="O707" s="85"/>
      <c r="Q707" s="94"/>
      <c r="R707" s="93"/>
      <c r="S707" s="85"/>
      <c r="U707" s="94"/>
      <c r="V707" s="93"/>
      <c r="W707" s="85"/>
      <c r="Y707" s="94"/>
      <c r="Z707" s="93"/>
      <c r="AA707" s="85"/>
      <c r="AC707" s="94"/>
      <c r="AD707" s="93"/>
      <c r="AE707" s="85"/>
    </row>
    <row r="708" spans="7:31" x14ac:dyDescent="0.35">
      <c r="G708" s="85"/>
      <c r="H708" s="87"/>
      <c r="J708" s="93"/>
      <c r="K708" s="85"/>
      <c r="M708" s="94"/>
      <c r="N708" s="93"/>
      <c r="O708" s="85"/>
      <c r="Q708" s="94"/>
      <c r="R708" s="93"/>
      <c r="S708" s="85"/>
      <c r="U708" s="94"/>
      <c r="V708" s="93"/>
      <c r="W708" s="85"/>
      <c r="Y708" s="94"/>
      <c r="Z708" s="93"/>
      <c r="AA708" s="85"/>
      <c r="AC708" s="94"/>
      <c r="AD708" s="93"/>
      <c r="AE708" s="85"/>
    </row>
    <row r="709" spans="7:31" x14ac:dyDescent="0.35">
      <c r="G709" s="85"/>
      <c r="H709" s="87"/>
      <c r="J709" s="93"/>
      <c r="K709" s="85"/>
      <c r="M709" s="94"/>
      <c r="N709" s="93"/>
      <c r="O709" s="85"/>
      <c r="Q709" s="94"/>
      <c r="R709" s="93"/>
      <c r="S709" s="85"/>
      <c r="U709" s="94"/>
      <c r="V709" s="93"/>
      <c r="W709" s="85"/>
      <c r="Y709" s="94"/>
      <c r="Z709" s="93"/>
      <c r="AA709" s="85"/>
      <c r="AC709" s="94"/>
      <c r="AD709" s="93"/>
      <c r="AE709" s="85"/>
    </row>
    <row r="710" spans="7:31" x14ac:dyDescent="0.35">
      <c r="G710" s="85"/>
      <c r="H710" s="87"/>
      <c r="J710" s="93"/>
      <c r="K710" s="85"/>
      <c r="M710" s="94"/>
      <c r="N710" s="93"/>
      <c r="O710" s="85"/>
      <c r="Q710" s="94"/>
      <c r="R710" s="93"/>
      <c r="S710" s="85"/>
      <c r="U710" s="94"/>
      <c r="V710" s="93"/>
      <c r="W710" s="85"/>
      <c r="Y710" s="94"/>
      <c r="Z710" s="93"/>
      <c r="AA710" s="85"/>
      <c r="AC710" s="94"/>
      <c r="AD710" s="93"/>
      <c r="AE710" s="85"/>
    </row>
    <row r="711" spans="7:31" x14ac:dyDescent="0.35">
      <c r="G711" s="85"/>
      <c r="H711" s="87"/>
      <c r="J711" s="93"/>
      <c r="K711" s="85"/>
      <c r="M711" s="94"/>
      <c r="N711" s="93"/>
      <c r="O711" s="85"/>
      <c r="Q711" s="94"/>
      <c r="R711" s="93"/>
      <c r="S711" s="85"/>
      <c r="U711" s="94"/>
      <c r="V711" s="93"/>
      <c r="W711" s="85"/>
      <c r="Y711" s="94"/>
      <c r="Z711" s="93"/>
      <c r="AA711" s="85"/>
      <c r="AC711" s="94"/>
      <c r="AD711" s="93"/>
      <c r="AE711" s="85"/>
    </row>
    <row r="712" spans="7:31" x14ac:dyDescent="0.35">
      <c r="G712" s="85"/>
      <c r="H712" s="87"/>
      <c r="J712" s="93"/>
      <c r="K712" s="85"/>
      <c r="M712" s="94"/>
      <c r="N712" s="93"/>
      <c r="O712" s="85"/>
      <c r="Q712" s="94"/>
      <c r="R712" s="93"/>
      <c r="S712" s="85"/>
      <c r="U712" s="94"/>
      <c r="V712" s="93"/>
      <c r="W712" s="85"/>
      <c r="Y712" s="94"/>
      <c r="Z712" s="93"/>
      <c r="AA712" s="85"/>
      <c r="AC712" s="94"/>
      <c r="AD712" s="93"/>
      <c r="AE712" s="85"/>
    </row>
    <row r="713" spans="7:31" x14ac:dyDescent="0.35">
      <c r="G713" s="85"/>
      <c r="H713" s="87"/>
      <c r="J713" s="93"/>
      <c r="K713" s="85"/>
      <c r="M713" s="94"/>
      <c r="N713" s="93"/>
      <c r="O713" s="85"/>
      <c r="Q713" s="94"/>
      <c r="R713" s="93"/>
      <c r="S713" s="85"/>
      <c r="U713" s="94"/>
      <c r="V713" s="93"/>
      <c r="W713" s="85"/>
      <c r="Y713" s="94"/>
      <c r="Z713" s="93"/>
      <c r="AA713" s="85"/>
      <c r="AC713" s="94"/>
      <c r="AD713" s="93"/>
      <c r="AE713" s="85"/>
    </row>
    <row r="714" spans="7:31" x14ac:dyDescent="0.35">
      <c r="G714" s="85"/>
      <c r="H714" s="87"/>
      <c r="J714" s="93"/>
      <c r="K714" s="85"/>
      <c r="M714" s="94"/>
      <c r="N714" s="93"/>
      <c r="O714" s="85"/>
      <c r="Q714" s="94"/>
      <c r="R714" s="93"/>
      <c r="S714" s="85"/>
      <c r="U714" s="94"/>
      <c r="V714" s="93"/>
      <c r="W714" s="85"/>
      <c r="Y714" s="94"/>
      <c r="Z714" s="93"/>
      <c r="AA714" s="85"/>
      <c r="AC714" s="94"/>
      <c r="AD714" s="93"/>
      <c r="AE714" s="85"/>
    </row>
    <row r="715" spans="7:31" x14ac:dyDescent="0.35">
      <c r="G715" s="85"/>
      <c r="H715" s="87"/>
      <c r="J715" s="93"/>
      <c r="K715" s="85"/>
      <c r="M715" s="94"/>
      <c r="N715" s="93"/>
      <c r="O715" s="85"/>
      <c r="Q715" s="94"/>
      <c r="R715" s="93"/>
      <c r="S715" s="85"/>
      <c r="U715" s="94"/>
      <c r="V715" s="93"/>
      <c r="W715" s="85"/>
      <c r="Y715" s="94"/>
      <c r="Z715" s="93"/>
      <c r="AA715" s="85"/>
      <c r="AC715" s="94"/>
      <c r="AD715" s="93"/>
      <c r="AE715" s="85"/>
    </row>
    <row r="716" spans="7:31" x14ac:dyDescent="0.35">
      <c r="G716" s="85"/>
      <c r="H716" s="87"/>
      <c r="J716" s="93"/>
      <c r="K716" s="85"/>
      <c r="M716" s="94"/>
      <c r="N716" s="93"/>
      <c r="O716" s="85"/>
      <c r="Q716" s="94"/>
      <c r="R716" s="93"/>
      <c r="S716" s="85"/>
      <c r="U716" s="94"/>
      <c r="V716" s="93"/>
      <c r="W716" s="85"/>
      <c r="Y716" s="94"/>
      <c r="Z716" s="93"/>
      <c r="AA716" s="85"/>
      <c r="AC716" s="94"/>
      <c r="AD716" s="93"/>
      <c r="AE716" s="85"/>
    </row>
    <row r="717" spans="7:31" x14ac:dyDescent="0.35">
      <c r="G717" s="85"/>
      <c r="H717" s="87"/>
      <c r="J717" s="93"/>
      <c r="K717" s="85"/>
      <c r="M717" s="94"/>
      <c r="N717" s="93"/>
      <c r="O717" s="85"/>
      <c r="Q717" s="94"/>
      <c r="R717" s="93"/>
      <c r="S717" s="85"/>
      <c r="U717" s="94"/>
      <c r="V717" s="93"/>
      <c r="W717" s="85"/>
      <c r="Y717" s="94"/>
      <c r="Z717" s="93"/>
      <c r="AA717" s="85"/>
      <c r="AC717" s="94"/>
      <c r="AD717" s="93"/>
      <c r="AE717" s="85"/>
    </row>
    <row r="718" spans="7:31" x14ac:dyDescent="0.35">
      <c r="G718" s="85"/>
      <c r="H718" s="87"/>
      <c r="J718" s="93"/>
      <c r="K718" s="85"/>
      <c r="M718" s="94"/>
      <c r="N718" s="93"/>
      <c r="O718" s="85"/>
      <c r="Q718" s="94"/>
      <c r="R718" s="93"/>
      <c r="S718" s="85"/>
      <c r="U718" s="94"/>
      <c r="V718" s="93"/>
      <c r="W718" s="85"/>
      <c r="Y718" s="94"/>
      <c r="Z718" s="93"/>
      <c r="AA718" s="85"/>
      <c r="AC718" s="94"/>
      <c r="AD718" s="93"/>
      <c r="AE718" s="85"/>
    </row>
    <row r="719" spans="7:31" x14ac:dyDescent="0.35">
      <c r="G719" s="85"/>
      <c r="H719" s="87"/>
      <c r="J719" s="93"/>
      <c r="K719" s="85"/>
      <c r="M719" s="94"/>
      <c r="N719" s="93"/>
      <c r="O719" s="85"/>
      <c r="Q719" s="94"/>
      <c r="R719" s="93"/>
      <c r="S719" s="85"/>
      <c r="U719" s="94"/>
      <c r="V719" s="93"/>
      <c r="W719" s="85"/>
      <c r="Y719" s="94"/>
      <c r="Z719" s="93"/>
      <c r="AA719" s="85"/>
      <c r="AC719" s="94"/>
      <c r="AD719" s="93"/>
      <c r="AE719" s="85"/>
    </row>
    <row r="720" spans="7:31" x14ac:dyDescent="0.35">
      <c r="G720" s="85"/>
      <c r="H720" s="87"/>
      <c r="J720" s="93"/>
      <c r="K720" s="85"/>
      <c r="M720" s="94"/>
      <c r="N720" s="93"/>
      <c r="O720" s="85"/>
      <c r="Q720" s="94"/>
      <c r="R720" s="93"/>
      <c r="S720" s="85"/>
      <c r="U720" s="94"/>
      <c r="V720" s="93"/>
      <c r="W720" s="85"/>
      <c r="Y720" s="94"/>
      <c r="Z720" s="93"/>
      <c r="AA720" s="85"/>
      <c r="AC720" s="94"/>
      <c r="AD720" s="93"/>
      <c r="AE720" s="85"/>
    </row>
    <row r="721" spans="7:31" x14ac:dyDescent="0.35">
      <c r="G721" s="85"/>
      <c r="H721" s="87"/>
      <c r="J721" s="93"/>
      <c r="K721" s="85"/>
      <c r="M721" s="94"/>
      <c r="N721" s="93"/>
      <c r="O721" s="85"/>
      <c r="Q721" s="94"/>
      <c r="R721" s="93"/>
      <c r="S721" s="85"/>
      <c r="U721" s="94"/>
      <c r="V721" s="93"/>
      <c r="W721" s="85"/>
      <c r="Y721" s="94"/>
      <c r="Z721" s="93"/>
      <c r="AA721" s="85"/>
      <c r="AC721" s="94"/>
      <c r="AD721" s="93"/>
      <c r="AE721" s="85"/>
    </row>
    <row r="722" spans="7:31" x14ac:dyDescent="0.35">
      <c r="G722" s="85"/>
      <c r="H722" s="87"/>
      <c r="J722" s="93"/>
      <c r="K722" s="85"/>
      <c r="M722" s="94"/>
      <c r="N722" s="93"/>
      <c r="O722" s="85"/>
      <c r="Q722" s="94"/>
      <c r="R722" s="93"/>
      <c r="S722" s="85"/>
      <c r="U722" s="94"/>
      <c r="V722" s="93"/>
      <c r="W722" s="85"/>
      <c r="Y722" s="94"/>
      <c r="Z722" s="93"/>
      <c r="AA722" s="85"/>
      <c r="AC722" s="94"/>
      <c r="AD722" s="93"/>
      <c r="AE722" s="85"/>
    </row>
    <row r="723" spans="7:31" x14ac:dyDescent="0.35">
      <c r="G723" s="85"/>
      <c r="H723" s="87"/>
      <c r="J723" s="93"/>
      <c r="K723" s="85"/>
      <c r="M723" s="94"/>
      <c r="N723" s="93"/>
      <c r="O723" s="85"/>
      <c r="Q723" s="94"/>
      <c r="R723" s="93"/>
      <c r="S723" s="85"/>
      <c r="U723" s="94"/>
      <c r="V723" s="93"/>
      <c r="W723" s="85"/>
      <c r="Y723" s="94"/>
      <c r="Z723" s="93"/>
      <c r="AA723" s="85"/>
      <c r="AC723" s="94"/>
      <c r="AD723" s="93"/>
      <c r="AE723" s="85"/>
    </row>
    <row r="724" spans="7:31" x14ac:dyDescent="0.35">
      <c r="G724" s="85"/>
      <c r="H724" s="87"/>
      <c r="J724" s="93"/>
      <c r="K724" s="85"/>
      <c r="M724" s="94"/>
      <c r="N724" s="93"/>
      <c r="O724" s="85"/>
      <c r="Q724" s="94"/>
      <c r="R724" s="93"/>
      <c r="S724" s="85"/>
      <c r="U724" s="94"/>
      <c r="V724" s="93"/>
      <c r="W724" s="85"/>
      <c r="Y724" s="94"/>
      <c r="Z724" s="93"/>
      <c r="AA724" s="85"/>
      <c r="AC724" s="94"/>
      <c r="AD724" s="93"/>
      <c r="AE724" s="85"/>
    </row>
    <row r="725" spans="7:31" x14ac:dyDescent="0.35">
      <c r="G725" s="85"/>
      <c r="H725" s="87"/>
      <c r="J725" s="93"/>
      <c r="K725" s="85"/>
      <c r="M725" s="94"/>
      <c r="N725" s="93"/>
      <c r="O725" s="85"/>
      <c r="Q725" s="94"/>
      <c r="R725" s="93"/>
      <c r="S725" s="85"/>
      <c r="U725" s="94"/>
      <c r="V725" s="93"/>
      <c r="W725" s="85"/>
      <c r="Y725" s="94"/>
      <c r="Z725" s="93"/>
      <c r="AA725" s="85"/>
      <c r="AC725" s="94"/>
      <c r="AD725" s="93"/>
      <c r="AE725" s="85"/>
    </row>
    <row r="726" spans="7:31" x14ac:dyDescent="0.35">
      <c r="G726" s="85"/>
      <c r="H726" s="87"/>
      <c r="J726" s="93"/>
      <c r="K726" s="85"/>
      <c r="M726" s="94"/>
      <c r="N726" s="93"/>
      <c r="O726" s="85"/>
      <c r="Q726" s="94"/>
      <c r="R726" s="93"/>
      <c r="S726" s="85"/>
      <c r="U726" s="94"/>
      <c r="V726" s="93"/>
      <c r="W726" s="85"/>
      <c r="Y726" s="94"/>
      <c r="Z726" s="93"/>
      <c r="AA726" s="85"/>
      <c r="AC726" s="94"/>
      <c r="AD726" s="93"/>
      <c r="AE726" s="85"/>
    </row>
    <row r="727" spans="7:31" x14ac:dyDescent="0.35">
      <c r="G727" s="85"/>
      <c r="H727" s="87"/>
      <c r="J727" s="93"/>
      <c r="K727" s="85"/>
      <c r="M727" s="94"/>
      <c r="N727" s="93"/>
      <c r="O727" s="85"/>
      <c r="Q727" s="94"/>
      <c r="R727" s="93"/>
      <c r="S727" s="85"/>
      <c r="U727" s="94"/>
      <c r="V727" s="93"/>
      <c r="W727" s="85"/>
      <c r="Y727" s="94"/>
      <c r="Z727" s="93"/>
      <c r="AA727" s="85"/>
      <c r="AC727" s="94"/>
      <c r="AD727" s="93"/>
      <c r="AE727" s="85"/>
    </row>
    <row r="728" spans="7:31" x14ac:dyDescent="0.35">
      <c r="G728" s="85"/>
      <c r="H728" s="87"/>
      <c r="J728" s="93"/>
      <c r="K728" s="85"/>
      <c r="M728" s="94"/>
      <c r="N728" s="93"/>
      <c r="O728" s="85"/>
      <c r="Q728" s="94"/>
      <c r="R728" s="93"/>
      <c r="S728" s="85"/>
      <c r="U728" s="94"/>
      <c r="V728" s="93"/>
      <c r="W728" s="85"/>
      <c r="Y728" s="94"/>
      <c r="Z728" s="93"/>
      <c r="AA728" s="85"/>
      <c r="AC728" s="94"/>
      <c r="AD728" s="93"/>
      <c r="AE728" s="85"/>
    </row>
    <row r="729" spans="7:31" x14ac:dyDescent="0.35">
      <c r="G729" s="85"/>
      <c r="H729" s="87"/>
      <c r="J729" s="93"/>
      <c r="K729" s="85"/>
      <c r="M729" s="94"/>
      <c r="N729" s="93"/>
      <c r="O729" s="85"/>
      <c r="Q729" s="94"/>
      <c r="R729" s="93"/>
      <c r="S729" s="85"/>
      <c r="U729" s="94"/>
      <c r="V729" s="93"/>
      <c r="W729" s="85"/>
      <c r="Y729" s="94"/>
      <c r="Z729" s="93"/>
      <c r="AA729" s="85"/>
      <c r="AC729" s="94"/>
      <c r="AD729" s="93"/>
      <c r="AE729" s="85"/>
    </row>
    <row r="730" spans="7:31" x14ac:dyDescent="0.35">
      <c r="G730" s="85"/>
      <c r="H730" s="87"/>
      <c r="J730" s="93"/>
      <c r="K730" s="85"/>
      <c r="M730" s="94"/>
      <c r="N730" s="93"/>
      <c r="O730" s="85"/>
      <c r="Q730" s="94"/>
      <c r="R730" s="93"/>
      <c r="S730" s="85"/>
      <c r="U730" s="94"/>
      <c r="V730" s="93"/>
      <c r="W730" s="85"/>
      <c r="Y730" s="94"/>
      <c r="Z730" s="93"/>
      <c r="AA730" s="85"/>
      <c r="AC730" s="94"/>
      <c r="AD730" s="93"/>
      <c r="AE730" s="85"/>
    </row>
    <row r="731" spans="7:31" x14ac:dyDescent="0.35">
      <c r="G731" s="85"/>
      <c r="H731" s="87"/>
      <c r="J731" s="93"/>
      <c r="K731" s="85"/>
      <c r="M731" s="94"/>
      <c r="N731" s="93"/>
      <c r="O731" s="85"/>
      <c r="Q731" s="94"/>
      <c r="R731" s="93"/>
      <c r="S731" s="85"/>
      <c r="U731" s="94"/>
      <c r="V731" s="93"/>
      <c r="W731" s="85"/>
      <c r="Y731" s="94"/>
      <c r="Z731" s="93"/>
      <c r="AA731" s="85"/>
      <c r="AC731" s="94"/>
      <c r="AD731" s="93"/>
      <c r="AE731" s="85"/>
    </row>
    <row r="732" spans="7:31" x14ac:dyDescent="0.35">
      <c r="G732" s="85"/>
      <c r="H732" s="87"/>
      <c r="J732" s="93"/>
      <c r="K732" s="85"/>
      <c r="M732" s="94"/>
      <c r="N732" s="93"/>
      <c r="O732" s="85"/>
      <c r="Q732" s="94"/>
      <c r="R732" s="93"/>
      <c r="S732" s="85"/>
      <c r="U732" s="94"/>
      <c r="V732" s="93"/>
      <c r="W732" s="85"/>
      <c r="Y732" s="94"/>
      <c r="Z732" s="93"/>
      <c r="AA732" s="85"/>
      <c r="AC732" s="94"/>
      <c r="AD732" s="93"/>
      <c r="AE732" s="85"/>
    </row>
    <row r="733" spans="7:31" x14ac:dyDescent="0.35">
      <c r="G733" s="85"/>
      <c r="H733" s="87"/>
      <c r="J733" s="93"/>
      <c r="K733" s="85"/>
      <c r="M733" s="94"/>
      <c r="N733" s="93"/>
      <c r="O733" s="85"/>
      <c r="Q733" s="94"/>
      <c r="R733" s="93"/>
      <c r="S733" s="85"/>
      <c r="U733" s="94"/>
      <c r="V733" s="93"/>
      <c r="W733" s="85"/>
      <c r="Y733" s="94"/>
      <c r="Z733" s="93"/>
      <c r="AA733" s="85"/>
      <c r="AC733" s="94"/>
      <c r="AD733" s="93"/>
      <c r="AE733" s="85"/>
    </row>
    <row r="734" spans="7:31" x14ac:dyDescent="0.35">
      <c r="G734" s="85"/>
      <c r="H734" s="87"/>
      <c r="J734" s="93"/>
      <c r="K734" s="85"/>
      <c r="M734" s="94"/>
      <c r="N734" s="93"/>
      <c r="O734" s="85"/>
      <c r="Q734" s="94"/>
      <c r="R734" s="93"/>
      <c r="S734" s="85"/>
      <c r="U734" s="94"/>
      <c r="V734" s="93"/>
      <c r="W734" s="85"/>
      <c r="Y734" s="94"/>
      <c r="Z734" s="93"/>
      <c r="AA734" s="85"/>
      <c r="AC734" s="94"/>
      <c r="AD734" s="93"/>
      <c r="AE734" s="85"/>
    </row>
    <row r="735" spans="7:31" x14ac:dyDescent="0.35">
      <c r="G735" s="85"/>
      <c r="H735" s="87"/>
      <c r="J735" s="93"/>
      <c r="K735" s="85"/>
      <c r="M735" s="94"/>
      <c r="N735" s="93"/>
      <c r="O735" s="85"/>
      <c r="Q735" s="94"/>
      <c r="R735" s="93"/>
      <c r="S735" s="85"/>
      <c r="U735" s="94"/>
      <c r="V735" s="93"/>
      <c r="W735" s="85"/>
      <c r="Y735" s="94"/>
      <c r="Z735" s="93"/>
      <c r="AA735" s="85"/>
      <c r="AC735" s="94"/>
      <c r="AD735" s="93"/>
      <c r="AE735" s="85"/>
    </row>
    <row r="736" spans="7:31" x14ac:dyDescent="0.35">
      <c r="G736" s="85"/>
      <c r="H736" s="87"/>
      <c r="J736" s="93"/>
      <c r="K736" s="85"/>
      <c r="M736" s="94"/>
      <c r="N736" s="93"/>
      <c r="O736" s="85"/>
      <c r="Q736" s="94"/>
      <c r="R736" s="93"/>
      <c r="S736" s="85"/>
      <c r="U736" s="94"/>
      <c r="V736" s="93"/>
      <c r="W736" s="85"/>
      <c r="Y736" s="94"/>
      <c r="Z736" s="93"/>
      <c r="AA736" s="85"/>
      <c r="AC736" s="94"/>
      <c r="AD736" s="93"/>
      <c r="AE736" s="85"/>
    </row>
    <row r="737" spans="7:31" x14ac:dyDescent="0.35">
      <c r="G737" s="85"/>
      <c r="H737" s="87"/>
      <c r="J737" s="93"/>
      <c r="K737" s="85"/>
      <c r="M737" s="94"/>
      <c r="N737" s="93"/>
      <c r="O737" s="85"/>
      <c r="Q737" s="94"/>
      <c r="R737" s="93"/>
      <c r="S737" s="85"/>
      <c r="U737" s="94"/>
      <c r="V737" s="93"/>
      <c r="W737" s="85"/>
      <c r="Y737" s="94"/>
      <c r="Z737" s="93"/>
      <c r="AA737" s="85"/>
      <c r="AC737" s="94"/>
      <c r="AD737" s="93"/>
      <c r="AE737" s="85"/>
    </row>
    <row r="738" spans="7:31" x14ac:dyDescent="0.35">
      <c r="G738" s="85"/>
      <c r="H738" s="87"/>
      <c r="J738" s="93"/>
      <c r="K738" s="85"/>
      <c r="M738" s="94"/>
      <c r="N738" s="93"/>
      <c r="O738" s="85"/>
      <c r="Q738" s="94"/>
      <c r="R738" s="93"/>
      <c r="S738" s="85"/>
      <c r="U738" s="94"/>
      <c r="V738" s="93"/>
      <c r="W738" s="85"/>
      <c r="Y738" s="94"/>
      <c r="Z738" s="93"/>
      <c r="AA738" s="85"/>
      <c r="AC738" s="94"/>
      <c r="AD738" s="93"/>
      <c r="AE738" s="85"/>
    </row>
    <row r="739" spans="7:31" x14ac:dyDescent="0.35">
      <c r="G739" s="85"/>
      <c r="H739" s="87"/>
      <c r="J739" s="93"/>
      <c r="K739" s="85"/>
      <c r="M739" s="94"/>
      <c r="N739" s="93"/>
      <c r="O739" s="85"/>
      <c r="Q739" s="94"/>
      <c r="R739" s="93"/>
      <c r="S739" s="85"/>
      <c r="U739" s="94"/>
      <c r="V739" s="93"/>
      <c r="W739" s="85"/>
      <c r="Y739" s="94"/>
      <c r="Z739" s="93"/>
      <c r="AA739" s="85"/>
      <c r="AC739" s="94"/>
      <c r="AD739" s="93"/>
      <c r="AE739" s="85"/>
    </row>
    <row r="740" spans="7:31" x14ac:dyDescent="0.35">
      <c r="G740" s="85"/>
      <c r="H740" s="87"/>
      <c r="J740" s="93"/>
      <c r="K740" s="85"/>
      <c r="M740" s="94"/>
      <c r="N740" s="93"/>
      <c r="O740" s="85"/>
      <c r="Q740" s="94"/>
      <c r="R740" s="93"/>
      <c r="S740" s="85"/>
      <c r="U740" s="94"/>
      <c r="V740" s="93"/>
      <c r="W740" s="85"/>
      <c r="Y740" s="94"/>
      <c r="Z740" s="93"/>
      <c r="AA740" s="85"/>
      <c r="AC740" s="94"/>
      <c r="AD740" s="93"/>
      <c r="AE740" s="85"/>
    </row>
    <row r="741" spans="7:31" x14ac:dyDescent="0.35">
      <c r="G741" s="85"/>
      <c r="H741" s="87"/>
      <c r="J741" s="93"/>
      <c r="K741" s="85"/>
      <c r="M741" s="94"/>
      <c r="N741" s="93"/>
      <c r="O741" s="85"/>
      <c r="Q741" s="94"/>
      <c r="R741" s="93"/>
      <c r="S741" s="85"/>
      <c r="U741" s="94"/>
      <c r="V741" s="93"/>
      <c r="W741" s="85"/>
      <c r="Y741" s="94"/>
      <c r="Z741" s="93"/>
      <c r="AA741" s="85"/>
      <c r="AC741" s="94"/>
      <c r="AD741" s="93"/>
      <c r="AE741" s="85"/>
    </row>
    <row r="742" spans="7:31" x14ac:dyDescent="0.35">
      <c r="G742" s="85"/>
      <c r="H742" s="87"/>
      <c r="J742" s="93"/>
      <c r="K742" s="85"/>
      <c r="M742" s="94"/>
      <c r="N742" s="93"/>
      <c r="O742" s="85"/>
      <c r="Q742" s="94"/>
      <c r="R742" s="93"/>
      <c r="S742" s="85"/>
      <c r="U742" s="94"/>
      <c r="V742" s="93"/>
      <c r="W742" s="85"/>
      <c r="Y742" s="94"/>
      <c r="Z742" s="93"/>
      <c r="AA742" s="85"/>
      <c r="AC742" s="94"/>
      <c r="AD742" s="93"/>
      <c r="AE742" s="85"/>
    </row>
    <row r="743" spans="7:31" x14ac:dyDescent="0.35">
      <c r="G743" s="85"/>
      <c r="H743" s="87"/>
      <c r="J743" s="93"/>
      <c r="K743" s="85"/>
      <c r="M743" s="94"/>
      <c r="N743" s="93"/>
      <c r="O743" s="85"/>
      <c r="Q743" s="94"/>
      <c r="R743" s="93"/>
      <c r="S743" s="85"/>
      <c r="U743" s="94"/>
      <c r="V743" s="93"/>
      <c r="W743" s="85"/>
      <c r="Y743" s="94"/>
      <c r="Z743" s="93"/>
      <c r="AA743" s="85"/>
      <c r="AC743" s="94"/>
      <c r="AD743" s="93"/>
      <c r="AE743" s="85"/>
    </row>
    <row r="744" spans="7:31" x14ac:dyDescent="0.35">
      <c r="G744" s="85"/>
      <c r="H744" s="87"/>
      <c r="J744" s="93"/>
      <c r="K744" s="85"/>
      <c r="M744" s="94"/>
      <c r="N744" s="93"/>
      <c r="O744" s="85"/>
      <c r="Q744" s="94"/>
      <c r="R744" s="93"/>
      <c r="S744" s="85"/>
      <c r="U744" s="94"/>
      <c r="V744" s="93"/>
      <c r="W744" s="85"/>
      <c r="Y744" s="94"/>
      <c r="Z744" s="93"/>
      <c r="AA744" s="85"/>
      <c r="AC744" s="94"/>
      <c r="AD744" s="93"/>
      <c r="AE744" s="85"/>
    </row>
    <row r="745" spans="7:31" x14ac:dyDescent="0.35">
      <c r="G745" s="85"/>
      <c r="H745" s="87"/>
      <c r="J745" s="93"/>
      <c r="K745" s="85"/>
      <c r="M745" s="94"/>
      <c r="N745" s="93"/>
      <c r="O745" s="85"/>
      <c r="Q745" s="94"/>
      <c r="R745" s="93"/>
      <c r="S745" s="85"/>
      <c r="U745" s="94"/>
      <c r="V745" s="93"/>
      <c r="W745" s="85"/>
      <c r="Y745" s="94"/>
      <c r="Z745" s="93"/>
      <c r="AA745" s="85"/>
      <c r="AC745" s="94"/>
      <c r="AD745" s="93"/>
      <c r="AE745" s="85"/>
    </row>
    <row r="746" spans="7:31" x14ac:dyDescent="0.35">
      <c r="G746" s="85"/>
      <c r="H746" s="87"/>
      <c r="J746" s="93"/>
      <c r="K746" s="85"/>
      <c r="M746" s="94"/>
      <c r="N746" s="93"/>
      <c r="O746" s="85"/>
      <c r="Q746" s="94"/>
      <c r="R746" s="93"/>
      <c r="S746" s="85"/>
      <c r="U746" s="94"/>
      <c r="V746" s="93"/>
      <c r="W746" s="85"/>
      <c r="Y746" s="94"/>
      <c r="Z746" s="93"/>
      <c r="AA746" s="85"/>
      <c r="AC746" s="94"/>
      <c r="AD746" s="93"/>
      <c r="AE746" s="85"/>
    </row>
    <row r="747" spans="7:31" x14ac:dyDescent="0.35">
      <c r="G747" s="85"/>
      <c r="H747" s="87"/>
      <c r="J747" s="93"/>
      <c r="K747" s="85"/>
      <c r="M747" s="94"/>
      <c r="N747" s="93"/>
      <c r="O747" s="85"/>
      <c r="Q747" s="94"/>
      <c r="R747" s="93"/>
      <c r="S747" s="85"/>
      <c r="U747" s="94"/>
      <c r="V747" s="93"/>
      <c r="W747" s="85"/>
      <c r="Y747" s="94"/>
      <c r="Z747" s="93"/>
      <c r="AA747" s="85"/>
      <c r="AC747" s="94"/>
      <c r="AD747" s="93"/>
      <c r="AE747" s="85"/>
    </row>
    <row r="748" spans="7:31" x14ac:dyDescent="0.35">
      <c r="G748" s="85"/>
      <c r="H748" s="87"/>
      <c r="J748" s="93"/>
      <c r="K748" s="85"/>
      <c r="M748" s="94"/>
      <c r="N748" s="93"/>
      <c r="O748" s="85"/>
      <c r="Q748" s="94"/>
      <c r="R748" s="93"/>
      <c r="S748" s="85"/>
      <c r="U748" s="94"/>
      <c r="V748" s="93"/>
      <c r="W748" s="85"/>
      <c r="Y748" s="94"/>
      <c r="Z748" s="93"/>
      <c r="AA748" s="85"/>
      <c r="AC748" s="94"/>
      <c r="AD748" s="93"/>
      <c r="AE748" s="85"/>
    </row>
    <row r="749" spans="7:31" x14ac:dyDescent="0.35">
      <c r="G749" s="85"/>
      <c r="H749" s="87"/>
      <c r="J749" s="93"/>
      <c r="K749" s="85"/>
      <c r="M749" s="94"/>
      <c r="N749" s="93"/>
      <c r="O749" s="85"/>
      <c r="Q749" s="94"/>
      <c r="R749" s="93"/>
      <c r="S749" s="85"/>
      <c r="U749" s="94"/>
      <c r="V749" s="93"/>
      <c r="W749" s="85"/>
      <c r="Y749" s="94"/>
      <c r="Z749" s="93"/>
      <c r="AA749" s="85"/>
      <c r="AC749" s="94"/>
      <c r="AD749" s="93"/>
      <c r="AE749" s="85"/>
    </row>
    <row r="750" spans="7:31" x14ac:dyDescent="0.35">
      <c r="G750" s="85"/>
      <c r="H750" s="87"/>
      <c r="J750" s="93"/>
      <c r="K750" s="85"/>
      <c r="M750" s="94"/>
      <c r="N750" s="93"/>
      <c r="O750" s="85"/>
      <c r="Q750" s="94"/>
      <c r="R750" s="93"/>
      <c r="S750" s="85"/>
      <c r="U750" s="94"/>
      <c r="V750" s="93"/>
      <c r="W750" s="85"/>
      <c r="Y750" s="94"/>
      <c r="Z750" s="93"/>
      <c r="AA750" s="85"/>
      <c r="AC750" s="94"/>
      <c r="AD750" s="93"/>
      <c r="AE750" s="85"/>
    </row>
    <row r="751" spans="7:31" x14ac:dyDescent="0.35">
      <c r="G751" s="85"/>
      <c r="H751" s="87"/>
      <c r="J751" s="93"/>
      <c r="K751" s="85"/>
      <c r="M751" s="94"/>
      <c r="N751" s="93"/>
      <c r="O751" s="85"/>
      <c r="Q751" s="94"/>
      <c r="R751" s="93"/>
      <c r="S751" s="85"/>
      <c r="U751" s="94"/>
      <c r="V751" s="93"/>
      <c r="W751" s="85"/>
      <c r="Y751" s="94"/>
      <c r="Z751" s="93"/>
      <c r="AA751" s="85"/>
      <c r="AC751" s="94"/>
      <c r="AD751" s="93"/>
      <c r="AE751" s="85"/>
    </row>
    <row r="752" spans="7:31" x14ac:dyDescent="0.35">
      <c r="G752" s="85"/>
      <c r="H752" s="87"/>
      <c r="J752" s="93"/>
      <c r="K752" s="85"/>
      <c r="M752" s="94"/>
      <c r="N752" s="93"/>
      <c r="O752" s="85"/>
      <c r="Q752" s="94"/>
      <c r="R752" s="93"/>
      <c r="S752" s="85"/>
      <c r="U752" s="94"/>
      <c r="V752" s="93"/>
      <c r="W752" s="85"/>
      <c r="Y752" s="94"/>
      <c r="Z752" s="93"/>
      <c r="AA752" s="85"/>
      <c r="AC752" s="94"/>
      <c r="AD752" s="93"/>
      <c r="AE752" s="85"/>
    </row>
    <row r="753" spans="7:31" x14ac:dyDescent="0.35">
      <c r="G753" s="85"/>
      <c r="H753" s="87"/>
      <c r="J753" s="93"/>
      <c r="K753" s="85"/>
      <c r="M753" s="94"/>
      <c r="N753" s="93"/>
      <c r="O753" s="85"/>
      <c r="Q753" s="94"/>
      <c r="R753" s="93"/>
      <c r="S753" s="85"/>
      <c r="U753" s="94"/>
      <c r="V753" s="93"/>
      <c r="W753" s="85"/>
      <c r="Y753" s="94"/>
      <c r="Z753" s="93"/>
      <c r="AA753" s="85"/>
      <c r="AC753" s="94"/>
      <c r="AD753" s="93"/>
      <c r="AE753" s="85"/>
    </row>
    <row r="754" spans="7:31" x14ac:dyDescent="0.35">
      <c r="G754" s="85"/>
      <c r="H754" s="87"/>
      <c r="J754" s="93"/>
      <c r="K754" s="85"/>
      <c r="M754" s="94"/>
      <c r="N754" s="93"/>
      <c r="O754" s="85"/>
      <c r="Q754" s="94"/>
      <c r="R754" s="93"/>
      <c r="S754" s="85"/>
      <c r="U754" s="94"/>
      <c r="V754" s="93"/>
      <c r="W754" s="85"/>
      <c r="Y754" s="94"/>
      <c r="Z754" s="93"/>
      <c r="AA754" s="85"/>
      <c r="AC754" s="94"/>
      <c r="AD754" s="93"/>
      <c r="AE754" s="85"/>
    </row>
    <row r="755" spans="7:31" x14ac:dyDescent="0.35">
      <c r="G755" s="85"/>
      <c r="H755" s="87"/>
      <c r="J755" s="93"/>
      <c r="K755" s="85"/>
      <c r="M755" s="94"/>
      <c r="N755" s="93"/>
      <c r="O755" s="85"/>
      <c r="Q755" s="94"/>
      <c r="R755" s="93"/>
      <c r="S755" s="85"/>
      <c r="U755" s="94"/>
      <c r="V755" s="93"/>
      <c r="W755" s="85"/>
      <c r="Y755" s="94"/>
      <c r="Z755" s="93"/>
      <c r="AA755" s="85"/>
      <c r="AC755" s="94"/>
      <c r="AD755" s="93"/>
      <c r="AE755" s="85"/>
    </row>
    <row r="756" spans="7:31" x14ac:dyDescent="0.35">
      <c r="G756" s="85"/>
      <c r="H756" s="87"/>
      <c r="J756" s="93"/>
      <c r="K756" s="85"/>
      <c r="M756" s="94"/>
      <c r="N756" s="93"/>
      <c r="O756" s="85"/>
      <c r="Q756" s="94"/>
      <c r="R756" s="93"/>
      <c r="S756" s="85"/>
      <c r="U756" s="94"/>
      <c r="V756" s="93"/>
      <c r="W756" s="85"/>
      <c r="Y756" s="94"/>
      <c r="Z756" s="93"/>
      <c r="AA756" s="85"/>
      <c r="AC756" s="94"/>
      <c r="AD756" s="93"/>
      <c r="AE756" s="85"/>
    </row>
    <row r="757" spans="7:31" x14ac:dyDescent="0.35">
      <c r="G757" s="85"/>
      <c r="H757" s="87"/>
      <c r="J757" s="93"/>
      <c r="K757" s="85"/>
      <c r="M757" s="94"/>
      <c r="N757" s="93"/>
      <c r="O757" s="85"/>
      <c r="Q757" s="94"/>
      <c r="R757" s="93"/>
      <c r="S757" s="85"/>
      <c r="U757" s="94"/>
      <c r="V757" s="93"/>
      <c r="W757" s="85"/>
      <c r="Y757" s="94"/>
      <c r="Z757" s="93"/>
      <c r="AA757" s="85"/>
      <c r="AC757" s="94"/>
      <c r="AD757" s="93"/>
      <c r="AE757" s="85"/>
    </row>
    <row r="758" spans="7:31" x14ac:dyDescent="0.35">
      <c r="G758" s="85"/>
      <c r="H758" s="87"/>
      <c r="J758" s="93"/>
      <c r="K758" s="85"/>
      <c r="M758" s="94"/>
      <c r="N758" s="93"/>
      <c r="O758" s="85"/>
      <c r="Q758" s="94"/>
      <c r="R758" s="93"/>
      <c r="S758" s="85"/>
      <c r="U758" s="94"/>
      <c r="V758" s="93"/>
      <c r="W758" s="85"/>
      <c r="Y758" s="94"/>
      <c r="Z758" s="93"/>
      <c r="AA758" s="85"/>
      <c r="AC758" s="94"/>
      <c r="AD758" s="93"/>
      <c r="AE758" s="85"/>
    </row>
    <row r="759" spans="7:31" x14ac:dyDescent="0.35">
      <c r="G759" s="85"/>
      <c r="H759" s="87"/>
      <c r="J759" s="93"/>
      <c r="K759" s="85"/>
      <c r="M759" s="94"/>
      <c r="N759" s="93"/>
      <c r="O759" s="85"/>
      <c r="Q759" s="94"/>
      <c r="R759" s="93"/>
      <c r="S759" s="85"/>
      <c r="U759" s="94"/>
      <c r="V759" s="93"/>
      <c r="W759" s="85"/>
      <c r="Y759" s="94"/>
      <c r="Z759" s="93"/>
      <c r="AA759" s="85"/>
      <c r="AC759" s="94"/>
      <c r="AD759" s="93"/>
      <c r="AE759" s="85"/>
    </row>
    <row r="760" spans="7:31" x14ac:dyDescent="0.35">
      <c r="G760" s="85"/>
      <c r="H760" s="87"/>
      <c r="J760" s="93"/>
      <c r="K760" s="85"/>
      <c r="M760" s="94"/>
      <c r="N760" s="93"/>
      <c r="O760" s="85"/>
      <c r="Q760" s="94"/>
      <c r="R760" s="93"/>
      <c r="S760" s="85"/>
      <c r="U760" s="94"/>
      <c r="V760" s="93"/>
      <c r="W760" s="85"/>
      <c r="Y760" s="94"/>
      <c r="Z760" s="93"/>
      <c r="AA760" s="85"/>
      <c r="AC760" s="94"/>
      <c r="AD760" s="93"/>
      <c r="AE760" s="85"/>
    </row>
    <row r="761" spans="7:31" x14ac:dyDescent="0.35">
      <c r="G761" s="85"/>
      <c r="H761" s="87"/>
      <c r="J761" s="93"/>
      <c r="K761" s="85"/>
      <c r="M761" s="94"/>
      <c r="N761" s="93"/>
      <c r="O761" s="85"/>
      <c r="Q761" s="94"/>
      <c r="R761" s="93"/>
      <c r="S761" s="85"/>
      <c r="U761" s="94"/>
      <c r="V761" s="93"/>
      <c r="W761" s="85"/>
      <c r="Y761" s="94"/>
      <c r="Z761" s="93"/>
      <c r="AA761" s="85"/>
      <c r="AC761" s="94"/>
      <c r="AD761" s="93"/>
      <c r="AE761" s="85"/>
    </row>
    <row r="762" spans="7:31" x14ac:dyDescent="0.35">
      <c r="G762" s="85"/>
      <c r="H762" s="87"/>
      <c r="J762" s="93"/>
      <c r="K762" s="85"/>
      <c r="M762" s="94"/>
      <c r="N762" s="93"/>
      <c r="O762" s="85"/>
      <c r="Q762" s="94"/>
      <c r="R762" s="93"/>
      <c r="S762" s="85"/>
      <c r="U762" s="94"/>
      <c r="V762" s="93"/>
      <c r="W762" s="85"/>
      <c r="Y762" s="94"/>
      <c r="Z762" s="93"/>
      <c r="AA762" s="85"/>
      <c r="AC762" s="94"/>
      <c r="AD762" s="93"/>
      <c r="AE762" s="85"/>
    </row>
    <row r="763" spans="7:31" x14ac:dyDescent="0.35">
      <c r="G763" s="85"/>
      <c r="H763" s="87"/>
      <c r="J763" s="93"/>
      <c r="K763" s="85"/>
      <c r="M763" s="94"/>
      <c r="N763" s="93"/>
      <c r="O763" s="85"/>
      <c r="Q763" s="94"/>
      <c r="R763" s="93"/>
      <c r="S763" s="85"/>
      <c r="U763" s="94"/>
      <c r="V763" s="93"/>
      <c r="W763" s="85"/>
      <c r="Y763" s="94"/>
      <c r="Z763" s="93"/>
      <c r="AA763" s="85"/>
      <c r="AC763" s="94"/>
      <c r="AD763" s="93"/>
      <c r="AE763" s="85"/>
    </row>
    <row r="764" spans="7:31" x14ac:dyDescent="0.35">
      <c r="G764" s="85"/>
      <c r="H764" s="87"/>
      <c r="J764" s="93"/>
      <c r="K764" s="85"/>
      <c r="M764" s="94"/>
      <c r="N764" s="93"/>
      <c r="O764" s="85"/>
      <c r="Q764" s="94"/>
      <c r="R764" s="93"/>
      <c r="S764" s="85"/>
      <c r="U764" s="94"/>
      <c r="V764" s="93"/>
      <c r="W764" s="85"/>
      <c r="Y764" s="94"/>
      <c r="Z764" s="93"/>
      <c r="AA764" s="85"/>
      <c r="AC764" s="94"/>
      <c r="AD764" s="93"/>
      <c r="AE764" s="85"/>
    </row>
    <row r="765" spans="7:31" x14ac:dyDescent="0.35">
      <c r="G765" s="85"/>
      <c r="H765" s="87"/>
      <c r="J765" s="93"/>
      <c r="K765" s="85"/>
      <c r="M765" s="94"/>
      <c r="N765" s="93"/>
      <c r="O765" s="85"/>
      <c r="Q765" s="94"/>
      <c r="R765" s="93"/>
      <c r="S765" s="85"/>
      <c r="U765" s="94"/>
      <c r="V765" s="93"/>
      <c r="W765" s="85"/>
      <c r="Y765" s="94"/>
      <c r="Z765" s="93"/>
      <c r="AA765" s="85"/>
      <c r="AC765" s="94"/>
      <c r="AD765" s="93"/>
      <c r="AE765" s="85"/>
    </row>
    <row r="766" spans="7:31" x14ac:dyDescent="0.35">
      <c r="G766" s="85"/>
      <c r="H766" s="87"/>
      <c r="J766" s="93"/>
      <c r="K766" s="85"/>
      <c r="M766" s="94"/>
      <c r="N766" s="93"/>
      <c r="O766" s="85"/>
      <c r="Q766" s="94"/>
      <c r="R766" s="93"/>
      <c r="S766" s="85"/>
      <c r="U766" s="94"/>
      <c r="V766" s="93"/>
      <c r="W766" s="85"/>
      <c r="Y766" s="94"/>
      <c r="Z766" s="93"/>
      <c r="AA766" s="85"/>
      <c r="AC766" s="94"/>
      <c r="AD766" s="93"/>
      <c r="AE766" s="85"/>
    </row>
    <row r="767" spans="7:31" x14ac:dyDescent="0.35">
      <c r="G767" s="85"/>
      <c r="H767" s="87"/>
      <c r="J767" s="93"/>
      <c r="K767" s="85"/>
      <c r="M767" s="94"/>
      <c r="N767" s="93"/>
      <c r="O767" s="85"/>
      <c r="Q767" s="94"/>
      <c r="R767" s="93"/>
      <c r="S767" s="85"/>
      <c r="U767" s="94"/>
      <c r="V767" s="93"/>
      <c r="W767" s="85"/>
      <c r="Y767" s="94"/>
      <c r="Z767" s="93"/>
      <c r="AA767" s="85"/>
      <c r="AC767" s="94"/>
      <c r="AD767" s="93"/>
      <c r="AE767" s="85"/>
    </row>
    <row r="768" spans="7:31" x14ac:dyDescent="0.35">
      <c r="G768" s="85"/>
      <c r="H768" s="87"/>
      <c r="J768" s="93"/>
      <c r="K768" s="85"/>
      <c r="M768" s="94"/>
      <c r="N768" s="93"/>
      <c r="O768" s="85"/>
      <c r="Q768" s="94"/>
      <c r="R768" s="93"/>
      <c r="S768" s="85"/>
      <c r="U768" s="94"/>
      <c r="V768" s="93"/>
      <c r="W768" s="85"/>
      <c r="Y768" s="94"/>
      <c r="Z768" s="93"/>
      <c r="AA768" s="85"/>
      <c r="AC768" s="94"/>
      <c r="AD768" s="93"/>
      <c r="AE768" s="85"/>
    </row>
    <row r="769" spans="7:31" x14ac:dyDescent="0.35">
      <c r="G769" s="85"/>
      <c r="H769" s="87"/>
      <c r="J769" s="93"/>
      <c r="K769" s="85"/>
      <c r="M769" s="94"/>
      <c r="N769" s="93"/>
      <c r="O769" s="85"/>
      <c r="Q769" s="94"/>
      <c r="R769" s="93"/>
      <c r="S769" s="85"/>
      <c r="U769" s="94"/>
      <c r="V769" s="93"/>
      <c r="W769" s="85"/>
      <c r="Y769" s="94"/>
      <c r="Z769" s="93"/>
      <c r="AA769" s="85"/>
      <c r="AC769" s="94"/>
      <c r="AD769" s="93"/>
      <c r="AE769" s="85"/>
    </row>
    <row r="770" spans="7:31" x14ac:dyDescent="0.35">
      <c r="G770" s="85"/>
      <c r="H770" s="87"/>
      <c r="J770" s="93"/>
      <c r="K770" s="85"/>
      <c r="M770" s="94"/>
      <c r="N770" s="93"/>
      <c r="O770" s="85"/>
      <c r="Q770" s="94"/>
      <c r="R770" s="93"/>
      <c r="S770" s="85"/>
      <c r="U770" s="94"/>
      <c r="V770" s="93"/>
      <c r="W770" s="85"/>
      <c r="Y770" s="94"/>
      <c r="Z770" s="93"/>
      <c r="AA770" s="85"/>
      <c r="AC770" s="94"/>
      <c r="AD770" s="93"/>
      <c r="AE770" s="85"/>
    </row>
    <row r="771" spans="7:31" x14ac:dyDescent="0.35">
      <c r="G771" s="85"/>
      <c r="H771" s="87"/>
      <c r="J771" s="93"/>
      <c r="K771" s="85"/>
      <c r="M771" s="94"/>
      <c r="N771" s="93"/>
      <c r="O771" s="85"/>
      <c r="Q771" s="94"/>
      <c r="R771" s="93"/>
      <c r="S771" s="85"/>
      <c r="U771" s="94"/>
      <c r="V771" s="93"/>
      <c r="W771" s="85"/>
      <c r="Y771" s="94"/>
      <c r="Z771" s="93"/>
      <c r="AA771" s="85"/>
      <c r="AC771" s="94"/>
      <c r="AD771" s="93"/>
      <c r="AE771" s="85"/>
    </row>
    <row r="772" spans="7:31" x14ac:dyDescent="0.35">
      <c r="G772" s="85"/>
      <c r="H772" s="87"/>
      <c r="J772" s="93"/>
      <c r="K772" s="85"/>
      <c r="M772" s="94"/>
      <c r="N772" s="93"/>
      <c r="O772" s="85"/>
      <c r="Q772" s="94"/>
      <c r="R772" s="93"/>
      <c r="S772" s="85"/>
      <c r="U772" s="94"/>
      <c r="V772" s="93"/>
      <c r="W772" s="85"/>
      <c r="Y772" s="94"/>
      <c r="Z772" s="93"/>
      <c r="AA772" s="85"/>
      <c r="AC772" s="94"/>
      <c r="AD772" s="93"/>
      <c r="AE772" s="85"/>
    </row>
    <row r="773" spans="7:31" x14ac:dyDescent="0.35">
      <c r="G773" s="85"/>
      <c r="H773" s="87"/>
      <c r="J773" s="93"/>
      <c r="K773" s="85"/>
      <c r="M773" s="94"/>
      <c r="N773" s="93"/>
      <c r="O773" s="85"/>
      <c r="Q773" s="94"/>
      <c r="R773" s="93"/>
      <c r="S773" s="85"/>
      <c r="U773" s="94"/>
      <c r="V773" s="93"/>
      <c r="W773" s="85"/>
      <c r="Y773" s="94"/>
      <c r="Z773" s="93"/>
      <c r="AA773" s="85"/>
      <c r="AC773" s="94"/>
      <c r="AD773" s="93"/>
      <c r="AE773" s="85"/>
    </row>
    <row r="774" spans="7:31" x14ac:dyDescent="0.35">
      <c r="G774" s="85"/>
      <c r="H774" s="87"/>
      <c r="J774" s="93"/>
      <c r="K774" s="85"/>
      <c r="M774" s="94"/>
      <c r="N774" s="93"/>
      <c r="O774" s="85"/>
      <c r="Q774" s="94"/>
      <c r="R774" s="93"/>
      <c r="S774" s="85"/>
      <c r="U774" s="94"/>
      <c r="V774" s="93"/>
      <c r="W774" s="85"/>
      <c r="Y774" s="94"/>
      <c r="Z774" s="93"/>
      <c r="AA774" s="85"/>
      <c r="AC774" s="94"/>
      <c r="AD774" s="93"/>
      <c r="AE774" s="85"/>
    </row>
    <row r="775" spans="7:31" x14ac:dyDescent="0.35">
      <c r="G775" s="85"/>
      <c r="H775" s="87"/>
      <c r="J775" s="93"/>
      <c r="K775" s="85"/>
      <c r="M775" s="94"/>
      <c r="N775" s="93"/>
      <c r="O775" s="85"/>
      <c r="Q775" s="94"/>
      <c r="R775" s="93"/>
      <c r="S775" s="85"/>
      <c r="U775" s="94"/>
      <c r="V775" s="93"/>
      <c r="W775" s="85"/>
      <c r="Y775" s="94"/>
      <c r="Z775" s="93"/>
      <c r="AA775" s="85"/>
      <c r="AC775" s="94"/>
      <c r="AD775" s="93"/>
      <c r="AE775" s="85"/>
    </row>
    <row r="776" spans="7:31" x14ac:dyDescent="0.35">
      <c r="G776" s="85"/>
      <c r="H776" s="87"/>
      <c r="J776" s="93"/>
      <c r="K776" s="85"/>
      <c r="M776" s="94"/>
      <c r="N776" s="93"/>
      <c r="O776" s="85"/>
      <c r="Q776" s="94"/>
      <c r="R776" s="93"/>
      <c r="S776" s="85"/>
      <c r="U776" s="94"/>
      <c r="V776" s="93"/>
      <c r="W776" s="85"/>
      <c r="Y776" s="94"/>
      <c r="Z776" s="93"/>
      <c r="AA776" s="85"/>
      <c r="AC776" s="94"/>
      <c r="AD776" s="93"/>
      <c r="AE776" s="85"/>
    </row>
    <row r="777" spans="7:31" x14ac:dyDescent="0.35">
      <c r="G777" s="85"/>
      <c r="H777" s="87"/>
      <c r="J777" s="93"/>
      <c r="K777" s="85"/>
      <c r="M777" s="94"/>
      <c r="N777" s="93"/>
      <c r="O777" s="85"/>
      <c r="Q777" s="94"/>
      <c r="R777" s="93"/>
      <c r="S777" s="85"/>
      <c r="U777" s="94"/>
      <c r="V777" s="93"/>
      <c r="W777" s="85"/>
      <c r="Y777" s="94"/>
      <c r="Z777" s="93"/>
      <c r="AA777" s="85"/>
      <c r="AC777" s="94"/>
      <c r="AD777" s="93"/>
      <c r="AE777" s="85"/>
    </row>
    <row r="778" spans="7:31" x14ac:dyDescent="0.35">
      <c r="G778" s="85"/>
      <c r="H778" s="87"/>
      <c r="J778" s="93"/>
      <c r="K778" s="85"/>
      <c r="M778" s="94"/>
      <c r="N778" s="93"/>
      <c r="O778" s="85"/>
      <c r="Q778" s="94"/>
      <c r="R778" s="93"/>
      <c r="S778" s="85"/>
      <c r="U778" s="94"/>
      <c r="V778" s="93"/>
      <c r="W778" s="85"/>
      <c r="Y778" s="94"/>
      <c r="Z778" s="93"/>
      <c r="AA778" s="85"/>
      <c r="AC778" s="94"/>
      <c r="AD778" s="93"/>
      <c r="AE778" s="85"/>
    </row>
    <row r="779" spans="7:31" x14ac:dyDescent="0.35">
      <c r="G779" s="85"/>
      <c r="H779" s="87"/>
      <c r="J779" s="93"/>
      <c r="K779" s="85"/>
      <c r="M779" s="94"/>
      <c r="N779" s="93"/>
      <c r="O779" s="85"/>
      <c r="Q779" s="94"/>
      <c r="R779" s="93"/>
      <c r="S779" s="85"/>
      <c r="U779" s="94"/>
      <c r="V779" s="93"/>
      <c r="W779" s="85"/>
      <c r="Y779" s="94"/>
      <c r="Z779" s="93"/>
      <c r="AA779" s="85"/>
      <c r="AC779" s="94"/>
      <c r="AD779" s="93"/>
      <c r="AE779" s="85"/>
    </row>
    <row r="780" spans="7:31" x14ac:dyDescent="0.35">
      <c r="G780" s="85"/>
      <c r="H780" s="87"/>
      <c r="J780" s="93"/>
      <c r="K780" s="85"/>
      <c r="M780" s="94"/>
      <c r="N780" s="93"/>
      <c r="O780" s="85"/>
      <c r="Q780" s="94"/>
      <c r="R780" s="93"/>
      <c r="S780" s="85"/>
      <c r="U780" s="94"/>
      <c r="V780" s="93"/>
      <c r="W780" s="85"/>
      <c r="Y780" s="94"/>
      <c r="Z780" s="93"/>
      <c r="AA780" s="85"/>
      <c r="AC780" s="94"/>
      <c r="AD780" s="93"/>
      <c r="AE780" s="85"/>
    </row>
    <row r="781" spans="7:31" x14ac:dyDescent="0.35">
      <c r="G781" s="85"/>
      <c r="H781" s="87"/>
      <c r="J781" s="93"/>
      <c r="K781" s="85"/>
      <c r="M781" s="94"/>
      <c r="N781" s="93"/>
      <c r="O781" s="85"/>
      <c r="Q781" s="94"/>
      <c r="R781" s="93"/>
      <c r="S781" s="85"/>
      <c r="U781" s="94"/>
      <c r="V781" s="93"/>
      <c r="W781" s="85"/>
      <c r="Y781" s="94"/>
      <c r="Z781" s="93"/>
      <c r="AA781" s="85"/>
      <c r="AC781" s="94"/>
      <c r="AD781" s="93"/>
      <c r="AE781" s="85"/>
    </row>
    <row r="782" spans="7:31" x14ac:dyDescent="0.35">
      <c r="G782" s="85"/>
      <c r="H782" s="87"/>
      <c r="J782" s="93"/>
      <c r="K782" s="85"/>
      <c r="M782" s="94"/>
      <c r="N782" s="93"/>
      <c r="O782" s="85"/>
      <c r="Q782" s="94"/>
      <c r="R782" s="93"/>
      <c r="S782" s="85"/>
      <c r="U782" s="94"/>
      <c r="V782" s="93"/>
      <c r="W782" s="85"/>
      <c r="Y782" s="94"/>
      <c r="Z782" s="93"/>
      <c r="AA782" s="85"/>
      <c r="AC782" s="94"/>
      <c r="AD782" s="93"/>
      <c r="AE782" s="85"/>
    </row>
    <row r="783" spans="7:31" x14ac:dyDescent="0.35">
      <c r="G783" s="85"/>
      <c r="H783" s="87"/>
      <c r="J783" s="93"/>
      <c r="K783" s="85"/>
      <c r="M783" s="94"/>
      <c r="N783" s="93"/>
      <c r="O783" s="85"/>
      <c r="Q783" s="94"/>
      <c r="R783" s="93"/>
      <c r="S783" s="85"/>
      <c r="U783" s="94"/>
      <c r="V783" s="93"/>
      <c r="W783" s="85"/>
      <c r="Y783" s="94"/>
      <c r="Z783" s="93"/>
      <c r="AA783" s="85"/>
      <c r="AC783" s="94"/>
      <c r="AD783" s="93"/>
      <c r="AE783" s="85"/>
    </row>
    <row r="784" spans="7:31" x14ac:dyDescent="0.35">
      <c r="G784" s="85"/>
      <c r="H784" s="87"/>
      <c r="J784" s="93"/>
      <c r="K784" s="85"/>
      <c r="M784" s="94"/>
      <c r="N784" s="93"/>
      <c r="O784" s="85"/>
      <c r="Q784" s="94"/>
      <c r="R784" s="93"/>
      <c r="S784" s="85"/>
      <c r="U784" s="94"/>
      <c r="V784" s="93"/>
      <c r="W784" s="85"/>
      <c r="Y784" s="94"/>
      <c r="Z784" s="93"/>
      <c r="AA784" s="85"/>
      <c r="AC784" s="94"/>
      <c r="AD784" s="93"/>
      <c r="AE784" s="85"/>
    </row>
    <row r="785" spans="7:31" x14ac:dyDescent="0.35">
      <c r="G785" s="85"/>
      <c r="H785" s="87"/>
      <c r="J785" s="93"/>
      <c r="K785" s="85"/>
      <c r="M785" s="94"/>
      <c r="N785" s="93"/>
      <c r="O785" s="85"/>
      <c r="Q785" s="94"/>
      <c r="R785" s="93"/>
      <c r="S785" s="85"/>
      <c r="U785" s="94"/>
      <c r="V785" s="93"/>
      <c r="W785" s="85"/>
      <c r="Y785" s="94"/>
      <c r="Z785" s="93"/>
      <c r="AA785" s="85"/>
      <c r="AC785" s="94"/>
      <c r="AD785" s="93"/>
      <c r="AE785" s="85"/>
    </row>
    <row r="786" spans="7:31" x14ac:dyDescent="0.35">
      <c r="G786" s="85"/>
      <c r="H786" s="87"/>
      <c r="J786" s="93"/>
      <c r="K786" s="85"/>
      <c r="M786" s="94"/>
      <c r="N786" s="93"/>
      <c r="O786" s="85"/>
      <c r="Q786" s="94"/>
      <c r="R786" s="93"/>
      <c r="S786" s="85"/>
      <c r="U786" s="94"/>
      <c r="V786" s="93"/>
      <c r="W786" s="85"/>
      <c r="Y786" s="94"/>
      <c r="Z786" s="93"/>
      <c r="AA786" s="85"/>
      <c r="AC786" s="94"/>
      <c r="AD786" s="93"/>
      <c r="AE786" s="85"/>
    </row>
    <row r="787" spans="7:31" x14ac:dyDescent="0.35">
      <c r="G787" s="85"/>
      <c r="H787" s="87"/>
      <c r="J787" s="93"/>
      <c r="K787" s="85"/>
      <c r="M787" s="94"/>
      <c r="N787" s="93"/>
      <c r="O787" s="85"/>
      <c r="Q787" s="94"/>
      <c r="R787" s="93"/>
      <c r="S787" s="85"/>
      <c r="U787" s="94"/>
      <c r="V787" s="93"/>
      <c r="W787" s="85"/>
      <c r="Y787" s="94"/>
      <c r="Z787" s="93"/>
      <c r="AA787" s="85"/>
      <c r="AC787" s="94"/>
      <c r="AD787" s="93"/>
      <c r="AE787" s="85"/>
    </row>
    <row r="788" spans="7:31" x14ac:dyDescent="0.35">
      <c r="G788" s="85"/>
      <c r="H788" s="87"/>
      <c r="J788" s="93"/>
      <c r="K788" s="85"/>
      <c r="M788" s="94"/>
      <c r="N788" s="93"/>
      <c r="O788" s="85"/>
      <c r="Q788" s="94"/>
      <c r="R788" s="93"/>
      <c r="S788" s="85"/>
      <c r="U788" s="94"/>
      <c r="V788" s="93"/>
      <c r="W788" s="85"/>
      <c r="Y788" s="94"/>
      <c r="Z788" s="93"/>
      <c r="AA788" s="85"/>
      <c r="AC788" s="94"/>
      <c r="AD788" s="93"/>
      <c r="AE788" s="85"/>
    </row>
    <row r="789" spans="7:31" x14ac:dyDescent="0.35">
      <c r="G789" s="85"/>
      <c r="H789" s="87"/>
      <c r="J789" s="93"/>
      <c r="K789" s="85"/>
      <c r="M789" s="94"/>
      <c r="N789" s="93"/>
      <c r="O789" s="85"/>
      <c r="Q789" s="94"/>
      <c r="R789" s="93"/>
      <c r="S789" s="85"/>
      <c r="U789" s="94"/>
      <c r="V789" s="93"/>
      <c r="W789" s="85"/>
      <c r="Y789" s="94"/>
      <c r="Z789" s="93"/>
      <c r="AA789" s="85"/>
      <c r="AC789" s="94"/>
      <c r="AD789" s="93"/>
      <c r="AE789" s="85"/>
    </row>
    <row r="790" spans="7:31" x14ac:dyDescent="0.35">
      <c r="G790" s="85"/>
      <c r="H790" s="87"/>
      <c r="J790" s="93"/>
      <c r="K790" s="85"/>
      <c r="M790" s="94"/>
      <c r="N790" s="93"/>
      <c r="O790" s="85"/>
      <c r="Q790" s="94"/>
      <c r="R790" s="93"/>
      <c r="S790" s="85"/>
      <c r="U790" s="94"/>
      <c r="V790" s="93"/>
      <c r="W790" s="85"/>
      <c r="Y790" s="94"/>
      <c r="Z790" s="93"/>
      <c r="AA790" s="85"/>
      <c r="AC790" s="94"/>
      <c r="AD790" s="93"/>
      <c r="AE790" s="85"/>
    </row>
    <row r="791" spans="7:31" x14ac:dyDescent="0.35">
      <c r="G791" s="85"/>
      <c r="H791" s="87"/>
      <c r="J791" s="93"/>
      <c r="K791" s="85"/>
      <c r="M791" s="94"/>
      <c r="N791" s="93"/>
      <c r="O791" s="85"/>
      <c r="Q791" s="94"/>
      <c r="R791" s="93"/>
      <c r="S791" s="85"/>
      <c r="U791" s="94"/>
      <c r="V791" s="93"/>
      <c r="W791" s="85"/>
      <c r="Y791" s="94"/>
      <c r="Z791" s="93"/>
      <c r="AA791" s="85"/>
      <c r="AC791" s="94"/>
      <c r="AD791" s="93"/>
      <c r="AE791" s="85"/>
    </row>
    <row r="792" spans="7:31" x14ac:dyDescent="0.35">
      <c r="G792" s="85"/>
      <c r="H792" s="87"/>
      <c r="J792" s="93"/>
      <c r="K792" s="85"/>
      <c r="M792" s="94"/>
      <c r="N792" s="93"/>
      <c r="O792" s="85"/>
      <c r="Q792" s="94"/>
      <c r="R792" s="93"/>
      <c r="S792" s="85"/>
      <c r="U792" s="94"/>
      <c r="V792" s="93"/>
      <c r="W792" s="85"/>
      <c r="Y792" s="94"/>
      <c r="Z792" s="93"/>
      <c r="AA792" s="85"/>
      <c r="AC792" s="94"/>
      <c r="AD792" s="93"/>
      <c r="AE792" s="85"/>
    </row>
    <row r="793" spans="7:31" x14ac:dyDescent="0.35">
      <c r="G793" s="85"/>
      <c r="H793" s="87"/>
      <c r="J793" s="93"/>
      <c r="K793" s="85"/>
      <c r="M793" s="94"/>
      <c r="N793" s="93"/>
      <c r="O793" s="85"/>
      <c r="Q793" s="94"/>
      <c r="R793" s="93"/>
      <c r="S793" s="85"/>
      <c r="U793" s="94"/>
      <c r="V793" s="93"/>
      <c r="W793" s="85"/>
      <c r="Y793" s="94"/>
      <c r="Z793" s="93"/>
      <c r="AA793" s="85"/>
      <c r="AC793" s="94"/>
      <c r="AD793" s="93"/>
      <c r="AE793" s="85"/>
    </row>
    <row r="794" spans="7:31" x14ac:dyDescent="0.35">
      <c r="G794" s="85"/>
      <c r="H794" s="87"/>
      <c r="J794" s="93"/>
      <c r="K794" s="85"/>
      <c r="M794" s="94"/>
      <c r="N794" s="93"/>
      <c r="O794" s="85"/>
      <c r="Q794" s="94"/>
      <c r="R794" s="93"/>
      <c r="S794" s="85"/>
      <c r="U794" s="94"/>
      <c r="V794" s="93"/>
      <c r="W794" s="85"/>
      <c r="Y794" s="94"/>
      <c r="Z794" s="93"/>
      <c r="AA794" s="85"/>
      <c r="AC794" s="94"/>
      <c r="AD794" s="93"/>
      <c r="AE794" s="85"/>
    </row>
    <row r="795" spans="7:31" x14ac:dyDescent="0.35">
      <c r="G795" s="85"/>
      <c r="H795" s="87"/>
      <c r="J795" s="93"/>
      <c r="K795" s="85"/>
      <c r="M795" s="94"/>
      <c r="N795" s="93"/>
      <c r="O795" s="85"/>
      <c r="Q795" s="94"/>
      <c r="R795" s="93"/>
      <c r="S795" s="85"/>
      <c r="U795" s="94"/>
      <c r="V795" s="93"/>
      <c r="W795" s="85"/>
      <c r="Y795" s="94"/>
      <c r="Z795" s="93"/>
      <c r="AA795" s="85"/>
      <c r="AC795" s="94"/>
      <c r="AD795" s="93"/>
      <c r="AE795" s="85"/>
    </row>
    <row r="796" spans="7:31" x14ac:dyDescent="0.35">
      <c r="G796" s="85"/>
      <c r="H796" s="87"/>
      <c r="J796" s="93"/>
      <c r="K796" s="85"/>
      <c r="M796" s="94"/>
      <c r="N796" s="93"/>
      <c r="O796" s="85"/>
      <c r="Q796" s="94"/>
      <c r="R796" s="93"/>
      <c r="S796" s="85"/>
      <c r="U796" s="94"/>
      <c r="V796" s="93"/>
      <c r="W796" s="85"/>
      <c r="Y796" s="94"/>
      <c r="Z796" s="93"/>
      <c r="AA796" s="85"/>
      <c r="AC796" s="94"/>
      <c r="AD796" s="93"/>
      <c r="AE796" s="85"/>
    </row>
    <row r="797" spans="7:31" x14ac:dyDescent="0.35">
      <c r="G797" s="85"/>
      <c r="H797" s="87"/>
      <c r="J797" s="93"/>
      <c r="K797" s="85"/>
      <c r="M797" s="94"/>
      <c r="N797" s="93"/>
      <c r="O797" s="85"/>
      <c r="Q797" s="94"/>
      <c r="R797" s="93"/>
      <c r="S797" s="85"/>
      <c r="U797" s="94"/>
      <c r="V797" s="93"/>
      <c r="W797" s="85"/>
      <c r="Y797" s="94"/>
      <c r="Z797" s="93"/>
      <c r="AA797" s="85"/>
      <c r="AC797" s="94"/>
      <c r="AD797" s="93"/>
      <c r="AE797" s="85"/>
    </row>
    <row r="798" spans="7:31" x14ac:dyDescent="0.35">
      <c r="G798" s="85"/>
      <c r="H798" s="87"/>
      <c r="J798" s="93"/>
      <c r="K798" s="85"/>
      <c r="M798" s="94"/>
      <c r="N798" s="93"/>
      <c r="O798" s="85"/>
      <c r="Q798" s="94"/>
      <c r="R798" s="93"/>
      <c r="S798" s="85"/>
      <c r="U798" s="94"/>
      <c r="V798" s="93"/>
      <c r="W798" s="85"/>
      <c r="Y798" s="94"/>
      <c r="Z798" s="93"/>
      <c r="AA798" s="85"/>
      <c r="AC798" s="94"/>
      <c r="AD798" s="93"/>
      <c r="AE798" s="85"/>
    </row>
    <row r="799" spans="7:31" x14ac:dyDescent="0.35">
      <c r="G799" s="85"/>
      <c r="H799" s="87"/>
      <c r="J799" s="93"/>
      <c r="K799" s="85"/>
      <c r="M799" s="94"/>
      <c r="N799" s="93"/>
      <c r="O799" s="85"/>
      <c r="Q799" s="94"/>
      <c r="R799" s="93"/>
      <c r="S799" s="85"/>
      <c r="U799" s="94"/>
      <c r="V799" s="93"/>
      <c r="W799" s="85"/>
      <c r="Y799" s="94"/>
      <c r="Z799" s="93"/>
      <c r="AA799" s="85"/>
      <c r="AC799" s="94"/>
      <c r="AD799" s="93"/>
      <c r="AE799" s="85"/>
    </row>
    <row r="800" spans="7:31" x14ac:dyDescent="0.35">
      <c r="G800" s="85"/>
      <c r="H800" s="87"/>
      <c r="J800" s="93"/>
      <c r="K800" s="85"/>
      <c r="M800" s="94"/>
      <c r="N800" s="93"/>
      <c r="O800" s="85"/>
      <c r="Q800" s="94"/>
      <c r="R800" s="93"/>
      <c r="S800" s="85"/>
      <c r="U800" s="94"/>
      <c r="V800" s="93"/>
      <c r="W800" s="85"/>
      <c r="Y800" s="94"/>
      <c r="Z800" s="93"/>
      <c r="AA800" s="85"/>
      <c r="AC800" s="94"/>
      <c r="AD800" s="93"/>
      <c r="AE800" s="85"/>
    </row>
    <row r="801" spans="7:31" x14ac:dyDescent="0.35">
      <c r="G801" s="85"/>
      <c r="H801" s="87"/>
      <c r="J801" s="93"/>
      <c r="K801" s="85"/>
      <c r="M801" s="94"/>
      <c r="N801" s="93"/>
      <c r="O801" s="85"/>
      <c r="Q801" s="94"/>
      <c r="R801" s="93"/>
      <c r="S801" s="85"/>
      <c r="U801" s="94"/>
      <c r="V801" s="93"/>
      <c r="W801" s="85"/>
      <c r="Y801" s="94"/>
      <c r="Z801" s="93"/>
      <c r="AA801" s="85"/>
      <c r="AC801" s="94"/>
      <c r="AD801" s="93"/>
      <c r="AE801" s="85"/>
    </row>
    <row r="802" spans="7:31" x14ac:dyDescent="0.35">
      <c r="G802" s="85"/>
      <c r="H802" s="87"/>
      <c r="J802" s="93"/>
      <c r="K802" s="85"/>
      <c r="M802" s="94"/>
      <c r="N802" s="93"/>
      <c r="O802" s="85"/>
      <c r="Q802" s="94"/>
      <c r="R802" s="93"/>
      <c r="S802" s="85"/>
      <c r="U802" s="94"/>
      <c r="V802" s="93"/>
      <c r="W802" s="85"/>
      <c r="Y802" s="94"/>
      <c r="Z802" s="93"/>
      <c r="AA802" s="85"/>
      <c r="AC802" s="94"/>
      <c r="AD802" s="93"/>
      <c r="AE802" s="85"/>
    </row>
    <row r="803" spans="7:31" x14ac:dyDescent="0.35">
      <c r="G803" s="85"/>
      <c r="H803" s="87"/>
      <c r="J803" s="93"/>
      <c r="K803" s="85"/>
      <c r="M803" s="94"/>
      <c r="N803" s="93"/>
      <c r="O803" s="85"/>
      <c r="Q803" s="94"/>
      <c r="R803" s="93"/>
      <c r="S803" s="85"/>
      <c r="U803" s="94"/>
      <c r="V803" s="93"/>
      <c r="W803" s="85"/>
      <c r="Y803" s="94"/>
      <c r="Z803" s="93"/>
      <c r="AA803" s="85"/>
      <c r="AC803" s="94"/>
      <c r="AD803" s="93"/>
      <c r="AE803" s="85"/>
    </row>
    <row r="804" spans="7:31" x14ac:dyDescent="0.35">
      <c r="G804" s="85"/>
      <c r="H804" s="87"/>
      <c r="J804" s="93"/>
      <c r="K804" s="85"/>
      <c r="M804" s="94"/>
      <c r="N804" s="93"/>
      <c r="O804" s="85"/>
      <c r="Q804" s="94"/>
      <c r="R804" s="93"/>
      <c r="S804" s="85"/>
      <c r="U804" s="94"/>
      <c r="V804" s="93"/>
      <c r="W804" s="85"/>
      <c r="Y804" s="94"/>
      <c r="Z804" s="93"/>
      <c r="AA804" s="85"/>
      <c r="AC804" s="94"/>
      <c r="AD804" s="93"/>
      <c r="AE804" s="85"/>
    </row>
    <row r="805" spans="7:31" x14ac:dyDescent="0.35">
      <c r="G805" s="85"/>
      <c r="H805" s="87"/>
      <c r="J805" s="93"/>
      <c r="K805" s="85"/>
      <c r="M805" s="94"/>
      <c r="N805" s="93"/>
      <c r="O805" s="85"/>
      <c r="Q805" s="94"/>
      <c r="R805" s="93"/>
      <c r="S805" s="85"/>
      <c r="U805" s="94"/>
      <c r="V805" s="93"/>
      <c r="W805" s="85"/>
      <c r="Y805" s="94"/>
      <c r="Z805" s="93"/>
      <c r="AA805" s="85"/>
      <c r="AC805" s="94"/>
      <c r="AD805" s="93"/>
      <c r="AE805" s="85"/>
    </row>
    <row r="806" spans="7:31" x14ac:dyDescent="0.35">
      <c r="G806" s="85"/>
      <c r="H806" s="87"/>
      <c r="J806" s="93"/>
      <c r="K806" s="85"/>
      <c r="M806" s="94"/>
      <c r="N806" s="93"/>
      <c r="O806" s="85"/>
      <c r="Q806" s="94"/>
      <c r="R806" s="93"/>
      <c r="S806" s="85"/>
      <c r="U806" s="94"/>
      <c r="V806" s="93"/>
      <c r="W806" s="85"/>
      <c r="Y806" s="94"/>
      <c r="Z806" s="93"/>
      <c r="AA806" s="85"/>
      <c r="AC806" s="94"/>
      <c r="AD806" s="93"/>
      <c r="AE806" s="85"/>
    </row>
    <row r="807" spans="7:31" x14ac:dyDescent="0.35">
      <c r="G807" s="85"/>
      <c r="H807" s="87"/>
      <c r="J807" s="93"/>
      <c r="K807" s="85"/>
      <c r="M807" s="94"/>
      <c r="N807" s="93"/>
      <c r="O807" s="85"/>
      <c r="Q807" s="94"/>
      <c r="R807" s="93"/>
      <c r="S807" s="85"/>
      <c r="U807" s="94"/>
      <c r="V807" s="93"/>
      <c r="W807" s="85"/>
      <c r="Y807" s="94"/>
      <c r="Z807" s="93"/>
      <c r="AA807" s="85"/>
      <c r="AC807" s="94"/>
      <c r="AD807" s="93"/>
      <c r="AE807" s="85"/>
    </row>
    <row r="808" spans="7:31" x14ac:dyDescent="0.35">
      <c r="G808" s="85"/>
      <c r="H808" s="87"/>
      <c r="J808" s="93"/>
      <c r="K808" s="85"/>
      <c r="M808" s="94"/>
      <c r="N808" s="93"/>
      <c r="O808" s="85"/>
      <c r="Q808" s="94"/>
      <c r="R808" s="93"/>
      <c r="S808" s="85"/>
      <c r="U808" s="94"/>
      <c r="V808" s="93"/>
      <c r="W808" s="85"/>
      <c r="Y808" s="94"/>
      <c r="Z808" s="93"/>
      <c r="AA808" s="85"/>
      <c r="AC808" s="94"/>
      <c r="AD808" s="93"/>
      <c r="AE808" s="85"/>
    </row>
    <row r="809" spans="7:31" x14ac:dyDescent="0.35">
      <c r="G809" s="85"/>
      <c r="H809" s="87"/>
      <c r="J809" s="93"/>
      <c r="K809" s="85"/>
      <c r="M809" s="94"/>
      <c r="N809" s="93"/>
      <c r="O809" s="85"/>
      <c r="Q809" s="94"/>
      <c r="R809" s="93"/>
      <c r="S809" s="85"/>
      <c r="U809" s="94"/>
      <c r="V809" s="93"/>
      <c r="W809" s="85"/>
      <c r="Y809" s="94"/>
      <c r="Z809" s="93"/>
      <c r="AA809" s="85"/>
      <c r="AC809" s="94"/>
      <c r="AD809" s="93"/>
      <c r="AE809" s="85"/>
    </row>
    <row r="810" spans="7:31" x14ac:dyDescent="0.35">
      <c r="G810" s="85"/>
      <c r="H810" s="87"/>
      <c r="J810" s="93"/>
      <c r="K810" s="85"/>
      <c r="M810" s="94"/>
      <c r="N810" s="93"/>
      <c r="O810" s="85"/>
      <c r="Q810" s="94"/>
      <c r="R810" s="93"/>
      <c r="S810" s="85"/>
      <c r="U810" s="94"/>
      <c r="V810" s="93"/>
      <c r="W810" s="85"/>
      <c r="Y810" s="94"/>
      <c r="Z810" s="93"/>
      <c r="AA810" s="85"/>
      <c r="AC810" s="94"/>
      <c r="AD810" s="93"/>
      <c r="AE810" s="85"/>
    </row>
    <row r="811" spans="7:31" x14ac:dyDescent="0.35">
      <c r="G811" s="85"/>
      <c r="H811" s="87"/>
      <c r="J811" s="93"/>
      <c r="K811" s="85"/>
      <c r="M811" s="94"/>
      <c r="N811" s="93"/>
      <c r="O811" s="85"/>
      <c r="Q811" s="94"/>
      <c r="R811" s="93"/>
      <c r="S811" s="85"/>
      <c r="U811" s="94"/>
      <c r="V811" s="93"/>
      <c r="W811" s="85"/>
      <c r="Y811" s="94"/>
      <c r="Z811" s="93"/>
      <c r="AA811" s="85"/>
      <c r="AC811" s="94"/>
      <c r="AD811" s="93"/>
      <c r="AE811" s="85"/>
    </row>
    <row r="812" spans="7:31" x14ac:dyDescent="0.35">
      <c r="G812" s="85"/>
      <c r="H812" s="87"/>
      <c r="J812" s="93"/>
      <c r="K812" s="85"/>
      <c r="M812" s="94"/>
      <c r="N812" s="93"/>
      <c r="O812" s="85"/>
      <c r="Q812" s="94"/>
      <c r="R812" s="93"/>
      <c r="S812" s="85"/>
      <c r="U812" s="94"/>
      <c r="V812" s="93"/>
      <c r="W812" s="85"/>
      <c r="Y812" s="94"/>
      <c r="Z812" s="93"/>
      <c r="AA812" s="85"/>
      <c r="AC812" s="94"/>
      <c r="AD812" s="93"/>
      <c r="AE812" s="85"/>
    </row>
    <row r="813" spans="7:31" x14ac:dyDescent="0.35">
      <c r="G813" s="85"/>
      <c r="H813" s="87"/>
      <c r="J813" s="93"/>
      <c r="K813" s="85"/>
      <c r="M813" s="94"/>
      <c r="N813" s="93"/>
      <c r="O813" s="85"/>
      <c r="Q813" s="94"/>
      <c r="R813" s="93"/>
      <c r="S813" s="85"/>
      <c r="U813" s="94"/>
      <c r="V813" s="93"/>
      <c r="W813" s="85"/>
      <c r="Y813" s="94"/>
      <c r="Z813" s="93"/>
      <c r="AA813" s="85"/>
      <c r="AC813" s="94"/>
      <c r="AD813" s="93"/>
      <c r="AE813" s="85"/>
    </row>
    <row r="814" spans="7:31" x14ac:dyDescent="0.35">
      <c r="G814" s="85"/>
      <c r="H814" s="87"/>
      <c r="J814" s="93"/>
      <c r="K814" s="85"/>
      <c r="M814" s="94"/>
      <c r="N814" s="93"/>
      <c r="O814" s="85"/>
      <c r="Q814" s="94"/>
      <c r="R814" s="93"/>
      <c r="S814" s="85"/>
      <c r="U814" s="94"/>
      <c r="V814" s="93"/>
      <c r="W814" s="85"/>
      <c r="Y814" s="94"/>
      <c r="Z814" s="93"/>
      <c r="AA814" s="85"/>
      <c r="AC814" s="94"/>
      <c r="AD814" s="93"/>
      <c r="AE814" s="85"/>
    </row>
    <row r="815" spans="7:31" x14ac:dyDescent="0.35">
      <c r="G815" s="85"/>
      <c r="H815" s="87"/>
      <c r="J815" s="93"/>
      <c r="K815" s="85"/>
      <c r="M815" s="94"/>
      <c r="N815" s="93"/>
      <c r="O815" s="85"/>
      <c r="Q815" s="94"/>
      <c r="R815" s="93"/>
      <c r="S815" s="85"/>
      <c r="U815" s="94"/>
      <c r="V815" s="93"/>
      <c r="W815" s="85"/>
      <c r="Y815" s="94"/>
      <c r="Z815" s="93"/>
      <c r="AA815" s="85"/>
      <c r="AC815" s="94"/>
      <c r="AD815" s="93"/>
      <c r="AE815" s="85"/>
    </row>
    <row r="816" spans="7:31" x14ac:dyDescent="0.35">
      <c r="G816" s="85"/>
      <c r="H816" s="87"/>
      <c r="J816" s="93"/>
      <c r="K816" s="85"/>
      <c r="M816" s="94"/>
      <c r="N816" s="93"/>
      <c r="O816" s="85"/>
      <c r="Q816" s="94"/>
      <c r="R816" s="93"/>
      <c r="S816" s="85"/>
      <c r="U816" s="94"/>
      <c r="V816" s="93"/>
      <c r="W816" s="85"/>
      <c r="Y816" s="94"/>
      <c r="Z816" s="93"/>
      <c r="AA816" s="85"/>
      <c r="AC816" s="94"/>
      <c r="AD816" s="93"/>
      <c r="AE816" s="85"/>
    </row>
    <row r="817" spans="7:31" x14ac:dyDescent="0.35">
      <c r="G817" s="85"/>
      <c r="H817" s="87"/>
      <c r="J817" s="93"/>
      <c r="K817" s="85"/>
      <c r="M817" s="94"/>
      <c r="N817" s="93"/>
      <c r="O817" s="85"/>
      <c r="Q817" s="94"/>
      <c r="R817" s="93"/>
      <c r="S817" s="85"/>
      <c r="U817" s="94"/>
      <c r="V817" s="93"/>
      <c r="W817" s="85"/>
      <c r="Y817" s="94"/>
      <c r="Z817" s="93"/>
      <c r="AA817" s="85"/>
      <c r="AC817" s="94"/>
      <c r="AD817" s="93"/>
      <c r="AE817" s="85"/>
    </row>
    <row r="818" spans="7:31" x14ac:dyDescent="0.35">
      <c r="G818" s="85"/>
      <c r="H818" s="87"/>
      <c r="J818" s="93"/>
      <c r="K818" s="85"/>
      <c r="M818" s="94"/>
      <c r="N818" s="93"/>
      <c r="O818" s="85"/>
      <c r="Q818" s="94"/>
      <c r="R818" s="93"/>
      <c r="S818" s="85"/>
      <c r="U818" s="94"/>
      <c r="V818" s="93"/>
      <c r="W818" s="85"/>
      <c r="Y818" s="94"/>
      <c r="Z818" s="93"/>
      <c r="AA818" s="85"/>
      <c r="AC818" s="94"/>
      <c r="AD818" s="93"/>
      <c r="AE818" s="85"/>
    </row>
    <row r="819" spans="7:31" x14ac:dyDescent="0.35">
      <c r="G819" s="85"/>
      <c r="H819" s="87"/>
      <c r="J819" s="93"/>
      <c r="K819" s="85"/>
      <c r="M819" s="94"/>
      <c r="N819" s="93"/>
      <c r="O819" s="85"/>
      <c r="Q819" s="94"/>
      <c r="R819" s="93"/>
      <c r="S819" s="85"/>
      <c r="U819" s="94"/>
      <c r="V819" s="93"/>
      <c r="W819" s="85"/>
      <c r="Y819" s="94"/>
      <c r="Z819" s="93"/>
      <c r="AA819" s="85"/>
      <c r="AC819" s="94"/>
      <c r="AD819" s="93"/>
      <c r="AE819" s="85"/>
    </row>
    <row r="820" spans="7:31" x14ac:dyDescent="0.35">
      <c r="G820" s="85"/>
      <c r="H820" s="87"/>
      <c r="J820" s="93"/>
      <c r="K820" s="85"/>
      <c r="M820" s="94"/>
      <c r="N820" s="93"/>
      <c r="O820" s="85"/>
      <c r="Q820" s="94"/>
      <c r="R820" s="93"/>
      <c r="S820" s="85"/>
      <c r="U820" s="94"/>
      <c r="V820" s="93"/>
      <c r="W820" s="85"/>
      <c r="Y820" s="94"/>
      <c r="Z820" s="93"/>
      <c r="AA820" s="85"/>
      <c r="AC820" s="94"/>
      <c r="AD820" s="93"/>
      <c r="AE820" s="85"/>
    </row>
    <row r="821" spans="7:31" x14ac:dyDescent="0.35">
      <c r="G821" s="85"/>
      <c r="H821" s="87"/>
      <c r="J821" s="93"/>
      <c r="K821" s="85"/>
      <c r="M821" s="94"/>
      <c r="N821" s="93"/>
      <c r="O821" s="85"/>
      <c r="Q821" s="94"/>
      <c r="R821" s="93"/>
      <c r="S821" s="85"/>
      <c r="U821" s="94"/>
      <c r="V821" s="93"/>
      <c r="W821" s="85"/>
      <c r="Y821" s="94"/>
      <c r="Z821" s="93"/>
      <c r="AA821" s="85"/>
      <c r="AC821" s="94"/>
      <c r="AD821" s="93"/>
      <c r="AE821" s="85"/>
    </row>
    <row r="822" spans="7:31" x14ac:dyDescent="0.35">
      <c r="G822" s="85"/>
      <c r="H822" s="87"/>
      <c r="J822" s="93"/>
      <c r="K822" s="85"/>
      <c r="M822" s="94"/>
      <c r="N822" s="93"/>
      <c r="O822" s="85"/>
      <c r="Q822" s="94"/>
      <c r="R822" s="93"/>
      <c r="S822" s="85"/>
      <c r="U822" s="94"/>
      <c r="V822" s="93"/>
      <c r="W822" s="85"/>
      <c r="Y822" s="94"/>
      <c r="Z822" s="93"/>
      <c r="AA822" s="85"/>
      <c r="AC822" s="94"/>
      <c r="AD822" s="93"/>
      <c r="AE822" s="85"/>
    </row>
    <row r="823" spans="7:31" x14ac:dyDescent="0.35">
      <c r="G823" s="85"/>
      <c r="H823" s="87"/>
      <c r="J823" s="93"/>
      <c r="K823" s="85"/>
      <c r="M823" s="94"/>
      <c r="N823" s="93"/>
      <c r="O823" s="85"/>
      <c r="Q823" s="94"/>
      <c r="R823" s="93"/>
      <c r="S823" s="85"/>
      <c r="U823" s="94"/>
      <c r="V823" s="93"/>
      <c r="W823" s="85"/>
      <c r="Y823" s="94"/>
      <c r="Z823" s="93"/>
      <c r="AA823" s="85"/>
      <c r="AC823" s="94"/>
      <c r="AD823" s="93"/>
      <c r="AE823" s="85"/>
    </row>
    <row r="824" spans="7:31" x14ac:dyDescent="0.35">
      <c r="G824" s="85"/>
      <c r="H824" s="87"/>
      <c r="J824" s="93"/>
      <c r="K824" s="85"/>
      <c r="M824" s="94"/>
      <c r="N824" s="93"/>
      <c r="O824" s="85"/>
      <c r="Q824" s="94"/>
      <c r="R824" s="93"/>
      <c r="S824" s="85"/>
      <c r="U824" s="94"/>
      <c r="V824" s="93"/>
      <c r="W824" s="85"/>
      <c r="Y824" s="94"/>
      <c r="Z824" s="93"/>
      <c r="AA824" s="85"/>
      <c r="AC824" s="94"/>
      <c r="AD824" s="93"/>
      <c r="AE824" s="85"/>
    </row>
    <row r="825" spans="7:31" x14ac:dyDescent="0.35">
      <c r="G825" s="85"/>
      <c r="H825" s="87"/>
      <c r="J825" s="93"/>
      <c r="K825" s="85"/>
      <c r="M825" s="94"/>
      <c r="N825" s="93"/>
      <c r="O825" s="85"/>
      <c r="Q825" s="94"/>
      <c r="R825" s="93"/>
      <c r="S825" s="85"/>
      <c r="U825" s="94"/>
      <c r="V825" s="93"/>
      <c r="W825" s="85"/>
      <c r="Y825" s="94"/>
      <c r="Z825" s="93"/>
      <c r="AA825" s="85"/>
      <c r="AC825" s="94"/>
      <c r="AD825" s="93"/>
      <c r="AE825" s="85"/>
    </row>
    <row r="826" spans="7:31" x14ac:dyDescent="0.35">
      <c r="G826" s="85"/>
      <c r="H826" s="87"/>
      <c r="J826" s="93"/>
      <c r="K826" s="85"/>
      <c r="M826" s="94"/>
      <c r="N826" s="93"/>
      <c r="O826" s="85"/>
      <c r="Q826" s="94"/>
      <c r="R826" s="93"/>
      <c r="S826" s="85"/>
      <c r="U826" s="94"/>
      <c r="V826" s="93"/>
      <c r="W826" s="85"/>
      <c r="Y826" s="94"/>
      <c r="Z826" s="93"/>
      <c r="AA826" s="85"/>
      <c r="AC826" s="94"/>
      <c r="AD826" s="93"/>
      <c r="AE826" s="85"/>
    </row>
    <row r="827" spans="7:31" x14ac:dyDescent="0.35">
      <c r="G827" s="85"/>
      <c r="H827" s="87"/>
      <c r="J827" s="93"/>
      <c r="K827" s="85"/>
      <c r="M827" s="94"/>
      <c r="N827" s="93"/>
      <c r="O827" s="85"/>
      <c r="Q827" s="94"/>
      <c r="R827" s="93"/>
      <c r="S827" s="85"/>
      <c r="U827" s="94"/>
      <c r="V827" s="93"/>
      <c r="W827" s="85"/>
      <c r="Y827" s="94"/>
      <c r="Z827" s="93"/>
      <c r="AA827" s="85"/>
      <c r="AC827" s="94"/>
      <c r="AD827" s="93"/>
      <c r="AE827" s="85"/>
    </row>
    <row r="828" spans="7:31" x14ac:dyDescent="0.35">
      <c r="G828" s="85"/>
      <c r="H828" s="87"/>
      <c r="J828" s="93"/>
      <c r="K828" s="85"/>
      <c r="M828" s="94"/>
      <c r="N828" s="93"/>
      <c r="O828" s="85"/>
      <c r="Q828" s="94"/>
      <c r="R828" s="93"/>
      <c r="S828" s="85"/>
      <c r="U828" s="94"/>
      <c r="V828" s="93"/>
      <c r="W828" s="85"/>
      <c r="Y828" s="94"/>
      <c r="Z828" s="93"/>
      <c r="AA828" s="85"/>
      <c r="AC828" s="94"/>
      <c r="AD828" s="93"/>
      <c r="AE828" s="85"/>
    </row>
    <row r="829" spans="7:31" x14ac:dyDescent="0.35">
      <c r="G829" s="85"/>
      <c r="H829" s="87"/>
      <c r="J829" s="93"/>
      <c r="K829" s="85"/>
      <c r="M829" s="94"/>
      <c r="N829" s="93"/>
      <c r="O829" s="85"/>
      <c r="Q829" s="94"/>
      <c r="R829" s="93"/>
      <c r="S829" s="85"/>
      <c r="U829" s="94"/>
      <c r="V829" s="93"/>
      <c r="W829" s="85"/>
      <c r="Y829" s="94"/>
      <c r="Z829" s="93"/>
      <c r="AA829" s="85"/>
      <c r="AC829" s="94"/>
      <c r="AD829" s="93"/>
      <c r="AE829" s="85"/>
    </row>
    <row r="830" spans="7:31" x14ac:dyDescent="0.35">
      <c r="G830" s="85"/>
      <c r="H830" s="87"/>
      <c r="J830" s="93"/>
      <c r="K830" s="85"/>
      <c r="M830" s="94"/>
      <c r="N830" s="93"/>
      <c r="O830" s="85"/>
      <c r="Q830" s="94"/>
      <c r="R830" s="93"/>
      <c r="S830" s="85"/>
      <c r="U830" s="94"/>
      <c r="V830" s="93"/>
      <c r="W830" s="85"/>
      <c r="Y830" s="94"/>
      <c r="Z830" s="93"/>
      <c r="AA830" s="85"/>
      <c r="AC830" s="94"/>
      <c r="AD830" s="93"/>
      <c r="AE830" s="85"/>
    </row>
    <row r="831" spans="7:31" x14ac:dyDescent="0.35">
      <c r="G831" s="85"/>
      <c r="H831" s="87"/>
      <c r="J831" s="93"/>
      <c r="K831" s="85"/>
      <c r="M831" s="94"/>
      <c r="N831" s="93"/>
      <c r="O831" s="85"/>
      <c r="Q831" s="94"/>
      <c r="R831" s="93"/>
      <c r="S831" s="85"/>
      <c r="U831" s="94"/>
      <c r="V831" s="93"/>
      <c r="W831" s="85"/>
      <c r="Y831" s="94"/>
      <c r="Z831" s="93"/>
      <c r="AA831" s="85"/>
      <c r="AC831" s="94"/>
      <c r="AD831" s="93"/>
      <c r="AE831" s="85"/>
    </row>
    <row r="832" spans="7:31" x14ac:dyDescent="0.35">
      <c r="G832" s="85"/>
      <c r="H832" s="87"/>
      <c r="J832" s="93"/>
      <c r="K832" s="85"/>
      <c r="M832" s="94"/>
      <c r="N832" s="93"/>
      <c r="O832" s="85"/>
      <c r="Q832" s="94"/>
      <c r="R832" s="93"/>
      <c r="S832" s="85"/>
      <c r="U832" s="94"/>
      <c r="V832" s="93"/>
      <c r="W832" s="85"/>
      <c r="Y832" s="94"/>
      <c r="Z832" s="93"/>
      <c r="AA832" s="85"/>
      <c r="AC832" s="94"/>
      <c r="AD832" s="93"/>
      <c r="AE832" s="85"/>
    </row>
    <row r="833" spans="7:31" x14ac:dyDescent="0.35">
      <c r="G833" s="85"/>
      <c r="H833" s="87"/>
      <c r="J833" s="93"/>
      <c r="K833" s="85"/>
      <c r="M833" s="94"/>
      <c r="N833" s="93"/>
      <c r="O833" s="85"/>
      <c r="Q833" s="94"/>
      <c r="R833" s="93"/>
      <c r="S833" s="85"/>
      <c r="U833" s="94"/>
      <c r="V833" s="93"/>
      <c r="W833" s="85"/>
      <c r="Y833" s="94"/>
      <c r="Z833" s="93"/>
      <c r="AA833" s="85"/>
      <c r="AC833" s="94"/>
      <c r="AD833" s="93"/>
      <c r="AE833" s="85"/>
    </row>
    <row r="834" spans="7:31" x14ac:dyDescent="0.35">
      <c r="G834" s="85"/>
      <c r="H834" s="87"/>
      <c r="J834" s="93"/>
      <c r="K834" s="85"/>
      <c r="M834" s="94"/>
      <c r="N834" s="93"/>
      <c r="O834" s="85"/>
      <c r="Q834" s="94"/>
      <c r="R834" s="93"/>
      <c r="S834" s="85"/>
      <c r="U834" s="94"/>
      <c r="V834" s="93"/>
      <c r="W834" s="85"/>
      <c r="Y834" s="94"/>
      <c r="Z834" s="93"/>
      <c r="AA834" s="85"/>
      <c r="AC834" s="94"/>
      <c r="AD834" s="93"/>
      <c r="AE834" s="85"/>
    </row>
    <row r="835" spans="7:31" x14ac:dyDescent="0.35">
      <c r="G835" s="85"/>
      <c r="H835" s="87"/>
      <c r="J835" s="93"/>
      <c r="K835" s="85"/>
      <c r="M835" s="94"/>
      <c r="N835" s="93"/>
      <c r="O835" s="85"/>
      <c r="Q835" s="94"/>
      <c r="R835" s="93"/>
      <c r="S835" s="85"/>
      <c r="U835" s="94"/>
      <c r="V835" s="93"/>
      <c r="W835" s="85"/>
      <c r="Y835" s="94"/>
      <c r="Z835" s="93"/>
      <c r="AA835" s="85"/>
      <c r="AC835" s="94"/>
      <c r="AD835" s="93"/>
      <c r="AE835" s="85"/>
    </row>
    <row r="836" spans="7:31" x14ac:dyDescent="0.35">
      <c r="G836" s="85"/>
      <c r="H836" s="87"/>
      <c r="J836" s="93"/>
      <c r="K836" s="85"/>
      <c r="M836" s="94"/>
      <c r="N836" s="93"/>
      <c r="O836" s="85"/>
      <c r="Q836" s="94"/>
      <c r="R836" s="93"/>
      <c r="S836" s="85"/>
      <c r="U836" s="94"/>
      <c r="V836" s="93"/>
      <c r="W836" s="85"/>
      <c r="Y836" s="94"/>
      <c r="Z836" s="93"/>
      <c r="AA836" s="85"/>
      <c r="AC836" s="94"/>
      <c r="AD836" s="93"/>
      <c r="AE836" s="85"/>
    </row>
    <row r="837" spans="7:31" x14ac:dyDescent="0.35">
      <c r="G837" s="85"/>
      <c r="H837" s="87"/>
      <c r="J837" s="93"/>
      <c r="K837" s="85"/>
      <c r="M837" s="94"/>
      <c r="N837" s="93"/>
      <c r="O837" s="85"/>
      <c r="Q837" s="94"/>
      <c r="R837" s="93"/>
      <c r="S837" s="85"/>
      <c r="U837" s="94"/>
      <c r="V837" s="93"/>
      <c r="W837" s="85"/>
      <c r="Y837" s="94"/>
      <c r="Z837" s="93"/>
      <c r="AA837" s="85"/>
      <c r="AC837" s="94"/>
      <c r="AD837" s="93"/>
      <c r="AE837" s="85"/>
    </row>
    <row r="838" spans="7:31" x14ac:dyDescent="0.35">
      <c r="G838" s="85"/>
      <c r="H838" s="87"/>
      <c r="J838" s="93"/>
      <c r="K838" s="85"/>
      <c r="M838" s="94"/>
      <c r="N838" s="93"/>
      <c r="O838" s="85"/>
      <c r="Q838" s="94"/>
      <c r="R838" s="93"/>
      <c r="S838" s="85"/>
      <c r="U838" s="94"/>
      <c r="V838" s="93"/>
      <c r="W838" s="85"/>
      <c r="Y838" s="94"/>
      <c r="Z838" s="93"/>
      <c r="AA838" s="85"/>
      <c r="AC838" s="94"/>
      <c r="AD838" s="93"/>
      <c r="AE838" s="85"/>
    </row>
    <row r="839" spans="7:31" x14ac:dyDescent="0.35">
      <c r="G839" s="85"/>
      <c r="H839" s="87"/>
      <c r="J839" s="93"/>
      <c r="K839" s="85"/>
      <c r="M839" s="94"/>
      <c r="N839" s="93"/>
      <c r="O839" s="85"/>
      <c r="Q839" s="94"/>
      <c r="R839" s="93"/>
      <c r="S839" s="85"/>
      <c r="U839" s="94"/>
      <c r="V839" s="93"/>
      <c r="W839" s="85"/>
      <c r="Y839" s="94"/>
      <c r="Z839" s="93"/>
      <c r="AA839" s="85"/>
      <c r="AC839" s="94"/>
      <c r="AD839" s="93"/>
      <c r="AE839" s="85"/>
    </row>
    <row r="840" spans="7:31" x14ac:dyDescent="0.35">
      <c r="G840" s="85"/>
      <c r="H840" s="87"/>
      <c r="J840" s="93"/>
      <c r="K840" s="85"/>
      <c r="M840" s="94"/>
      <c r="N840" s="93"/>
      <c r="O840" s="85"/>
      <c r="Q840" s="94"/>
      <c r="R840" s="93"/>
      <c r="S840" s="85"/>
      <c r="U840" s="94"/>
      <c r="V840" s="93"/>
      <c r="W840" s="85"/>
      <c r="Y840" s="94"/>
      <c r="Z840" s="93"/>
      <c r="AA840" s="85"/>
      <c r="AC840" s="94"/>
      <c r="AD840" s="93"/>
      <c r="AE840" s="85"/>
    </row>
    <row r="841" spans="7:31" x14ac:dyDescent="0.35">
      <c r="G841" s="85"/>
      <c r="H841" s="87"/>
      <c r="J841" s="93"/>
      <c r="K841" s="85"/>
      <c r="M841" s="94"/>
      <c r="N841" s="93"/>
      <c r="O841" s="85"/>
      <c r="Q841" s="94"/>
      <c r="R841" s="93"/>
      <c r="S841" s="85"/>
      <c r="U841" s="94"/>
      <c r="V841" s="93"/>
      <c r="W841" s="85"/>
      <c r="Y841" s="94"/>
      <c r="Z841" s="93"/>
      <c r="AA841" s="85"/>
      <c r="AC841" s="94"/>
      <c r="AD841" s="93"/>
      <c r="AE841" s="85"/>
    </row>
    <row r="842" spans="7:31" x14ac:dyDescent="0.35">
      <c r="G842" s="85"/>
      <c r="H842" s="87"/>
      <c r="J842" s="93"/>
      <c r="K842" s="85"/>
      <c r="M842" s="94"/>
      <c r="N842" s="93"/>
      <c r="O842" s="85"/>
      <c r="Q842" s="94"/>
      <c r="R842" s="93"/>
      <c r="S842" s="85"/>
      <c r="U842" s="94"/>
      <c r="V842" s="93"/>
      <c r="W842" s="85"/>
      <c r="Y842" s="94"/>
      <c r="Z842" s="93"/>
      <c r="AA842" s="85"/>
      <c r="AC842" s="94"/>
      <c r="AD842" s="93"/>
      <c r="AE842" s="85"/>
    </row>
    <row r="843" spans="7:31" x14ac:dyDescent="0.35">
      <c r="G843" s="85"/>
      <c r="H843" s="87"/>
      <c r="J843" s="93"/>
      <c r="K843" s="85"/>
      <c r="M843" s="94"/>
      <c r="N843" s="93"/>
      <c r="O843" s="85"/>
      <c r="Q843" s="94"/>
      <c r="R843" s="93"/>
      <c r="S843" s="85"/>
      <c r="U843" s="94"/>
      <c r="V843" s="93"/>
      <c r="W843" s="85"/>
      <c r="Y843" s="94"/>
      <c r="Z843" s="93"/>
      <c r="AA843" s="85"/>
      <c r="AC843" s="94"/>
      <c r="AD843" s="93"/>
      <c r="AE843" s="85"/>
    </row>
    <row r="844" spans="7:31" x14ac:dyDescent="0.35">
      <c r="G844" s="85"/>
      <c r="H844" s="87"/>
      <c r="J844" s="93"/>
      <c r="K844" s="85"/>
      <c r="M844" s="94"/>
      <c r="N844" s="93"/>
      <c r="O844" s="85"/>
      <c r="Q844" s="94"/>
      <c r="R844" s="93"/>
      <c r="S844" s="85"/>
      <c r="U844" s="94"/>
      <c r="V844" s="93"/>
      <c r="W844" s="85"/>
      <c r="Y844" s="94"/>
      <c r="Z844" s="93"/>
      <c r="AA844" s="85"/>
      <c r="AC844" s="94"/>
      <c r="AD844" s="93"/>
      <c r="AE844" s="85"/>
    </row>
    <row r="845" spans="7:31" x14ac:dyDescent="0.35">
      <c r="G845" s="85"/>
      <c r="H845" s="87"/>
      <c r="J845" s="93"/>
      <c r="K845" s="85"/>
      <c r="M845" s="94"/>
      <c r="N845" s="93"/>
      <c r="O845" s="85"/>
      <c r="Q845" s="94"/>
      <c r="R845" s="93"/>
      <c r="S845" s="85"/>
      <c r="U845" s="94"/>
      <c r="V845" s="93"/>
      <c r="W845" s="85"/>
      <c r="Y845" s="94"/>
      <c r="Z845" s="93"/>
      <c r="AA845" s="85"/>
      <c r="AC845" s="94"/>
      <c r="AD845" s="93"/>
      <c r="AE845" s="85"/>
    </row>
    <row r="846" spans="7:31" x14ac:dyDescent="0.35">
      <c r="G846" s="85"/>
      <c r="H846" s="87"/>
      <c r="J846" s="93"/>
      <c r="K846" s="85"/>
      <c r="M846" s="94"/>
      <c r="N846" s="93"/>
      <c r="O846" s="85"/>
      <c r="Q846" s="94"/>
      <c r="R846" s="93"/>
      <c r="S846" s="85"/>
      <c r="U846" s="94"/>
      <c r="V846" s="93"/>
      <c r="W846" s="85"/>
      <c r="Y846" s="94"/>
      <c r="Z846" s="93"/>
      <c r="AA846" s="85"/>
      <c r="AC846" s="94"/>
      <c r="AD846" s="93"/>
      <c r="AE846" s="85"/>
    </row>
    <row r="847" spans="7:31" x14ac:dyDescent="0.35">
      <c r="G847" s="85"/>
      <c r="H847" s="87"/>
      <c r="J847" s="93"/>
      <c r="K847" s="85"/>
      <c r="M847" s="94"/>
      <c r="N847" s="93"/>
      <c r="O847" s="85"/>
      <c r="Q847" s="94"/>
      <c r="R847" s="93"/>
      <c r="S847" s="85"/>
      <c r="U847" s="94"/>
      <c r="V847" s="93"/>
      <c r="W847" s="85"/>
      <c r="Y847" s="94"/>
      <c r="Z847" s="93"/>
      <c r="AA847" s="85"/>
      <c r="AC847" s="94"/>
      <c r="AD847" s="93"/>
      <c r="AE847" s="85"/>
    </row>
    <row r="848" spans="7:31" x14ac:dyDescent="0.35">
      <c r="G848" s="85"/>
      <c r="H848" s="87"/>
      <c r="J848" s="93"/>
      <c r="K848" s="85"/>
      <c r="M848" s="94"/>
      <c r="N848" s="93"/>
      <c r="O848" s="85"/>
      <c r="Q848" s="94"/>
      <c r="R848" s="93"/>
      <c r="S848" s="85"/>
      <c r="U848" s="94"/>
      <c r="V848" s="93"/>
      <c r="W848" s="85"/>
      <c r="Y848" s="94"/>
      <c r="Z848" s="93"/>
      <c r="AA848" s="85"/>
      <c r="AC848" s="94"/>
      <c r="AD848" s="93"/>
      <c r="AE848" s="85"/>
    </row>
    <row r="849" spans="7:31" x14ac:dyDescent="0.35">
      <c r="G849" s="85"/>
      <c r="H849" s="87"/>
      <c r="J849" s="93"/>
      <c r="K849" s="85"/>
      <c r="M849" s="94"/>
      <c r="N849" s="93"/>
      <c r="O849" s="85"/>
      <c r="Q849" s="94"/>
      <c r="R849" s="93"/>
      <c r="S849" s="85"/>
      <c r="U849" s="94"/>
      <c r="V849" s="93"/>
      <c r="W849" s="85"/>
      <c r="Y849" s="94"/>
      <c r="Z849" s="93"/>
      <c r="AA849" s="85"/>
      <c r="AC849" s="94"/>
      <c r="AD849" s="93"/>
      <c r="AE849" s="85"/>
    </row>
    <row r="850" spans="7:31" x14ac:dyDescent="0.35">
      <c r="G850" s="85"/>
      <c r="H850" s="87"/>
      <c r="J850" s="93"/>
      <c r="K850" s="85"/>
      <c r="M850" s="94"/>
      <c r="N850" s="93"/>
      <c r="O850" s="85"/>
      <c r="Q850" s="94"/>
      <c r="R850" s="93"/>
      <c r="S850" s="85"/>
      <c r="U850" s="94"/>
      <c r="V850" s="93"/>
      <c r="W850" s="85"/>
      <c r="Y850" s="94"/>
      <c r="Z850" s="93"/>
      <c r="AA850" s="85"/>
      <c r="AC850" s="94"/>
      <c r="AD850" s="93"/>
      <c r="AE850" s="85"/>
    </row>
    <row r="851" spans="7:31" x14ac:dyDescent="0.35">
      <c r="G851" s="85"/>
      <c r="H851" s="87"/>
      <c r="J851" s="93"/>
      <c r="K851" s="85"/>
      <c r="M851" s="94"/>
      <c r="N851" s="93"/>
      <c r="O851" s="85"/>
      <c r="Q851" s="94"/>
      <c r="R851" s="93"/>
      <c r="S851" s="85"/>
      <c r="U851" s="94"/>
      <c r="V851" s="93"/>
      <c r="W851" s="85"/>
      <c r="Y851" s="94"/>
      <c r="Z851" s="93"/>
      <c r="AA851" s="85"/>
      <c r="AC851" s="94"/>
      <c r="AD851" s="93"/>
      <c r="AE851" s="85"/>
    </row>
    <row r="852" spans="7:31" x14ac:dyDescent="0.35">
      <c r="G852" s="85"/>
      <c r="H852" s="87"/>
      <c r="J852" s="93"/>
      <c r="K852" s="85"/>
      <c r="M852" s="94"/>
      <c r="N852" s="93"/>
      <c r="O852" s="85"/>
      <c r="Q852" s="94"/>
      <c r="R852" s="93"/>
      <c r="S852" s="85"/>
      <c r="U852" s="94"/>
      <c r="V852" s="93"/>
      <c r="W852" s="85"/>
      <c r="Y852" s="94"/>
      <c r="Z852" s="93"/>
      <c r="AA852" s="85"/>
      <c r="AC852" s="94"/>
      <c r="AD852" s="93"/>
      <c r="AE852" s="85"/>
    </row>
    <row r="853" spans="7:31" x14ac:dyDescent="0.35">
      <c r="G853" s="85"/>
      <c r="H853" s="87"/>
      <c r="J853" s="93"/>
      <c r="K853" s="85"/>
      <c r="M853" s="94"/>
      <c r="N853" s="93"/>
      <c r="O853" s="85"/>
      <c r="Q853" s="94"/>
      <c r="R853" s="93"/>
      <c r="S853" s="85"/>
      <c r="U853" s="94"/>
      <c r="V853" s="93"/>
      <c r="W853" s="85"/>
      <c r="Y853" s="94"/>
      <c r="Z853" s="93"/>
      <c r="AA853" s="85"/>
      <c r="AC853" s="94"/>
      <c r="AD853" s="93"/>
      <c r="AE853" s="85"/>
    </row>
    <row r="854" spans="7:31" x14ac:dyDescent="0.35">
      <c r="G854" s="85"/>
      <c r="H854" s="87"/>
      <c r="J854" s="93"/>
      <c r="K854" s="85"/>
      <c r="M854" s="94"/>
      <c r="N854" s="93"/>
      <c r="O854" s="85"/>
      <c r="Q854" s="94"/>
      <c r="R854" s="93"/>
      <c r="S854" s="85"/>
      <c r="U854" s="94"/>
      <c r="V854" s="93"/>
      <c r="W854" s="85"/>
      <c r="Y854" s="94"/>
      <c r="Z854" s="93"/>
      <c r="AA854" s="85"/>
      <c r="AC854" s="94"/>
      <c r="AD854" s="93"/>
      <c r="AE854" s="85"/>
    </row>
    <row r="855" spans="7:31" x14ac:dyDescent="0.35">
      <c r="G855" s="85"/>
      <c r="H855" s="87"/>
      <c r="J855" s="93"/>
      <c r="K855" s="85"/>
      <c r="M855" s="94"/>
      <c r="N855" s="93"/>
      <c r="O855" s="85"/>
      <c r="Q855" s="94"/>
      <c r="R855" s="93"/>
      <c r="S855" s="85"/>
      <c r="U855" s="94"/>
      <c r="V855" s="93"/>
      <c r="W855" s="85"/>
      <c r="Y855" s="94"/>
      <c r="Z855" s="93"/>
      <c r="AA855" s="85"/>
      <c r="AC855" s="94"/>
      <c r="AD855" s="93"/>
      <c r="AE855" s="85"/>
    </row>
    <row r="856" spans="7:31" x14ac:dyDescent="0.35">
      <c r="G856" s="85"/>
      <c r="H856" s="87"/>
      <c r="J856" s="93"/>
      <c r="K856" s="85"/>
      <c r="M856" s="94"/>
      <c r="N856" s="93"/>
      <c r="O856" s="85"/>
      <c r="Q856" s="94"/>
      <c r="R856" s="93"/>
      <c r="S856" s="85"/>
      <c r="U856" s="94"/>
      <c r="V856" s="93"/>
      <c r="W856" s="85"/>
      <c r="Y856" s="94"/>
      <c r="Z856" s="93"/>
      <c r="AA856" s="85"/>
      <c r="AC856" s="94"/>
      <c r="AD856" s="93"/>
      <c r="AE856" s="85"/>
    </row>
    <row r="857" spans="7:31" x14ac:dyDescent="0.35">
      <c r="G857" s="85"/>
      <c r="H857" s="87"/>
      <c r="J857" s="93"/>
      <c r="K857" s="85"/>
      <c r="M857" s="94"/>
      <c r="N857" s="93"/>
      <c r="O857" s="85"/>
      <c r="Q857" s="94"/>
      <c r="R857" s="93"/>
      <c r="S857" s="85"/>
      <c r="U857" s="94"/>
      <c r="V857" s="93"/>
      <c r="W857" s="85"/>
      <c r="Y857" s="94"/>
      <c r="Z857" s="93"/>
      <c r="AA857" s="85"/>
      <c r="AC857" s="94"/>
      <c r="AD857" s="93"/>
      <c r="AE857" s="85"/>
    </row>
    <row r="858" spans="7:31" x14ac:dyDescent="0.35">
      <c r="G858" s="85"/>
      <c r="H858" s="87"/>
      <c r="J858" s="93"/>
      <c r="K858" s="85"/>
      <c r="M858" s="94"/>
      <c r="N858" s="93"/>
      <c r="O858" s="85"/>
      <c r="Q858" s="94"/>
      <c r="R858" s="93"/>
      <c r="S858" s="85"/>
      <c r="U858" s="94"/>
      <c r="V858" s="93"/>
      <c r="W858" s="85"/>
      <c r="Y858" s="94"/>
      <c r="Z858" s="93"/>
      <c r="AA858" s="85"/>
      <c r="AC858" s="94"/>
      <c r="AD858" s="93"/>
      <c r="AE858" s="85"/>
    </row>
    <row r="859" spans="7:31" x14ac:dyDescent="0.35">
      <c r="G859" s="85"/>
      <c r="H859" s="87"/>
      <c r="J859" s="93"/>
      <c r="K859" s="85"/>
      <c r="M859" s="94"/>
      <c r="N859" s="93"/>
      <c r="O859" s="85"/>
      <c r="Q859" s="94"/>
      <c r="R859" s="93"/>
      <c r="S859" s="85"/>
      <c r="U859" s="94"/>
      <c r="V859" s="93"/>
      <c r="W859" s="85"/>
      <c r="Y859" s="94"/>
      <c r="Z859" s="93"/>
      <c r="AA859" s="85"/>
      <c r="AC859" s="94"/>
      <c r="AD859" s="93"/>
      <c r="AE859" s="85"/>
    </row>
    <row r="860" spans="7:31" x14ac:dyDescent="0.35">
      <c r="G860" s="85"/>
      <c r="H860" s="87"/>
      <c r="J860" s="93"/>
      <c r="K860" s="85"/>
      <c r="M860" s="94"/>
      <c r="N860" s="93"/>
      <c r="O860" s="85"/>
      <c r="Q860" s="94"/>
      <c r="R860" s="93"/>
      <c r="S860" s="85"/>
      <c r="U860" s="94"/>
      <c r="V860" s="93"/>
      <c r="W860" s="85"/>
      <c r="Y860" s="94"/>
      <c r="Z860" s="93"/>
      <c r="AA860" s="85"/>
      <c r="AC860" s="94"/>
      <c r="AD860" s="93"/>
      <c r="AE860" s="85"/>
    </row>
    <row r="861" spans="7:31" x14ac:dyDescent="0.35">
      <c r="G861" s="85"/>
      <c r="H861" s="87"/>
      <c r="J861" s="93"/>
      <c r="K861" s="85"/>
      <c r="M861" s="94"/>
      <c r="N861" s="93"/>
      <c r="O861" s="85"/>
      <c r="Q861" s="94"/>
      <c r="R861" s="93"/>
      <c r="S861" s="85"/>
      <c r="U861" s="94"/>
      <c r="V861" s="93"/>
      <c r="W861" s="85"/>
      <c r="Y861" s="94"/>
      <c r="Z861" s="93"/>
      <c r="AA861" s="85"/>
      <c r="AC861" s="94"/>
      <c r="AD861" s="93"/>
      <c r="AE861" s="85"/>
    </row>
    <row r="862" spans="7:31" x14ac:dyDescent="0.35">
      <c r="G862" s="85"/>
      <c r="H862" s="87"/>
      <c r="J862" s="93"/>
      <c r="K862" s="85"/>
      <c r="M862" s="94"/>
      <c r="N862" s="93"/>
      <c r="O862" s="85"/>
      <c r="Q862" s="94"/>
      <c r="R862" s="93"/>
      <c r="S862" s="85"/>
      <c r="U862" s="94"/>
      <c r="V862" s="93"/>
      <c r="W862" s="85"/>
      <c r="Y862" s="94"/>
      <c r="Z862" s="93"/>
      <c r="AA862" s="85"/>
      <c r="AC862" s="94"/>
      <c r="AD862" s="93"/>
      <c r="AE862" s="85"/>
    </row>
    <row r="863" spans="7:31" x14ac:dyDescent="0.35">
      <c r="G863" s="85"/>
      <c r="H863" s="87"/>
      <c r="J863" s="93"/>
      <c r="K863" s="85"/>
      <c r="M863" s="94"/>
      <c r="N863" s="93"/>
      <c r="O863" s="85"/>
      <c r="Q863" s="94"/>
      <c r="R863" s="93"/>
      <c r="S863" s="85"/>
      <c r="U863" s="94"/>
      <c r="V863" s="93"/>
      <c r="W863" s="85"/>
      <c r="Y863" s="94"/>
      <c r="Z863" s="93"/>
      <c r="AA863" s="85"/>
      <c r="AC863" s="94"/>
      <c r="AD863" s="93"/>
      <c r="AE863" s="85"/>
    </row>
    <row r="864" spans="7:31" x14ac:dyDescent="0.35">
      <c r="G864" s="85"/>
      <c r="H864" s="87"/>
      <c r="J864" s="93"/>
      <c r="K864" s="85"/>
      <c r="M864" s="94"/>
      <c r="N864" s="93"/>
      <c r="O864" s="85"/>
      <c r="Q864" s="94"/>
      <c r="R864" s="93"/>
      <c r="S864" s="85"/>
      <c r="U864" s="94"/>
      <c r="V864" s="93"/>
      <c r="W864" s="85"/>
      <c r="Y864" s="94"/>
      <c r="Z864" s="93"/>
      <c r="AA864" s="85"/>
      <c r="AC864" s="94"/>
      <c r="AD864" s="93"/>
      <c r="AE864" s="85"/>
    </row>
    <row r="865" spans="7:31" x14ac:dyDescent="0.35">
      <c r="G865" s="85"/>
      <c r="H865" s="87"/>
      <c r="J865" s="93"/>
      <c r="K865" s="85"/>
      <c r="M865" s="94"/>
      <c r="N865" s="93"/>
      <c r="O865" s="85"/>
      <c r="Q865" s="94"/>
      <c r="R865" s="93"/>
      <c r="S865" s="85"/>
      <c r="U865" s="94"/>
      <c r="V865" s="93"/>
      <c r="W865" s="85"/>
      <c r="Y865" s="94"/>
      <c r="Z865" s="93"/>
      <c r="AA865" s="85"/>
      <c r="AC865" s="94"/>
      <c r="AD865" s="93"/>
      <c r="AE865" s="85"/>
    </row>
    <row r="866" spans="7:31" x14ac:dyDescent="0.35">
      <c r="G866" s="85"/>
      <c r="H866" s="87"/>
      <c r="J866" s="93"/>
      <c r="K866" s="85"/>
      <c r="M866" s="94"/>
      <c r="N866" s="93"/>
      <c r="O866" s="85"/>
      <c r="Q866" s="94"/>
      <c r="R866" s="93"/>
      <c r="S866" s="85"/>
      <c r="U866" s="94"/>
      <c r="V866" s="93"/>
      <c r="W866" s="85"/>
      <c r="Y866" s="94"/>
      <c r="Z866" s="93"/>
      <c r="AA866" s="85"/>
      <c r="AC866" s="94"/>
      <c r="AD866" s="93"/>
      <c r="AE866" s="85"/>
    </row>
    <row r="867" spans="7:31" x14ac:dyDescent="0.35">
      <c r="G867" s="85"/>
      <c r="H867" s="87"/>
      <c r="J867" s="93"/>
      <c r="K867" s="85"/>
      <c r="M867" s="94"/>
      <c r="N867" s="93"/>
      <c r="O867" s="85"/>
      <c r="Q867" s="94"/>
      <c r="R867" s="93"/>
      <c r="S867" s="85"/>
      <c r="U867" s="94"/>
      <c r="V867" s="93"/>
      <c r="W867" s="85"/>
      <c r="Y867" s="94"/>
      <c r="Z867" s="93"/>
      <c r="AA867" s="85"/>
      <c r="AC867" s="94"/>
      <c r="AD867" s="93"/>
      <c r="AE867" s="85"/>
    </row>
    <row r="868" spans="7:31" x14ac:dyDescent="0.35">
      <c r="G868" s="85"/>
      <c r="H868" s="87"/>
      <c r="J868" s="93"/>
      <c r="K868" s="85"/>
      <c r="M868" s="94"/>
      <c r="N868" s="93"/>
      <c r="O868" s="85"/>
      <c r="Q868" s="94"/>
      <c r="R868" s="93"/>
      <c r="S868" s="85"/>
      <c r="U868" s="94"/>
      <c r="V868" s="93"/>
      <c r="W868" s="85"/>
      <c r="Y868" s="94"/>
      <c r="Z868" s="93"/>
      <c r="AA868" s="85"/>
      <c r="AC868" s="94"/>
      <c r="AD868" s="93"/>
      <c r="AE868" s="85"/>
    </row>
    <row r="869" spans="7:31" x14ac:dyDescent="0.35">
      <c r="G869" s="85"/>
      <c r="H869" s="87"/>
      <c r="J869" s="93"/>
      <c r="K869" s="85"/>
      <c r="M869" s="94"/>
      <c r="N869" s="93"/>
      <c r="O869" s="85"/>
      <c r="Q869" s="94"/>
      <c r="R869" s="93"/>
      <c r="S869" s="85"/>
      <c r="U869" s="94"/>
      <c r="V869" s="93"/>
      <c r="W869" s="85"/>
      <c r="Y869" s="94"/>
      <c r="Z869" s="93"/>
      <c r="AA869" s="85"/>
      <c r="AC869" s="94"/>
      <c r="AD869" s="93"/>
      <c r="AE869" s="85"/>
    </row>
    <row r="870" spans="7:31" x14ac:dyDescent="0.35">
      <c r="G870" s="85"/>
      <c r="H870" s="87"/>
      <c r="J870" s="93"/>
      <c r="K870" s="85"/>
      <c r="M870" s="94"/>
      <c r="N870" s="93"/>
      <c r="O870" s="85"/>
      <c r="Q870" s="94"/>
      <c r="R870" s="93"/>
      <c r="S870" s="85"/>
      <c r="U870" s="94"/>
      <c r="V870" s="93"/>
      <c r="W870" s="85"/>
      <c r="Y870" s="94"/>
      <c r="Z870" s="93"/>
      <c r="AA870" s="85"/>
      <c r="AC870" s="94"/>
      <c r="AD870" s="93"/>
      <c r="AE870" s="85"/>
    </row>
    <row r="871" spans="7:31" x14ac:dyDescent="0.35">
      <c r="G871" s="85"/>
      <c r="H871" s="87"/>
      <c r="J871" s="93"/>
      <c r="K871" s="85"/>
      <c r="M871" s="94"/>
      <c r="N871" s="93"/>
      <c r="O871" s="85"/>
      <c r="Q871" s="94"/>
      <c r="R871" s="93"/>
      <c r="S871" s="85"/>
      <c r="U871" s="94"/>
      <c r="V871" s="93"/>
      <c r="W871" s="85"/>
      <c r="Y871" s="94"/>
      <c r="Z871" s="93"/>
      <c r="AA871" s="85"/>
      <c r="AC871" s="94"/>
      <c r="AD871" s="93"/>
      <c r="AE871" s="85"/>
    </row>
    <row r="872" spans="7:31" x14ac:dyDescent="0.35">
      <c r="G872" s="85"/>
      <c r="H872" s="87"/>
      <c r="J872" s="93"/>
      <c r="K872" s="85"/>
      <c r="M872" s="94"/>
      <c r="N872" s="93"/>
      <c r="O872" s="85"/>
      <c r="Q872" s="94"/>
      <c r="R872" s="93"/>
      <c r="S872" s="85"/>
      <c r="U872" s="94"/>
      <c r="V872" s="93"/>
      <c r="W872" s="85"/>
      <c r="Y872" s="94"/>
      <c r="Z872" s="93"/>
      <c r="AA872" s="85"/>
      <c r="AC872" s="94"/>
      <c r="AD872" s="93"/>
      <c r="AE872" s="85"/>
    </row>
    <row r="873" spans="7:31" x14ac:dyDescent="0.35">
      <c r="G873" s="85"/>
      <c r="H873" s="87"/>
      <c r="J873" s="93"/>
      <c r="K873" s="85"/>
      <c r="M873" s="94"/>
      <c r="N873" s="93"/>
      <c r="O873" s="85"/>
      <c r="Q873" s="94"/>
      <c r="R873" s="93"/>
      <c r="S873" s="85"/>
      <c r="U873" s="94"/>
      <c r="V873" s="93"/>
      <c r="W873" s="85"/>
      <c r="Y873" s="94"/>
      <c r="Z873" s="93"/>
      <c r="AA873" s="85"/>
      <c r="AC873" s="94"/>
      <c r="AD873" s="93"/>
      <c r="AE873" s="85"/>
    </row>
    <row r="874" spans="7:31" x14ac:dyDescent="0.35">
      <c r="G874" s="85"/>
      <c r="H874" s="87"/>
      <c r="J874" s="93"/>
      <c r="K874" s="85"/>
      <c r="M874" s="94"/>
      <c r="N874" s="93"/>
      <c r="O874" s="85"/>
      <c r="Q874" s="94"/>
      <c r="R874" s="93"/>
      <c r="S874" s="85"/>
      <c r="U874" s="94"/>
      <c r="V874" s="93"/>
      <c r="W874" s="85"/>
      <c r="Y874" s="94"/>
      <c r="Z874" s="93"/>
      <c r="AA874" s="85"/>
      <c r="AC874" s="94"/>
      <c r="AD874" s="93"/>
      <c r="AE874" s="85"/>
    </row>
    <row r="875" spans="7:31" x14ac:dyDescent="0.35">
      <c r="G875" s="85"/>
      <c r="H875" s="87"/>
      <c r="J875" s="93"/>
      <c r="K875" s="85"/>
      <c r="M875" s="94"/>
      <c r="N875" s="93"/>
      <c r="O875" s="85"/>
      <c r="Q875" s="94"/>
      <c r="R875" s="93"/>
      <c r="S875" s="85"/>
      <c r="U875" s="94"/>
      <c r="V875" s="93"/>
      <c r="W875" s="85"/>
      <c r="Y875" s="94"/>
      <c r="Z875" s="93"/>
      <c r="AA875" s="85"/>
      <c r="AC875" s="94"/>
      <c r="AD875" s="93"/>
      <c r="AE875" s="85"/>
    </row>
    <row r="876" spans="7:31" x14ac:dyDescent="0.35">
      <c r="G876" s="85"/>
      <c r="H876" s="87"/>
      <c r="J876" s="93"/>
      <c r="K876" s="85"/>
      <c r="M876" s="94"/>
      <c r="N876" s="93"/>
      <c r="O876" s="85"/>
      <c r="Q876" s="94"/>
      <c r="R876" s="93"/>
      <c r="S876" s="85"/>
      <c r="U876" s="94"/>
      <c r="V876" s="93"/>
      <c r="W876" s="85"/>
      <c r="Y876" s="94"/>
      <c r="Z876" s="93"/>
      <c r="AA876" s="85"/>
      <c r="AC876" s="94"/>
      <c r="AD876" s="93"/>
      <c r="AE876" s="85"/>
    </row>
    <row r="877" spans="7:31" x14ac:dyDescent="0.35">
      <c r="G877" s="85"/>
      <c r="H877" s="87"/>
      <c r="J877" s="93"/>
      <c r="K877" s="85"/>
      <c r="M877" s="94"/>
      <c r="N877" s="93"/>
      <c r="O877" s="85"/>
      <c r="Q877" s="94"/>
      <c r="R877" s="93"/>
      <c r="S877" s="85"/>
      <c r="U877" s="94"/>
      <c r="V877" s="93"/>
      <c r="W877" s="85"/>
      <c r="Y877" s="94"/>
      <c r="Z877" s="93"/>
      <c r="AA877" s="85"/>
      <c r="AC877" s="94"/>
      <c r="AD877" s="93"/>
      <c r="AE877" s="85"/>
    </row>
    <row r="878" spans="7:31" x14ac:dyDescent="0.35">
      <c r="G878" s="85"/>
      <c r="H878" s="87"/>
      <c r="J878" s="93"/>
      <c r="K878" s="85"/>
      <c r="M878" s="94"/>
      <c r="N878" s="93"/>
      <c r="O878" s="85"/>
      <c r="Q878" s="94"/>
      <c r="R878" s="93"/>
      <c r="S878" s="85"/>
      <c r="U878" s="94"/>
      <c r="V878" s="93"/>
      <c r="W878" s="85"/>
      <c r="Y878" s="94"/>
      <c r="Z878" s="93"/>
      <c r="AA878" s="85"/>
      <c r="AC878" s="94"/>
      <c r="AD878" s="93"/>
      <c r="AE878" s="85"/>
    </row>
    <row r="879" spans="7:31" x14ac:dyDescent="0.35">
      <c r="G879" s="85"/>
      <c r="H879" s="87"/>
      <c r="J879" s="93"/>
      <c r="K879" s="85"/>
      <c r="M879" s="94"/>
      <c r="N879" s="93"/>
      <c r="O879" s="85"/>
      <c r="Q879" s="94"/>
      <c r="R879" s="93"/>
      <c r="S879" s="85"/>
      <c r="U879" s="94"/>
      <c r="V879" s="93"/>
      <c r="W879" s="85"/>
      <c r="Y879" s="94"/>
      <c r="Z879" s="93"/>
      <c r="AA879" s="85"/>
      <c r="AC879" s="94"/>
      <c r="AD879" s="93"/>
      <c r="AE879" s="85"/>
    </row>
    <row r="880" spans="7:31" x14ac:dyDescent="0.35">
      <c r="G880" s="85"/>
      <c r="H880" s="87"/>
      <c r="J880" s="93"/>
      <c r="K880" s="85"/>
      <c r="M880" s="94"/>
      <c r="N880" s="93"/>
      <c r="O880" s="85"/>
      <c r="Q880" s="94"/>
      <c r="R880" s="93"/>
      <c r="S880" s="85"/>
      <c r="U880" s="94"/>
      <c r="V880" s="93"/>
      <c r="W880" s="85"/>
      <c r="Y880" s="94"/>
      <c r="Z880" s="93"/>
      <c r="AA880" s="85"/>
      <c r="AC880" s="94"/>
      <c r="AD880" s="93"/>
      <c r="AE880" s="85"/>
    </row>
    <row r="881" spans="7:31" x14ac:dyDescent="0.35">
      <c r="G881" s="85"/>
      <c r="H881" s="87"/>
      <c r="J881" s="93"/>
      <c r="K881" s="85"/>
      <c r="M881" s="94"/>
      <c r="N881" s="93"/>
      <c r="O881" s="85"/>
      <c r="Q881" s="94"/>
      <c r="R881" s="93"/>
      <c r="S881" s="85"/>
      <c r="U881" s="94"/>
      <c r="V881" s="93"/>
      <c r="W881" s="85"/>
      <c r="Y881" s="94"/>
      <c r="Z881" s="93"/>
      <c r="AA881" s="85"/>
      <c r="AC881" s="94"/>
      <c r="AD881" s="93"/>
      <c r="AE881" s="85"/>
    </row>
    <row r="882" spans="7:31" x14ac:dyDescent="0.35">
      <c r="G882" s="85"/>
      <c r="H882" s="87"/>
      <c r="J882" s="93"/>
      <c r="K882" s="85"/>
      <c r="M882" s="94"/>
      <c r="N882" s="93"/>
      <c r="O882" s="85"/>
      <c r="Q882" s="94"/>
      <c r="R882" s="93"/>
      <c r="S882" s="85"/>
      <c r="U882" s="94"/>
      <c r="V882" s="93"/>
      <c r="W882" s="85"/>
      <c r="Y882" s="94"/>
      <c r="Z882" s="93"/>
      <c r="AA882" s="85"/>
      <c r="AC882" s="94"/>
      <c r="AD882" s="93"/>
      <c r="AE882" s="85"/>
    </row>
    <row r="883" spans="7:31" x14ac:dyDescent="0.35">
      <c r="G883" s="85"/>
      <c r="H883" s="87"/>
      <c r="J883" s="93"/>
      <c r="K883" s="85"/>
      <c r="M883" s="94"/>
      <c r="N883" s="93"/>
      <c r="O883" s="85"/>
      <c r="Q883" s="94"/>
      <c r="R883" s="93"/>
      <c r="S883" s="85"/>
      <c r="U883" s="94"/>
      <c r="V883" s="93"/>
      <c r="W883" s="85"/>
      <c r="Y883" s="94"/>
      <c r="Z883" s="93"/>
      <c r="AA883" s="85"/>
      <c r="AC883" s="94"/>
      <c r="AD883" s="93"/>
      <c r="AE883" s="85"/>
    </row>
    <row r="884" spans="7:31" x14ac:dyDescent="0.35">
      <c r="G884" s="85"/>
      <c r="H884" s="87"/>
      <c r="J884" s="93"/>
      <c r="K884" s="85"/>
      <c r="M884" s="94"/>
      <c r="N884" s="93"/>
      <c r="O884" s="85"/>
      <c r="Q884" s="94"/>
      <c r="R884" s="93"/>
      <c r="S884" s="85"/>
      <c r="U884" s="94"/>
      <c r="V884" s="93"/>
      <c r="W884" s="85"/>
      <c r="Y884" s="94"/>
      <c r="Z884" s="93"/>
      <c r="AA884" s="85"/>
      <c r="AC884" s="94"/>
      <c r="AD884" s="93"/>
      <c r="AE884" s="85"/>
    </row>
    <row r="885" spans="7:31" x14ac:dyDescent="0.35">
      <c r="G885" s="85"/>
      <c r="H885" s="87"/>
      <c r="J885" s="93"/>
      <c r="K885" s="85"/>
      <c r="M885" s="94"/>
      <c r="N885" s="93"/>
      <c r="O885" s="85"/>
      <c r="Q885" s="94"/>
      <c r="R885" s="93"/>
      <c r="S885" s="85"/>
      <c r="U885" s="94"/>
      <c r="V885" s="93"/>
      <c r="W885" s="85"/>
      <c r="Y885" s="94"/>
      <c r="Z885" s="93"/>
      <c r="AA885" s="85"/>
      <c r="AC885" s="94"/>
      <c r="AD885" s="93"/>
      <c r="AE885" s="85"/>
    </row>
    <row r="886" spans="7:31" x14ac:dyDescent="0.35">
      <c r="G886" s="85"/>
      <c r="H886" s="87"/>
      <c r="J886" s="93"/>
      <c r="K886" s="85"/>
      <c r="M886" s="94"/>
      <c r="N886" s="93"/>
      <c r="O886" s="85"/>
      <c r="Q886" s="94"/>
      <c r="R886" s="93"/>
      <c r="S886" s="85"/>
      <c r="U886" s="94"/>
      <c r="V886" s="93"/>
      <c r="W886" s="85"/>
      <c r="Y886" s="94"/>
      <c r="Z886" s="93"/>
      <c r="AA886" s="85"/>
      <c r="AC886" s="94"/>
      <c r="AD886" s="93"/>
      <c r="AE886" s="85"/>
    </row>
    <row r="887" spans="7:31" x14ac:dyDescent="0.35">
      <c r="G887" s="85"/>
      <c r="H887" s="87"/>
      <c r="J887" s="93"/>
      <c r="K887" s="85"/>
      <c r="M887" s="94"/>
      <c r="N887" s="93"/>
      <c r="O887" s="85"/>
      <c r="Q887" s="94"/>
      <c r="R887" s="93"/>
      <c r="S887" s="85"/>
      <c r="U887" s="94"/>
      <c r="V887" s="93"/>
      <c r="W887" s="85"/>
      <c r="Y887" s="94"/>
      <c r="Z887" s="93"/>
      <c r="AA887" s="85"/>
      <c r="AC887" s="94"/>
      <c r="AD887" s="93"/>
      <c r="AE887" s="85"/>
    </row>
    <row r="888" spans="7:31" x14ac:dyDescent="0.35">
      <c r="G888" s="85"/>
      <c r="H888" s="87"/>
      <c r="J888" s="93"/>
      <c r="K888" s="85"/>
      <c r="M888" s="94"/>
      <c r="N888" s="93"/>
      <c r="O888" s="85"/>
      <c r="Q888" s="94"/>
      <c r="R888" s="93"/>
      <c r="S888" s="85"/>
      <c r="U888" s="94"/>
      <c r="V888" s="93"/>
      <c r="W888" s="85"/>
      <c r="Y888" s="94"/>
      <c r="Z888" s="93"/>
      <c r="AA888" s="85"/>
      <c r="AC888" s="94"/>
      <c r="AD888" s="93"/>
      <c r="AE888" s="85"/>
    </row>
    <row r="889" spans="7:31" x14ac:dyDescent="0.35">
      <c r="G889" s="85"/>
      <c r="H889" s="87"/>
      <c r="J889" s="93"/>
      <c r="K889" s="85"/>
      <c r="M889" s="94"/>
      <c r="N889" s="93"/>
      <c r="O889" s="85"/>
      <c r="Q889" s="94"/>
      <c r="R889" s="93"/>
      <c r="S889" s="85"/>
      <c r="U889" s="94"/>
      <c r="V889" s="93"/>
      <c r="W889" s="85"/>
      <c r="Y889" s="94"/>
      <c r="Z889" s="93"/>
      <c r="AA889" s="85"/>
      <c r="AC889" s="94"/>
      <c r="AD889" s="93"/>
      <c r="AE889" s="85"/>
    </row>
    <row r="890" spans="7:31" x14ac:dyDescent="0.35">
      <c r="G890" s="85"/>
      <c r="H890" s="87"/>
      <c r="J890" s="93"/>
      <c r="K890" s="85"/>
      <c r="M890" s="94"/>
      <c r="N890" s="93"/>
      <c r="O890" s="85"/>
      <c r="Q890" s="94"/>
      <c r="R890" s="93"/>
      <c r="S890" s="85"/>
      <c r="U890" s="94"/>
      <c r="V890" s="93"/>
      <c r="W890" s="85"/>
      <c r="Y890" s="94"/>
      <c r="Z890" s="93"/>
      <c r="AA890" s="85"/>
      <c r="AC890" s="94"/>
      <c r="AD890" s="93"/>
      <c r="AE890" s="85"/>
    </row>
    <row r="891" spans="7:31" x14ac:dyDescent="0.35">
      <c r="G891" s="85"/>
      <c r="H891" s="87"/>
      <c r="J891" s="93"/>
      <c r="K891" s="85"/>
      <c r="M891" s="94"/>
      <c r="N891" s="93"/>
      <c r="O891" s="85"/>
      <c r="Q891" s="94"/>
      <c r="R891" s="93"/>
      <c r="S891" s="85"/>
      <c r="U891" s="94"/>
      <c r="V891" s="93"/>
      <c r="W891" s="85"/>
      <c r="Y891" s="94"/>
      <c r="Z891" s="93"/>
      <c r="AA891" s="85"/>
      <c r="AC891" s="94"/>
      <c r="AD891" s="93"/>
      <c r="AE891" s="85"/>
    </row>
    <row r="892" spans="7:31" x14ac:dyDescent="0.35">
      <c r="G892" s="85"/>
      <c r="H892" s="87"/>
      <c r="J892" s="93"/>
      <c r="K892" s="85"/>
      <c r="M892" s="94"/>
      <c r="N892" s="93"/>
      <c r="O892" s="85"/>
      <c r="Q892" s="94"/>
      <c r="R892" s="93"/>
      <c r="S892" s="85"/>
      <c r="U892" s="94"/>
      <c r="V892" s="93"/>
      <c r="W892" s="85"/>
      <c r="Y892" s="94"/>
      <c r="Z892" s="93"/>
      <c r="AA892" s="85"/>
      <c r="AC892" s="94"/>
      <c r="AD892" s="93"/>
      <c r="AE892" s="85"/>
    </row>
    <row r="893" spans="7:31" x14ac:dyDescent="0.35">
      <c r="G893" s="85"/>
      <c r="H893" s="87"/>
      <c r="J893" s="93"/>
      <c r="K893" s="85"/>
      <c r="M893" s="94"/>
      <c r="N893" s="93"/>
      <c r="O893" s="85"/>
      <c r="Q893" s="94"/>
      <c r="R893" s="93"/>
      <c r="S893" s="85"/>
      <c r="U893" s="94"/>
      <c r="V893" s="93"/>
      <c r="W893" s="85"/>
      <c r="Y893" s="94"/>
      <c r="Z893" s="93"/>
      <c r="AA893" s="85"/>
      <c r="AC893" s="94"/>
      <c r="AD893" s="93"/>
      <c r="AE893" s="85"/>
    </row>
    <row r="894" spans="7:31" x14ac:dyDescent="0.35">
      <c r="G894" s="85"/>
      <c r="H894" s="87"/>
      <c r="J894" s="93"/>
      <c r="K894" s="85"/>
      <c r="M894" s="94"/>
      <c r="N894" s="93"/>
      <c r="O894" s="85"/>
      <c r="Q894" s="94"/>
      <c r="R894" s="93"/>
      <c r="S894" s="85"/>
      <c r="U894" s="94"/>
      <c r="V894" s="93"/>
      <c r="W894" s="85"/>
      <c r="Y894" s="94"/>
      <c r="Z894" s="93"/>
      <c r="AA894" s="85"/>
      <c r="AC894" s="94"/>
      <c r="AD894" s="93"/>
      <c r="AE894" s="85"/>
    </row>
    <row r="895" spans="7:31" x14ac:dyDescent="0.35">
      <c r="G895" s="85"/>
      <c r="H895" s="87"/>
      <c r="J895" s="93"/>
      <c r="K895" s="85"/>
      <c r="M895" s="94"/>
      <c r="N895" s="93"/>
      <c r="O895" s="85"/>
      <c r="Q895" s="94"/>
      <c r="R895" s="93"/>
      <c r="S895" s="85"/>
      <c r="U895" s="94"/>
      <c r="V895" s="93"/>
      <c r="W895" s="85"/>
      <c r="Y895" s="94"/>
      <c r="Z895" s="93"/>
      <c r="AA895" s="85"/>
      <c r="AC895" s="94"/>
      <c r="AD895" s="93"/>
      <c r="AE895" s="85"/>
    </row>
    <row r="896" spans="7:31" x14ac:dyDescent="0.35">
      <c r="G896" s="85"/>
      <c r="H896" s="87"/>
      <c r="J896" s="93"/>
      <c r="K896" s="85"/>
      <c r="M896" s="94"/>
      <c r="N896" s="93"/>
      <c r="O896" s="85"/>
      <c r="Q896" s="94"/>
      <c r="R896" s="93"/>
      <c r="S896" s="85"/>
      <c r="U896" s="94"/>
      <c r="V896" s="93"/>
      <c r="W896" s="85"/>
      <c r="Y896" s="94"/>
      <c r="Z896" s="93"/>
      <c r="AA896" s="85"/>
      <c r="AC896" s="94"/>
      <c r="AD896" s="93"/>
      <c r="AE896" s="85"/>
    </row>
    <row r="897" spans="7:31" x14ac:dyDescent="0.35">
      <c r="G897" s="85"/>
      <c r="H897" s="87"/>
      <c r="J897" s="93"/>
      <c r="K897" s="85"/>
      <c r="M897" s="94"/>
      <c r="N897" s="93"/>
      <c r="O897" s="85"/>
      <c r="Q897" s="94"/>
      <c r="R897" s="93"/>
      <c r="S897" s="85"/>
      <c r="U897" s="94"/>
      <c r="V897" s="93"/>
      <c r="W897" s="85"/>
      <c r="Y897" s="94"/>
      <c r="Z897" s="93"/>
      <c r="AA897" s="85"/>
      <c r="AC897" s="94"/>
      <c r="AD897" s="93"/>
      <c r="AE897" s="85"/>
    </row>
    <row r="898" spans="7:31" x14ac:dyDescent="0.35">
      <c r="G898" s="85"/>
      <c r="H898" s="87"/>
      <c r="J898" s="93"/>
      <c r="K898" s="85"/>
      <c r="M898" s="94"/>
      <c r="N898" s="93"/>
      <c r="O898" s="85"/>
      <c r="Q898" s="94"/>
      <c r="R898" s="93"/>
      <c r="S898" s="85"/>
      <c r="U898" s="94"/>
      <c r="V898" s="93"/>
      <c r="W898" s="85"/>
      <c r="Y898" s="94"/>
      <c r="Z898" s="93"/>
      <c r="AA898" s="85"/>
      <c r="AC898" s="94"/>
      <c r="AD898" s="93"/>
      <c r="AE898" s="85"/>
    </row>
    <row r="899" spans="7:31" x14ac:dyDescent="0.35">
      <c r="G899" s="85"/>
      <c r="H899" s="87"/>
      <c r="J899" s="93"/>
      <c r="K899" s="85"/>
      <c r="M899" s="94"/>
      <c r="N899" s="93"/>
      <c r="O899" s="85"/>
      <c r="Q899" s="94"/>
      <c r="R899" s="93"/>
      <c r="S899" s="85"/>
      <c r="U899" s="94"/>
      <c r="V899" s="93"/>
      <c r="W899" s="85"/>
      <c r="Y899" s="94"/>
      <c r="Z899" s="93"/>
      <c r="AA899" s="85"/>
      <c r="AC899" s="94"/>
      <c r="AD899" s="93"/>
      <c r="AE899" s="85"/>
    </row>
    <row r="900" spans="7:31" x14ac:dyDescent="0.35">
      <c r="G900" s="85"/>
      <c r="H900" s="87"/>
      <c r="J900" s="93"/>
      <c r="K900" s="85"/>
      <c r="M900" s="94"/>
      <c r="N900" s="93"/>
      <c r="O900" s="85"/>
      <c r="Q900" s="94"/>
      <c r="R900" s="93"/>
      <c r="S900" s="85"/>
      <c r="U900" s="94"/>
      <c r="V900" s="93"/>
      <c r="W900" s="85"/>
      <c r="Y900" s="94"/>
      <c r="Z900" s="93"/>
      <c r="AA900" s="85"/>
      <c r="AC900" s="94"/>
      <c r="AD900" s="93"/>
      <c r="AE900" s="85"/>
    </row>
    <row r="901" spans="7:31" x14ac:dyDescent="0.35">
      <c r="G901" s="85"/>
      <c r="H901" s="87"/>
      <c r="J901" s="93"/>
      <c r="K901" s="85"/>
      <c r="M901" s="94"/>
      <c r="N901" s="93"/>
      <c r="O901" s="85"/>
      <c r="Q901" s="94"/>
      <c r="R901" s="93"/>
      <c r="S901" s="85"/>
      <c r="U901" s="94"/>
      <c r="V901" s="93"/>
      <c r="W901" s="85"/>
      <c r="Y901" s="94"/>
      <c r="Z901" s="93"/>
      <c r="AA901" s="85"/>
      <c r="AC901" s="94"/>
      <c r="AD901" s="93"/>
      <c r="AE901" s="85"/>
    </row>
    <row r="902" spans="7:31" x14ac:dyDescent="0.35">
      <c r="G902" s="85"/>
      <c r="H902" s="87"/>
      <c r="J902" s="93"/>
      <c r="K902" s="85"/>
      <c r="M902" s="94"/>
      <c r="N902" s="93"/>
      <c r="O902" s="85"/>
      <c r="Q902" s="94"/>
      <c r="R902" s="93"/>
      <c r="S902" s="85"/>
      <c r="U902" s="94"/>
      <c r="V902" s="93"/>
      <c r="W902" s="85"/>
      <c r="Y902" s="94"/>
      <c r="Z902" s="93"/>
      <c r="AA902" s="85"/>
      <c r="AC902" s="94"/>
      <c r="AD902" s="93"/>
      <c r="AE902" s="85"/>
    </row>
    <row r="903" spans="7:31" x14ac:dyDescent="0.35">
      <c r="G903" s="85"/>
      <c r="H903" s="87"/>
      <c r="J903" s="93"/>
      <c r="K903" s="85"/>
      <c r="M903" s="94"/>
      <c r="N903" s="93"/>
      <c r="O903" s="85"/>
      <c r="Q903" s="94"/>
      <c r="R903" s="93"/>
      <c r="S903" s="85"/>
      <c r="U903" s="94"/>
      <c r="V903" s="93"/>
      <c r="W903" s="85"/>
      <c r="Y903" s="94"/>
      <c r="Z903" s="93"/>
      <c r="AA903" s="85"/>
      <c r="AC903" s="94"/>
      <c r="AD903" s="93"/>
      <c r="AE903" s="85"/>
    </row>
    <row r="904" spans="7:31" x14ac:dyDescent="0.35">
      <c r="G904" s="85"/>
      <c r="H904" s="87"/>
      <c r="J904" s="93"/>
      <c r="K904" s="85"/>
      <c r="M904" s="94"/>
      <c r="N904" s="93"/>
      <c r="O904" s="85"/>
      <c r="Q904" s="94"/>
      <c r="R904" s="93"/>
      <c r="S904" s="85"/>
      <c r="U904" s="94"/>
      <c r="V904" s="93"/>
      <c r="W904" s="85"/>
      <c r="Y904" s="94"/>
      <c r="Z904" s="93"/>
      <c r="AA904" s="85"/>
      <c r="AC904" s="94"/>
      <c r="AD904" s="93"/>
      <c r="AE904" s="85"/>
    </row>
    <row r="905" spans="7:31" x14ac:dyDescent="0.35">
      <c r="G905" s="85"/>
      <c r="H905" s="87"/>
      <c r="J905" s="93"/>
      <c r="K905" s="85"/>
      <c r="M905" s="94"/>
      <c r="N905" s="93"/>
      <c r="O905" s="85"/>
      <c r="Q905" s="94"/>
      <c r="R905" s="93"/>
      <c r="S905" s="85"/>
      <c r="U905" s="94"/>
      <c r="V905" s="93"/>
      <c r="W905" s="85"/>
      <c r="Y905" s="94"/>
      <c r="Z905" s="93"/>
      <c r="AA905" s="85"/>
      <c r="AC905" s="94"/>
      <c r="AD905" s="93"/>
      <c r="AE905" s="85"/>
    </row>
    <row r="906" spans="7:31" x14ac:dyDescent="0.35">
      <c r="G906" s="85"/>
      <c r="H906" s="87"/>
      <c r="J906" s="93"/>
      <c r="K906" s="85"/>
      <c r="M906" s="94"/>
      <c r="N906" s="93"/>
      <c r="O906" s="85"/>
      <c r="Q906" s="94"/>
      <c r="R906" s="93"/>
      <c r="S906" s="85"/>
      <c r="U906" s="94"/>
      <c r="V906" s="93"/>
      <c r="W906" s="85"/>
      <c r="Y906" s="94"/>
      <c r="Z906" s="93"/>
      <c r="AA906" s="85"/>
      <c r="AC906" s="94"/>
      <c r="AD906" s="93"/>
      <c r="AE906" s="85"/>
    </row>
    <row r="907" spans="7:31" x14ac:dyDescent="0.35">
      <c r="G907" s="85"/>
      <c r="H907" s="87"/>
      <c r="J907" s="93"/>
      <c r="K907" s="85"/>
      <c r="M907" s="94"/>
      <c r="N907" s="93"/>
      <c r="O907" s="85"/>
      <c r="Q907" s="94"/>
      <c r="R907" s="93"/>
      <c r="S907" s="85"/>
      <c r="U907" s="94"/>
      <c r="V907" s="93"/>
      <c r="W907" s="85"/>
      <c r="Y907" s="94"/>
      <c r="Z907" s="93"/>
      <c r="AA907" s="85"/>
      <c r="AC907" s="94"/>
      <c r="AD907" s="93"/>
      <c r="AE907" s="85"/>
    </row>
    <row r="908" spans="7:31" x14ac:dyDescent="0.35">
      <c r="G908" s="85"/>
      <c r="H908" s="87"/>
      <c r="J908" s="93"/>
      <c r="K908" s="85"/>
      <c r="M908" s="94"/>
      <c r="N908" s="93"/>
      <c r="O908" s="85"/>
      <c r="Q908" s="94"/>
      <c r="R908" s="93"/>
      <c r="S908" s="85"/>
      <c r="U908" s="94"/>
      <c r="V908" s="93"/>
      <c r="W908" s="85"/>
      <c r="Y908" s="94"/>
      <c r="Z908" s="93"/>
      <c r="AA908" s="85"/>
      <c r="AC908" s="94"/>
      <c r="AD908" s="93"/>
      <c r="AE908" s="85"/>
    </row>
    <row r="909" spans="7:31" x14ac:dyDescent="0.35">
      <c r="G909" s="85"/>
      <c r="H909" s="87"/>
      <c r="J909" s="93"/>
      <c r="K909" s="85"/>
      <c r="M909" s="94"/>
      <c r="N909" s="93"/>
      <c r="O909" s="85"/>
      <c r="Q909" s="94"/>
      <c r="R909" s="93"/>
      <c r="S909" s="85"/>
      <c r="U909" s="94"/>
      <c r="V909" s="93"/>
      <c r="W909" s="85"/>
      <c r="Y909" s="94"/>
      <c r="Z909" s="93"/>
      <c r="AA909" s="85"/>
      <c r="AC909" s="94"/>
      <c r="AD909" s="93"/>
      <c r="AE909" s="85"/>
    </row>
    <row r="910" spans="7:31" x14ac:dyDescent="0.35">
      <c r="G910" s="85"/>
      <c r="H910" s="87"/>
      <c r="J910" s="93"/>
      <c r="K910" s="85"/>
      <c r="M910" s="94"/>
      <c r="N910" s="93"/>
      <c r="O910" s="85"/>
      <c r="Q910" s="94"/>
      <c r="R910" s="93"/>
      <c r="S910" s="85"/>
      <c r="U910" s="94"/>
      <c r="V910" s="93"/>
      <c r="W910" s="85"/>
      <c r="Y910" s="94"/>
      <c r="Z910" s="93"/>
      <c r="AA910" s="85"/>
      <c r="AC910" s="94"/>
      <c r="AD910" s="93"/>
      <c r="AE910" s="85"/>
    </row>
    <row r="911" spans="7:31" x14ac:dyDescent="0.35">
      <c r="G911" s="85"/>
      <c r="H911" s="87"/>
      <c r="J911" s="93"/>
      <c r="K911" s="85"/>
      <c r="M911" s="94"/>
      <c r="N911" s="93"/>
      <c r="O911" s="85"/>
      <c r="Q911" s="94"/>
      <c r="R911" s="93"/>
      <c r="S911" s="85"/>
      <c r="U911" s="94"/>
      <c r="V911" s="93"/>
      <c r="W911" s="85"/>
      <c r="Y911" s="94"/>
      <c r="Z911" s="93"/>
      <c r="AA911" s="85"/>
      <c r="AC911" s="94"/>
      <c r="AD911" s="93"/>
      <c r="AE911" s="85"/>
    </row>
    <row r="912" spans="7:31" x14ac:dyDescent="0.35">
      <c r="G912" s="85"/>
      <c r="H912" s="87"/>
      <c r="J912" s="93"/>
      <c r="K912" s="85"/>
      <c r="M912" s="94"/>
      <c r="N912" s="93"/>
      <c r="O912" s="85"/>
      <c r="Q912" s="94"/>
      <c r="R912" s="93"/>
      <c r="S912" s="85"/>
      <c r="U912" s="94"/>
      <c r="V912" s="93"/>
      <c r="W912" s="85"/>
      <c r="Y912" s="94"/>
      <c r="Z912" s="93"/>
      <c r="AA912" s="85"/>
      <c r="AC912" s="94"/>
      <c r="AD912" s="93"/>
      <c r="AE912" s="85"/>
    </row>
    <row r="913" spans="7:31" x14ac:dyDescent="0.35">
      <c r="G913" s="85"/>
      <c r="H913" s="87"/>
      <c r="J913" s="93"/>
      <c r="K913" s="85"/>
      <c r="M913" s="94"/>
      <c r="N913" s="93"/>
      <c r="O913" s="85"/>
      <c r="Q913" s="94"/>
      <c r="R913" s="93"/>
      <c r="S913" s="85"/>
      <c r="U913" s="94"/>
      <c r="V913" s="93"/>
      <c r="W913" s="85"/>
      <c r="Y913" s="94"/>
      <c r="Z913" s="93"/>
      <c r="AA913" s="85"/>
      <c r="AC913" s="94"/>
      <c r="AD913" s="93"/>
      <c r="AE913" s="85"/>
    </row>
    <row r="914" spans="7:31" x14ac:dyDescent="0.35">
      <c r="G914" s="85"/>
      <c r="H914" s="87"/>
      <c r="J914" s="93"/>
      <c r="K914" s="85"/>
      <c r="M914" s="94"/>
      <c r="N914" s="93"/>
      <c r="O914" s="85"/>
      <c r="Q914" s="94"/>
      <c r="R914" s="93"/>
      <c r="S914" s="85"/>
      <c r="U914" s="94"/>
      <c r="V914" s="93"/>
      <c r="W914" s="85"/>
      <c r="Y914" s="94"/>
      <c r="Z914" s="93"/>
      <c r="AA914" s="85"/>
      <c r="AC914" s="94"/>
      <c r="AD914" s="93"/>
      <c r="AE914" s="85"/>
    </row>
    <row r="915" spans="7:31" x14ac:dyDescent="0.35">
      <c r="G915" s="85"/>
      <c r="H915" s="87"/>
      <c r="J915" s="93"/>
      <c r="K915" s="85"/>
      <c r="M915" s="94"/>
      <c r="N915" s="93"/>
      <c r="O915" s="85"/>
      <c r="Q915" s="94"/>
      <c r="R915" s="93"/>
      <c r="S915" s="85"/>
      <c r="U915" s="94"/>
      <c r="V915" s="93"/>
      <c r="W915" s="85"/>
      <c r="Y915" s="94"/>
      <c r="Z915" s="93"/>
      <c r="AA915" s="85"/>
      <c r="AC915" s="94"/>
      <c r="AD915" s="93"/>
      <c r="AE915" s="85"/>
    </row>
    <row r="916" spans="7:31" x14ac:dyDescent="0.35">
      <c r="G916" s="85"/>
      <c r="H916" s="87"/>
      <c r="J916" s="93"/>
      <c r="K916" s="85"/>
      <c r="M916" s="94"/>
      <c r="N916" s="93"/>
      <c r="O916" s="85"/>
      <c r="Q916" s="94"/>
      <c r="R916" s="93"/>
      <c r="S916" s="85"/>
      <c r="U916" s="94"/>
      <c r="V916" s="93"/>
      <c r="W916" s="85"/>
      <c r="Y916" s="94"/>
      <c r="Z916" s="93"/>
      <c r="AA916" s="85"/>
      <c r="AC916" s="94"/>
      <c r="AD916" s="93"/>
      <c r="AE916" s="85"/>
    </row>
    <row r="917" spans="7:31" x14ac:dyDescent="0.35">
      <c r="G917" s="85"/>
      <c r="H917" s="87"/>
      <c r="J917" s="93"/>
      <c r="K917" s="85"/>
      <c r="M917" s="94"/>
      <c r="N917" s="93"/>
      <c r="O917" s="85"/>
      <c r="Q917" s="94"/>
      <c r="R917" s="93"/>
      <c r="S917" s="85"/>
      <c r="U917" s="94"/>
      <c r="V917" s="93"/>
      <c r="W917" s="85"/>
      <c r="Y917" s="94"/>
      <c r="Z917" s="93"/>
      <c r="AA917" s="85"/>
      <c r="AC917" s="94"/>
      <c r="AD917" s="93"/>
      <c r="AE917" s="85"/>
    </row>
    <row r="918" spans="7:31" x14ac:dyDescent="0.35">
      <c r="G918" s="85"/>
      <c r="H918" s="87"/>
      <c r="J918" s="93"/>
      <c r="K918" s="85"/>
      <c r="M918" s="94"/>
      <c r="N918" s="93"/>
      <c r="O918" s="85"/>
      <c r="Q918" s="94"/>
      <c r="R918" s="93"/>
      <c r="S918" s="85"/>
      <c r="U918" s="94"/>
      <c r="V918" s="93"/>
      <c r="W918" s="85"/>
      <c r="Y918" s="94"/>
      <c r="Z918" s="93"/>
      <c r="AA918" s="85"/>
      <c r="AC918" s="94"/>
      <c r="AD918" s="93"/>
      <c r="AE918" s="85"/>
    </row>
    <row r="919" spans="7:31" x14ac:dyDescent="0.35">
      <c r="G919" s="85"/>
      <c r="H919" s="87"/>
      <c r="J919" s="93"/>
      <c r="K919" s="85"/>
      <c r="M919" s="94"/>
      <c r="N919" s="93"/>
      <c r="O919" s="85"/>
      <c r="Q919" s="94"/>
      <c r="R919" s="93"/>
      <c r="S919" s="85"/>
      <c r="U919" s="94"/>
      <c r="V919" s="93"/>
      <c r="W919" s="85"/>
      <c r="Y919" s="94"/>
      <c r="Z919" s="93"/>
      <c r="AA919" s="85"/>
      <c r="AC919" s="94"/>
      <c r="AD919" s="93"/>
      <c r="AE919" s="85"/>
    </row>
    <row r="920" spans="7:31" x14ac:dyDescent="0.35">
      <c r="G920" s="85"/>
      <c r="H920" s="87"/>
      <c r="J920" s="93"/>
      <c r="K920" s="85"/>
      <c r="M920" s="94"/>
      <c r="N920" s="93"/>
      <c r="O920" s="85"/>
      <c r="Q920" s="94"/>
      <c r="R920" s="93"/>
      <c r="S920" s="85"/>
      <c r="U920" s="94"/>
      <c r="V920" s="93"/>
      <c r="W920" s="85"/>
      <c r="Y920" s="94"/>
      <c r="Z920" s="93"/>
      <c r="AA920" s="85"/>
      <c r="AC920" s="94"/>
      <c r="AD920" s="93"/>
      <c r="AE920" s="85"/>
    </row>
    <row r="921" spans="7:31" x14ac:dyDescent="0.35">
      <c r="G921" s="85"/>
      <c r="H921" s="87"/>
      <c r="J921" s="93"/>
      <c r="K921" s="85"/>
      <c r="M921" s="94"/>
      <c r="N921" s="93"/>
      <c r="O921" s="85"/>
      <c r="Q921" s="94"/>
      <c r="R921" s="93"/>
      <c r="S921" s="85"/>
      <c r="U921" s="94"/>
      <c r="V921" s="93"/>
      <c r="W921" s="85"/>
      <c r="Y921" s="94"/>
      <c r="Z921" s="93"/>
      <c r="AA921" s="85"/>
      <c r="AC921" s="94"/>
      <c r="AD921" s="93"/>
      <c r="AE921" s="85"/>
    </row>
    <row r="922" spans="7:31" x14ac:dyDescent="0.35">
      <c r="G922" s="85"/>
      <c r="H922" s="87"/>
      <c r="J922" s="93"/>
      <c r="K922" s="85"/>
      <c r="M922" s="94"/>
      <c r="N922" s="93"/>
      <c r="O922" s="85"/>
      <c r="Q922" s="94"/>
      <c r="R922" s="93"/>
      <c r="S922" s="85"/>
      <c r="U922" s="94"/>
      <c r="V922" s="93"/>
      <c r="W922" s="85"/>
      <c r="Y922" s="94"/>
      <c r="Z922" s="93"/>
      <c r="AA922" s="85"/>
      <c r="AC922" s="94"/>
      <c r="AD922" s="93"/>
      <c r="AE922" s="85"/>
    </row>
    <row r="923" spans="7:31" x14ac:dyDescent="0.35">
      <c r="G923" s="85"/>
      <c r="H923" s="87"/>
      <c r="J923" s="93"/>
      <c r="K923" s="85"/>
      <c r="M923" s="94"/>
      <c r="N923" s="93"/>
      <c r="O923" s="85"/>
      <c r="Q923" s="94"/>
      <c r="R923" s="93"/>
      <c r="S923" s="85"/>
      <c r="U923" s="94"/>
      <c r="V923" s="93"/>
      <c r="W923" s="85"/>
      <c r="Y923" s="94"/>
      <c r="Z923" s="93"/>
      <c r="AA923" s="85"/>
      <c r="AC923" s="94"/>
      <c r="AD923" s="93"/>
      <c r="AE923" s="85"/>
    </row>
    <row r="924" spans="7:31" x14ac:dyDescent="0.35">
      <c r="G924" s="85"/>
      <c r="H924" s="87"/>
      <c r="J924" s="93"/>
      <c r="K924" s="85"/>
      <c r="M924" s="94"/>
      <c r="N924" s="93"/>
      <c r="O924" s="85"/>
      <c r="Q924" s="94"/>
      <c r="R924" s="93"/>
      <c r="S924" s="85"/>
      <c r="U924" s="94"/>
      <c r="V924" s="93"/>
      <c r="W924" s="85"/>
      <c r="Y924" s="94"/>
      <c r="Z924" s="93"/>
      <c r="AA924" s="85"/>
      <c r="AC924" s="94"/>
      <c r="AD924" s="93"/>
      <c r="AE924" s="85"/>
    </row>
    <row r="925" spans="7:31" x14ac:dyDescent="0.35">
      <c r="G925" s="85"/>
      <c r="H925" s="87"/>
      <c r="J925" s="93"/>
      <c r="K925" s="85"/>
      <c r="M925" s="94"/>
      <c r="N925" s="93"/>
      <c r="O925" s="85"/>
      <c r="Q925" s="94"/>
      <c r="R925" s="93"/>
      <c r="S925" s="85"/>
      <c r="U925" s="94"/>
      <c r="V925" s="93"/>
      <c r="W925" s="85"/>
      <c r="Y925" s="94"/>
      <c r="Z925" s="93"/>
      <c r="AA925" s="85"/>
      <c r="AC925" s="94"/>
      <c r="AD925" s="93"/>
      <c r="AE925" s="85"/>
    </row>
    <row r="926" spans="7:31" x14ac:dyDescent="0.35">
      <c r="G926" s="85"/>
      <c r="H926" s="87"/>
      <c r="J926" s="93"/>
      <c r="K926" s="85"/>
      <c r="M926" s="94"/>
      <c r="N926" s="93"/>
      <c r="O926" s="85"/>
      <c r="Q926" s="94"/>
      <c r="R926" s="93"/>
      <c r="S926" s="85"/>
      <c r="U926" s="94"/>
      <c r="V926" s="93"/>
      <c r="W926" s="85"/>
      <c r="Y926" s="94"/>
      <c r="Z926" s="93"/>
      <c r="AA926" s="85"/>
      <c r="AC926" s="94"/>
      <c r="AD926" s="93"/>
      <c r="AE926" s="85"/>
    </row>
    <row r="927" spans="7:31" x14ac:dyDescent="0.35">
      <c r="G927" s="85"/>
      <c r="H927" s="87"/>
      <c r="J927" s="93"/>
      <c r="K927" s="85"/>
      <c r="M927" s="94"/>
      <c r="N927" s="93"/>
      <c r="O927" s="85"/>
      <c r="Q927" s="94"/>
      <c r="R927" s="93"/>
      <c r="S927" s="85"/>
      <c r="U927" s="94"/>
      <c r="V927" s="93"/>
      <c r="W927" s="85"/>
      <c r="Y927" s="94"/>
      <c r="Z927" s="93"/>
      <c r="AA927" s="85"/>
      <c r="AC927" s="94"/>
      <c r="AD927" s="93"/>
      <c r="AE927" s="85"/>
    </row>
    <row r="928" spans="7:31" x14ac:dyDescent="0.35">
      <c r="G928" s="85"/>
      <c r="H928" s="87"/>
      <c r="J928" s="93"/>
      <c r="K928" s="85"/>
      <c r="M928" s="94"/>
      <c r="N928" s="93"/>
      <c r="O928" s="85"/>
      <c r="Q928" s="94"/>
      <c r="R928" s="93"/>
      <c r="S928" s="85"/>
      <c r="U928" s="94"/>
      <c r="V928" s="93"/>
      <c r="W928" s="85"/>
      <c r="Y928" s="94"/>
      <c r="Z928" s="93"/>
      <c r="AA928" s="85"/>
      <c r="AC928" s="94"/>
      <c r="AD928" s="93"/>
      <c r="AE928" s="85"/>
    </row>
    <row r="929" spans="7:31" x14ac:dyDescent="0.35">
      <c r="G929" s="85"/>
      <c r="H929" s="87"/>
      <c r="J929" s="93"/>
      <c r="K929" s="85"/>
      <c r="M929" s="94"/>
      <c r="N929" s="93"/>
      <c r="O929" s="85"/>
      <c r="Q929" s="94"/>
      <c r="R929" s="93"/>
      <c r="S929" s="85"/>
      <c r="U929" s="94"/>
      <c r="V929" s="93"/>
      <c r="W929" s="85"/>
      <c r="Y929" s="94"/>
      <c r="Z929" s="93"/>
      <c r="AA929" s="85"/>
      <c r="AC929" s="94"/>
      <c r="AD929" s="93"/>
      <c r="AE929" s="85"/>
    </row>
    <row r="930" spans="7:31" x14ac:dyDescent="0.35">
      <c r="G930" s="85"/>
      <c r="H930" s="87"/>
      <c r="J930" s="93"/>
      <c r="K930" s="85"/>
      <c r="M930" s="94"/>
      <c r="N930" s="93"/>
      <c r="O930" s="85"/>
      <c r="Q930" s="94"/>
      <c r="R930" s="93"/>
      <c r="S930" s="85"/>
      <c r="U930" s="94"/>
      <c r="V930" s="93"/>
      <c r="W930" s="85"/>
      <c r="Y930" s="94"/>
      <c r="Z930" s="93"/>
      <c r="AA930" s="85"/>
      <c r="AC930" s="94"/>
      <c r="AD930" s="93"/>
      <c r="AE930" s="85"/>
    </row>
    <row r="931" spans="7:31" x14ac:dyDescent="0.35">
      <c r="G931" s="85"/>
      <c r="H931" s="87"/>
      <c r="J931" s="93"/>
      <c r="K931" s="85"/>
      <c r="M931" s="94"/>
      <c r="N931" s="93"/>
      <c r="O931" s="85"/>
      <c r="Q931" s="94"/>
      <c r="R931" s="93"/>
      <c r="S931" s="85"/>
      <c r="U931" s="94"/>
      <c r="V931" s="93"/>
      <c r="W931" s="85"/>
      <c r="Y931" s="94"/>
      <c r="Z931" s="93"/>
      <c r="AA931" s="85"/>
      <c r="AC931" s="94"/>
      <c r="AD931" s="93"/>
      <c r="AE931" s="85"/>
    </row>
    <row r="932" spans="7:31" x14ac:dyDescent="0.35">
      <c r="G932" s="85"/>
      <c r="H932" s="87"/>
      <c r="J932" s="93"/>
      <c r="K932" s="85"/>
      <c r="M932" s="94"/>
      <c r="N932" s="93"/>
      <c r="O932" s="85"/>
      <c r="Q932" s="94"/>
      <c r="R932" s="93"/>
      <c r="S932" s="85"/>
      <c r="U932" s="94"/>
      <c r="V932" s="93"/>
      <c r="W932" s="85"/>
      <c r="Y932" s="94"/>
      <c r="Z932" s="93"/>
      <c r="AA932" s="85"/>
      <c r="AC932" s="94"/>
      <c r="AD932" s="93"/>
      <c r="AE932" s="85"/>
    </row>
    <row r="933" spans="7:31" x14ac:dyDescent="0.35">
      <c r="G933" s="85"/>
      <c r="H933" s="87"/>
      <c r="J933" s="93"/>
      <c r="K933" s="85"/>
      <c r="M933" s="94"/>
      <c r="N933" s="93"/>
      <c r="O933" s="85"/>
      <c r="Q933" s="94"/>
      <c r="R933" s="93"/>
      <c r="S933" s="85"/>
      <c r="U933" s="94"/>
      <c r="V933" s="93"/>
      <c r="W933" s="85"/>
      <c r="Y933" s="94"/>
      <c r="Z933" s="93"/>
      <c r="AA933" s="85"/>
      <c r="AC933" s="94"/>
      <c r="AD933" s="93"/>
      <c r="AE933" s="85"/>
    </row>
    <row r="934" spans="7:31" x14ac:dyDescent="0.35">
      <c r="G934" s="85"/>
      <c r="H934" s="87"/>
      <c r="J934" s="93"/>
      <c r="K934" s="85"/>
      <c r="M934" s="94"/>
      <c r="N934" s="93"/>
      <c r="O934" s="85"/>
      <c r="Q934" s="94"/>
      <c r="R934" s="93"/>
      <c r="S934" s="85"/>
      <c r="U934" s="94"/>
      <c r="V934" s="93"/>
      <c r="W934" s="85"/>
      <c r="Y934" s="94"/>
      <c r="Z934" s="93"/>
      <c r="AA934" s="85"/>
      <c r="AC934" s="94"/>
      <c r="AD934" s="93"/>
      <c r="AE934" s="85"/>
    </row>
    <row r="935" spans="7:31" x14ac:dyDescent="0.35">
      <c r="G935" s="85"/>
      <c r="H935" s="87"/>
      <c r="J935" s="93"/>
      <c r="K935" s="85"/>
      <c r="M935" s="94"/>
      <c r="N935" s="93"/>
      <c r="O935" s="85"/>
      <c r="Q935" s="94"/>
      <c r="R935" s="93"/>
      <c r="S935" s="85"/>
      <c r="U935" s="94"/>
      <c r="V935" s="93"/>
      <c r="W935" s="85"/>
      <c r="Y935" s="94"/>
      <c r="Z935" s="93"/>
      <c r="AA935" s="85"/>
      <c r="AC935" s="94"/>
      <c r="AD935" s="93"/>
      <c r="AE935" s="85"/>
    </row>
    <row r="936" spans="7:31" x14ac:dyDescent="0.35">
      <c r="G936" s="85"/>
      <c r="H936" s="87"/>
      <c r="J936" s="93"/>
      <c r="K936" s="85"/>
      <c r="M936" s="94"/>
      <c r="N936" s="93"/>
      <c r="O936" s="85"/>
      <c r="Q936" s="94"/>
      <c r="R936" s="93"/>
      <c r="S936" s="85"/>
      <c r="U936" s="94"/>
      <c r="V936" s="93"/>
      <c r="W936" s="85"/>
      <c r="Y936" s="94"/>
      <c r="Z936" s="93"/>
      <c r="AA936" s="85"/>
      <c r="AC936" s="94"/>
      <c r="AD936" s="93"/>
      <c r="AE936" s="85"/>
    </row>
    <row r="937" spans="7:31" x14ac:dyDescent="0.35">
      <c r="G937" s="85"/>
      <c r="H937" s="87"/>
      <c r="J937" s="93"/>
      <c r="K937" s="85"/>
      <c r="M937" s="94"/>
      <c r="N937" s="93"/>
      <c r="O937" s="85"/>
      <c r="Q937" s="94"/>
      <c r="R937" s="93"/>
      <c r="S937" s="85"/>
      <c r="U937" s="94"/>
      <c r="V937" s="93"/>
      <c r="W937" s="85"/>
      <c r="Y937" s="94"/>
      <c r="Z937" s="93"/>
      <c r="AA937" s="85"/>
      <c r="AC937" s="94"/>
      <c r="AD937" s="93"/>
      <c r="AE937" s="85"/>
    </row>
    <row r="938" spans="7:31" x14ac:dyDescent="0.35">
      <c r="G938" s="85"/>
      <c r="H938" s="87"/>
      <c r="J938" s="93"/>
      <c r="K938" s="85"/>
      <c r="M938" s="94"/>
      <c r="N938" s="93"/>
      <c r="O938" s="85"/>
      <c r="Q938" s="94"/>
      <c r="R938" s="93"/>
      <c r="S938" s="85"/>
      <c r="U938" s="94"/>
      <c r="V938" s="93"/>
      <c r="W938" s="85"/>
      <c r="Y938" s="94"/>
      <c r="Z938" s="93"/>
      <c r="AA938" s="85"/>
      <c r="AC938" s="94"/>
      <c r="AD938" s="93"/>
      <c r="AE938" s="85"/>
    </row>
    <row r="939" spans="7:31" x14ac:dyDescent="0.35">
      <c r="G939" s="85"/>
      <c r="H939" s="87"/>
      <c r="J939" s="93"/>
      <c r="K939" s="85"/>
      <c r="M939" s="94"/>
      <c r="N939" s="93"/>
      <c r="O939" s="85"/>
      <c r="Q939" s="94"/>
      <c r="R939" s="93"/>
      <c r="S939" s="85"/>
      <c r="U939" s="94"/>
      <c r="V939" s="93"/>
      <c r="W939" s="85"/>
      <c r="Y939" s="94"/>
      <c r="Z939" s="93"/>
      <c r="AA939" s="85"/>
      <c r="AC939" s="94"/>
      <c r="AD939" s="93"/>
      <c r="AE939" s="85"/>
    </row>
    <row r="940" spans="7:31" x14ac:dyDescent="0.35">
      <c r="G940" s="85"/>
      <c r="H940" s="87"/>
      <c r="J940" s="93"/>
      <c r="K940" s="85"/>
      <c r="M940" s="94"/>
      <c r="N940" s="93"/>
      <c r="O940" s="85"/>
      <c r="Q940" s="94"/>
      <c r="R940" s="93"/>
      <c r="S940" s="85"/>
      <c r="U940" s="94"/>
      <c r="V940" s="93"/>
      <c r="W940" s="85"/>
      <c r="Y940" s="94"/>
      <c r="Z940" s="93"/>
      <c r="AA940" s="85"/>
      <c r="AC940" s="94"/>
      <c r="AD940" s="93"/>
      <c r="AE940" s="85"/>
    </row>
    <row r="941" spans="7:31" x14ac:dyDescent="0.35">
      <c r="G941" s="85"/>
      <c r="H941" s="87"/>
      <c r="J941" s="93"/>
      <c r="K941" s="85"/>
      <c r="M941" s="94"/>
      <c r="N941" s="93"/>
      <c r="O941" s="85"/>
      <c r="Q941" s="94"/>
      <c r="R941" s="93"/>
      <c r="S941" s="85"/>
      <c r="U941" s="94"/>
      <c r="V941" s="93"/>
      <c r="W941" s="85"/>
      <c r="Y941" s="94"/>
      <c r="Z941" s="93"/>
      <c r="AA941" s="85"/>
      <c r="AC941" s="94"/>
      <c r="AD941" s="93"/>
      <c r="AE941" s="85"/>
    </row>
    <row r="942" spans="7:31" x14ac:dyDescent="0.35">
      <c r="G942" s="85"/>
      <c r="H942" s="87"/>
      <c r="J942" s="93"/>
      <c r="K942" s="85"/>
      <c r="M942" s="94"/>
      <c r="N942" s="93"/>
      <c r="O942" s="85"/>
      <c r="Q942" s="94"/>
      <c r="R942" s="93"/>
      <c r="S942" s="85"/>
      <c r="U942" s="94"/>
      <c r="V942" s="93"/>
      <c r="W942" s="85"/>
      <c r="Y942" s="94"/>
      <c r="Z942" s="93"/>
      <c r="AA942" s="85"/>
      <c r="AC942" s="94"/>
      <c r="AD942" s="93"/>
      <c r="AE942" s="85"/>
    </row>
    <row r="943" spans="7:31" x14ac:dyDescent="0.35">
      <c r="G943" s="85"/>
      <c r="H943" s="87"/>
      <c r="J943" s="93"/>
      <c r="K943" s="85"/>
      <c r="M943" s="94"/>
      <c r="N943" s="93"/>
      <c r="O943" s="85"/>
      <c r="Q943" s="94"/>
      <c r="R943" s="93"/>
      <c r="S943" s="85"/>
      <c r="U943" s="94"/>
      <c r="V943" s="93"/>
      <c r="W943" s="85"/>
      <c r="Y943" s="94"/>
      <c r="Z943" s="93"/>
      <c r="AA943" s="85"/>
      <c r="AC943" s="94"/>
      <c r="AD943" s="93"/>
      <c r="AE943" s="85"/>
    </row>
    <row r="944" spans="7:31" x14ac:dyDescent="0.35">
      <c r="G944" s="85"/>
      <c r="H944" s="87"/>
      <c r="J944" s="93"/>
      <c r="K944" s="85"/>
      <c r="M944" s="94"/>
      <c r="N944" s="93"/>
      <c r="O944" s="85"/>
      <c r="Q944" s="94"/>
      <c r="R944" s="93"/>
      <c r="S944" s="85"/>
      <c r="U944" s="94"/>
      <c r="V944" s="93"/>
      <c r="W944" s="85"/>
      <c r="Y944" s="94"/>
      <c r="Z944" s="93"/>
      <c r="AA944" s="85"/>
      <c r="AC944" s="94"/>
      <c r="AD944" s="93"/>
      <c r="AE944" s="85"/>
    </row>
    <row r="945" spans="7:31" x14ac:dyDescent="0.35">
      <c r="G945" s="85"/>
      <c r="H945" s="87"/>
      <c r="J945" s="93"/>
      <c r="K945" s="85"/>
      <c r="M945" s="94"/>
      <c r="N945" s="93"/>
      <c r="O945" s="85"/>
      <c r="Q945" s="94"/>
      <c r="R945" s="93"/>
      <c r="S945" s="85"/>
      <c r="U945" s="94"/>
      <c r="V945" s="93"/>
      <c r="W945" s="85"/>
      <c r="Y945" s="94"/>
      <c r="Z945" s="93"/>
      <c r="AA945" s="85"/>
      <c r="AC945" s="94"/>
      <c r="AD945" s="93"/>
      <c r="AE945" s="85"/>
    </row>
    <row r="946" spans="7:31" x14ac:dyDescent="0.35">
      <c r="G946" s="85"/>
      <c r="H946" s="87"/>
      <c r="J946" s="93"/>
      <c r="K946" s="85"/>
      <c r="M946" s="94"/>
      <c r="N946" s="93"/>
      <c r="O946" s="85"/>
      <c r="Q946" s="94"/>
      <c r="R946" s="93"/>
      <c r="S946" s="85"/>
      <c r="U946" s="94"/>
      <c r="V946" s="93"/>
      <c r="W946" s="85"/>
      <c r="Y946" s="94"/>
      <c r="Z946" s="93"/>
      <c r="AA946" s="85"/>
      <c r="AC946" s="94"/>
      <c r="AD946" s="93"/>
      <c r="AE946" s="85"/>
    </row>
    <row r="947" spans="7:31" x14ac:dyDescent="0.35">
      <c r="G947" s="85"/>
      <c r="H947" s="87"/>
      <c r="J947" s="93"/>
      <c r="K947" s="85"/>
      <c r="M947" s="94"/>
      <c r="N947" s="93"/>
      <c r="O947" s="85"/>
      <c r="Q947" s="94"/>
      <c r="R947" s="93"/>
      <c r="S947" s="85"/>
      <c r="U947" s="94"/>
      <c r="V947" s="93"/>
      <c r="W947" s="85"/>
      <c r="Y947" s="94"/>
      <c r="Z947" s="93"/>
      <c r="AA947" s="85"/>
      <c r="AC947" s="94"/>
      <c r="AD947" s="93"/>
      <c r="AE947" s="85"/>
    </row>
    <row r="948" spans="7:31" x14ac:dyDescent="0.35">
      <c r="G948" s="85"/>
      <c r="H948" s="87"/>
      <c r="J948" s="93"/>
      <c r="K948" s="85"/>
      <c r="M948" s="94"/>
      <c r="N948" s="93"/>
      <c r="O948" s="85"/>
      <c r="Q948" s="94"/>
      <c r="R948" s="93"/>
      <c r="S948" s="85"/>
      <c r="U948" s="94"/>
      <c r="V948" s="93"/>
      <c r="W948" s="85"/>
      <c r="Y948" s="94"/>
      <c r="Z948" s="93"/>
      <c r="AA948" s="85"/>
      <c r="AC948" s="94"/>
      <c r="AD948" s="93"/>
      <c r="AE948" s="85"/>
    </row>
    <row r="949" spans="7:31" x14ac:dyDescent="0.35">
      <c r="G949" s="85"/>
      <c r="H949" s="87"/>
      <c r="J949" s="93"/>
      <c r="K949" s="85"/>
      <c r="M949" s="94"/>
      <c r="N949" s="93"/>
      <c r="O949" s="85"/>
      <c r="Q949" s="94"/>
      <c r="R949" s="93"/>
      <c r="S949" s="85"/>
      <c r="U949" s="94"/>
      <c r="V949" s="93"/>
      <c r="W949" s="85"/>
      <c r="Y949" s="94"/>
      <c r="Z949" s="93"/>
      <c r="AA949" s="85"/>
      <c r="AC949" s="94"/>
      <c r="AD949" s="93"/>
      <c r="AE949" s="85"/>
    </row>
    <row r="950" spans="7:31" x14ac:dyDescent="0.35">
      <c r="G950" s="85"/>
      <c r="H950" s="87"/>
      <c r="J950" s="93"/>
      <c r="K950" s="85"/>
      <c r="M950" s="94"/>
      <c r="N950" s="93"/>
      <c r="O950" s="85"/>
      <c r="Q950" s="94"/>
      <c r="R950" s="93"/>
      <c r="S950" s="85"/>
      <c r="U950" s="94"/>
      <c r="V950" s="93"/>
      <c r="W950" s="85"/>
      <c r="Y950" s="94"/>
      <c r="Z950" s="93"/>
      <c r="AA950" s="85"/>
      <c r="AC950" s="94"/>
      <c r="AD950" s="93"/>
      <c r="AE950" s="85"/>
    </row>
    <row r="951" spans="7:31" x14ac:dyDescent="0.35">
      <c r="G951" s="85"/>
      <c r="H951" s="87"/>
      <c r="J951" s="93"/>
      <c r="K951" s="85"/>
      <c r="M951" s="94"/>
      <c r="N951" s="93"/>
      <c r="O951" s="85"/>
      <c r="Q951" s="94"/>
      <c r="R951" s="93"/>
      <c r="S951" s="85"/>
      <c r="U951" s="94"/>
      <c r="V951" s="93"/>
      <c r="W951" s="85"/>
      <c r="Y951" s="94"/>
      <c r="Z951" s="93"/>
      <c r="AA951" s="85"/>
      <c r="AC951" s="94"/>
      <c r="AD951" s="93"/>
      <c r="AE951" s="85"/>
    </row>
    <row r="952" spans="7:31" x14ac:dyDescent="0.35">
      <c r="G952" s="85"/>
      <c r="H952" s="87"/>
      <c r="J952" s="93"/>
      <c r="K952" s="85"/>
      <c r="M952" s="94"/>
      <c r="N952" s="93"/>
      <c r="O952" s="85"/>
      <c r="Q952" s="94"/>
      <c r="R952" s="93"/>
      <c r="S952" s="85"/>
      <c r="U952" s="94"/>
      <c r="V952" s="93"/>
      <c r="W952" s="85"/>
      <c r="Y952" s="94"/>
      <c r="Z952" s="93"/>
      <c r="AA952" s="85"/>
      <c r="AC952" s="94"/>
      <c r="AD952" s="93"/>
      <c r="AE952" s="85"/>
    </row>
    <row r="953" spans="7:31" x14ac:dyDescent="0.35">
      <c r="G953" s="85"/>
      <c r="H953" s="87"/>
      <c r="J953" s="93"/>
      <c r="K953" s="85"/>
      <c r="M953" s="94"/>
      <c r="N953" s="93"/>
      <c r="O953" s="85"/>
      <c r="Q953" s="94"/>
      <c r="R953" s="93"/>
      <c r="S953" s="85"/>
      <c r="U953" s="94"/>
      <c r="V953" s="93"/>
      <c r="W953" s="85"/>
      <c r="Y953" s="94"/>
      <c r="Z953" s="93"/>
      <c r="AA953" s="85"/>
      <c r="AC953" s="94"/>
      <c r="AD953" s="93"/>
      <c r="AE953" s="85"/>
    </row>
    <row r="954" spans="7:31" x14ac:dyDescent="0.35">
      <c r="G954" s="85"/>
      <c r="H954" s="87"/>
      <c r="J954" s="93"/>
      <c r="K954" s="85"/>
      <c r="M954" s="94"/>
      <c r="N954" s="93"/>
      <c r="O954" s="85"/>
      <c r="Q954" s="94"/>
      <c r="R954" s="93"/>
      <c r="S954" s="85"/>
      <c r="U954" s="94"/>
      <c r="V954" s="93"/>
      <c r="W954" s="85"/>
      <c r="Y954" s="94"/>
      <c r="Z954" s="93"/>
      <c r="AA954" s="85"/>
      <c r="AC954" s="94"/>
      <c r="AD954" s="93"/>
      <c r="AE954" s="85"/>
    </row>
    <row r="955" spans="7:31" x14ac:dyDescent="0.35">
      <c r="G955" s="85"/>
      <c r="H955" s="87"/>
      <c r="J955" s="93"/>
      <c r="K955" s="85"/>
      <c r="M955" s="94"/>
      <c r="N955" s="93"/>
      <c r="O955" s="85"/>
      <c r="Q955" s="94"/>
      <c r="R955" s="93"/>
      <c r="S955" s="85"/>
      <c r="U955" s="94"/>
      <c r="V955" s="93"/>
      <c r="W955" s="85"/>
      <c r="Y955" s="94"/>
      <c r="Z955" s="93"/>
      <c r="AA955" s="85"/>
      <c r="AC955" s="94"/>
      <c r="AD955" s="93"/>
      <c r="AE955" s="85"/>
    </row>
    <row r="956" spans="7:31" x14ac:dyDescent="0.35">
      <c r="G956" s="85"/>
      <c r="H956" s="87"/>
      <c r="J956" s="93"/>
      <c r="K956" s="85"/>
      <c r="M956" s="94"/>
      <c r="N956" s="93"/>
      <c r="O956" s="85"/>
      <c r="Q956" s="94"/>
      <c r="R956" s="93"/>
      <c r="S956" s="85"/>
      <c r="U956" s="94"/>
      <c r="V956" s="93"/>
      <c r="W956" s="85"/>
      <c r="Y956" s="94"/>
      <c r="Z956" s="93"/>
      <c r="AA956" s="85"/>
      <c r="AC956" s="94"/>
      <c r="AD956" s="93"/>
      <c r="AE956" s="85"/>
    </row>
    <row r="957" spans="7:31" x14ac:dyDescent="0.35">
      <c r="G957" s="85"/>
      <c r="H957" s="87"/>
      <c r="J957" s="93"/>
      <c r="K957" s="85"/>
      <c r="M957" s="94"/>
      <c r="N957" s="93"/>
      <c r="O957" s="85"/>
      <c r="Q957" s="94"/>
      <c r="R957" s="93"/>
      <c r="S957" s="85"/>
      <c r="U957" s="94"/>
      <c r="V957" s="93"/>
      <c r="W957" s="85"/>
      <c r="Y957" s="94"/>
      <c r="Z957" s="93"/>
      <c r="AA957" s="85"/>
      <c r="AC957" s="94"/>
      <c r="AD957" s="93"/>
      <c r="AE957" s="85"/>
    </row>
    <row r="958" spans="7:31" x14ac:dyDescent="0.35">
      <c r="G958" s="85"/>
      <c r="H958" s="87"/>
      <c r="J958" s="93"/>
      <c r="K958" s="85"/>
      <c r="M958" s="94"/>
      <c r="N958" s="93"/>
      <c r="O958" s="85"/>
      <c r="Q958" s="94"/>
      <c r="R958" s="93"/>
      <c r="S958" s="85"/>
      <c r="U958" s="94"/>
      <c r="V958" s="93"/>
      <c r="W958" s="85"/>
      <c r="Y958" s="94"/>
      <c r="Z958" s="93"/>
      <c r="AA958" s="85"/>
      <c r="AC958" s="94"/>
      <c r="AD958" s="93"/>
      <c r="AE958" s="85"/>
    </row>
    <row r="959" spans="7:31" x14ac:dyDescent="0.35">
      <c r="G959" s="85"/>
      <c r="H959" s="87"/>
      <c r="J959" s="93"/>
      <c r="K959" s="85"/>
      <c r="M959" s="94"/>
      <c r="N959" s="93"/>
      <c r="O959" s="85"/>
      <c r="Q959" s="94"/>
      <c r="R959" s="93"/>
      <c r="S959" s="85"/>
      <c r="U959" s="94"/>
      <c r="V959" s="93"/>
      <c r="W959" s="85"/>
      <c r="Y959" s="94"/>
      <c r="Z959" s="93"/>
      <c r="AA959" s="85"/>
      <c r="AC959" s="94"/>
      <c r="AD959" s="93"/>
      <c r="AE959" s="85"/>
    </row>
    <row r="960" spans="7:31" x14ac:dyDescent="0.35">
      <c r="G960" s="85"/>
      <c r="H960" s="87"/>
      <c r="J960" s="93"/>
      <c r="K960" s="85"/>
      <c r="M960" s="94"/>
      <c r="N960" s="93"/>
      <c r="O960" s="85"/>
      <c r="Q960" s="94"/>
      <c r="R960" s="93"/>
      <c r="S960" s="85"/>
      <c r="U960" s="94"/>
      <c r="V960" s="93"/>
      <c r="W960" s="85"/>
      <c r="Y960" s="94"/>
      <c r="Z960" s="93"/>
      <c r="AA960" s="85"/>
      <c r="AC960" s="94"/>
      <c r="AD960" s="93"/>
      <c r="AE960" s="85"/>
    </row>
    <row r="961" spans="7:31" x14ac:dyDescent="0.35">
      <c r="G961" s="85"/>
      <c r="H961" s="87"/>
      <c r="J961" s="93"/>
      <c r="K961" s="85"/>
      <c r="M961" s="94"/>
      <c r="N961" s="93"/>
      <c r="O961" s="85"/>
      <c r="Q961" s="94"/>
      <c r="R961" s="93"/>
      <c r="S961" s="85"/>
      <c r="U961" s="94"/>
      <c r="V961" s="93"/>
      <c r="W961" s="85"/>
      <c r="Y961" s="94"/>
      <c r="Z961" s="93"/>
      <c r="AA961" s="85"/>
      <c r="AC961" s="94"/>
      <c r="AD961" s="93"/>
      <c r="AE961" s="85"/>
    </row>
    <row r="962" spans="7:31" x14ac:dyDescent="0.35">
      <c r="G962" s="85"/>
      <c r="H962" s="87"/>
      <c r="J962" s="93"/>
      <c r="K962" s="85"/>
      <c r="M962" s="94"/>
      <c r="N962" s="93"/>
      <c r="O962" s="85"/>
      <c r="Q962" s="94"/>
      <c r="R962" s="93"/>
      <c r="S962" s="85"/>
      <c r="U962" s="94"/>
      <c r="V962" s="93"/>
      <c r="W962" s="85"/>
      <c r="Y962" s="94"/>
      <c r="Z962" s="93"/>
      <c r="AA962" s="85"/>
      <c r="AC962" s="94"/>
      <c r="AD962" s="93"/>
      <c r="AE962" s="85"/>
    </row>
    <row r="963" spans="7:31" x14ac:dyDescent="0.35">
      <c r="G963" s="85"/>
      <c r="H963" s="87"/>
      <c r="J963" s="93"/>
      <c r="K963" s="85"/>
      <c r="M963" s="94"/>
      <c r="N963" s="93"/>
      <c r="O963" s="85"/>
      <c r="Q963" s="94"/>
      <c r="R963" s="93"/>
      <c r="S963" s="85"/>
      <c r="U963" s="94"/>
      <c r="V963" s="93"/>
      <c r="W963" s="85"/>
      <c r="Y963" s="94"/>
      <c r="Z963" s="93"/>
      <c r="AA963" s="85"/>
      <c r="AC963" s="94"/>
      <c r="AD963" s="93"/>
      <c r="AE963" s="85"/>
    </row>
    <row r="964" spans="7:31" x14ac:dyDescent="0.35">
      <c r="G964" s="85"/>
      <c r="H964" s="87"/>
      <c r="J964" s="93"/>
      <c r="K964" s="85"/>
      <c r="M964" s="94"/>
      <c r="N964" s="93"/>
      <c r="O964" s="85"/>
      <c r="Q964" s="94"/>
      <c r="R964" s="93"/>
      <c r="S964" s="85"/>
      <c r="U964" s="94"/>
      <c r="V964" s="93"/>
      <c r="W964" s="85"/>
      <c r="Y964" s="94"/>
      <c r="Z964" s="93"/>
      <c r="AA964" s="85"/>
      <c r="AC964" s="94"/>
      <c r="AD964" s="93"/>
      <c r="AE964" s="85"/>
    </row>
    <row r="965" spans="7:31" x14ac:dyDescent="0.35">
      <c r="G965" s="85"/>
      <c r="H965" s="87"/>
      <c r="J965" s="93"/>
      <c r="K965" s="85"/>
      <c r="M965" s="94"/>
      <c r="N965" s="93"/>
      <c r="O965" s="85"/>
      <c r="Q965" s="94"/>
      <c r="R965" s="93"/>
      <c r="S965" s="85"/>
      <c r="U965" s="94"/>
      <c r="V965" s="93"/>
      <c r="W965" s="85"/>
      <c r="Y965" s="94"/>
      <c r="Z965" s="93"/>
      <c r="AA965" s="85"/>
      <c r="AC965" s="94"/>
      <c r="AD965" s="93"/>
      <c r="AE965" s="85"/>
    </row>
    <row r="966" spans="7:31" x14ac:dyDescent="0.35">
      <c r="G966" s="85"/>
      <c r="H966" s="87"/>
      <c r="J966" s="93"/>
      <c r="K966" s="85"/>
      <c r="M966" s="94"/>
      <c r="N966" s="93"/>
      <c r="O966" s="85"/>
      <c r="Q966" s="94"/>
      <c r="R966" s="93"/>
      <c r="S966" s="85"/>
      <c r="U966" s="94"/>
      <c r="V966" s="93"/>
      <c r="W966" s="85"/>
      <c r="Y966" s="94"/>
      <c r="Z966" s="93"/>
      <c r="AA966" s="85"/>
      <c r="AC966" s="94"/>
      <c r="AD966" s="93"/>
      <c r="AE966" s="85"/>
    </row>
    <row r="967" spans="7:31" x14ac:dyDescent="0.35">
      <c r="G967" s="85"/>
      <c r="H967" s="87"/>
      <c r="J967" s="93"/>
      <c r="K967" s="85"/>
      <c r="M967" s="94"/>
      <c r="N967" s="93"/>
      <c r="O967" s="85"/>
      <c r="Q967" s="94"/>
      <c r="R967" s="93"/>
      <c r="S967" s="85"/>
      <c r="U967" s="94"/>
      <c r="V967" s="93"/>
      <c r="W967" s="85"/>
      <c r="Y967" s="94"/>
      <c r="Z967" s="93"/>
      <c r="AA967" s="85"/>
      <c r="AC967" s="94"/>
      <c r="AD967" s="93"/>
      <c r="AE967" s="85"/>
    </row>
    <row r="968" spans="7:31" x14ac:dyDescent="0.35">
      <c r="G968" s="85"/>
      <c r="H968" s="87"/>
      <c r="J968" s="93"/>
      <c r="K968" s="85"/>
      <c r="M968" s="94"/>
      <c r="N968" s="93"/>
      <c r="O968" s="85"/>
      <c r="Q968" s="94"/>
      <c r="R968" s="93"/>
      <c r="S968" s="85"/>
      <c r="U968" s="94"/>
      <c r="V968" s="93"/>
      <c r="W968" s="85"/>
      <c r="Y968" s="94"/>
      <c r="Z968" s="93"/>
      <c r="AA968" s="85"/>
      <c r="AC968" s="94"/>
      <c r="AD968" s="93"/>
      <c r="AE968" s="85"/>
    </row>
    <row r="969" spans="7:31" x14ac:dyDescent="0.35">
      <c r="G969" s="85"/>
      <c r="H969" s="87"/>
      <c r="J969" s="93"/>
      <c r="K969" s="85"/>
      <c r="M969" s="94"/>
      <c r="N969" s="93"/>
      <c r="O969" s="85"/>
      <c r="Q969" s="94"/>
      <c r="R969" s="93"/>
      <c r="S969" s="85"/>
      <c r="U969" s="94"/>
      <c r="V969" s="93"/>
      <c r="W969" s="85"/>
      <c r="Y969" s="94"/>
      <c r="Z969" s="93"/>
      <c r="AA969" s="85"/>
      <c r="AC969" s="94"/>
      <c r="AD969" s="93"/>
      <c r="AE969" s="85"/>
    </row>
    <row r="970" spans="7:31" x14ac:dyDescent="0.35">
      <c r="G970" s="85"/>
      <c r="H970" s="87"/>
      <c r="J970" s="93"/>
      <c r="K970" s="85"/>
      <c r="M970" s="94"/>
      <c r="N970" s="93"/>
      <c r="O970" s="85"/>
      <c r="Q970" s="94"/>
      <c r="R970" s="93"/>
      <c r="S970" s="85"/>
      <c r="U970" s="94"/>
      <c r="V970" s="93"/>
      <c r="W970" s="85"/>
      <c r="Y970" s="94"/>
      <c r="Z970" s="93"/>
      <c r="AA970" s="85"/>
      <c r="AC970" s="94"/>
      <c r="AD970" s="93"/>
      <c r="AE970" s="85"/>
    </row>
    <row r="971" spans="7:31" x14ac:dyDescent="0.35">
      <c r="G971" s="85"/>
      <c r="H971" s="87"/>
      <c r="J971" s="93"/>
      <c r="K971" s="85"/>
      <c r="M971" s="94"/>
      <c r="N971" s="93"/>
      <c r="O971" s="85"/>
      <c r="Q971" s="94"/>
      <c r="R971" s="93"/>
      <c r="S971" s="85"/>
      <c r="U971" s="94"/>
      <c r="V971" s="93"/>
      <c r="W971" s="85"/>
      <c r="Y971" s="94"/>
      <c r="Z971" s="93"/>
      <c r="AA971" s="85"/>
      <c r="AC971" s="94"/>
      <c r="AD971" s="93"/>
      <c r="AE971" s="85"/>
    </row>
    <row r="972" spans="7:31" x14ac:dyDescent="0.35">
      <c r="G972" s="85"/>
      <c r="H972" s="87"/>
      <c r="J972" s="93"/>
      <c r="K972" s="85"/>
      <c r="M972" s="94"/>
      <c r="N972" s="93"/>
      <c r="O972" s="85"/>
      <c r="Q972" s="94"/>
      <c r="R972" s="93"/>
      <c r="S972" s="85"/>
      <c r="U972" s="94"/>
      <c r="V972" s="93"/>
      <c r="W972" s="85"/>
      <c r="Y972" s="94"/>
      <c r="Z972" s="93"/>
      <c r="AA972" s="85"/>
      <c r="AC972" s="94"/>
      <c r="AD972" s="93"/>
      <c r="AE972" s="85"/>
    </row>
    <row r="973" spans="7:31" x14ac:dyDescent="0.35">
      <c r="G973" s="85"/>
      <c r="H973" s="87"/>
      <c r="J973" s="93"/>
      <c r="K973" s="85"/>
      <c r="M973" s="94"/>
      <c r="N973" s="93"/>
      <c r="O973" s="85"/>
      <c r="Q973" s="94"/>
      <c r="R973" s="93"/>
      <c r="S973" s="85"/>
      <c r="U973" s="94"/>
      <c r="V973" s="93"/>
      <c r="W973" s="85"/>
      <c r="Y973" s="94"/>
      <c r="Z973" s="93"/>
      <c r="AA973" s="85"/>
      <c r="AC973" s="94"/>
      <c r="AD973" s="93"/>
      <c r="AE973" s="85"/>
    </row>
    <row r="974" spans="7:31" x14ac:dyDescent="0.35">
      <c r="G974" s="85"/>
      <c r="H974" s="87"/>
      <c r="J974" s="93"/>
      <c r="K974" s="85"/>
      <c r="M974" s="94"/>
      <c r="N974" s="93"/>
      <c r="O974" s="85"/>
      <c r="Q974" s="94"/>
      <c r="R974" s="93"/>
      <c r="S974" s="85"/>
      <c r="U974" s="94"/>
      <c r="V974" s="93"/>
      <c r="W974" s="85"/>
      <c r="Y974" s="94"/>
      <c r="Z974" s="93"/>
      <c r="AA974" s="85"/>
      <c r="AC974" s="94"/>
      <c r="AD974" s="93"/>
      <c r="AE974" s="85"/>
    </row>
    <row r="975" spans="7:31" x14ac:dyDescent="0.35">
      <c r="G975" s="85"/>
      <c r="H975" s="87"/>
      <c r="J975" s="93"/>
      <c r="K975" s="85"/>
      <c r="M975" s="94"/>
      <c r="N975" s="93"/>
      <c r="O975" s="85"/>
      <c r="Q975" s="94"/>
      <c r="R975" s="93"/>
      <c r="S975" s="85"/>
      <c r="U975" s="94"/>
      <c r="V975" s="93"/>
      <c r="W975" s="85"/>
      <c r="Y975" s="94"/>
      <c r="Z975" s="93"/>
      <c r="AA975" s="85"/>
      <c r="AC975" s="94"/>
      <c r="AD975" s="93"/>
      <c r="AE975" s="85"/>
    </row>
    <row r="976" spans="7:31" x14ac:dyDescent="0.35">
      <c r="G976" s="85"/>
      <c r="H976" s="87"/>
      <c r="J976" s="93"/>
      <c r="K976" s="85"/>
      <c r="M976" s="94"/>
      <c r="N976" s="93"/>
      <c r="O976" s="85"/>
      <c r="Q976" s="94"/>
      <c r="R976" s="93"/>
      <c r="S976" s="85"/>
      <c r="U976" s="94"/>
      <c r="V976" s="93"/>
      <c r="W976" s="85"/>
      <c r="Y976" s="94"/>
      <c r="Z976" s="93"/>
      <c r="AA976" s="85"/>
      <c r="AC976" s="94"/>
      <c r="AD976" s="93"/>
      <c r="AE976" s="85"/>
    </row>
    <row r="977" spans="7:31" x14ac:dyDescent="0.35">
      <c r="G977" s="85"/>
      <c r="H977" s="87"/>
      <c r="J977" s="93"/>
      <c r="K977" s="85"/>
      <c r="M977" s="94"/>
      <c r="N977" s="93"/>
      <c r="O977" s="85"/>
      <c r="Q977" s="94"/>
      <c r="R977" s="93"/>
      <c r="S977" s="85"/>
      <c r="U977" s="94"/>
      <c r="V977" s="93"/>
      <c r="W977" s="85"/>
      <c r="Y977" s="94"/>
      <c r="Z977" s="93"/>
      <c r="AA977" s="85"/>
      <c r="AC977" s="94"/>
      <c r="AD977" s="93"/>
      <c r="AE977" s="85"/>
    </row>
    <row r="978" spans="7:31" x14ac:dyDescent="0.35">
      <c r="G978" s="85"/>
      <c r="H978" s="87"/>
      <c r="J978" s="93"/>
      <c r="K978" s="85"/>
      <c r="M978" s="94"/>
      <c r="N978" s="93"/>
      <c r="O978" s="85"/>
      <c r="Q978" s="94"/>
      <c r="R978" s="93"/>
      <c r="S978" s="85"/>
      <c r="U978" s="94"/>
      <c r="V978" s="93"/>
      <c r="W978" s="85"/>
      <c r="Y978" s="94"/>
      <c r="Z978" s="93"/>
      <c r="AA978" s="85"/>
      <c r="AC978" s="94"/>
      <c r="AD978" s="93"/>
      <c r="AE978" s="85"/>
    </row>
    <row r="979" spans="7:31" x14ac:dyDescent="0.35">
      <c r="G979" s="85"/>
      <c r="H979" s="87"/>
      <c r="J979" s="93"/>
      <c r="K979" s="85"/>
      <c r="M979" s="94"/>
      <c r="N979" s="93"/>
      <c r="O979" s="85"/>
      <c r="Q979" s="94"/>
      <c r="R979" s="93"/>
      <c r="S979" s="85"/>
      <c r="U979" s="94"/>
      <c r="V979" s="93"/>
      <c r="W979" s="85"/>
      <c r="Y979" s="94"/>
      <c r="Z979" s="93"/>
      <c r="AA979" s="85"/>
      <c r="AC979" s="94"/>
      <c r="AD979" s="93"/>
      <c r="AE979" s="85"/>
    </row>
    <row r="980" spans="7:31" x14ac:dyDescent="0.35">
      <c r="G980" s="85"/>
      <c r="H980" s="87"/>
      <c r="J980" s="93"/>
      <c r="K980" s="85"/>
      <c r="M980" s="94"/>
      <c r="N980" s="93"/>
      <c r="O980" s="85"/>
      <c r="Q980" s="94"/>
      <c r="R980" s="93"/>
      <c r="S980" s="85"/>
      <c r="U980" s="94"/>
      <c r="V980" s="93"/>
      <c r="W980" s="85"/>
      <c r="Y980" s="94"/>
      <c r="Z980" s="93"/>
      <c r="AA980" s="85"/>
      <c r="AC980" s="94"/>
      <c r="AD980" s="93"/>
      <c r="AE980" s="85"/>
    </row>
    <row r="981" spans="7:31" x14ac:dyDescent="0.35">
      <c r="G981" s="85"/>
      <c r="H981" s="87"/>
      <c r="J981" s="93"/>
      <c r="K981" s="85"/>
      <c r="M981" s="94"/>
      <c r="N981" s="93"/>
      <c r="O981" s="85"/>
      <c r="Q981" s="94"/>
      <c r="R981" s="93"/>
      <c r="S981" s="85"/>
      <c r="U981" s="94"/>
      <c r="V981" s="93"/>
      <c r="W981" s="85"/>
      <c r="Y981" s="94"/>
      <c r="Z981" s="93"/>
      <c r="AA981" s="85"/>
      <c r="AC981" s="94"/>
      <c r="AD981" s="93"/>
      <c r="AE981" s="85"/>
    </row>
    <row r="982" spans="7:31" x14ac:dyDescent="0.35">
      <c r="G982" s="85"/>
      <c r="H982" s="87"/>
      <c r="J982" s="93"/>
      <c r="K982" s="85"/>
      <c r="M982" s="94"/>
      <c r="N982" s="93"/>
      <c r="O982" s="85"/>
      <c r="Q982" s="94"/>
      <c r="R982" s="93"/>
      <c r="S982" s="85"/>
      <c r="U982" s="94"/>
      <c r="V982" s="93"/>
      <c r="W982" s="85"/>
      <c r="Y982" s="94"/>
      <c r="Z982" s="93"/>
      <c r="AA982" s="85"/>
      <c r="AC982" s="94"/>
      <c r="AD982" s="93"/>
      <c r="AE982" s="85"/>
    </row>
    <row r="983" spans="7:31" x14ac:dyDescent="0.35">
      <c r="G983" s="85"/>
      <c r="H983" s="87"/>
      <c r="J983" s="93"/>
      <c r="K983" s="85"/>
      <c r="M983" s="94"/>
      <c r="N983" s="93"/>
      <c r="O983" s="85"/>
      <c r="Q983" s="94"/>
      <c r="R983" s="93"/>
      <c r="S983" s="85"/>
      <c r="U983" s="94"/>
      <c r="V983" s="93"/>
      <c r="W983" s="85"/>
      <c r="Y983" s="94"/>
      <c r="Z983" s="93"/>
      <c r="AA983" s="85"/>
      <c r="AC983" s="94"/>
      <c r="AD983" s="93"/>
      <c r="AE983" s="85"/>
    </row>
    <row r="984" spans="7:31" x14ac:dyDescent="0.35">
      <c r="G984" s="85"/>
      <c r="H984" s="87"/>
      <c r="J984" s="93"/>
      <c r="K984" s="85"/>
      <c r="M984" s="94"/>
      <c r="N984" s="93"/>
      <c r="O984" s="85"/>
      <c r="Q984" s="94"/>
      <c r="R984" s="93"/>
      <c r="S984" s="85"/>
      <c r="U984" s="94"/>
      <c r="V984" s="93"/>
      <c r="W984" s="85"/>
      <c r="Y984" s="94"/>
      <c r="Z984" s="93"/>
      <c r="AA984" s="85"/>
      <c r="AC984" s="94"/>
      <c r="AD984" s="93"/>
      <c r="AE984" s="85"/>
    </row>
    <row r="985" spans="7:31" x14ac:dyDescent="0.35">
      <c r="G985" s="85"/>
      <c r="H985" s="87"/>
      <c r="J985" s="93"/>
      <c r="K985" s="85"/>
      <c r="M985" s="94"/>
      <c r="N985" s="93"/>
      <c r="O985" s="85"/>
      <c r="Q985" s="94"/>
      <c r="R985" s="93"/>
      <c r="S985" s="85"/>
      <c r="U985" s="94"/>
      <c r="V985" s="93"/>
      <c r="W985" s="85"/>
      <c r="Y985" s="94"/>
      <c r="Z985" s="93"/>
      <c r="AA985" s="85"/>
      <c r="AC985" s="94"/>
      <c r="AD985" s="93"/>
      <c r="AE985" s="85"/>
    </row>
    <row r="986" spans="7:31" x14ac:dyDescent="0.35">
      <c r="G986" s="85"/>
      <c r="H986" s="87"/>
      <c r="J986" s="93"/>
      <c r="K986" s="85"/>
      <c r="M986" s="94"/>
      <c r="N986" s="93"/>
      <c r="O986" s="85"/>
      <c r="Q986" s="94"/>
      <c r="R986" s="93"/>
      <c r="S986" s="85"/>
      <c r="U986" s="94"/>
      <c r="V986" s="93"/>
      <c r="W986" s="85"/>
      <c r="Y986" s="94"/>
      <c r="Z986" s="93"/>
      <c r="AA986" s="85"/>
      <c r="AC986" s="94"/>
      <c r="AD986" s="93"/>
      <c r="AE986" s="85"/>
    </row>
    <row r="987" spans="7:31" x14ac:dyDescent="0.35">
      <c r="G987" s="85"/>
      <c r="H987" s="87"/>
      <c r="J987" s="93"/>
      <c r="K987" s="85"/>
      <c r="M987" s="94"/>
      <c r="N987" s="93"/>
      <c r="O987" s="85"/>
      <c r="Q987" s="94"/>
      <c r="R987" s="93"/>
      <c r="S987" s="85"/>
      <c r="U987" s="94"/>
      <c r="V987" s="93"/>
      <c r="W987" s="85"/>
      <c r="Y987" s="94"/>
      <c r="Z987" s="93"/>
      <c r="AA987" s="85"/>
      <c r="AC987" s="94"/>
      <c r="AD987" s="93"/>
      <c r="AE987" s="85"/>
    </row>
    <row r="988" spans="7:31" x14ac:dyDescent="0.35">
      <c r="G988" s="85"/>
      <c r="H988" s="87"/>
      <c r="J988" s="93"/>
      <c r="K988" s="85"/>
      <c r="M988" s="94"/>
      <c r="N988" s="93"/>
      <c r="O988" s="85"/>
      <c r="Q988" s="94"/>
      <c r="R988" s="93"/>
      <c r="S988" s="85"/>
      <c r="U988" s="94"/>
      <c r="V988" s="93"/>
      <c r="W988" s="85"/>
      <c r="Y988" s="94"/>
      <c r="Z988" s="93"/>
      <c r="AA988" s="85"/>
      <c r="AC988" s="94"/>
      <c r="AD988" s="93"/>
      <c r="AE988" s="85"/>
    </row>
    <row r="989" spans="7:31" x14ac:dyDescent="0.35">
      <c r="G989" s="85"/>
      <c r="H989" s="87"/>
      <c r="J989" s="93"/>
      <c r="K989" s="85"/>
      <c r="M989" s="94"/>
      <c r="N989" s="93"/>
      <c r="O989" s="85"/>
      <c r="Q989" s="94"/>
      <c r="R989" s="93"/>
      <c r="S989" s="85"/>
      <c r="U989" s="94"/>
      <c r="V989" s="93"/>
      <c r="W989" s="85"/>
      <c r="Y989" s="94"/>
      <c r="Z989" s="93"/>
      <c r="AA989" s="85"/>
      <c r="AC989" s="94"/>
      <c r="AD989" s="93"/>
      <c r="AE989" s="85"/>
    </row>
    <row r="990" spans="7:31" x14ac:dyDescent="0.35">
      <c r="G990" s="85"/>
      <c r="H990" s="87"/>
      <c r="J990" s="93"/>
      <c r="K990" s="85"/>
      <c r="M990" s="94"/>
      <c r="N990" s="93"/>
      <c r="O990" s="85"/>
      <c r="Q990" s="94"/>
      <c r="R990" s="93"/>
      <c r="S990" s="85"/>
      <c r="U990" s="94"/>
      <c r="V990" s="93"/>
      <c r="W990" s="85"/>
      <c r="Y990" s="94"/>
      <c r="Z990" s="93"/>
      <c r="AA990" s="85"/>
      <c r="AC990" s="94"/>
      <c r="AD990" s="93"/>
      <c r="AE990" s="85"/>
    </row>
    <row r="991" spans="7:31" x14ac:dyDescent="0.35">
      <c r="G991" s="85"/>
      <c r="H991" s="87"/>
      <c r="J991" s="93"/>
      <c r="K991" s="85"/>
      <c r="M991" s="94"/>
      <c r="N991" s="93"/>
      <c r="O991" s="85"/>
      <c r="Q991" s="94"/>
      <c r="R991" s="93"/>
      <c r="S991" s="85"/>
      <c r="U991" s="94"/>
      <c r="V991" s="93"/>
      <c r="W991" s="85"/>
      <c r="Y991" s="94"/>
      <c r="Z991" s="93"/>
      <c r="AA991" s="85"/>
      <c r="AC991" s="94"/>
      <c r="AD991" s="93"/>
      <c r="AE991" s="85"/>
    </row>
    <row r="992" spans="7:31" x14ac:dyDescent="0.35">
      <c r="G992" s="85"/>
      <c r="H992" s="87"/>
      <c r="J992" s="93"/>
      <c r="K992" s="85"/>
      <c r="M992" s="94"/>
      <c r="N992" s="93"/>
      <c r="O992" s="85"/>
      <c r="Q992" s="94"/>
      <c r="R992" s="93"/>
      <c r="S992" s="85"/>
      <c r="U992" s="94"/>
      <c r="V992" s="93"/>
      <c r="W992" s="85"/>
      <c r="Y992" s="94"/>
      <c r="Z992" s="93"/>
      <c r="AA992" s="85"/>
      <c r="AC992" s="94"/>
      <c r="AD992" s="93"/>
      <c r="AE992" s="85"/>
    </row>
    <row r="993" spans="7:31" x14ac:dyDescent="0.35">
      <c r="G993" s="85"/>
      <c r="H993" s="87"/>
      <c r="J993" s="93"/>
      <c r="K993" s="85"/>
      <c r="M993" s="94"/>
      <c r="N993" s="93"/>
      <c r="O993" s="85"/>
      <c r="Q993" s="94"/>
      <c r="R993" s="93"/>
      <c r="S993" s="85"/>
      <c r="U993" s="94"/>
      <c r="V993" s="93"/>
      <c r="W993" s="85"/>
      <c r="Y993" s="94"/>
      <c r="Z993" s="93"/>
      <c r="AA993" s="85"/>
      <c r="AC993" s="94"/>
      <c r="AD993" s="93"/>
      <c r="AE993" s="85"/>
    </row>
    <row r="994" spans="7:31" x14ac:dyDescent="0.35">
      <c r="G994" s="85"/>
      <c r="H994" s="87"/>
      <c r="J994" s="93"/>
      <c r="K994" s="85"/>
      <c r="M994" s="94"/>
      <c r="N994" s="93"/>
      <c r="O994" s="85"/>
      <c r="Q994" s="94"/>
      <c r="R994" s="93"/>
      <c r="S994" s="85"/>
      <c r="U994" s="94"/>
      <c r="V994" s="93"/>
      <c r="W994" s="85"/>
      <c r="Y994" s="94"/>
      <c r="Z994" s="93"/>
      <c r="AA994" s="85"/>
      <c r="AC994" s="94"/>
      <c r="AD994" s="93"/>
      <c r="AE994" s="85"/>
    </row>
    <row r="995" spans="7:31" x14ac:dyDescent="0.35">
      <c r="G995" s="85"/>
      <c r="H995" s="87"/>
      <c r="J995" s="93"/>
      <c r="K995" s="85"/>
      <c r="M995" s="94"/>
      <c r="N995" s="93"/>
      <c r="O995" s="85"/>
      <c r="Q995" s="94"/>
      <c r="R995" s="93"/>
      <c r="S995" s="85"/>
      <c r="U995" s="94"/>
      <c r="V995" s="93"/>
      <c r="W995" s="85"/>
      <c r="Y995" s="94"/>
      <c r="Z995" s="93"/>
      <c r="AA995" s="85"/>
      <c r="AC995" s="94"/>
      <c r="AD995" s="93"/>
      <c r="AE995" s="85"/>
    </row>
    <row r="996" spans="7:31" x14ac:dyDescent="0.35">
      <c r="G996" s="85"/>
      <c r="H996" s="87"/>
      <c r="J996" s="93"/>
      <c r="K996" s="85"/>
      <c r="M996" s="94"/>
      <c r="N996" s="93"/>
      <c r="O996" s="85"/>
      <c r="Q996" s="94"/>
      <c r="R996" s="93"/>
      <c r="S996" s="85"/>
      <c r="U996" s="94"/>
      <c r="V996" s="93"/>
      <c r="W996" s="85"/>
      <c r="Y996" s="94"/>
      <c r="Z996" s="93"/>
      <c r="AA996" s="85"/>
      <c r="AC996" s="94"/>
      <c r="AD996" s="93"/>
      <c r="AE996" s="85"/>
    </row>
    <row r="997" spans="7:31" x14ac:dyDescent="0.35">
      <c r="G997" s="85"/>
      <c r="H997" s="87"/>
      <c r="J997" s="93"/>
      <c r="K997" s="85"/>
      <c r="M997" s="94"/>
      <c r="N997" s="93"/>
      <c r="O997" s="85"/>
      <c r="Q997" s="94"/>
      <c r="R997" s="93"/>
      <c r="S997" s="85"/>
      <c r="U997" s="94"/>
      <c r="V997" s="93"/>
      <c r="W997" s="85"/>
      <c r="Y997" s="94"/>
      <c r="Z997" s="93"/>
      <c r="AA997" s="85"/>
      <c r="AC997" s="94"/>
      <c r="AD997" s="93"/>
      <c r="AE997" s="85"/>
    </row>
    <row r="998" spans="7:31" x14ac:dyDescent="0.35">
      <c r="G998" s="85"/>
      <c r="H998" s="87"/>
      <c r="J998" s="93"/>
      <c r="K998" s="85"/>
      <c r="M998" s="94"/>
      <c r="N998" s="93"/>
      <c r="O998" s="85"/>
      <c r="Q998" s="94"/>
      <c r="R998" s="93"/>
      <c r="S998" s="85"/>
      <c r="U998" s="94"/>
      <c r="V998" s="93"/>
      <c r="W998" s="85"/>
      <c r="Y998" s="94"/>
      <c r="Z998" s="93"/>
      <c r="AA998" s="85"/>
      <c r="AC998" s="94"/>
      <c r="AD998" s="93"/>
      <c r="AE998" s="85"/>
    </row>
    <row r="999" spans="7:31" x14ac:dyDescent="0.35">
      <c r="G999" s="85"/>
      <c r="H999" s="87"/>
      <c r="J999" s="93"/>
      <c r="K999" s="85"/>
      <c r="M999" s="94"/>
      <c r="N999" s="93"/>
      <c r="O999" s="85"/>
      <c r="Q999" s="94"/>
      <c r="R999" s="93"/>
      <c r="S999" s="85"/>
      <c r="U999" s="94"/>
      <c r="V999" s="93"/>
      <c r="W999" s="85"/>
      <c r="Y999" s="94"/>
      <c r="Z999" s="93"/>
      <c r="AA999" s="85"/>
      <c r="AC999" s="94"/>
      <c r="AD999" s="93"/>
      <c r="AE999" s="85"/>
    </row>
    <row r="1000" spans="7:31" x14ac:dyDescent="0.35">
      <c r="G1000" s="85"/>
      <c r="H1000" s="87"/>
      <c r="J1000" s="93"/>
      <c r="K1000" s="85"/>
      <c r="M1000" s="94"/>
      <c r="N1000" s="93"/>
      <c r="O1000" s="85"/>
      <c r="Q1000" s="94"/>
      <c r="R1000" s="93"/>
      <c r="S1000" s="85"/>
      <c r="U1000" s="94"/>
      <c r="V1000" s="93"/>
      <c r="W1000" s="85"/>
      <c r="Y1000" s="94"/>
      <c r="Z1000" s="93"/>
      <c r="AA1000" s="85"/>
      <c r="AC1000" s="94"/>
      <c r="AD1000" s="93"/>
      <c r="AE1000" s="85"/>
    </row>
    <row r="1001" spans="7:31" x14ac:dyDescent="0.35">
      <c r="G1001" s="85"/>
      <c r="H1001" s="87"/>
      <c r="M1001" s="94"/>
      <c r="N1001" s="93"/>
      <c r="O1001" s="85"/>
      <c r="Q1001" s="94"/>
      <c r="R1001" s="93"/>
      <c r="S1001" s="85"/>
      <c r="U1001" s="94"/>
      <c r="V1001" s="93"/>
      <c r="W1001" s="85"/>
      <c r="Y1001" s="94"/>
      <c r="Z1001" s="93"/>
      <c r="AA1001" s="85"/>
      <c r="AC1001" s="94"/>
      <c r="AD1001" s="93"/>
      <c r="AE1001" s="85"/>
    </row>
    <row r="1002" spans="7:31" x14ac:dyDescent="0.35">
      <c r="M1002" s="94"/>
      <c r="N1002" s="93"/>
      <c r="O1002" s="85"/>
    </row>
  </sheetData>
  <conditionalFormatting sqref="A1:AG13 A14:L1048576 Q14:AG1048576">
    <cfRule type="expression" dxfId="7" priority="1">
      <formula>$A4="Spend to Date"</formula>
    </cfRule>
  </conditionalFormatting>
  <conditionalFormatting sqref="M14:P21">
    <cfRule type="expression" dxfId="6" priority="42">
      <formula>$A16="Spend to Date"</formula>
    </cfRule>
  </conditionalFormatting>
  <conditionalFormatting sqref="M22:P1048576">
    <cfRule type="expression" dxfId="5" priority="88">
      <formula>$A23="Spend to Date"</formula>
    </cfRule>
  </conditionalFormatting>
  <pageMargins left="0.7" right="0.7" top="0.75" bottom="0.75" header="0.3" footer="0.3"/>
  <pageSetup paperSize="9" scale="1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AG1000"/>
  <sheetViews>
    <sheetView workbookViewId="0">
      <pane xSplit="2" ySplit="1" topLeftCell="L13" activePane="bottomRight" state="frozen"/>
      <selection pane="topRight" activeCell="C1" sqref="C1"/>
      <selection pane="bottomLeft" activeCell="A2" sqref="A2"/>
      <selection pane="bottomRight" activeCell="Q24" sqref="Q24"/>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34" style="87" customWidth="1"/>
    <col min="8" max="8" width="13.453125" style="88" customWidth="1"/>
    <col min="9" max="9" width="13.81640625" style="89" bestFit="1" customWidth="1"/>
    <col min="10" max="10" width="19.54296875" style="87" bestFit="1" customWidth="1"/>
    <col min="11" max="11" width="11" style="87" bestFit="1" customWidth="1"/>
    <col min="12" max="12" width="29.453125" style="87" customWidth="1"/>
    <col min="13" max="13" width="23" style="89" customWidth="1"/>
    <col min="14" max="14" width="13.81640625" style="87" customWidth="1"/>
    <col min="15" max="15" width="11.54296875" style="87" bestFit="1" customWidth="1"/>
    <col min="16" max="16" width="22.179687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273</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0</v>
      </c>
      <c r="F2" s="87">
        <f>SUM(F3:F3)</f>
        <v>-1000</v>
      </c>
      <c r="I2" s="89">
        <f>SUM(I3:I3)</f>
        <v>0</v>
      </c>
      <c r="J2" s="87">
        <f>SUM(J3:J3)</f>
        <v>500</v>
      </c>
      <c r="M2" s="89">
        <f>SUM(M3:M3)</f>
        <v>0</v>
      </c>
      <c r="N2" s="87">
        <f>SUM(N3:N3)</f>
        <v>0</v>
      </c>
      <c r="Q2" s="89">
        <f>SUM(Q3:Q3)</f>
        <v>0</v>
      </c>
      <c r="R2" s="87">
        <f>SUM(R3:R3)</f>
        <v>0</v>
      </c>
      <c r="U2" s="89">
        <f>SUM(U3:U3)</f>
        <v>0</v>
      </c>
      <c r="V2" s="87">
        <f>SUM(V3:V3)</f>
        <v>0</v>
      </c>
      <c r="Y2" s="89">
        <f>SUM(Y3:Y3)</f>
        <v>0</v>
      </c>
      <c r="Z2" s="87">
        <f>SUM(Z3:Z3)</f>
        <v>0</v>
      </c>
      <c r="AC2" s="89">
        <f>SUM(AC3:AC3)</f>
        <v>0</v>
      </c>
      <c r="AD2" s="87">
        <f>SUM(AD3:AD3)</f>
        <v>0</v>
      </c>
    </row>
    <row r="3" spans="1:33" x14ac:dyDescent="0.35">
      <c r="A3" s="87" t="s">
        <v>273</v>
      </c>
      <c r="B3" s="85">
        <v>1</v>
      </c>
      <c r="D3" s="86">
        <v>0</v>
      </c>
      <c r="E3" s="87">
        <v>0</v>
      </c>
      <c r="F3" s="87">
        <f>SUMIFS(H$20:H$1008,E$20:E$1008,$B3)</f>
        <v>-1000</v>
      </c>
      <c r="G3" s="87">
        <f>D3+E3-F3+SUMIFS(E$6:E$14,$C$6:$C$14,$A3)-SUMIFS(F$6:F$14,$C$6:$C$14,$A3)</f>
        <v>2421.8999999999996</v>
      </c>
      <c r="J3" s="87">
        <f>SUMIFS(L$20:L$1007,I$20:I$1007,$B3)</f>
        <v>500</v>
      </c>
      <c r="K3" s="87">
        <f>G3+I3-J3+SUMIFS(I$6:I$14,$C$6:$C$14,$A3)-SUMIFS(J$6:J$14,$C$6:$C$14,$A3)</f>
        <v>2504.3600000000006</v>
      </c>
      <c r="L3" s="86"/>
      <c r="M3" s="89">
        <v>0</v>
      </c>
      <c r="N3" s="87">
        <f>SUMIFS(P$20:P$1008,M$20:M$1008,$B3)</f>
        <v>0</v>
      </c>
      <c r="O3" s="87">
        <f>K3+M3-N3+SUMIFS(M$6:M$14,$C$6:$C$14,$A3)-SUMIFS(N$6:N$14,$C$6:$C$14,$A3)</f>
        <v>21796.36</v>
      </c>
      <c r="R3" s="87">
        <f>SUMIFS(T$20:T$1008,Q$20:Q$1008,$B3)</f>
        <v>0</v>
      </c>
      <c r="S3" s="87">
        <f>O3+Q3-R3+SUMIFS(Q$6:Q$14,$C$6:$C$14,$A3)-SUMIFS(R$6:R$14,$C$6:$C$14,$A3)</f>
        <v>20805.36</v>
      </c>
      <c r="V3" s="87">
        <f>SUMIFS(X$20:X$1008,U$20:U$1008,$B3)</f>
        <v>0</v>
      </c>
      <c r="W3" s="87">
        <f>S3+U3-V3+SUMIFS(U$6:U$14,$C$6:$C$14,$A3)-SUMIFS(V$6:V$14,$C$6:$C$14,$A3)</f>
        <v>19783.36</v>
      </c>
      <c r="Z3" s="87">
        <f>SUMIFS(AB$20:AB$1008,Y$20:Y$1008,$B3)</f>
        <v>0</v>
      </c>
      <c r="AA3" s="87">
        <f>W3+Y3-Z3+SUMIFS(Y$6:Y$14,$C$6:$C$14,$A3)-SUMIFS(Z$6:Z$14,$C$6:$C$14,$A3)</f>
        <v>18730.36</v>
      </c>
      <c r="AD3" s="87">
        <f>SUMIFS(AF$20:AF$1008,AC$20:AC$1008,$B3)</f>
        <v>0</v>
      </c>
      <c r="AE3" s="87">
        <f>AA3+AC3-AD3+SUMIFS(AC$6:AC$14,$C$6:$C$14,$A3)-SUMIFS(AD$6:AD$14,$C$6:$C$14,$A3)</f>
        <v>17645.36</v>
      </c>
    </row>
    <row r="4" spans="1:33" x14ac:dyDescent="0.35">
      <c r="E4" s="87"/>
      <c r="F4" s="87"/>
    </row>
    <row r="5" spans="1:33" x14ac:dyDescent="0.35">
      <c r="A5" s="90" t="s">
        <v>274</v>
      </c>
      <c r="D5" s="84"/>
      <c r="E5" s="87">
        <f>SUM(E6:E14)</f>
        <v>11000</v>
      </c>
      <c r="F5" s="87">
        <f>SUM(F6:F14)</f>
        <v>9578.1</v>
      </c>
      <c r="I5" s="89">
        <f>SUM(I6:I14)</f>
        <v>23908</v>
      </c>
      <c r="J5" s="87">
        <f>SUM(J6:J14)</f>
        <v>23325.54</v>
      </c>
      <c r="M5" s="89">
        <f>SUM(M6:M14)</f>
        <v>45012</v>
      </c>
      <c r="N5" s="89">
        <f>SUM(N6:N14)</f>
        <v>25720</v>
      </c>
      <c r="Q5" s="89">
        <f>SUM(Q6:Q14)</f>
        <v>46363</v>
      </c>
      <c r="R5" s="87">
        <f>$Q$5</f>
        <v>46363</v>
      </c>
      <c r="U5" s="89">
        <f>SUM(U6:U14)</f>
        <v>47757</v>
      </c>
      <c r="V5" s="87">
        <f>$U$5</f>
        <v>47757</v>
      </c>
      <c r="Y5" s="89">
        <f>SUM(Y6:Y14)</f>
        <v>49192</v>
      </c>
      <c r="Z5" s="87">
        <f>$Y$5</f>
        <v>49192</v>
      </c>
      <c r="AC5" s="89">
        <f>SUM(AC6:AC14)</f>
        <v>50671</v>
      </c>
      <c r="AD5" s="87">
        <f>$AC$5</f>
        <v>50671</v>
      </c>
    </row>
    <row r="6" spans="1:33" x14ac:dyDescent="0.35">
      <c r="A6" s="87" t="s">
        <v>274</v>
      </c>
      <c r="B6" s="85">
        <v>2</v>
      </c>
      <c r="C6" s="87" t="s">
        <v>273</v>
      </c>
      <c r="D6" s="84"/>
      <c r="E6" s="87">
        <v>10000</v>
      </c>
      <c r="F6" s="87">
        <f>SUMIFS(H$20:H$1008,E$20:E$1008,$B6)</f>
        <v>5082.5</v>
      </c>
      <c r="I6" s="89">
        <v>15000</v>
      </c>
      <c r="J6" s="87">
        <f t="shared" ref="J6:J14" si="0">SUMIFS(L$20:L$1007,I$20:I$1007,$B6)</f>
        <v>14293.43</v>
      </c>
      <c r="M6" s="89">
        <v>20000</v>
      </c>
      <c r="N6" s="87">
        <f t="shared" ref="N6:N14" si="1">SUMIFS(P$20:P$1007,M$20:M$1007,$B6)</f>
        <v>5220</v>
      </c>
      <c r="Q6" s="89">
        <f t="shared" ref="Q6:Q14" si="2">ROUNDUP((M6)*RPI,0)</f>
        <v>20600</v>
      </c>
      <c r="R6" s="87">
        <f>$Q$6</f>
        <v>20600</v>
      </c>
      <c r="U6" s="89">
        <f t="shared" ref="U6:U14" si="3">ROUNDUP((Q6)*RPI,0)</f>
        <v>21218</v>
      </c>
      <c r="V6" s="87">
        <f>$U$6</f>
        <v>21218</v>
      </c>
      <c r="Y6" s="89">
        <f t="shared" ref="Y6:Y14" si="4">ROUNDUP((U6)*RPI,0)</f>
        <v>21855</v>
      </c>
      <c r="Z6" s="87">
        <f>$Y$6</f>
        <v>21855</v>
      </c>
      <c r="AC6" s="89">
        <f t="shared" ref="AC6:AC14" si="5">ROUNDUP((Y6)*RPI,0)</f>
        <v>22511</v>
      </c>
      <c r="AD6" s="87">
        <f>$AC$6</f>
        <v>22511</v>
      </c>
    </row>
    <row r="7" spans="1:33" x14ac:dyDescent="0.35">
      <c r="A7" s="86" t="s">
        <v>275</v>
      </c>
      <c r="B7" s="85">
        <v>3</v>
      </c>
      <c r="C7" s="87" t="s">
        <v>273</v>
      </c>
      <c r="D7" s="84"/>
      <c r="E7" s="87">
        <v>0</v>
      </c>
      <c r="F7" s="87">
        <f>SUMIFS(H$20:H$1008,E$20:E$1008,$B7)</f>
        <v>179.66</v>
      </c>
      <c r="I7" s="89">
        <f>ROUNDUP((E7)*RPICurrent,0)</f>
        <v>0</v>
      </c>
      <c r="J7" s="87">
        <f t="shared" si="0"/>
        <v>72.19</v>
      </c>
      <c r="M7" s="89">
        <v>550</v>
      </c>
      <c r="N7" s="87">
        <f t="shared" si="1"/>
        <v>0</v>
      </c>
      <c r="Q7" s="89">
        <f t="shared" si="2"/>
        <v>567</v>
      </c>
      <c r="R7" s="87">
        <f>$Q$7</f>
        <v>567</v>
      </c>
      <c r="U7" s="89">
        <f t="shared" si="3"/>
        <v>585</v>
      </c>
      <c r="V7" s="87">
        <f>$U$7</f>
        <v>585</v>
      </c>
      <c r="Y7" s="89">
        <f t="shared" si="4"/>
        <v>603</v>
      </c>
      <c r="Z7" s="87">
        <f>$Y$7</f>
        <v>603</v>
      </c>
      <c r="AC7" s="89">
        <f t="shared" si="5"/>
        <v>622</v>
      </c>
      <c r="AD7" s="87">
        <f>$AC$7</f>
        <v>622</v>
      </c>
    </row>
    <row r="8" spans="1:33" s="126" customFormat="1" ht="60.75" customHeight="1" x14ac:dyDescent="0.35">
      <c r="A8" s="127" t="s">
        <v>276</v>
      </c>
      <c r="B8" s="128">
        <v>4</v>
      </c>
      <c r="C8" s="126" t="s">
        <v>273</v>
      </c>
      <c r="D8" s="129"/>
      <c r="E8" s="126">
        <v>0</v>
      </c>
      <c r="F8" s="126">
        <f>SUMIFS(H$20:H$1008,E$20:E$1008,$B8)</f>
        <v>1307.54</v>
      </c>
      <c r="H8" s="130"/>
      <c r="I8" s="131">
        <f>ROUNDUP(1170*RPI*RPICurrent,0)</f>
        <v>1308</v>
      </c>
      <c r="J8" s="126">
        <f t="shared" si="0"/>
        <v>959.92</v>
      </c>
      <c r="L8" s="132"/>
      <c r="M8" s="131">
        <f>ROUNDUP((1419)*RPI,0)</f>
        <v>1462</v>
      </c>
      <c r="N8" s="87">
        <f t="shared" si="1"/>
        <v>0</v>
      </c>
      <c r="P8" s="139"/>
      <c r="Q8" s="131">
        <f t="shared" si="2"/>
        <v>1506</v>
      </c>
      <c r="R8" s="126">
        <f>$Q$8</f>
        <v>1506</v>
      </c>
      <c r="U8" s="131">
        <f t="shared" si="3"/>
        <v>1552</v>
      </c>
      <c r="V8" s="126">
        <f>$U$8</f>
        <v>1552</v>
      </c>
      <c r="Y8" s="131">
        <f t="shared" si="4"/>
        <v>1599</v>
      </c>
      <c r="Z8" s="126">
        <f>$Y$8</f>
        <v>1599</v>
      </c>
      <c r="AC8" s="131">
        <f t="shared" si="5"/>
        <v>1647</v>
      </c>
      <c r="AD8" s="126">
        <f>$AC$8</f>
        <v>1647</v>
      </c>
    </row>
    <row r="9" spans="1:33" s="126" customFormat="1" ht="101.5" x14ac:dyDescent="0.35">
      <c r="A9" s="127" t="s">
        <v>277</v>
      </c>
      <c r="B9" s="128">
        <v>5</v>
      </c>
      <c r="C9" s="126" t="s">
        <v>273</v>
      </c>
      <c r="D9" s="129"/>
      <c r="E9" s="126">
        <v>0</v>
      </c>
      <c r="F9" s="126">
        <f>SUMIFS(H$20:H$1008,E$20:E$1008,$B9)</f>
        <v>2000</v>
      </c>
      <c r="H9" s="130"/>
      <c r="I9" s="131">
        <f>2000+2600</f>
        <v>4600</v>
      </c>
      <c r="J9" s="143">
        <f t="shared" si="0"/>
        <v>5500</v>
      </c>
      <c r="L9" s="139" t="s">
        <v>1874</v>
      </c>
      <c r="M9" s="131">
        <f>2000+3500+15000</f>
        <v>20500</v>
      </c>
      <c r="N9" s="87">
        <f t="shared" si="1"/>
        <v>20500</v>
      </c>
      <c r="P9" s="139" t="s">
        <v>1875</v>
      </c>
      <c r="Q9" s="131">
        <f t="shared" si="2"/>
        <v>21115</v>
      </c>
      <c r="R9" s="126">
        <f>$Q$9</f>
        <v>21115</v>
      </c>
      <c r="U9" s="131">
        <f t="shared" si="3"/>
        <v>21749</v>
      </c>
      <c r="V9" s="126">
        <f>$U$9</f>
        <v>21749</v>
      </c>
      <c r="Y9" s="131">
        <f t="shared" si="4"/>
        <v>22402</v>
      </c>
      <c r="Z9" s="126">
        <f>$Y$9</f>
        <v>22402</v>
      </c>
      <c r="AC9" s="131">
        <f t="shared" si="5"/>
        <v>23075</v>
      </c>
      <c r="AD9" s="126">
        <f>$AC$9</f>
        <v>23075</v>
      </c>
    </row>
    <row r="10" spans="1:33" s="90" customFormat="1" x14ac:dyDescent="0.35">
      <c r="A10" s="84" t="s">
        <v>279</v>
      </c>
      <c r="B10" s="92">
        <v>6</v>
      </c>
      <c r="C10" s="90" t="s">
        <v>273</v>
      </c>
      <c r="D10" s="84"/>
      <c r="E10" s="90">
        <v>500</v>
      </c>
      <c r="F10" s="90">
        <f>SUMIFS(H$13:H$996,E$13:E$996,$B10)</f>
        <v>0</v>
      </c>
      <c r="H10" s="99"/>
      <c r="I10" s="91">
        <v>500</v>
      </c>
      <c r="J10" s="143">
        <f t="shared" si="0"/>
        <v>500</v>
      </c>
      <c r="L10" s="105"/>
      <c r="M10" s="89">
        <v>500</v>
      </c>
      <c r="N10" s="87">
        <f t="shared" si="1"/>
        <v>0</v>
      </c>
      <c r="Q10" s="91">
        <f>ROUNDUP((M10)*RPI,0)</f>
        <v>515</v>
      </c>
      <c r="R10" s="90">
        <f>$Q$8</f>
        <v>1506</v>
      </c>
      <c r="U10" s="91">
        <f>ROUNDUP((Q10)*RPI,0)</f>
        <v>531</v>
      </c>
      <c r="V10" s="90">
        <f>$U$8</f>
        <v>1552</v>
      </c>
      <c r="Y10" s="91">
        <f>ROUNDUP((U10)*RPI,0)</f>
        <v>547</v>
      </c>
      <c r="Z10" s="90">
        <f>$Y$8</f>
        <v>1599</v>
      </c>
      <c r="AC10" s="91">
        <f>ROUNDUP((Y10)*RPI,0)</f>
        <v>564</v>
      </c>
      <c r="AD10" s="90">
        <f>$AC$8</f>
        <v>1647</v>
      </c>
    </row>
    <row r="11" spans="1:33" s="143" customFormat="1" ht="43.5" x14ac:dyDescent="0.35">
      <c r="A11" s="129" t="s">
        <v>281</v>
      </c>
      <c r="B11" s="144">
        <v>7</v>
      </c>
      <c r="C11" s="143" t="s">
        <v>273</v>
      </c>
      <c r="D11" s="129"/>
      <c r="E11" s="143">
        <v>500</v>
      </c>
      <c r="F11" s="143">
        <f>SUMIFS(H$13:H$996,E$13:E$996,$B11)</f>
        <v>0</v>
      </c>
      <c r="H11" s="145"/>
      <c r="I11" s="146">
        <v>500</v>
      </c>
      <c r="J11" s="143">
        <f t="shared" si="0"/>
        <v>0</v>
      </c>
      <c r="L11" s="139" t="s">
        <v>1876</v>
      </c>
      <c r="M11" s="131">
        <v>0</v>
      </c>
      <c r="N11" s="87">
        <f t="shared" si="1"/>
        <v>0</v>
      </c>
      <c r="Q11" s="146">
        <f>ROUNDUP((M11)*RPI,0)</f>
        <v>0</v>
      </c>
      <c r="R11" s="143">
        <f>$Q$10</f>
        <v>515</v>
      </c>
      <c r="U11" s="146">
        <f>ROUNDUP((Q11)*RPI,0)</f>
        <v>0</v>
      </c>
      <c r="V11" s="143">
        <f>$U$10</f>
        <v>531</v>
      </c>
      <c r="Y11" s="146">
        <f>ROUNDUP((U11)*RPI,0)</f>
        <v>0</v>
      </c>
      <c r="Z11" s="143">
        <f>$Y$10</f>
        <v>547</v>
      </c>
      <c r="AC11" s="146">
        <f>ROUNDUP((Y11)*RPI,0)</f>
        <v>0</v>
      </c>
      <c r="AD11" s="143">
        <f>$AC$10</f>
        <v>564</v>
      </c>
    </row>
    <row r="12" spans="1:33" s="90" customFormat="1" x14ac:dyDescent="0.35">
      <c r="A12" s="84" t="s">
        <v>282</v>
      </c>
      <c r="B12" s="92">
        <v>9</v>
      </c>
      <c r="C12" s="90" t="s">
        <v>273</v>
      </c>
      <c r="D12" s="84"/>
      <c r="E12" s="90">
        <v>0</v>
      </c>
      <c r="F12" s="90">
        <f>SUMIFS(H$13:H$996,E$13:E$996,$B12)</f>
        <v>1000</v>
      </c>
      <c r="H12" s="99"/>
      <c r="I12" s="91">
        <v>1000</v>
      </c>
      <c r="J12" s="143">
        <f t="shared" si="0"/>
        <v>1000</v>
      </c>
      <c r="L12" s="90" t="s">
        <v>280</v>
      </c>
      <c r="M12" s="89">
        <v>1000</v>
      </c>
      <c r="N12" s="87">
        <f t="shared" si="1"/>
        <v>0</v>
      </c>
      <c r="Q12" s="91">
        <f>ROUNDUP((M12)*RPI,0)</f>
        <v>1030</v>
      </c>
      <c r="R12" s="90">
        <f>$Q$10</f>
        <v>515</v>
      </c>
      <c r="U12" s="91">
        <f>ROUNDUP((Q12)*RPI,0)</f>
        <v>1061</v>
      </c>
      <c r="V12" s="90">
        <f>$U$10</f>
        <v>531</v>
      </c>
      <c r="Y12" s="91">
        <f>ROUNDUP((U12)*RPI,0)</f>
        <v>1093</v>
      </c>
      <c r="Z12" s="90">
        <f>$Y$10</f>
        <v>547</v>
      </c>
      <c r="AC12" s="91">
        <f>ROUNDUP((Y12)*RPI,0)</f>
        <v>1126</v>
      </c>
      <c r="AD12" s="90">
        <f>$AC$10</f>
        <v>564</v>
      </c>
    </row>
    <row r="13" spans="1:33" ht="29" x14ac:dyDescent="0.35">
      <c r="A13" s="86" t="s">
        <v>283</v>
      </c>
      <c r="B13" s="92">
        <v>10</v>
      </c>
      <c r="C13" s="87" t="s">
        <v>273</v>
      </c>
      <c r="D13" s="84"/>
      <c r="E13" s="87">
        <v>0</v>
      </c>
      <c r="F13" s="87">
        <f>SUMIFS(H$20:H$1008,E$20:E$1008,$B13)</f>
        <v>0</v>
      </c>
      <c r="I13" s="89">
        <v>1000</v>
      </c>
      <c r="J13" s="143">
        <f t="shared" si="0"/>
        <v>1000</v>
      </c>
      <c r="M13" s="89">
        <v>1000</v>
      </c>
      <c r="N13" s="87">
        <f t="shared" si="1"/>
        <v>0</v>
      </c>
      <c r="Q13" s="89">
        <f t="shared" si="2"/>
        <v>1030</v>
      </c>
      <c r="R13" s="87">
        <f>$Q$13</f>
        <v>1030</v>
      </c>
      <c r="U13" s="89">
        <f t="shared" si="3"/>
        <v>1061</v>
      </c>
      <c r="V13" s="87">
        <f>$U$13</f>
        <v>1061</v>
      </c>
      <c r="Y13" s="89">
        <f t="shared" si="4"/>
        <v>1093</v>
      </c>
      <c r="Z13" s="87">
        <f>$Y$13</f>
        <v>1093</v>
      </c>
      <c r="AC13" s="89">
        <f t="shared" si="5"/>
        <v>1126</v>
      </c>
      <c r="AD13" s="87">
        <f>$AC$13</f>
        <v>1126</v>
      </c>
    </row>
    <row r="14" spans="1:33" s="102" customFormat="1" x14ac:dyDescent="0.35">
      <c r="A14" s="100" t="s">
        <v>284</v>
      </c>
      <c r="B14" s="124">
        <v>11</v>
      </c>
      <c r="C14" s="102" t="s">
        <v>273</v>
      </c>
      <c r="D14" s="118"/>
      <c r="E14" s="102">
        <v>0</v>
      </c>
      <c r="F14" s="102">
        <f>SUMIFS(H$20:H$1008,E$20:E$1008,$B14)</f>
        <v>8.4</v>
      </c>
      <c r="H14" s="103"/>
      <c r="I14" s="104">
        <f>ROUNDUP((E14)*RPICurrent,0)</f>
        <v>0</v>
      </c>
      <c r="J14" s="102">
        <f t="shared" si="0"/>
        <v>0</v>
      </c>
      <c r="M14" s="104">
        <f>ROUNDUP((I14)*RPI,0)</f>
        <v>0</v>
      </c>
      <c r="N14" s="87">
        <f t="shared" si="1"/>
        <v>0</v>
      </c>
      <c r="Q14" s="104">
        <f t="shared" si="2"/>
        <v>0</v>
      </c>
      <c r="R14" s="102">
        <f>$Q$14</f>
        <v>0</v>
      </c>
      <c r="U14" s="104">
        <f t="shared" si="3"/>
        <v>0</v>
      </c>
      <c r="V14" s="102">
        <f>$U$14</f>
        <v>0</v>
      </c>
      <c r="Y14" s="104">
        <f t="shared" si="4"/>
        <v>0</v>
      </c>
      <c r="Z14" s="102">
        <f>$Y$14</f>
        <v>0</v>
      </c>
      <c r="AC14" s="104">
        <f t="shared" si="5"/>
        <v>0</v>
      </c>
      <c r="AD14" s="102">
        <f>$AC$14</f>
        <v>0</v>
      </c>
    </row>
    <row r="15" spans="1:33" x14ac:dyDescent="0.35">
      <c r="E15" s="87"/>
      <c r="F15" s="87"/>
    </row>
    <row r="16" spans="1:33" x14ac:dyDescent="0.35">
      <c r="E16" s="87"/>
      <c r="F16" s="87"/>
    </row>
    <row r="17" spans="1:31" x14ac:dyDescent="0.35">
      <c r="E17" s="87"/>
      <c r="F17" s="87"/>
    </row>
    <row r="18" spans="1:31" x14ac:dyDescent="0.35">
      <c r="A18" s="84" t="s">
        <v>487</v>
      </c>
      <c r="G18" s="85"/>
      <c r="H18" s="87"/>
      <c r="I18" s="94"/>
      <c r="J18" s="93"/>
      <c r="K18" s="85"/>
      <c r="M18" s="94"/>
      <c r="N18" s="93"/>
      <c r="O18" s="85"/>
      <c r="Q18" s="94"/>
      <c r="R18" s="93"/>
      <c r="S18" s="85"/>
      <c r="U18" s="94"/>
      <c r="V18" s="93"/>
      <c r="W18" s="85"/>
      <c r="Y18" s="94"/>
      <c r="Z18" s="93"/>
      <c r="AA18" s="85"/>
      <c r="AC18" s="94"/>
      <c r="AD18" s="93"/>
      <c r="AE18" s="85"/>
    </row>
    <row r="19" spans="1:31" x14ac:dyDescent="0.35">
      <c r="E19" s="85" t="s">
        <v>484</v>
      </c>
      <c r="F19" s="93" t="s">
        <v>488</v>
      </c>
      <c r="G19" s="85" t="s">
        <v>489</v>
      </c>
      <c r="H19" s="87" t="s">
        <v>475</v>
      </c>
      <c r="I19" s="85" t="s">
        <v>484</v>
      </c>
      <c r="J19" s="93" t="s">
        <v>488</v>
      </c>
      <c r="K19" s="85" t="s">
        <v>489</v>
      </c>
      <c r="L19" s="87" t="s">
        <v>475</v>
      </c>
      <c r="M19" s="85" t="s">
        <v>484</v>
      </c>
      <c r="N19" s="93" t="s">
        <v>488</v>
      </c>
      <c r="O19" s="85" t="s">
        <v>489</v>
      </c>
      <c r="P19" s="87" t="s">
        <v>475</v>
      </c>
      <c r="Q19" s="85" t="s">
        <v>484</v>
      </c>
      <c r="R19" s="93" t="s">
        <v>488</v>
      </c>
      <c r="S19" s="85" t="s">
        <v>489</v>
      </c>
      <c r="T19" s="87" t="s">
        <v>475</v>
      </c>
      <c r="U19" s="94"/>
      <c r="V19" s="93"/>
      <c r="W19" s="85"/>
      <c r="Y19" s="94"/>
      <c r="Z19" s="93"/>
      <c r="AA19" s="85"/>
      <c r="AC19" s="94"/>
      <c r="AD19" s="93"/>
      <c r="AE19" s="85"/>
    </row>
    <row r="20" spans="1:31" x14ac:dyDescent="0.35">
      <c r="E20" s="85">
        <v>3</v>
      </c>
      <c r="F20" s="93">
        <v>44652</v>
      </c>
      <c r="G20" s="85" t="s">
        <v>1877</v>
      </c>
      <c r="H20" s="87">
        <v>120</v>
      </c>
      <c r="I20" s="94">
        <v>2</v>
      </c>
      <c r="J20" s="93" t="s">
        <v>814</v>
      </c>
      <c r="K20" s="85" t="s">
        <v>975</v>
      </c>
      <c r="L20" s="87">
        <v>5250</v>
      </c>
      <c r="M20" s="94">
        <v>5</v>
      </c>
      <c r="N20" s="93" t="s">
        <v>1878</v>
      </c>
      <c r="O20" s="85" t="s">
        <v>1879</v>
      </c>
      <c r="P20" s="148">
        <v>2000</v>
      </c>
      <c r="Q20" s="94">
        <v>5</v>
      </c>
      <c r="R20" s="93" t="s">
        <v>1878</v>
      </c>
      <c r="S20" s="85" t="s">
        <v>1879</v>
      </c>
      <c r="T20" s="87">
        <v>2000</v>
      </c>
      <c r="U20" s="94"/>
      <c r="V20" s="93"/>
      <c r="W20" s="85"/>
      <c r="Y20" s="94"/>
      <c r="Z20" s="93"/>
      <c r="AA20" s="85"/>
      <c r="AC20" s="94"/>
      <c r="AD20" s="93"/>
      <c r="AE20" s="85"/>
    </row>
    <row r="21" spans="1:31" x14ac:dyDescent="0.35">
      <c r="E21" s="85">
        <v>2</v>
      </c>
      <c r="F21" s="93">
        <v>44659</v>
      </c>
      <c r="G21" s="85" t="s">
        <v>1749</v>
      </c>
      <c r="H21" s="87">
        <v>5000</v>
      </c>
      <c r="I21" s="94">
        <v>5</v>
      </c>
      <c r="J21" s="93">
        <v>44727</v>
      </c>
      <c r="K21" s="85" t="s">
        <v>1880</v>
      </c>
      <c r="L21" s="87">
        <v>2000</v>
      </c>
      <c r="M21" s="94">
        <v>5</v>
      </c>
      <c r="N21" s="93">
        <v>45415</v>
      </c>
      <c r="O21" s="85" t="s">
        <v>2725</v>
      </c>
      <c r="P21" s="148">
        <v>15000</v>
      </c>
      <c r="Q21" s="94"/>
      <c r="R21" s="93"/>
      <c r="S21" s="85"/>
      <c r="U21" s="94"/>
      <c r="V21" s="93"/>
      <c r="W21" s="85"/>
      <c r="Y21" s="94"/>
      <c r="Z21" s="93"/>
      <c r="AA21" s="85"/>
      <c r="AC21" s="94"/>
      <c r="AD21" s="93"/>
      <c r="AE21" s="85"/>
    </row>
    <row r="22" spans="1:31" x14ac:dyDescent="0.35">
      <c r="E22" s="85">
        <v>2</v>
      </c>
      <c r="F22" s="93">
        <v>44675</v>
      </c>
      <c r="G22" s="85" t="s">
        <v>1881</v>
      </c>
      <c r="H22" s="87">
        <v>82.5</v>
      </c>
      <c r="I22" s="94">
        <v>2</v>
      </c>
      <c r="J22" s="93">
        <v>45017</v>
      </c>
      <c r="K22" s="85" t="s">
        <v>1877</v>
      </c>
      <c r="L22" s="87">
        <v>120</v>
      </c>
      <c r="M22" s="94">
        <v>2</v>
      </c>
      <c r="N22" s="93">
        <v>45392</v>
      </c>
      <c r="O22" s="85" t="s">
        <v>2926</v>
      </c>
      <c r="P22" s="148">
        <v>100</v>
      </c>
      <c r="Q22" s="94"/>
      <c r="R22" s="93"/>
      <c r="S22" s="85"/>
      <c r="U22" s="94"/>
      <c r="V22" s="93"/>
      <c r="W22" s="85"/>
      <c r="Y22" s="94"/>
      <c r="Z22" s="93"/>
      <c r="AA22" s="85"/>
      <c r="AC22" s="94"/>
      <c r="AD22" s="93"/>
      <c r="AE22" s="85"/>
    </row>
    <row r="23" spans="1:31" x14ac:dyDescent="0.35">
      <c r="E23" s="85">
        <v>5</v>
      </c>
      <c r="F23" s="93">
        <v>44727</v>
      </c>
      <c r="G23" s="85" t="s">
        <v>1880</v>
      </c>
      <c r="H23" s="87">
        <v>2000</v>
      </c>
      <c r="I23" s="94">
        <v>1</v>
      </c>
      <c r="J23" s="93">
        <v>45348</v>
      </c>
      <c r="K23" s="85" t="s">
        <v>1882</v>
      </c>
      <c r="L23" s="87">
        <v>500</v>
      </c>
      <c r="M23" s="94">
        <v>2</v>
      </c>
      <c r="N23" s="93">
        <v>45472</v>
      </c>
      <c r="O23" s="85" t="s">
        <v>2945</v>
      </c>
      <c r="P23" s="148">
        <v>2500</v>
      </c>
      <c r="Q23" s="94"/>
      <c r="R23" s="93"/>
      <c r="S23" s="85"/>
      <c r="U23" s="94"/>
      <c r="V23" s="93"/>
      <c r="W23" s="85"/>
      <c r="Y23" s="94"/>
      <c r="Z23" s="93"/>
      <c r="AA23" s="85"/>
      <c r="AC23" s="94"/>
      <c r="AD23" s="93"/>
      <c r="AE23" s="85"/>
    </row>
    <row r="24" spans="1:31" x14ac:dyDescent="0.35">
      <c r="E24" s="92">
        <v>11</v>
      </c>
      <c r="F24" s="93">
        <v>44861</v>
      </c>
      <c r="G24" s="85" t="s">
        <v>1883</v>
      </c>
      <c r="H24" s="87">
        <f>4.4+4</f>
        <v>8.4</v>
      </c>
      <c r="I24" s="94">
        <v>5</v>
      </c>
      <c r="J24" s="93">
        <v>45139</v>
      </c>
      <c r="K24" s="85" t="s">
        <v>1884</v>
      </c>
      <c r="L24" s="87">
        <v>3500</v>
      </c>
      <c r="M24" s="116">
        <v>5</v>
      </c>
      <c r="N24" s="93">
        <v>45502</v>
      </c>
      <c r="O24" s="85" t="s">
        <v>3029</v>
      </c>
      <c r="P24" s="87">
        <v>3500</v>
      </c>
      <c r="Q24" s="94"/>
      <c r="R24" s="93"/>
      <c r="S24" s="85"/>
      <c r="U24" s="94"/>
      <c r="V24" s="93"/>
      <c r="W24" s="85"/>
      <c r="Y24" s="94"/>
      <c r="Z24" s="93"/>
      <c r="AA24" s="85"/>
      <c r="AC24" s="94"/>
      <c r="AD24" s="93"/>
      <c r="AE24" s="85"/>
    </row>
    <row r="25" spans="1:31" x14ac:dyDescent="0.35">
      <c r="E25" s="85">
        <v>3</v>
      </c>
      <c r="F25" s="93">
        <v>44869</v>
      </c>
      <c r="G25" s="85" t="s">
        <v>1877</v>
      </c>
      <c r="H25" s="87">
        <v>59.66</v>
      </c>
      <c r="I25" s="94">
        <v>2</v>
      </c>
      <c r="J25" s="93">
        <v>45167</v>
      </c>
      <c r="K25" s="85" t="s">
        <v>1829</v>
      </c>
      <c r="L25" s="87">
        <v>2200</v>
      </c>
      <c r="M25" s="94">
        <v>2</v>
      </c>
      <c r="N25" s="93">
        <v>45383</v>
      </c>
      <c r="O25" s="85" t="s">
        <v>1877</v>
      </c>
      <c r="P25" s="148">
        <v>120</v>
      </c>
      <c r="Q25" s="94"/>
      <c r="R25" s="93"/>
      <c r="S25" s="85"/>
      <c r="U25" s="94"/>
      <c r="V25" s="93"/>
      <c r="W25" s="85"/>
      <c r="Y25" s="94"/>
      <c r="Z25" s="93"/>
      <c r="AA25" s="85"/>
      <c r="AC25" s="94"/>
      <c r="AD25" s="93"/>
      <c r="AE25" s="85"/>
    </row>
    <row r="26" spans="1:31" x14ac:dyDescent="0.35">
      <c r="F26" s="93" t="s">
        <v>491</v>
      </c>
      <c r="G26" s="85" t="s">
        <v>1885</v>
      </c>
      <c r="H26" s="87">
        <v>200</v>
      </c>
      <c r="I26" s="94">
        <v>2</v>
      </c>
      <c r="J26" s="93">
        <v>45139</v>
      </c>
      <c r="K26" s="85" t="s">
        <v>1887</v>
      </c>
      <c r="L26" s="87">
        <v>458.43</v>
      </c>
      <c r="M26" s="94">
        <v>2</v>
      </c>
      <c r="N26" s="93" t="s">
        <v>491</v>
      </c>
      <c r="O26" s="85" t="s">
        <v>3177</v>
      </c>
      <c r="P26" s="87">
        <v>2500</v>
      </c>
      <c r="Q26" s="94"/>
      <c r="R26" s="93"/>
      <c r="S26" s="85"/>
      <c r="U26" s="94"/>
      <c r="V26" s="93"/>
      <c r="W26" s="85"/>
      <c r="Y26" s="94"/>
      <c r="Z26" s="93"/>
      <c r="AA26" s="85"/>
      <c r="AC26" s="94"/>
      <c r="AD26" s="93"/>
      <c r="AE26" s="85"/>
    </row>
    <row r="27" spans="1:31" x14ac:dyDescent="0.35">
      <c r="E27" s="92">
        <v>1</v>
      </c>
      <c r="F27" s="97" t="s">
        <v>784</v>
      </c>
      <c r="G27" s="92" t="s">
        <v>1886</v>
      </c>
      <c r="H27" s="90">
        <v>-1000</v>
      </c>
      <c r="I27" s="94">
        <v>2</v>
      </c>
      <c r="J27" s="93" t="s">
        <v>775</v>
      </c>
      <c r="K27" s="85" t="s">
        <v>1850</v>
      </c>
      <c r="L27" s="151">
        <v>3750</v>
      </c>
      <c r="M27" s="94"/>
      <c r="N27" s="93"/>
      <c r="O27" s="85"/>
      <c r="Q27" s="94"/>
      <c r="R27" s="93"/>
      <c r="S27" s="85"/>
      <c r="U27" s="94"/>
      <c r="V27" s="93"/>
      <c r="W27" s="85"/>
      <c r="Y27" s="94"/>
      <c r="Z27" s="93"/>
      <c r="AA27" s="85"/>
      <c r="AC27" s="94"/>
      <c r="AD27" s="93"/>
      <c r="AE27" s="85"/>
    </row>
    <row r="28" spans="1:31" x14ac:dyDescent="0.35">
      <c r="E28" s="92"/>
      <c r="F28" s="97" t="s">
        <v>1870</v>
      </c>
      <c r="G28" s="92"/>
      <c r="H28" s="90"/>
      <c r="I28" s="94">
        <v>2</v>
      </c>
      <c r="J28" s="93">
        <v>45196</v>
      </c>
      <c r="K28" s="85" t="s">
        <v>1835</v>
      </c>
      <c r="L28" s="87">
        <v>2500</v>
      </c>
      <c r="M28" s="94"/>
      <c r="N28" s="85"/>
      <c r="O28" s="85"/>
      <c r="Q28" s="94"/>
      <c r="R28" s="93"/>
      <c r="S28" s="85"/>
      <c r="U28" s="94"/>
      <c r="V28" s="93"/>
      <c r="W28" s="85"/>
      <c r="Y28" s="94"/>
      <c r="Z28" s="93"/>
      <c r="AA28" s="85"/>
      <c r="AC28" s="94"/>
      <c r="AD28" s="93"/>
      <c r="AE28" s="85"/>
    </row>
    <row r="29" spans="1:31" x14ac:dyDescent="0.35">
      <c r="E29" s="92"/>
      <c r="F29" s="97" t="s">
        <v>1871</v>
      </c>
      <c r="G29" s="92"/>
      <c r="H29" s="90"/>
      <c r="I29" s="94">
        <v>3</v>
      </c>
      <c r="J29" s="93">
        <v>45232</v>
      </c>
      <c r="K29" s="85" t="s">
        <v>1877</v>
      </c>
      <c r="L29" s="87">
        <v>72.19</v>
      </c>
      <c r="M29" s="94"/>
      <c r="N29" s="93"/>
      <c r="O29" s="85"/>
      <c r="Q29" s="94"/>
      <c r="R29" s="93"/>
      <c r="S29" s="85"/>
      <c r="U29" s="94"/>
      <c r="V29" s="93"/>
      <c r="W29" s="85"/>
      <c r="Y29" s="94"/>
      <c r="Z29" s="93"/>
      <c r="AA29" s="85"/>
      <c r="AC29" s="94"/>
      <c r="AD29" s="93"/>
      <c r="AE29" s="85"/>
    </row>
    <row r="30" spans="1:31" x14ac:dyDescent="0.35">
      <c r="E30" s="92"/>
      <c r="F30" s="97" t="s">
        <v>1872</v>
      </c>
      <c r="G30" s="92"/>
      <c r="H30" s="90"/>
      <c r="I30" s="94">
        <v>10</v>
      </c>
      <c r="J30" s="93">
        <v>45275</v>
      </c>
      <c r="K30" s="85" t="s">
        <v>2246</v>
      </c>
      <c r="L30" s="87">
        <v>1000</v>
      </c>
      <c r="M30" s="94"/>
      <c r="N30" s="93"/>
      <c r="O30" s="85"/>
      <c r="Q30" s="94"/>
      <c r="R30" s="93"/>
      <c r="S30" s="85"/>
      <c r="U30" s="94"/>
      <c r="V30" s="93"/>
      <c r="W30" s="85"/>
      <c r="Y30" s="94"/>
      <c r="Z30" s="93"/>
      <c r="AA30" s="85"/>
      <c r="AC30" s="94"/>
      <c r="AD30" s="93"/>
      <c r="AE30" s="85"/>
    </row>
    <row r="31" spans="1:31" x14ac:dyDescent="0.35">
      <c r="E31" s="92"/>
      <c r="F31" s="97" t="s">
        <v>1873</v>
      </c>
      <c r="G31" s="92"/>
      <c r="H31" s="90"/>
      <c r="I31" s="94">
        <v>6</v>
      </c>
      <c r="J31" s="93">
        <v>45348</v>
      </c>
      <c r="K31" s="87" t="s">
        <v>2532</v>
      </c>
      <c r="L31" s="87">
        <v>500</v>
      </c>
      <c r="M31" s="94"/>
      <c r="N31" s="93"/>
      <c r="O31" s="85"/>
      <c r="Q31" s="94"/>
      <c r="R31" s="93"/>
      <c r="S31" s="85"/>
      <c r="U31" s="94"/>
      <c r="V31" s="93"/>
      <c r="W31" s="85"/>
      <c r="Y31" s="94"/>
      <c r="Z31" s="93"/>
      <c r="AA31" s="85"/>
      <c r="AC31" s="94"/>
      <c r="AD31" s="93"/>
      <c r="AE31" s="85"/>
    </row>
    <row r="32" spans="1:31" x14ac:dyDescent="0.35">
      <c r="E32" s="92"/>
      <c r="F32" s="97" t="s">
        <v>1305</v>
      </c>
      <c r="G32" s="98" t="s">
        <v>279</v>
      </c>
      <c r="H32" s="90">
        <v>500</v>
      </c>
      <c r="I32" s="94">
        <v>2</v>
      </c>
      <c r="J32" s="93">
        <v>45344</v>
      </c>
      <c r="K32" s="87" t="s">
        <v>2596</v>
      </c>
      <c r="L32" s="87">
        <v>15</v>
      </c>
      <c r="N32" s="93"/>
      <c r="O32" s="85"/>
      <c r="Q32" s="94"/>
      <c r="R32" s="93"/>
      <c r="S32" s="85"/>
      <c r="U32" s="94"/>
      <c r="V32" s="93"/>
      <c r="W32" s="85"/>
      <c r="Y32" s="94"/>
      <c r="Z32" s="93"/>
      <c r="AA32" s="85"/>
      <c r="AC32" s="94"/>
      <c r="AD32" s="93"/>
      <c r="AE32" s="85"/>
    </row>
    <row r="33" spans="1:31" x14ac:dyDescent="0.35">
      <c r="E33" s="92"/>
      <c r="F33" s="97" t="s">
        <v>1305</v>
      </c>
      <c r="G33" s="98" t="s">
        <v>281</v>
      </c>
      <c r="H33" s="90">
        <v>500</v>
      </c>
      <c r="I33" s="94">
        <v>9</v>
      </c>
      <c r="J33" s="93">
        <v>45358</v>
      </c>
      <c r="K33" s="87" t="s">
        <v>2640</v>
      </c>
      <c r="L33" s="87">
        <v>1000</v>
      </c>
      <c r="N33" s="93"/>
      <c r="O33" s="85"/>
      <c r="Q33" s="94"/>
      <c r="R33" s="93"/>
      <c r="S33" s="85"/>
      <c r="U33" s="94"/>
      <c r="V33" s="93"/>
      <c r="W33" s="85"/>
      <c r="Y33" s="94"/>
      <c r="Z33" s="93"/>
      <c r="AA33" s="85"/>
      <c r="AC33" s="94"/>
      <c r="AD33" s="93"/>
      <c r="AE33" s="85"/>
    </row>
    <row r="34" spans="1:31" x14ac:dyDescent="0.35">
      <c r="E34" s="92">
        <v>9</v>
      </c>
      <c r="F34" s="97">
        <v>44993</v>
      </c>
      <c r="G34" s="92" t="s">
        <v>282</v>
      </c>
      <c r="H34" s="90">
        <v>1000</v>
      </c>
      <c r="I34" s="94">
        <v>4</v>
      </c>
      <c r="J34" s="93">
        <v>45370</v>
      </c>
      <c r="K34" s="87" t="s">
        <v>276</v>
      </c>
      <c r="L34" s="87">
        <v>959.92</v>
      </c>
      <c r="N34" s="93"/>
      <c r="O34" s="85"/>
      <c r="Q34" s="94"/>
      <c r="R34" s="93"/>
      <c r="S34" s="85"/>
      <c r="U34" s="94"/>
      <c r="V34" s="93"/>
      <c r="W34" s="85"/>
      <c r="Y34" s="94"/>
      <c r="Z34" s="93"/>
      <c r="AA34" s="85"/>
      <c r="AC34" s="94"/>
      <c r="AD34" s="93"/>
      <c r="AE34" s="85"/>
    </row>
    <row r="35" spans="1:31" x14ac:dyDescent="0.35">
      <c r="E35" s="92">
        <v>4</v>
      </c>
      <c r="F35" s="93">
        <v>44980</v>
      </c>
      <c r="G35" s="85" t="s">
        <v>276</v>
      </c>
      <c r="H35" s="87">
        <v>1307.54</v>
      </c>
      <c r="N35" s="93"/>
      <c r="O35" s="85"/>
      <c r="Q35" s="94"/>
      <c r="R35" s="93"/>
      <c r="S35" s="85"/>
      <c r="U35" s="94"/>
      <c r="V35" s="93"/>
      <c r="W35" s="85"/>
      <c r="Y35" s="94"/>
      <c r="Z35" s="93"/>
      <c r="AA35" s="85"/>
      <c r="AC35" s="94"/>
      <c r="AD35" s="93"/>
      <c r="AE35" s="85"/>
    </row>
    <row r="36" spans="1:31" x14ac:dyDescent="0.35">
      <c r="G36" s="85"/>
      <c r="H36" s="87"/>
      <c r="I36" s="96"/>
      <c r="J36" s="96"/>
      <c r="K36" s="96"/>
      <c r="L36" s="95"/>
      <c r="N36" s="93"/>
      <c r="O36" s="85"/>
      <c r="Q36" s="94"/>
      <c r="R36" s="93"/>
      <c r="S36" s="85"/>
      <c r="U36" s="94"/>
      <c r="V36" s="93"/>
      <c r="W36" s="85"/>
      <c r="Y36" s="94"/>
      <c r="Z36" s="93"/>
      <c r="AA36" s="85"/>
      <c r="AC36" s="94"/>
      <c r="AD36" s="93"/>
      <c r="AE36" s="85"/>
    </row>
    <row r="37" spans="1:31" x14ac:dyDescent="0.35">
      <c r="G37" s="85"/>
      <c r="H37" s="87"/>
      <c r="I37" s="96"/>
      <c r="J37" s="96"/>
      <c r="K37" s="96"/>
      <c r="L37" s="95"/>
      <c r="M37" s="94"/>
      <c r="N37" s="93"/>
      <c r="O37" s="85"/>
      <c r="Q37" s="94"/>
      <c r="R37" s="93"/>
      <c r="S37" s="85"/>
      <c r="U37" s="94"/>
      <c r="V37" s="93"/>
      <c r="W37" s="85"/>
      <c r="Y37" s="94"/>
      <c r="Z37" s="93"/>
      <c r="AA37" s="85"/>
      <c r="AC37" s="94"/>
      <c r="AD37" s="93"/>
      <c r="AE37" s="85"/>
    </row>
    <row r="38" spans="1:31" x14ac:dyDescent="0.35">
      <c r="A38" s="87"/>
      <c r="B38" s="87"/>
      <c r="C38" s="87"/>
      <c r="D38" s="87"/>
      <c r="G38" s="85"/>
      <c r="H38" s="87"/>
      <c r="I38" s="96"/>
      <c r="J38" s="96"/>
      <c r="K38" s="96"/>
      <c r="L38" s="95"/>
      <c r="M38" s="94"/>
      <c r="N38" s="93"/>
      <c r="O38" s="85"/>
      <c r="Q38" s="94"/>
      <c r="R38" s="93"/>
      <c r="S38" s="85"/>
      <c r="U38" s="94"/>
      <c r="V38" s="93"/>
      <c r="W38" s="85"/>
      <c r="Y38" s="94"/>
      <c r="Z38" s="93"/>
      <c r="AA38" s="85"/>
      <c r="AC38" s="94"/>
      <c r="AD38" s="93"/>
      <c r="AE38" s="85"/>
    </row>
    <row r="39" spans="1:31" x14ac:dyDescent="0.35">
      <c r="A39" s="87"/>
      <c r="B39" s="87"/>
      <c r="C39" s="87"/>
      <c r="D39" s="87"/>
      <c r="G39" s="85"/>
      <c r="H39" s="87"/>
      <c r="I39" s="96"/>
      <c r="J39" s="96"/>
      <c r="K39" s="96"/>
      <c r="L39" s="95"/>
      <c r="M39" s="94"/>
      <c r="N39" s="93"/>
      <c r="O39" s="85"/>
      <c r="Q39" s="94"/>
      <c r="R39" s="93"/>
      <c r="S39" s="85"/>
      <c r="U39" s="94"/>
      <c r="V39" s="93"/>
      <c r="W39" s="85"/>
      <c r="Y39" s="94"/>
      <c r="Z39" s="93"/>
      <c r="AA39" s="85"/>
      <c r="AC39" s="94"/>
      <c r="AD39" s="93"/>
      <c r="AE39" s="85"/>
    </row>
    <row r="40" spans="1:31" x14ac:dyDescent="0.35">
      <c r="A40" s="87"/>
      <c r="B40" s="87"/>
      <c r="C40" s="87"/>
      <c r="D40" s="87"/>
      <c r="G40" s="85"/>
      <c r="H40" s="87"/>
      <c r="I40" s="96"/>
      <c r="J40" s="96"/>
      <c r="K40" s="96"/>
      <c r="L40" s="95"/>
      <c r="M40" s="94"/>
      <c r="N40" s="93"/>
      <c r="O40" s="85"/>
      <c r="Q40" s="94"/>
      <c r="R40" s="93"/>
      <c r="S40" s="85"/>
      <c r="U40" s="94"/>
      <c r="V40" s="93"/>
      <c r="W40" s="85"/>
      <c r="Y40" s="94"/>
      <c r="Z40" s="93"/>
      <c r="AA40" s="85"/>
      <c r="AC40" s="94"/>
      <c r="AD40" s="93"/>
      <c r="AE40" s="85"/>
    </row>
    <row r="41" spans="1:31" x14ac:dyDescent="0.35">
      <c r="A41" s="87"/>
      <c r="B41" s="87"/>
      <c r="C41" s="87"/>
      <c r="D41" s="87"/>
      <c r="G41" s="85"/>
      <c r="H41" s="87"/>
      <c r="I41" s="94"/>
      <c r="J41" s="93"/>
      <c r="K41" s="85"/>
      <c r="M41" s="94"/>
      <c r="N41" s="93"/>
      <c r="O41" s="85"/>
      <c r="Q41" s="94"/>
      <c r="R41" s="93"/>
      <c r="S41" s="85"/>
      <c r="U41" s="94"/>
      <c r="V41" s="93"/>
      <c r="W41" s="85"/>
      <c r="Y41" s="94"/>
      <c r="Z41" s="93"/>
      <c r="AA41" s="85"/>
      <c r="AC41" s="94"/>
      <c r="AD41" s="93"/>
      <c r="AE41" s="85"/>
    </row>
    <row r="42" spans="1:31" x14ac:dyDescent="0.35">
      <c r="A42" s="87"/>
      <c r="B42" s="87"/>
      <c r="C42" s="87"/>
      <c r="D42" s="87"/>
      <c r="G42" s="85"/>
      <c r="H42" s="87"/>
      <c r="I42" s="94"/>
      <c r="J42" s="93"/>
      <c r="K42" s="85"/>
      <c r="M42" s="94"/>
      <c r="N42" s="93"/>
      <c r="O42" s="85"/>
      <c r="Q42" s="94"/>
      <c r="R42" s="93"/>
      <c r="S42" s="85"/>
      <c r="U42" s="94"/>
      <c r="V42" s="93"/>
      <c r="W42" s="85"/>
      <c r="Y42" s="94"/>
      <c r="Z42" s="93"/>
      <c r="AA42" s="85"/>
      <c r="AC42" s="94"/>
      <c r="AD42" s="93"/>
      <c r="AE42" s="85"/>
    </row>
    <row r="43" spans="1:31" x14ac:dyDescent="0.35">
      <c r="A43" s="87"/>
      <c r="B43" s="87"/>
      <c r="C43" s="87"/>
      <c r="D43" s="87"/>
      <c r="G43" s="85"/>
      <c r="H43" s="87"/>
      <c r="I43" s="94"/>
      <c r="J43" s="93"/>
      <c r="K43" s="85"/>
      <c r="M43" s="94"/>
      <c r="N43" s="93"/>
      <c r="O43" s="85"/>
      <c r="Q43" s="94"/>
      <c r="R43" s="93"/>
      <c r="S43" s="85"/>
      <c r="U43" s="94"/>
      <c r="V43" s="93"/>
      <c r="W43" s="85"/>
      <c r="Y43" s="94"/>
      <c r="Z43" s="93"/>
      <c r="AA43" s="85"/>
      <c r="AC43" s="94"/>
      <c r="AD43" s="93"/>
      <c r="AE43" s="85"/>
    </row>
    <row r="44" spans="1:31" x14ac:dyDescent="0.35">
      <c r="A44" s="87"/>
      <c r="B44" s="87"/>
      <c r="C44" s="87"/>
      <c r="D44" s="87"/>
      <c r="G44" s="85"/>
      <c r="H44" s="87"/>
      <c r="I44" s="94"/>
      <c r="J44" s="93"/>
      <c r="K44" s="85"/>
      <c r="M44" s="94"/>
      <c r="N44" s="93"/>
      <c r="O44" s="85"/>
      <c r="Q44" s="94"/>
      <c r="R44" s="93"/>
      <c r="S44" s="85"/>
      <c r="U44" s="94"/>
      <c r="V44" s="93"/>
      <c r="W44" s="85"/>
      <c r="Y44" s="94"/>
      <c r="Z44" s="93"/>
      <c r="AA44" s="85"/>
      <c r="AC44" s="94"/>
      <c r="AD44" s="93"/>
      <c r="AE44" s="85"/>
    </row>
    <row r="45" spans="1:31" x14ac:dyDescent="0.35">
      <c r="A45" s="87"/>
      <c r="B45" s="87"/>
      <c r="C45" s="87"/>
      <c r="D45" s="87"/>
      <c r="G45" s="85"/>
      <c r="H45" s="87"/>
      <c r="I45" s="94"/>
      <c r="J45" s="93"/>
      <c r="K45" s="85"/>
      <c r="M45" s="94"/>
      <c r="N45" s="93"/>
      <c r="O45" s="85"/>
      <c r="Q45" s="94"/>
      <c r="R45" s="93"/>
      <c r="S45" s="85"/>
      <c r="U45" s="94"/>
      <c r="V45" s="93"/>
      <c r="W45" s="85"/>
      <c r="Y45" s="94"/>
      <c r="Z45" s="93"/>
      <c r="AA45" s="85"/>
      <c r="AC45" s="94"/>
      <c r="AD45" s="93"/>
      <c r="AE45" s="85"/>
    </row>
    <row r="46" spans="1:31" x14ac:dyDescent="0.35">
      <c r="A46" s="87"/>
      <c r="B46" s="87"/>
      <c r="C46" s="87"/>
      <c r="D46" s="87"/>
      <c r="G46" s="85"/>
      <c r="H46" s="87"/>
      <c r="I46" s="94"/>
      <c r="J46" s="93"/>
      <c r="K46" s="85"/>
      <c r="M46" s="94"/>
      <c r="N46" s="93"/>
      <c r="O46" s="85"/>
      <c r="Q46" s="94"/>
      <c r="R46" s="93"/>
      <c r="S46" s="85"/>
      <c r="U46" s="94"/>
      <c r="V46" s="93"/>
      <c r="W46" s="85"/>
      <c r="Y46" s="94"/>
      <c r="Z46" s="93"/>
      <c r="AA46" s="85"/>
      <c r="AC46" s="94"/>
      <c r="AD46" s="93"/>
      <c r="AE46" s="85"/>
    </row>
    <row r="47" spans="1:31" x14ac:dyDescent="0.35">
      <c r="A47" s="87"/>
      <c r="B47" s="87"/>
      <c r="C47" s="87"/>
      <c r="D47" s="87"/>
      <c r="G47" s="85"/>
      <c r="H47" s="87"/>
      <c r="I47" s="94"/>
      <c r="J47" s="93"/>
      <c r="K47" s="85"/>
      <c r="M47" s="94"/>
      <c r="N47" s="93"/>
      <c r="O47" s="85"/>
      <c r="Q47" s="94"/>
      <c r="R47" s="93"/>
      <c r="S47" s="85"/>
      <c r="U47" s="94"/>
      <c r="V47" s="93"/>
      <c r="W47" s="85"/>
      <c r="Y47" s="94"/>
      <c r="Z47" s="93"/>
      <c r="AA47" s="85"/>
      <c r="AC47" s="94"/>
      <c r="AD47" s="93"/>
      <c r="AE47" s="85"/>
    </row>
    <row r="48" spans="1:31" x14ac:dyDescent="0.35">
      <c r="A48" s="87"/>
      <c r="B48" s="87"/>
      <c r="C48" s="87"/>
      <c r="D48" s="87"/>
      <c r="G48" s="85"/>
      <c r="H48" s="87"/>
      <c r="I48" s="94"/>
      <c r="J48" s="93"/>
      <c r="K48" s="85"/>
      <c r="M48" s="94"/>
      <c r="N48" s="93"/>
      <c r="O48" s="85"/>
      <c r="Q48" s="94"/>
      <c r="R48" s="93"/>
      <c r="S48" s="85"/>
      <c r="U48" s="94"/>
      <c r="V48" s="93"/>
      <c r="W48" s="85"/>
      <c r="Y48" s="94"/>
      <c r="Z48" s="93"/>
      <c r="AA48" s="85"/>
      <c r="AC48" s="94"/>
      <c r="AD48" s="93"/>
      <c r="AE48" s="85"/>
    </row>
    <row r="49" spans="1:31" x14ac:dyDescent="0.35">
      <c r="A49" s="87"/>
      <c r="B49" s="87"/>
      <c r="C49" s="87"/>
      <c r="D49" s="87"/>
      <c r="G49" s="85"/>
      <c r="H49" s="87"/>
      <c r="I49" s="94"/>
      <c r="J49" s="93"/>
      <c r="K49" s="85"/>
      <c r="M49" s="94"/>
      <c r="N49" s="93"/>
      <c r="O49" s="85"/>
      <c r="Q49" s="94"/>
      <c r="R49" s="93"/>
      <c r="S49" s="85"/>
      <c r="U49" s="94"/>
      <c r="V49" s="93"/>
      <c r="W49" s="85"/>
      <c r="Y49" s="94"/>
      <c r="Z49" s="93"/>
      <c r="AA49" s="85"/>
      <c r="AC49" s="94"/>
      <c r="AD49" s="93"/>
      <c r="AE49" s="85"/>
    </row>
    <row r="50" spans="1:31" x14ac:dyDescent="0.35">
      <c r="A50" s="87"/>
      <c r="B50" s="87"/>
      <c r="C50" s="87"/>
      <c r="D50" s="87"/>
      <c r="G50" s="85"/>
      <c r="H50" s="87"/>
      <c r="I50" s="94"/>
      <c r="J50" s="93"/>
      <c r="K50" s="85"/>
      <c r="M50" s="94"/>
      <c r="N50" s="93"/>
      <c r="O50" s="85"/>
      <c r="Q50" s="94"/>
      <c r="R50" s="93"/>
      <c r="S50" s="85"/>
      <c r="U50" s="94"/>
      <c r="V50" s="93"/>
      <c r="W50" s="85"/>
      <c r="Y50" s="94"/>
      <c r="Z50" s="93"/>
      <c r="AA50" s="85"/>
      <c r="AC50" s="94"/>
      <c r="AD50" s="93"/>
      <c r="AE50" s="85"/>
    </row>
    <row r="51" spans="1:31" x14ac:dyDescent="0.35">
      <c r="A51" s="87"/>
      <c r="B51" s="87"/>
      <c r="C51" s="87"/>
      <c r="D51" s="87"/>
      <c r="G51" s="85"/>
      <c r="H51" s="87"/>
      <c r="I51" s="94"/>
      <c r="J51" s="93"/>
      <c r="K51" s="85"/>
      <c r="M51" s="94"/>
      <c r="N51" s="93"/>
      <c r="O51" s="85"/>
      <c r="Q51" s="94"/>
      <c r="R51" s="93"/>
      <c r="S51" s="85"/>
      <c r="U51" s="94"/>
      <c r="V51" s="93"/>
      <c r="W51" s="85"/>
      <c r="Y51" s="94"/>
      <c r="Z51" s="93"/>
      <c r="AA51" s="85"/>
      <c r="AC51" s="94"/>
      <c r="AD51" s="93"/>
      <c r="AE51" s="85"/>
    </row>
    <row r="52" spans="1:31" x14ac:dyDescent="0.35">
      <c r="A52" s="87"/>
      <c r="B52" s="87"/>
      <c r="C52" s="87"/>
      <c r="D52" s="87"/>
      <c r="G52" s="85"/>
      <c r="H52" s="87"/>
      <c r="I52" s="94"/>
      <c r="J52" s="93"/>
      <c r="K52" s="85"/>
      <c r="M52" s="94"/>
      <c r="N52" s="93"/>
      <c r="O52" s="85"/>
      <c r="Q52" s="94"/>
      <c r="R52" s="93"/>
      <c r="S52" s="85"/>
      <c r="U52" s="94"/>
      <c r="V52" s="93"/>
      <c r="W52" s="85"/>
      <c r="Y52" s="94"/>
      <c r="Z52" s="93"/>
      <c r="AA52" s="85"/>
      <c r="AC52" s="94"/>
      <c r="AD52" s="93"/>
      <c r="AE52" s="85"/>
    </row>
    <row r="53" spans="1:31" x14ac:dyDescent="0.35">
      <c r="A53" s="87"/>
      <c r="B53" s="87"/>
      <c r="C53" s="87"/>
      <c r="D53" s="87"/>
      <c r="G53" s="85"/>
      <c r="H53" s="87"/>
      <c r="I53" s="94"/>
      <c r="J53" s="93"/>
      <c r="K53" s="85"/>
      <c r="M53" s="94"/>
      <c r="N53" s="93"/>
      <c r="O53" s="85"/>
      <c r="Q53" s="94"/>
      <c r="R53" s="93"/>
      <c r="S53" s="85"/>
      <c r="U53" s="94"/>
      <c r="V53" s="93"/>
      <c r="W53" s="85"/>
      <c r="Y53" s="94"/>
      <c r="Z53" s="93"/>
      <c r="AA53" s="85"/>
      <c r="AC53" s="94"/>
      <c r="AD53" s="93"/>
      <c r="AE53" s="85"/>
    </row>
    <row r="54" spans="1:31" x14ac:dyDescent="0.35">
      <c r="A54" s="87"/>
      <c r="B54" s="87"/>
      <c r="C54" s="87"/>
      <c r="D54" s="87"/>
      <c r="G54" s="85"/>
      <c r="H54" s="87"/>
      <c r="I54" s="94"/>
      <c r="J54" s="93"/>
      <c r="K54" s="85"/>
      <c r="M54" s="94"/>
      <c r="N54" s="93"/>
      <c r="O54" s="85"/>
      <c r="Q54" s="94"/>
      <c r="R54" s="93"/>
      <c r="S54" s="85"/>
      <c r="U54" s="94"/>
      <c r="V54" s="93"/>
      <c r="W54" s="85"/>
      <c r="Y54" s="94"/>
      <c r="Z54" s="93"/>
      <c r="AA54" s="85"/>
      <c r="AC54" s="94"/>
      <c r="AD54" s="93"/>
      <c r="AE54" s="85"/>
    </row>
    <row r="55" spans="1:31" x14ac:dyDescent="0.35">
      <c r="A55" s="87"/>
      <c r="B55" s="87"/>
      <c r="C55" s="87"/>
      <c r="D55" s="87"/>
      <c r="G55" s="85"/>
      <c r="H55" s="87"/>
      <c r="I55" s="94"/>
      <c r="J55" s="93"/>
      <c r="K55" s="85"/>
      <c r="M55" s="94"/>
      <c r="N55" s="93"/>
      <c r="O55" s="85"/>
      <c r="Q55" s="94"/>
      <c r="R55" s="93"/>
      <c r="S55" s="85"/>
      <c r="U55" s="94"/>
      <c r="V55" s="93"/>
      <c r="W55" s="85"/>
      <c r="Y55" s="94"/>
      <c r="Z55" s="93"/>
      <c r="AA55" s="85"/>
      <c r="AC55" s="94"/>
      <c r="AD55" s="93"/>
      <c r="AE55" s="85"/>
    </row>
    <row r="56" spans="1:31" x14ac:dyDescent="0.35">
      <c r="A56" s="87"/>
      <c r="B56" s="87"/>
      <c r="C56" s="87"/>
      <c r="D56" s="87"/>
      <c r="G56" s="85"/>
      <c r="H56" s="87"/>
      <c r="I56" s="94"/>
      <c r="J56" s="93"/>
      <c r="K56" s="85"/>
      <c r="M56" s="94"/>
      <c r="N56" s="93"/>
      <c r="O56" s="85"/>
      <c r="Q56" s="94"/>
      <c r="R56" s="93"/>
      <c r="S56" s="85"/>
      <c r="U56" s="94"/>
      <c r="V56" s="93"/>
      <c r="W56" s="85"/>
      <c r="Y56" s="94"/>
      <c r="Z56" s="93"/>
      <c r="AA56" s="85"/>
      <c r="AC56" s="94"/>
      <c r="AD56" s="93"/>
      <c r="AE56" s="85"/>
    </row>
    <row r="57" spans="1:31" x14ac:dyDescent="0.35">
      <c r="A57" s="87"/>
      <c r="B57" s="87"/>
      <c r="C57" s="87"/>
      <c r="D57" s="87"/>
      <c r="G57" s="85"/>
      <c r="H57" s="87"/>
      <c r="I57" s="94"/>
      <c r="J57" s="93"/>
      <c r="K57" s="85"/>
      <c r="M57" s="94"/>
      <c r="N57" s="93"/>
      <c r="O57" s="85"/>
      <c r="Q57" s="94"/>
      <c r="R57" s="93"/>
      <c r="S57" s="85"/>
      <c r="U57" s="94"/>
      <c r="V57" s="93"/>
      <c r="W57" s="85"/>
      <c r="Y57" s="94"/>
      <c r="Z57" s="93"/>
      <c r="AA57" s="85"/>
      <c r="AC57" s="94"/>
      <c r="AD57" s="93"/>
      <c r="AE57" s="85"/>
    </row>
    <row r="58" spans="1:31" x14ac:dyDescent="0.35">
      <c r="A58" s="87"/>
      <c r="B58" s="87"/>
      <c r="C58" s="87"/>
      <c r="D58" s="87"/>
      <c r="G58" s="85"/>
      <c r="H58" s="87"/>
      <c r="I58" s="94"/>
      <c r="J58" s="93"/>
      <c r="K58" s="85"/>
      <c r="M58" s="94"/>
      <c r="N58" s="93"/>
      <c r="O58" s="85"/>
      <c r="Q58" s="94"/>
      <c r="R58" s="93"/>
      <c r="S58" s="85"/>
      <c r="U58" s="94"/>
      <c r="V58" s="93"/>
      <c r="W58" s="85"/>
      <c r="Y58" s="94"/>
      <c r="Z58" s="93"/>
      <c r="AA58" s="85"/>
      <c r="AC58" s="94"/>
      <c r="AD58" s="93"/>
      <c r="AE58" s="85"/>
    </row>
    <row r="59" spans="1:31" x14ac:dyDescent="0.35">
      <c r="A59" s="87"/>
      <c r="B59" s="87"/>
      <c r="C59" s="87"/>
      <c r="D59" s="87"/>
      <c r="G59" s="85"/>
      <c r="H59" s="87"/>
      <c r="I59" s="94"/>
      <c r="J59" s="93"/>
      <c r="K59" s="85"/>
      <c r="M59" s="94"/>
      <c r="N59" s="93"/>
      <c r="O59" s="85"/>
      <c r="Q59" s="94"/>
      <c r="R59" s="93"/>
      <c r="S59" s="85"/>
      <c r="U59" s="94"/>
      <c r="V59" s="93"/>
      <c r="W59" s="85"/>
      <c r="Y59" s="94"/>
      <c r="Z59" s="93"/>
      <c r="AA59" s="85"/>
      <c r="AC59" s="94"/>
      <c r="AD59" s="93"/>
      <c r="AE59" s="85"/>
    </row>
    <row r="60" spans="1:31" x14ac:dyDescent="0.35">
      <c r="A60" s="87"/>
      <c r="B60" s="87"/>
      <c r="C60" s="87"/>
      <c r="D60" s="87"/>
      <c r="G60" s="85"/>
      <c r="H60" s="87"/>
      <c r="I60" s="94"/>
      <c r="J60" s="93"/>
      <c r="K60" s="85"/>
      <c r="M60" s="94"/>
      <c r="N60" s="93"/>
      <c r="O60" s="85"/>
      <c r="Q60" s="94"/>
      <c r="R60" s="93"/>
      <c r="S60" s="85"/>
      <c r="U60" s="94"/>
      <c r="V60" s="93"/>
      <c r="W60" s="85"/>
      <c r="Y60" s="94"/>
      <c r="Z60" s="93"/>
      <c r="AA60" s="85"/>
      <c r="AC60" s="94"/>
      <c r="AD60" s="93"/>
      <c r="AE60" s="85"/>
    </row>
    <row r="61" spans="1:31" x14ac:dyDescent="0.35">
      <c r="A61" s="87"/>
      <c r="B61" s="87"/>
      <c r="C61" s="87"/>
      <c r="D61" s="87"/>
      <c r="G61" s="85"/>
      <c r="H61" s="87"/>
      <c r="I61" s="94"/>
      <c r="J61" s="93"/>
      <c r="K61" s="85"/>
      <c r="M61" s="94"/>
      <c r="N61" s="93"/>
      <c r="O61" s="85"/>
      <c r="Q61" s="94"/>
      <c r="R61" s="93"/>
      <c r="S61" s="85"/>
      <c r="U61" s="94"/>
      <c r="V61" s="93"/>
      <c r="W61" s="85"/>
      <c r="Y61" s="94"/>
      <c r="Z61" s="93"/>
      <c r="AA61" s="85"/>
      <c r="AC61" s="94"/>
      <c r="AD61" s="93"/>
      <c r="AE61" s="85"/>
    </row>
    <row r="62" spans="1:31" x14ac:dyDescent="0.35">
      <c r="A62" s="87"/>
      <c r="B62" s="87"/>
      <c r="C62" s="87"/>
      <c r="D62" s="87"/>
      <c r="G62" s="85"/>
      <c r="H62" s="87"/>
      <c r="I62" s="94"/>
      <c r="J62" s="93"/>
      <c r="K62" s="85"/>
      <c r="M62" s="94"/>
      <c r="N62" s="93"/>
      <c r="O62" s="85"/>
      <c r="Q62" s="94"/>
      <c r="R62" s="93"/>
      <c r="S62" s="85"/>
      <c r="U62" s="94"/>
      <c r="V62" s="93"/>
      <c r="W62" s="85"/>
      <c r="Y62" s="94"/>
      <c r="Z62" s="93"/>
      <c r="AA62" s="85"/>
      <c r="AC62" s="94"/>
      <c r="AD62" s="93"/>
      <c r="AE62" s="85"/>
    </row>
    <row r="63" spans="1:31" x14ac:dyDescent="0.35">
      <c r="A63" s="87"/>
      <c r="B63" s="87"/>
      <c r="C63" s="87"/>
      <c r="D63" s="87"/>
      <c r="G63" s="85"/>
      <c r="H63" s="87"/>
      <c r="I63" s="94"/>
      <c r="J63" s="93"/>
      <c r="K63" s="85"/>
      <c r="M63" s="94"/>
      <c r="N63" s="93"/>
      <c r="O63" s="85"/>
      <c r="Q63" s="94"/>
      <c r="R63" s="93"/>
      <c r="S63" s="85"/>
      <c r="U63" s="94"/>
      <c r="V63" s="93"/>
      <c r="W63" s="85"/>
      <c r="Y63" s="94"/>
      <c r="Z63" s="93"/>
      <c r="AA63" s="85"/>
      <c r="AC63" s="94"/>
      <c r="AD63" s="93"/>
      <c r="AE63" s="85"/>
    </row>
    <row r="64" spans="1:31" x14ac:dyDescent="0.35">
      <c r="A64" s="87"/>
      <c r="B64" s="87"/>
      <c r="C64" s="87"/>
      <c r="D64" s="87"/>
      <c r="G64" s="85"/>
      <c r="H64" s="87"/>
      <c r="I64" s="94"/>
      <c r="J64" s="93"/>
      <c r="K64" s="85"/>
      <c r="M64" s="94"/>
      <c r="N64" s="93"/>
      <c r="O64" s="85"/>
      <c r="Q64" s="94"/>
      <c r="R64" s="93"/>
      <c r="S64" s="85"/>
      <c r="U64" s="94"/>
      <c r="V64" s="93"/>
      <c r="W64" s="85"/>
      <c r="Y64" s="94"/>
      <c r="Z64" s="93"/>
      <c r="AA64" s="85"/>
      <c r="AC64" s="94"/>
      <c r="AD64" s="93"/>
      <c r="AE64" s="85"/>
    </row>
    <row r="65" spans="1:31" x14ac:dyDescent="0.35">
      <c r="A65" s="87"/>
      <c r="B65" s="87"/>
      <c r="C65" s="87"/>
      <c r="D65" s="87"/>
      <c r="G65" s="85"/>
      <c r="H65" s="87"/>
      <c r="I65" s="94"/>
      <c r="J65" s="93"/>
      <c r="K65" s="85"/>
      <c r="M65" s="94"/>
      <c r="N65" s="93"/>
      <c r="O65" s="85"/>
      <c r="Q65" s="94"/>
      <c r="R65" s="93"/>
      <c r="S65" s="85"/>
      <c r="U65" s="94"/>
      <c r="V65" s="93"/>
      <c r="W65" s="85"/>
      <c r="Y65" s="94"/>
      <c r="Z65" s="93"/>
      <c r="AA65" s="85"/>
      <c r="AC65" s="94"/>
      <c r="AD65" s="93"/>
      <c r="AE65" s="85"/>
    </row>
    <row r="66" spans="1:31" x14ac:dyDescent="0.35">
      <c r="A66" s="87"/>
      <c r="B66" s="87"/>
      <c r="C66" s="87"/>
      <c r="D66" s="87"/>
      <c r="G66" s="85"/>
      <c r="H66" s="87"/>
      <c r="I66" s="94"/>
      <c r="J66" s="93"/>
      <c r="K66" s="85"/>
      <c r="M66" s="94"/>
      <c r="N66" s="93"/>
      <c r="O66" s="85"/>
      <c r="Q66" s="94"/>
      <c r="R66" s="93"/>
      <c r="S66" s="85"/>
      <c r="U66" s="94"/>
      <c r="V66" s="93"/>
      <c r="W66" s="85"/>
      <c r="Y66" s="94"/>
      <c r="Z66" s="93"/>
      <c r="AA66" s="85"/>
      <c r="AC66" s="94"/>
      <c r="AD66" s="93"/>
      <c r="AE66" s="85"/>
    </row>
    <row r="67" spans="1:31" x14ac:dyDescent="0.35">
      <c r="A67" s="87"/>
      <c r="B67" s="87"/>
      <c r="C67" s="87"/>
      <c r="D67" s="87"/>
      <c r="G67" s="85"/>
      <c r="H67" s="87"/>
      <c r="I67" s="94"/>
      <c r="J67" s="93"/>
      <c r="K67" s="85"/>
      <c r="M67" s="94"/>
      <c r="N67" s="93"/>
      <c r="O67" s="85"/>
      <c r="Q67" s="94"/>
      <c r="R67" s="93"/>
      <c r="S67" s="85"/>
      <c r="U67" s="94"/>
      <c r="V67" s="93"/>
      <c r="W67" s="85"/>
      <c r="Y67" s="94"/>
      <c r="Z67" s="93"/>
      <c r="AA67" s="85"/>
      <c r="AC67" s="94"/>
      <c r="AD67" s="93"/>
      <c r="AE67" s="85"/>
    </row>
    <row r="68" spans="1:31" x14ac:dyDescent="0.35">
      <c r="A68" s="87"/>
      <c r="B68" s="87"/>
      <c r="C68" s="87"/>
      <c r="D68" s="87"/>
      <c r="G68" s="85"/>
      <c r="H68" s="87"/>
      <c r="I68" s="94"/>
      <c r="J68" s="93"/>
      <c r="K68" s="85"/>
      <c r="M68" s="94"/>
      <c r="N68" s="93"/>
      <c r="O68" s="85"/>
      <c r="Q68" s="94"/>
      <c r="R68" s="93"/>
      <c r="S68" s="85"/>
      <c r="U68" s="94"/>
      <c r="V68" s="93"/>
      <c r="W68" s="85"/>
      <c r="Y68" s="94"/>
      <c r="Z68" s="93"/>
      <c r="AA68" s="85"/>
      <c r="AC68" s="94"/>
      <c r="AD68" s="93"/>
      <c r="AE68" s="85"/>
    </row>
    <row r="69" spans="1:31" x14ac:dyDescent="0.35">
      <c r="A69" s="87"/>
      <c r="B69" s="87"/>
      <c r="C69" s="87"/>
      <c r="D69" s="87"/>
      <c r="G69" s="85"/>
      <c r="H69" s="87"/>
      <c r="I69" s="94"/>
      <c r="J69" s="93"/>
      <c r="K69" s="85"/>
      <c r="M69" s="94"/>
      <c r="N69" s="93"/>
      <c r="O69" s="85"/>
      <c r="Q69" s="94"/>
      <c r="R69" s="93"/>
      <c r="S69" s="85"/>
      <c r="U69" s="94"/>
      <c r="V69" s="93"/>
      <c r="W69" s="85"/>
      <c r="Y69" s="94"/>
      <c r="Z69" s="93"/>
      <c r="AA69" s="85"/>
      <c r="AC69" s="94"/>
      <c r="AD69" s="93"/>
      <c r="AE69" s="85"/>
    </row>
    <row r="70" spans="1:31" x14ac:dyDescent="0.35">
      <c r="A70" s="87"/>
      <c r="B70" s="87"/>
      <c r="C70" s="87"/>
      <c r="D70" s="87"/>
      <c r="G70" s="85"/>
      <c r="H70" s="87"/>
      <c r="I70" s="94"/>
      <c r="J70" s="93"/>
      <c r="K70" s="85"/>
      <c r="M70" s="94"/>
      <c r="N70" s="93"/>
      <c r="O70" s="85"/>
      <c r="Q70" s="94"/>
      <c r="R70" s="93"/>
      <c r="S70" s="85"/>
      <c r="U70" s="94"/>
      <c r="V70" s="93"/>
      <c r="W70" s="85"/>
      <c r="Y70" s="94"/>
      <c r="Z70" s="93"/>
      <c r="AA70" s="85"/>
      <c r="AC70" s="94"/>
      <c r="AD70" s="93"/>
      <c r="AE70" s="85"/>
    </row>
    <row r="71" spans="1:31" x14ac:dyDescent="0.35">
      <c r="A71" s="87"/>
      <c r="B71" s="87"/>
      <c r="C71" s="87"/>
      <c r="D71" s="87"/>
      <c r="G71" s="85"/>
      <c r="H71" s="87"/>
      <c r="I71" s="94"/>
      <c r="J71" s="93"/>
      <c r="K71" s="85"/>
      <c r="M71" s="94"/>
      <c r="N71" s="93"/>
      <c r="O71" s="85"/>
      <c r="Q71" s="94"/>
      <c r="R71" s="93"/>
      <c r="S71" s="85"/>
      <c r="U71" s="94"/>
      <c r="V71" s="93"/>
      <c r="W71" s="85"/>
      <c r="Y71" s="94"/>
      <c r="Z71" s="93"/>
      <c r="AA71" s="85"/>
      <c r="AC71" s="94"/>
      <c r="AD71" s="93"/>
      <c r="AE71" s="85"/>
    </row>
    <row r="72" spans="1:31" x14ac:dyDescent="0.35">
      <c r="A72" s="87"/>
      <c r="B72" s="87"/>
      <c r="C72" s="87"/>
      <c r="D72" s="87"/>
      <c r="G72" s="85"/>
      <c r="H72" s="87"/>
      <c r="I72" s="94"/>
      <c r="J72" s="93"/>
      <c r="K72" s="85"/>
      <c r="M72" s="94"/>
      <c r="N72" s="93"/>
      <c r="O72" s="85"/>
      <c r="Q72" s="94"/>
      <c r="R72" s="93"/>
      <c r="S72" s="85"/>
      <c r="U72" s="94"/>
      <c r="V72" s="93"/>
      <c r="W72" s="85"/>
      <c r="Y72" s="94"/>
      <c r="Z72" s="93"/>
      <c r="AA72" s="85"/>
      <c r="AC72" s="94"/>
      <c r="AD72" s="93"/>
      <c r="AE72" s="85"/>
    </row>
    <row r="73" spans="1:31" x14ac:dyDescent="0.35">
      <c r="A73" s="87"/>
      <c r="B73" s="87"/>
      <c r="C73" s="87"/>
      <c r="D73" s="87"/>
      <c r="G73" s="85"/>
      <c r="H73" s="87"/>
      <c r="I73" s="94"/>
      <c r="J73" s="93"/>
      <c r="K73" s="85"/>
      <c r="M73" s="94"/>
      <c r="N73" s="93"/>
      <c r="O73" s="85"/>
      <c r="Q73" s="94"/>
      <c r="R73" s="93"/>
      <c r="S73" s="85"/>
      <c r="U73" s="94"/>
      <c r="V73" s="93"/>
      <c r="W73" s="85"/>
      <c r="Y73" s="94"/>
      <c r="Z73" s="93"/>
      <c r="AA73" s="85"/>
      <c r="AC73" s="94"/>
      <c r="AD73" s="93"/>
      <c r="AE73" s="85"/>
    </row>
    <row r="74" spans="1:31" x14ac:dyDescent="0.35">
      <c r="A74" s="87"/>
      <c r="B74" s="87"/>
      <c r="C74" s="87"/>
      <c r="D74" s="87"/>
      <c r="G74" s="85"/>
      <c r="H74" s="87"/>
      <c r="I74" s="94"/>
      <c r="J74" s="93"/>
      <c r="K74" s="85"/>
      <c r="M74" s="94"/>
      <c r="N74" s="93"/>
      <c r="O74" s="85"/>
      <c r="Q74" s="94"/>
      <c r="R74" s="93"/>
      <c r="S74" s="85"/>
      <c r="U74" s="94"/>
      <c r="V74" s="93"/>
      <c r="W74" s="85"/>
      <c r="Y74" s="94"/>
      <c r="Z74" s="93"/>
      <c r="AA74" s="85"/>
      <c r="AC74" s="94"/>
      <c r="AD74" s="93"/>
      <c r="AE74" s="85"/>
    </row>
    <row r="75" spans="1:31" x14ac:dyDescent="0.35">
      <c r="A75" s="87"/>
      <c r="B75" s="87"/>
      <c r="C75" s="87"/>
      <c r="D75" s="87"/>
      <c r="G75" s="85"/>
      <c r="H75" s="87"/>
      <c r="I75" s="94"/>
      <c r="J75" s="93"/>
      <c r="K75" s="85"/>
      <c r="M75" s="94"/>
      <c r="N75" s="93"/>
      <c r="O75" s="85"/>
      <c r="Q75" s="94"/>
      <c r="R75" s="93"/>
      <c r="S75" s="85"/>
      <c r="U75" s="94"/>
      <c r="V75" s="93"/>
      <c r="W75" s="85"/>
      <c r="Y75" s="94"/>
      <c r="Z75" s="93"/>
      <c r="AA75" s="85"/>
      <c r="AC75" s="94"/>
      <c r="AD75" s="93"/>
      <c r="AE75" s="85"/>
    </row>
    <row r="76" spans="1:31" x14ac:dyDescent="0.35">
      <c r="A76" s="87"/>
      <c r="B76" s="87"/>
      <c r="C76" s="87"/>
      <c r="D76" s="87"/>
      <c r="G76" s="85"/>
      <c r="H76" s="87"/>
      <c r="I76" s="94"/>
      <c r="J76" s="93"/>
      <c r="K76" s="85"/>
      <c r="M76" s="94"/>
      <c r="N76" s="93"/>
      <c r="O76" s="85"/>
      <c r="Q76" s="94"/>
      <c r="R76" s="93"/>
      <c r="S76" s="85"/>
      <c r="U76" s="94"/>
      <c r="V76" s="93"/>
      <c r="W76" s="85"/>
      <c r="Y76" s="94"/>
      <c r="Z76" s="93"/>
      <c r="AA76" s="85"/>
      <c r="AC76" s="94"/>
      <c r="AD76" s="93"/>
      <c r="AE76" s="85"/>
    </row>
    <row r="77" spans="1:31" x14ac:dyDescent="0.35">
      <c r="A77" s="87"/>
      <c r="B77" s="87"/>
      <c r="C77" s="87"/>
      <c r="D77" s="87"/>
      <c r="G77" s="85"/>
      <c r="H77" s="87"/>
      <c r="I77" s="94"/>
      <c r="J77" s="93"/>
      <c r="K77" s="85"/>
      <c r="M77" s="94"/>
      <c r="N77" s="93"/>
      <c r="O77" s="85"/>
      <c r="Q77" s="94"/>
      <c r="R77" s="93"/>
      <c r="S77" s="85"/>
      <c r="U77" s="94"/>
      <c r="V77" s="93"/>
      <c r="W77" s="85"/>
      <c r="Y77" s="94"/>
      <c r="Z77" s="93"/>
      <c r="AA77" s="85"/>
      <c r="AC77" s="94"/>
      <c r="AD77" s="93"/>
      <c r="AE77" s="85"/>
    </row>
    <row r="78" spans="1:31" x14ac:dyDescent="0.35">
      <c r="A78" s="87"/>
      <c r="B78" s="87"/>
      <c r="C78" s="87"/>
      <c r="D78" s="87"/>
      <c r="G78" s="85"/>
      <c r="H78" s="87"/>
      <c r="I78" s="94"/>
      <c r="J78" s="93"/>
      <c r="K78" s="85"/>
      <c r="M78" s="94"/>
      <c r="N78" s="93"/>
      <c r="O78" s="85"/>
      <c r="Q78" s="94"/>
      <c r="R78" s="93"/>
      <c r="S78" s="85"/>
      <c r="U78" s="94"/>
      <c r="V78" s="93"/>
      <c r="W78" s="85"/>
      <c r="Y78" s="94"/>
      <c r="Z78" s="93"/>
      <c r="AA78" s="85"/>
      <c r="AC78" s="94"/>
      <c r="AD78" s="93"/>
      <c r="AE78" s="85"/>
    </row>
    <row r="79" spans="1:31" x14ac:dyDescent="0.35">
      <c r="A79" s="87"/>
      <c r="B79" s="87"/>
      <c r="C79" s="87"/>
      <c r="D79" s="87"/>
      <c r="G79" s="85"/>
      <c r="H79" s="87"/>
      <c r="I79" s="94"/>
      <c r="J79" s="93"/>
      <c r="K79" s="85"/>
      <c r="M79" s="94"/>
      <c r="N79" s="93"/>
      <c r="O79" s="85"/>
      <c r="Q79" s="94"/>
      <c r="R79" s="93"/>
      <c r="S79" s="85"/>
      <c r="U79" s="94"/>
      <c r="V79" s="93"/>
      <c r="W79" s="85"/>
      <c r="Y79" s="94"/>
      <c r="Z79" s="93"/>
      <c r="AA79" s="85"/>
      <c r="AC79" s="94"/>
      <c r="AD79" s="93"/>
      <c r="AE79" s="85"/>
    </row>
    <row r="80" spans="1:31" x14ac:dyDescent="0.35">
      <c r="A80" s="87"/>
      <c r="B80" s="87"/>
      <c r="C80" s="87"/>
      <c r="D80" s="87"/>
      <c r="G80" s="85"/>
      <c r="H80" s="87"/>
      <c r="I80" s="94"/>
      <c r="J80" s="93"/>
      <c r="K80" s="85"/>
      <c r="M80" s="94"/>
      <c r="N80" s="93"/>
      <c r="O80" s="85"/>
      <c r="Q80" s="94"/>
      <c r="R80" s="93"/>
      <c r="S80" s="85"/>
      <c r="U80" s="94"/>
      <c r="V80" s="93"/>
      <c r="W80" s="85"/>
      <c r="Y80" s="94"/>
      <c r="Z80" s="93"/>
      <c r="AA80" s="85"/>
      <c r="AC80" s="94"/>
      <c r="AD80" s="93"/>
      <c r="AE80" s="85"/>
    </row>
    <row r="81" spans="1:31" x14ac:dyDescent="0.35">
      <c r="A81" s="87"/>
      <c r="B81" s="87"/>
      <c r="C81" s="87"/>
      <c r="D81" s="87"/>
      <c r="G81" s="85"/>
      <c r="H81" s="87"/>
      <c r="I81" s="94"/>
      <c r="J81" s="93"/>
      <c r="K81" s="85"/>
      <c r="M81" s="94"/>
      <c r="N81" s="93"/>
      <c r="O81" s="85"/>
      <c r="Q81" s="94"/>
      <c r="R81" s="93"/>
      <c r="S81" s="85"/>
      <c r="U81" s="94"/>
      <c r="V81" s="93"/>
      <c r="W81" s="85"/>
      <c r="Y81" s="94"/>
      <c r="Z81" s="93"/>
      <c r="AA81" s="85"/>
      <c r="AC81" s="94"/>
      <c r="AD81" s="93"/>
      <c r="AE81" s="85"/>
    </row>
    <row r="82" spans="1:31" x14ac:dyDescent="0.35">
      <c r="A82" s="87"/>
      <c r="B82" s="87"/>
      <c r="C82" s="87"/>
      <c r="D82" s="87"/>
      <c r="G82" s="85"/>
      <c r="H82" s="87"/>
      <c r="I82" s="94"/>
      <c r="J82" s="93"/>
      <c r="K82" s="85"/>
      <c r="M82" s="94"/>
      <c r="N82" s="93"/>
      <c r="O82" s="85"/>
      <c r="Q82" s="94"/>
      <c r="R82" s="93"/>
      <c r="S82" s="85"/>
      <c r="U82" s="94"/>
      <c r="V82" s="93"/>
      <c r="W82" s="85"/>
      <c r="Y82" s="94"/>
      <c r="Z82" s="93"/>
      <c r="AA82" s="85"/>
      <c r="AC82" s="94"/>
      <c r="AD82" s="93"/>
      <c r="AE82" s="85"/>
    </row>
    <row r="83" spans="1:31" x14ac:dyDescent="0.35">
      <c r="A83" s="87"/>
      <c r="B83" s="87"/>
      <c r="C83" s="87"/>
      <c r="D83" s="87"/>
      <c r="G83" s="85"/>
      <c r="H83" s="87"/>
      <c r="I83" s="94"/>
      <c r="J83" s="93"/>
      <c r="K83" s="85"/>
      <c r="M83" s="94"/>
      <c r="N83" s="93"/>
      <c r="O83" s="85"/>
      <c r="Q83" s="94"/>
      <c r="R83" s="93"/>
      <c r="S83" s="85"/>
      <c r="U83" s="94"/>
      <c r="V83" s="93"/>
      <c r="W83" s="85"/>
      <c r="Y83" s="94"/>
      <c r="Z83" s="93"/>
      <c r="AA83" s="85"/>
      <c r="AC83" s="94"/>
      <c r="AD83" s="93"/>
      <c r="AE83" s="85"/>
    </row>
    <row r="84" spans="1:31" x14ac:dyDescent="0.35">
      <c r="A84" s="87"/>
      <c r="B84" s="87"/>
      <c r="C84" s="87"/>
      <c r="D84" s="87"/>
      <c r="G84" s="85"/>
      <c r="H84" s="87"/>
      <c r="I84" s="94"/>
      <c r="J84" s="93"/>
      <c r="K84" s="85"/>
      <c r="M84" s="94"/>
      <c r="N84" s="93"/>
      <c r="O84" s="85"/>
      <c r="Q84" s="94"/>
      <c r="R84" s="93"/>
      <c r="S84" s="85"/>
      <c r="U84" s="94"/>
      <c r="V84" s="93"/>
      <c r="W84" s="85"/>
      <c r="Y84" s="94"/>
      <c r="Z84" s="93"/>
      <c r="AA84" s="85"/>
      <c r="AC84" s="94"/>
      <c r="AD84" s="93"/>
      <c r="AE84" s="85"/>
    </row>
    <row r="85" spans="1:31" x14ac:dyDescent="0.35">
      <c r="A85" s="87"/>
      <c r="B85" s="87"/>
      <c r="C85" s="87"/>
      <c r="D85" s="87"/>
      <c r="G85" s="85"/>
      <c r="H85" s="87"/>
      <c r="I85" s="94"/>
      <c r="J85" s="93"/>
      <c r="K85" s="85"/>
      <c r="M85" s="94"/>
      <c r="N85" s="93"/>
      <c r="O85" s="85"/>
      <c r="Q85" s="94"/>
      <c r="R85" s="93"/>
      <c r="S85" s="85"/>
      <c r="U85" s="94"/>
      <c r="V85" s="93"/>
      <c r="W85" s="85"/>
      <c r="Y85" s="94"/>
      <c r="Z85" s="93"/>
      <c r="AA85" s="85"/>
      <c r="AC85" s="94"/>
      <c r="AD85" s="93"/>
      <c r="AE85" s="85"/>
    </row>
    <row r="86" spans="1:31" x14ac:dyDescent="0.35">
      <c r="A86" s="87"/>
      <c r="B86" s="87"/>
      <c r="C86" s="87"/>
      <c r="D86" s="87"/>
      <c r="G86" s="85"/>
      <c r="H86" s="87"/>
      <c r="I86" s="94"/>
      <c r="J86" s="93"/>
      <c r="K86" s="85"/>
      <c r="M86" s="94"/>
      <c r="N86" s="93"/>
      <c r="O86" s="85"/>
      <c r="Q86" s="94"/>
      <c r="R86" s="93"/>
      <c r="S86" s="85"/>
      <c r="U86" s="94"/>
      <c r="V86" s="93"/>
      <c r="W86" s="85"/>
      <c r="Y86" s="94"/>
      <c r="Z86" s="93"/>
      <c r="AA86" s="85"/>
      <c r="AC86" s="94"/>
      <c r="AD86" s="93"/>
      <c r="AE86" s="85"/>
    </row>
    <row r="87" spans="1:31" x14ac:dyDescent="0.35">
      <c r="A87" s="87"/>
      <c r="B87" s="87"/>
      <c r="C87" s="87"/>
      <c r="D87" s="87"/>
      <c r="G87" s="85"/>
      <c r="H87" s="87"/>
      <c r="I87" s="94"/>
      <c r="J87" s="93"/>
      <c r="K87" s="85"/>
      <c r="M87" s="94"/>
      <c r="N87" s="93"/>
      <c r="O87" s="85"/>
      <c r="Q87" s="94"/>
      <c r="R87" s="93"/>
      <c r="S87" s="85"/>
      <c r="U87" s="94"/>
      <c r="V87" s="93"/>
      <c r="W87" s="85"/>
      <c r="Y87" s="94"/>
      <c r="Z87" s="93"/>
      <c r="AA87" s="85"/>
      <c r="AC87" s="94"/>
      <c r="AD87" s="93"/>
      <c r="AE87" s="85"/>
    </row>
    <row r="88" spans="1:31" x14ac:dyDescent="0.35">
      <c r="A88" s="87"/>
      <c r="B88" s="87"/>
      <c r="C88" s="87"/>
      <c r="D88" s="87"/>
      <c r="G88" s="85"/>
      <c r="H88" s="87"/>
      <c r="I88" s="94"/>
      <c r="J88" s="93"/>
      <c r="K88" s="85"/>
      <c r="M88" s="94"/>
      <c r="N88" s="93"/>
      <c r="O88" s="85"/>
      <c r="Q88" s="94"/>
      <c r="R88" s="93"/>
      <c r="S88" s="85"/>
      <c r="U88" s="94"/>
      <c r="V88" s="93"/>
      <c r="W88" s="85"/>
      <c r="Y88" s="94"/>
      <c r="Z88" s="93"/>
      <c r="AA88" s="85"/>
      <c r="AC88" s="94"/>
      <c r="AD88" s="93"/>
      <c r="AE88" s="85"/>
    </row>
    <row r="89" spans="1:31" x14ac:dyDescent="0.35">
      <c r="A89" s="87"/>
      <c r="B89" s="87"/>
      <c r="C89" s="87"/>
      <c r="D89" s="87"/>
      <c r="G89" s="85"/>
      <c r="H89" s="87"/>
      <c r="I89" s="94"/>
      <c r="J89" s="93"/>
      <c r="K89" s="85"/>
      <c r="M89" s="94"/>
      <c r="N89" s="93"/>
      <c r="O89" s="85"/>
      <c r="Q89" s="94"/>
      <c r="R89" s="93"/>
      <c r="S89" s="85"/>
      <c r="U89" s="94"/>
      <c r="V89" s="93"/>
      <c r="W89" s="85"/>
      <c r="Y89" s="94"/>
      <c r="Z89" s="93"/>
      <c r="AA89" s="85"/>
      <c r="AC89" s="94"/>
      <c r="AD89" s="93"/>
      <c r="AE89" s="85"/>
    </row>
    <row r="90" spans="1:31" x14ac:dyDescent="0.35">
      <c r="A90" s="87"/>
      <c r="B90" s="87"/>
      <c r="C90" s="87"/>
      <c r="D90" s="87"/>
      <c r="G90" s="85"/>
      <c r="H90" s="87"/>
      <c r="I90" s="94"/>
      <c r="J90" s="93"/>
      <c r="K90" s="85"/>
      <c r="M90" s="94"/>
      <c r="N90" s="93"/>
      <c r="O90" s="85"/>
      <c r="Q90" s="94"/>
      <c r="R90" s="93"/>
      <c r="S90" s="85"/>
      <c r="U90" s="94"/>
      <c r="V90" s="93"/>
      <c r="W90" s="85"/>
      <c r="Y90" s="94"/>
      <c r="Z90" s="93"/>
      <c r="AA90" s="85"/>
      <c r="AC90" s="94"/>
      <c r="AD90" s="93"/>
      <c r="AE90" s="85"/>
    </row>
    <row r="91" spans="1:31" x14ac:dyDescent="0.35">
      <c r="A91" s="87"/>
      <c r="B91" s="87"/>
      <c r="C91" s="87"/>
      <c r="D91" s="87"/>
      <c r="G91" s="85"/>
      <c r="H91" s="87"/>
      <c r="I91" s="94"/>
      <c r="J91" s="93"/>
      <c r="K91" s="85"/>
      <c r="M91" s="94"/>
      <c r="N91" s="93"/>
      <c r="O91" s="85"/>
      <c r="Q91" s="94"/>
      <c r="R91" s="93"/>
      <c r="S91" s="85"/>
      <c r="U91" s="94"/>
      <c r="V91" s="93"/>
      <c r="W91" s="85"/>
      <c r="Y91" s="94"/>
      <c r="Z91" s="93"/>
      <c r="AA91" s="85"/>
      <c r="AC91" s="94"/>
      <c r="AD91" s="93"/>
      <c r="AE91" s="85"/>
    </row>
    <row r="92" spans="1:31" x14ac:dyDescent="0.35">
      <c r="A92" s="87"/>
      <c r="B92" s="87"/>
      <c r="C92" s="87"/>
      <c r="D92" s="87"/>
      <c r="G92" s="85"/>
      <c r="H92" s="87"/>
      <c r="I92" s="94"/>
      <c r="J92" s="93"/>
      <c r="K92" s="85"/>
      <c r="M92" s="94"/>
      <c r="N92" s="93"/>
      <c r="O92" s="85"/>
      <c r="Q92" s="94"/>
      <c r="R92" s="93"/>
      <c r="S92" s="85"/>
      <c r="U92" s="94"/>
      <c r="V92" s="93"/>
      <c r="W92" s="85"/>
      <c r="Y92" s="94"/>
      <c r="Z92" s="93"/>
      <c r="AA92" s="85"/>
      <c r="AC92" s="94"/>
      <c r="AD92" s="93"/>
      <c r="AE92" s="85"/>
    </row>
    <row r="93" spans="1:31" x14ac:dyDescent="0.35">
      <c r="A93" s="87"/>
      <c r="B93" s="87"/>
      <c r="C93" s="87"/>
      <c r="D93" s="87"/>
      <c r="G93" s="85"/>
      <c r="H93" s="87"/>
      <c r="I93" s="94"/>
      <c r="J93" s="93"/>
      <c r="K93" s="85"/>
      <c r="M93" s="94"/>
      <c r="N93" s="93"/>
      <c r="O93" s="85"/>
      <c r="Q93" s="94"/>
      <c r="R93" s="93"/>
      <c r="S93" s="85"/>
      <c r="U93" s="94"/>
      <c r="V93" s="93"/>
      <c r="W93" s="85"/>
      <c r="Y93" s="94"/>
      <c r="Z93" s="93"/>
      <c r="AA93" s="85"/>
      <c r="AC93" s="94"/>
      <c r="AD93" s="93"/>
      <c r="AE93" s="85"/>
    </row>
    <row r="94" spans="1:31" x14ac:dyDescent="0.35">
      <c r="A94" s="87"/>
      <c r="B94" s="87"/>
      <c r="C94" s="87"/>
      <c r="D94" s="87"/>
      <c r="G94" s="85"/>
      <c r="H94" s="87"/>
      <c r="I94" s="94"/>
      <c r="J94" s="93"/>
      <c r="K94" s="85"/>
      <c r="M94" s="94"/>
      <c r="N94" s="93"/>
      <c r="O94" s="85"/>
      <c r="Q94" s="94"/>
      <c r="R94" s="93"/>
      <c r="S94" s="85"/>
      <c r="U94" s="94"/>
      <c r="V94" s="93"/>
      <c r="W94" s="85"/>
      <c r="Y94" s="94"/>
      <c r="Z94" s="93"/>
      <c r="AA94" s="85"/>
      <c r="AC94" s="94"/>
      <c r="AD94" s="93"/>
      <c r="AE94" s="85"/>
    </row>
    <row r="95" spans="1:31" x14ac:dyDescent="0.35">
      <c r="A95" s="87"/>
      <c r="B95" s="87"/>
      <c r="C95" s="87"/>
      <c r="D95" s="87"/>
      <c r="G95" s="85"/>
      <c r="H95" s="87"/>
      <c r="I95" s="94"/>
      <c r="J95" s="93"/>
      <c r="K95" s="85"/>
      <c r="M95" s="94"/>
      <c r="N95" s="93"/>
      <c r="O95" s="85"/>
      <c r="Q95" s="94"/>
      <c r="R95" s="93"/>
      <c r="S95" s="85"/>
      <c r="U95" s="94"/>
      <c r="V95" s="93"/>
      <c r="W95" s="85"/>
      <c r="Y95" s="94"/>
      <c r="Z95" s="93"/>
      <c r="AA95" s="85"/>
      <c r="AC95" s="94"/>
      <c r="AD95" s="93"/>
      <c r="AE95" s="85"/>
    </row>
    <row r="96" spans="1:31" x14ac:dyDescent="0.35">
      <c r="A96" s="87"/>
      <c r="B96" s="87"/>
      <c r="C96" s="87"/>
      <c r="D96" s="87"/>
      <c r="G96" s="85"/>
      <c r="H96" s="87"/>
      <c r="I96" s="94"/>
      <c r="J96" s="93"/>
      <c r="K96" s="85"/>
      <c r="M96" s="94"/>
      <c r="N96" s="93"/>
      <c r="O96" s="85"/>
      <c r="Q96" s="94"/>
      <c r="R96" s="93"/>
      <c r="S96" s="85"/>
      <c r="U96" s="94"/>
      <c r="V96" s="93"/>
      <c r="W96" s="85"/>
      <c r="Y96" s="94"/>
      <c r="Z96" s="93"/>
      <c r="AA96" s="85"/>
      <c r="AC96" s="94"/>
      <c r="AD96" s="93"/>
      <c r="AE96" s="85"/>
    </row>
    <row r="97" spans="1:31" x14ac:dyDescent="0.35">
      <c r="A97" s="87"/>
      <c r="B97" s="87"/>
      <c r="C97" s="87"/>
      <c r="D97" s="87"/>
      <c r="G97" s="85"/>
      <c r="H97" s="87"/>
      <c r="I97" s="94"/>
      <c r="J97" s="93"/>
      <c r="K97" s="85"/>
      <c r="M97" s="94"/>
      <c r="N97" s="93"/>
      <c r="O97" s="85"/>
      <c r="Q97" s="94"/>
      <c r="R97" s="93"/>
      <c r="S97" s="85"/>
      <c r="U97" s="94"/>
      <c r="V97" s="93"/>
      <c r="W97" s="85"/>
      <c r="Y97" s="94"/>
      <c r="Z97" s="93"/>
      <c r="AA97" s="85"/>
      <c r="AC97" s="94"/>
      <c r="AD97" s="93"/>
      <c r="AE97" s="85"/>
    </row>
    <row r="98" spans="1:31" x14ac:dyDescent="0.35">
      <c r="A98" s="87"/>
      <c r="B98" s="87"/>
      <c r="C98" s="87"/>
      <c r="D98" s="87"/>
      <c r="G98" s="85"/>
      <c r="H98" s="87"/>
      <c r="I98" s="94"/>
      <c r="J98" s="93"/>
      <c r="K98" s="85"/>
      <c r="M98" s="94"/>
      <c r="N98" s="93"/>
      <c r="O98" s="85"/>
      <c r="Q98" s="94"/>
      <c r="R98" s="93"/>
      <c r="S98" s="85"/>
      <c r="U98" s="94"/>
      <c r="V98" s="93"/>
      <c r="W98" s="85"/>
      <c r="Y98" s="94"/>
      <c r="Z98" s="93"/>
      <c r="AA98" s="85"/>
      <c r="AC98" s="94"/>
      <c r="AD98" s="93"/>
      <c r="AE98" s="85"/>
    </row>
    <row r="99" spans="1:31" x14ac:dyDescent="0.35">
      <c r="A99" s="87"/>
      <c r="B99" s="87"/>
      <c r="C99" s="87"/>
      <c r="D99" s="87"/>
      <c r="G99" s="85"/>
      <c r="H99" s="87"/>
      <c r="I99" s="94"/>
      <c r="J99" s="93"/>
      <c r="K99" s="85"/>
      <c r="M99" s="94"/>
      <c r="N99" s="93"/>
      <c r="O99" s="85"/>
      <c r="Q99" s="94"/>
      <c r="R99" s="93"/>
      <c r="S99" s="85"/>
      <c r="U99" s="94"/>
      <c r="V99" s="93"/>
      <c r="W99" s="85"/>
      <c r="Y99" s="94"/>
      <c r="Z99" s="93"/>
      <c r="AA99" s="85"/>
      <c r="AC99" s="94"/>
      <c r="AD99" s="93"/>
      <c r="AE99" s="85"/>
    </row>
    <row r="100" spans="1:31" x14ac:dyDescent="0.35">
      <c r="A100" s="87"/>
      <c r="B100" s="87"/>
      <c r="C100" s="87"/>
      <c r="D100" s="87"/>
      <c r="G100" s="85"/>
      <c r="H100" s="87"/>
      <c r="I100" s="94"/>
      <c r="J100" s="93"/>
      <c r="K100" s="85"/>
      <c r="M100" s="94"/>
      <c r="N100" s="93"/>
      <c r="O100" s="85"/>
      <c r="Q100" s="94"/>
      <c r="R100" s="93"/>
      <c r="S100" s="85"/>
      <c r="U100" s="94"/>
      <c r="V100" s="93"/>
      <c r="W100" s="85"/>
      <c r="Y100" s="94"/>
      <c r="Z100" s="93"/>
      <c r="AA100" s="85"/>
      <c r="AC100" s="94"/>
      <c r="AD100" s="93"/>
      <c r="AE100" s="85"/>
    </row>
    <row r="101" spans="1:31" x14ac:dyDescent="0.35">
      <c r="A101" s="87"/>
      <c r="B101" s="87"/>
      <c r="C101" s="87"/>
      <c r="D101" s="87"/>
      <c r="G101" s="85"/>
      <c r="H101" s="87"/>
      <c r="I101" s="94"/>
      <c r="J101" s="93"/>
      <c r="K101" s="85"/>
      <c r="M101" s="94"/>
      <c r="N101" s="93"/>
      <c r="O101" s="85"/>
      <c r="Q101" s="94"/>
      <c r="R101" s="93"/>
      <c r="S101" s="85"/>
      <c r="U101" s="94"/>
      <c r="V101" s="93"/>
      <c r="W101" s="85"/>
      <c r="Y101" s="94"/>
      <c r="Z101" s="93"/>
      <c r="AA101" s="85"/>
      <c r="AC101" s="94"/>
      <c r="AD101" s="93"/>
      <c r="AE101" s="85"/>
    </row>
    <row r="102" spans="1:31" x14ac:dyDescent="0.35">
      <c r="A102" s="87"/>
      <c r="B102" s="87"/>
      <c r="C102" s="87"/>
      <c r="D102" s="87"/>
      <c r="G102" s="85"/>
      <c r="H102" s="87"/>
      <c r="I102" s="94"/>
      <c r="J102" s="93"/>
      <c r="K102" s="85"/>
      <c r="M102" s="94"/>
      <c r="N102" s="93"/>
      <c r="O102" s="85"/>
      <c r="Q102" s="94"/>
      <c r="R102" s="93"/>
      <c r="S102" s="85"/>
      <c r="U102" s="94"/>
      <c r="V102" s="93"/>
      <c r="W102" s="85"/>
      <c r="Y102" s="94"/>
      <c r="Z102" s="93"/>
      <c r="AA102" s="85"/>
      <c r="AC102" s="94"/>
      <c r="AD102" s="93"/>
      <c r="AE102" s="85"/>
    </row>
    <row r="103" spans="1:31" x14ac:dyDescent="0.35">
      <c r="A103" s="87"/>
      <c r="B103" s="87"/>
      <c r="C103" s="87"/>
      <c r="D103" s="87"/>
      <c r="G103" s="85"/>
      <c r="H103" s="87"/>
      <c r="I103" s="94"/>
      <c r="J103" s="93"/>
      <c r="K103" s="85"/>
      <c r="M103" s="94"/>
      <c r="N103" s="93"/>
      <c r="O103" s="85"/>
      <c r="Q103" s="94"/>
      <c r="R103" s="93"/>
      <c r="S103" s="85"/>
      <c r="U103" s="94"/>
      <c r="V103" s="93"/>
      <c r="W103" s="85"/>
      <c r="Y103" s="94"/>
      <c r="Z103" s="93"/>
      <c r="AA103" s="85"/>
      <c r="AC103" s="94"/>
      <c r="AD103" s="93"/>
      <c r="AE103" s="85"/>
    </row>
    <row r="104" spans="1:31" x14ac:dyDescent="0.35">
      <c r="A104" s="87"/>
      <c r="B104" s="87"/>
      <c r="C104" s="87"/>
      <c r="D104" s="87"/>
      <c r="G104" s="85"/>
      <c r="H104" s="87"/>
      <c r="I104" s="94"/>
      <c r="J104" s="93"/>
      <c r="K104" s="85"/>
      <c r="M104" s="94"/>
      <c r="N104" s="93"/>
      <c r="O104" s="85"/>
      <c r="Q104" s="94"/>
      <c r="R104" s="93"/>
      <c r="S104" s="85"/>
      <c r="U104" s="94"/>
      <c r="V104" s="93"/>
      <c r="W104" s="85"/>
      <c r="Y104" s="94"/>
      <c r="Z104" s="93"/>
      <c r="AA104" s="85"/>
      <c r="AC104" s="94"/>
      <c r="AD104" s="93"/>
      <c r="AE104" s="85"/>
    </row>
    <row r="105" spans="1:31" x14ac:dyDescent="0.35">
      <c r="A105" s="87"/>
      <c r="B105" s="87"/>
      <c r="C105" s="87"/>
      <c r="D105" s="87"/>
      <c r="G105" s="85"/>
      <c r="H105" s="87"/>
      <c r="I105" s="94"/>
      <c r="J105" s="93"/>
      <c r="K105" s="85"/>
      <c r="M105" s="94"/>
      <c r="N105" s="93"/>
      <c r="O105" s="85"/>
      <c r="Q105" s="94"/>
      <c r="R105" s="93"/>
      <c r="S105" s="85"/>
      <c r="U105" s="94"/>
      <c r="V105" s="93"/>
      <c r="W105" s="85"/>
      <c r="Y105" s="94"/>
      <c r="Z105" s="93"/>
      <c r="AA105" s="85"/>
      <c r="AC105" s="94"/>
      <c r="AD105" s="93"/>
      <c r="AE105" s="85"/>
    </row>
    <row r="106" spans="1:31" x14ac:dyDescent="0.35">
      <c r="A106" s="87"/>
      <c r="B106" s="87"/>
      <c r="C106" s="87"/>
      <c r="D106" s="87"/>
      <c r="G106" s="85"/>
      <c r="H106" s="87"/>
      <c r="I106" s="94"/>
      <c r="J106" s="93"/>
      <c r="K106" s="85"/>
      <c r="M106" s="94"/>
      <c r="N106" s="93"/>
      <c r="O106" s="85"/>
      <c r="Q106" s="94"/>
      <c r="R106" s="93"/>
      <c r="S106" s="85"/>
      <c r="U106" s="94"/>
      <c r="V106" s="93"/>
      <c r="W106" s="85"/>
      <c r="Y106" s="94"/>
      <c r="Z106" s="93"/>
      <c r="AA106" s="85"/>
      <c r="AC106" s="94"/>
      <c r="AD106" s="93"/>
      <c r="AE106" s="85"/>
    </row>
    <row r="107" spans="1:31" x14ac:dyDescent="0.35">
      <c r="A107" s="87"/>
      <c r="B107" s="87"/>
      <c r="C107" s="87"/>
      <c r="D107" s="87"/>
      <c r="G107" s="85"/>
      <c r="H107" s="87"/>
      <c r="I107" s="94"/>
      <c r="J107" s="93"/>
      <c r="K107" s="85"/>
      <c r="M107" s="94"/>
      <c r="N107" s="93"/>
      <c r="O107" s="85"/>
      <c r="Q107" s="94"/>
      <c r="R107" s="93"/>
      <c r="S107" s="85"/>
      <c r="U107" s="94"/>
      <c r="V107" s="93"/>
      <c r="W107" s="85"/>
      <c r="Y107" s="94"/>
      <c r="Z107" s="93"/>
      <c r="AA107" s="85"/>
      <c r="AC107" s="94"/>
      <c r="AD107" s="93"/>
      <c r="AE107" s="85"/>
    </row>
    <row r="108" spans="1:31" x14ac:dyDescent="0.35">
      <c r="A108" s="87"/>
      <c r="B108" s="87"/>
      <c r="C108" s="87"/>
      <c r="D108" s="87"/>
      <c r="G108" s="85"/>
      <c r="H108" s="87"/>
      <c r="I108" s="94"/>
      <c r="J108" s="93"/>
      <c r="K108" s="85"/>
      <c r="M108" s="94"/>
      <c r="N108" s="93"/>
      <c r="O108" s="85"/>
      <c r="Q108" s="94"/>
      <c r="R108" s="93"/>
      <c r="S108" s="85"/>
      <c r="U108" s="94"/>
      <c r="V108" s="93"/>
      <c r="W108" s="85"/>
      <c r="Y108" s="94"/>
      <c r="Z108" s="93"/>
      <c r="AA108" s="85"/>
      <c r="AC108" s="94"/>
      <c r="AD108" s="93"/>
      <c r="AE108" s="85"/>
    </row>
    <row r="109" spans="1:31" x14ac:dyDescent="0.35">
      <c r="A109" s="87"/>
      <c r="B109" s="87"/>
      <c r="C109" s="87"/>
      <c r="D109" s="87"/>
      <c r="G109" s="85"/>
      <c r="H109" s="87"/>
      <c r="I109" s="94"/>
      <c r="J109" s="93"/>
      <c r="K109" s="85"/>
      <c r="M109" s="94"/>
      <c r="N109" s="93"/>
      <c r="O109" s="85"/>
      <c r="Q109" s="94"/>
      <c r="R109" s="93"/>
      <c r="S109" s="85"/>
      <c r="U109" s="94"/>
      <c r="V109" s="93"/>
      <c r="W109" s="85"/>
      <c r="Y109" s="94"/>
      <c r="Z109" s="93"/>
      <c r="AA109" s="85"/>
      <c r="AC109" s="94"/>
      <c r="AD109" s="93"/>
      <c r="AE109" s="85"/>
    </row>
    <row r="110" spans="1:31" x14ac:dyDescent="0.35">
      <c r="A110" s="87"/>
      <c r="B110" s="87"/>
      <c r="C110" s="87"/>
      <c r="D110" s="87"/>
      <c r="G110" s="85"/>
      <c r="H110" s="87"/>
      <c r="I110" s="94"/>
      <c r="J110" s="93"/>
      <c r="K110" s="85"/>
      <c r="M110" s="94"/>
      <c r="N110" s="93"/>
      <c r="O110" s="85"/>
      <c r="Q110" s="94"/>
      <c r="R110" s="93"/>
      <c r="S110" s="85"/>
      <c r="U110" s="94"/>
      <c r="V110" s="93"/>
      <c r="W110" s="85"/>
      <c r="Y110" s="94"/>
      <c r="Z110" s="93"/>
      <c r="AA110" s="85"/>
      <c r="AC110" s="94"/>
      <c r="AD110" s="93"/>
      <c r="AE110" s="85"/>
    </row>
    <row r="111" spans="1:31" x14ac:dyDescent="0.35">
      <c r="A111" s="87"/>
      <c r="B111" s="87"/>
      <c r="C111" s="87"/>
      <c r="D111" s="87"/>
      <c r="G111" s="85"/>
      <c r="H111" s="87"/>
      <c r="I111" s="94"/>
      <c r="J111" s="93"/>
      <c r="K111" s="85"/>
      <c r="M111" s="94"/>
      <c r="N111" s="93"/>
      <c r="O111" s="85"/>
      <c r="Q111" s="94"/>
      <c r="R111" s="93"/>
      <c r="S111" s="85"/>
      <c r="U111" s="94"/>
      <c r="V111" s="93"/>
      <c r="W111" s="85"/>
      <c r="Y111" s="94"/>
      <c r="Z111" s="93"/>
      <c r="AA111" s="85"/>
      <c r="AC111" s="94"/>
      <c r="AD111" s="93"/>
      <c r="AE111" s="85"/>
    </row>
    <row r="112" spans="1:31" x14ac:dyDescent="0.35">
      <c r="A112" s="87"/>
      <c r="B112" s="87"/>
      <c r="C112" s="87"/>
      <c r="D112" s="87"/>
      <c r="G112" s="85"/>
      <c r="H112" s="87"/>
      <c r="I112" s="94"/>
      <c r="J112" s="93"/>
      <c r="K112" s="85"/>
      <c r="M112" s="94"/>
      <c r="N112" s="93"/>
      <c r="O112" s="85"/>
      <c r="Q112" s="94"/>
      <c r="R112" s="93"/>
      <c r="S112" s="85"/>
      <c r="U112" s="94"/>
      <c r="V112" s="93"/>
      <c r="W112" s="85"/>
      <c r="Y112" s="94"/>
      <c r="Z112" s="93"/>
      <c r="AA112" s="85"/>
      <c r="AC112" s="94"/>
      <c r="AD112" s="93"/>
      <c r="AE112" s="85"/>
    </row>
    <row r="113" spans="1:31" x14ac:dyDescent="0.35">
      <c r="A113" s="87"/>
      <c r="B113" s="87"/>
      <c r="C113" s="87"/>
      <c r="D113" s="87"/>
      <c r="G113" s="85"/>
      <c r="H113" s="87"/>
      <c r="I113" s="94"/>
      <c r="J113" s="93"/>
      <c r="K113" s="85"/>
      <c r="M113" s="94"/>
      <c r="N113" s="93"/>
      <c r="O113" s="85"/>
      <c r="Q113" s="94"/>
      <c r="R113" s="93"/>
      <c r="S113" s="85"/>
      <c r="U113" s="94"/>
      <c r="V113" s="93"/>
      <c r="W113" s="85"/>
      <c r="Y113" s="94"/>
      <c r="Z113" s="93"/>
      <c r="AA113" s="85"/>
      <c r="AC113" s="94"/>
      <c r="AD113" s="93"/>
      <c r="AE113" s="85"/>
    </row>
    <row r="114" spans="1:31" x14ac:dyDescent="0.35">
      <c r="A114" s="87"/>
      <c r="B114" s="87"/>
      <c r="C114" s="87"/>
      <c r="D114" s="87"/>
      <c r="G114" s="85"/>
      <c r="H114" s="87"/>
      <c r="I114" s="94"/>
      <c r="J114" s="93"/>
      <c r="K114" s="85"/>
      <c r="M114" s="94"/>
      <c r="N114" s="93"/>
      <c r="O114" s="85"/>
      <c r="Q114" s="94"/>
      <c r="R114" s="93"/>
      <c r="S114" s="85"/>
      <c r="U114" s="94"/>
      <c r="V114" s="93"/>
      <c r="W114" s="85"/>
      <c r="Y114" s="94"/>
      <c r="Z114" s="93"/>
      <c r="AA114" s="85"/>
      <c r="AC114" s="94"/>
      <c r="AD114" s="93"/>
      <c r="AE114" s="85"/>
    </row>
    <row r="115" spans="1:31" x14ac:dyDescent="0.35">
      <c r="A115" s="87"/>
      <c r="B115" s="87"/>
      <c r="C115" s="87"/>
      <c r="D115" s="87"/>
      <c r="G115" s="85"/>
      <c r="H115" s="87"/>
      <c r="I115" s="94"/>
      <c r="J115" s="93"/>
      <c r="K115" s="85"/>
      <c r="M115" s="94"/>
      <c r="N115" s="93"/>
      <c r="O115" s="85"/>
      <c r="Q115" s="94"/>
      <c r="R115" s="93"/>
      <c r="S115" s="85"/>
      <c r="U115" s="94"/>
      <c r="V115" s="93"/>
      <c r="W115" s="85"/>
      <c r="Y115" s="94"/>
      <c r="Z115" s="93"/>
      <c r="AA115" s="85"/>
      <c r="AC115" s="94"/>
      <c r="AD115" s="93"/>
      <c r="AE115" s="85"/>
    </row>
    <row r="116" spans="1:31" x14ac:dyDescent="0.35">
      <c r="A116" s="87"/>
      <c r="B116" s="87"/>
      <c r="C116" s="87"/>
      <c r="D116" s="87"/>
      <c r="G116" s="85"/>
      <c r="H116" s="87"/>
      <c r="I116" s="94"/>
      <c r="J116" s="93"/>
      <c r="K116" s="85"/>
      <c r="M116" s="94"/>
      <c r="N116" s="93"/>
      <c r="O116" s="85"/>
      <c r="Q116" s="94"/>
      <c r="R116" s="93"/>
      <c r="S116" s="85"/>
      <c r="U116" s="94"/>
      <c r="V116" s="93"/>
      <c r="W116" s="85"/>
      <c r="Y116" s="94"/>
      <c r="Z116" s="93"/>
      <c r="AA116" s="85"/>
      <c r="AC116" s="94"/>
      <c r="AD116" s="93"/>
      <c r="AE116" s="85"/>
    </row>
    <row r="117" spans="1:31" x14ac:dyDescent="0.35">
      <c r="A117" s="87"/>
      <c r="B117" s="87"/>
      <c r="C117" s="87"/>
      <c r="D117" s="87"/>
      <c r="G117" s="85"/>
      <c r="H117" s="87"/>
      <c r="I117" s="94"/>
      <c r="J117" s="93"/>
      <c r="K117" s="85"/>
      <c r="M117" s="94"/>
      <c r="N117" s="93"/>
      <c r="O117" s="85"/>
      <c r="Q117" s="94"/>
      <c r="R117" s="93"/>
      <c r="S117" s="85"/>
      <c r="U117" s="94"/>
      <c r="V117" s="93"/>
      <c r="W117" s="85"/>
      <c r="Y117" s="94"/>
      <c r="Z117" s="93"/>
      <c r="AA117" s="85"/>
      <c r="AC117" s="94"/>
      <c r="AD117" s="93"/>
      <c r="AE117" s="85"/>
    </row>
    <row r="118" spans="1:31" x14ac:dyDescent="0.35">
      <c r="A118" s="87"/>
      <c r="B118" s="87"/>
      <c r="C118" s="87"/>
      <c r="D118" s="87"/>
      <c r="G118" s="85"/>
      <c r="H118" s="87"/>
      <c r="I118" s="94"/>
      <c r="J118" s="93"/>
      <c r="K118" s="85"/>
      <c r="M118" s="94"/>
      <c r="N118" s="93"/>
      <c r="O118" s="85"/>
      <c r="Q118" s="94"/>
      <c r="R118" s="93"/>
      <c r="S118" s="85"/>
      <c r="U118" s="94"/>
      <c r="V118" s="93"/>
      <c r="W118" s="85"/>
      <c r="Y118" s="94"/>
      <c r="Z118" s="93"/>
      <c r="AA118" s="85"/>
      <c r="AC118" s="94"/>
      <c r="AD118" s="93"/>
      <c r="AE118" s="85"/>
    </row>
    <row r="119" spans="1:31" x14ac:dyDescent="0.35">
      <c r="A119" s="87"/>
      <c r="B119" s="87"/>
      <c r="C119" s="87"/>
      <c r="D119" s="87"/>
      <c r="G119" s="85"/>
      <c r="H119" s="87"/>
      <c r="I119" s="94"/>
      <c r="J119" s="93"/>
      <c r="K119" s="85"/>
      <c r="M119" s="94"/>
      <c r="N119" s="93"/>
      <c r="O119" s="85"/>
      <c r="Q119" s="94"/>
      <c r="R119" s="93"/>
      <c r="S119" s="85"/>
      <c r="U119" s="94"/>
      <c r="V119" s="93"/>
      <c r="W119" s="85"/>
      <c r="Y119" s="94"/>
      <c r="Z119" s="93"/>
      <c r="AA119" s="85"/>
      <c r="AC119" s="94"/>
      <c r="AD119" s="93"/>
      <c r="AE119" s="85"/>
    </row>
    <row r="120" spans="1:31" x14ac:dyDescent="0.35">
      <c r="A120" s="87"/>
      <c r="B120" s="87"/>
      <c r="C120" s="87"/>
      <c r="D120" s="87"/>
      <c r="G120" s="85"/>
      <c r="H120" s="87"/>
      <c r="I120" s="94"/>
      <c r="J120" s="93"/>
      <c r="K120" s="85"/>
      <c r="M120" s="94"/>
      <c r="N120" s="93"/>
      <c r="O120" s="85"/>
      <c r="Q120" s="94"/>
      <c r="R120" s="93"/>
      <c r="S120" s="85"/>
      <c r="U120" s="94"/>
      <c r="V120" s="93"/>
      <c r="W120" s="85"/>
      <c r="Y120" s="94"/>
      <c r="Z120" s="93"/>
      <c r="AA120" s="85"/>
      <c r="AC120" s="94"/>
      <c r="AD120" s="93"/>
      <c r="AE120" s="85"/>
    </row>
    <row r="121" spans="1:31" x14ac:dyDescent="0.35">
      <c r="A121" s="87"/>
      <c r="B121" s="87"/>
      <c r="C121" s="87"/>
      <c r="D121" s="87"/>
      <c r="G121" s="85"/>
      <c r="H121" s="87"/>
      <c r="I121" s="94"/>
      <c r="J121" s="93"/>
      <c r="K121" s="85"/>
      <c r="M121" s="94"/>
      <c r="N121" s="93"/>
      <c r="O121" s="85"/>
      <c r="Q121" s="94"/>
      <c r="R121" s="93"/>
      <c r="S121" s="85"/>
      <c r="U121" s="94"/>
      <c r="V121" s="93"/>
      <c r="W121" s="85"/>
      <c r="Y121" s="94"/>
      <c r="Z121" s="93"/>
      <c r="AA121" s="85"/>
      <c r="AC121" s="94"/>
      <c r="AD121" s="93"/>
      <c r="AE121" s="85"/>
    </row>
    <row r="122" spans="1:31" x14ac:dyDescent="0.35">
      <c r="A122" s="87"/>
      <c r="B122" s="87"/>
      <c r="C122" s="87"/>
      <c r="D122" s="87"/>
      <c r="G122" s="85"/>
      <c r="H122" s="87"/>
      <c r="I122" s="94"/>
      <c r="J122" s="93"/>
      <c r="K122" s="85"/>
      <c r="M122" s="94"/>
      <c r="N122" s="93"/>
      <c r="O122" s="85"/>
      <c r="Q122" s="94"/>
      <c r="R122" s="93"/>
      <c r="S122" s="85"/>
      <c r="U122" s="94"/>
      <c r="V122" s="93"/>
      <c r="W122" s="85"/>
      <c r="Y122" s="94"/>
      <c r="Z122" s="93"/>
      <c r="AA122" s="85"/>
      <c r="AC122" s="94"/>
      <c r="AD122" s="93"/>
      <c r="AE122" s="85"/>
    </row>
    <row r="123" spans="1:31" x14ac:dyDescent="0.35">
      <c r="A123" s="87"/>
      <c r="B123" s="87"/>
      <c r="C123" s="87"/>
      <c r="D123" s="87"/>
      <c r="G123" s="85"/>
      <c r="H123" s="87"/>
      <c r="I123" s="94"/>
      <c r="J123" s="93"/>
      <c r="K123" s="85"/>
      <c r="M123" s="94"/>
      <c r="N123" s="93"/>
      <c r="O123" s="85"/>
      <c r="Q123" s="94"/>
      <c r="R123" s="93"/>
      <c r="S123" s="85"/>
      <c r="U123" s="94"/>
      <c r="V123" s="93"/>
      <c r="W123" s="85"/>
      <c r="Y123" s="94"/>
      <c r="Z123" s="93"/>
      <c r="AA123" s="85"/>
      <c r="AC123" s="94"/>
      <c r="AD123" s="93"/>
      <c r="AE123" s="85"/>
    </row>
    <row r="124" spans="1:31" x14ac:dyDescent="0.35">
      <c r="A124" s="87"/>
      <c r="B124" s="87"/>
      <c r="C124" s="87"/>
      <c r="D124" s="87"/>
      <c r="G124" s="85"/>
      <c r="H124" s="87"/>
      <c r="I124" s="94"/>
      <c r="J124" s="93"/>
      <c r="K124" s="85"/>
      <c r="M124" s="94"/>
      <c r="N124" s="93"/>
      <c r="O124" s="85"/>
      <c r="Q124" s="94"/>
      <c r="R124" s="93"/>
      <c r="S124" s="85"/>
      <c r="U124" s="94"/>
      <c r="V124" s="93"/>
      <c r="W124" s="85"/>
      <c r="Y124" s="94"/>
      <c r="Z124" s="93"/>
      <c r="AA124" s="85"/>
      <c r="AC124" s="94"/>
      <c r="AD124" s="93"/>
      <c r="AE124" s="85"/>
    </row>
    <row r="125" spans="1:31" x14ac:dyDescent="0.35">
      <c r="A125" s="87"/>
      <c r="B125" s="87"/>
      <c r="C125" s="87"/>
      <c r="D125" s="87"/>
      <c r="G125" s="85"/>
      <c r="H125" s="87"/>
      <c r="I125" s="94"/>
      <c r="J125" s="93"/>
      <c r="K125" s="85"/>
      <c r="M125" s="94"/>
      <c r="N125" s="93"/>
      <c r="O125" s="85"/>
      <c r="Q125" s="94"/>
      <c r="R125" s="93"/>
      <c r="S125" s="85"/>
      <c r="U125" s="94"/>
      <c r="V125" s="93"/>
      <c r="W125" s="85"/>
      <c r="Y125" s="94"/>
      <c r="Z125" s="93"/>
      <c r="AA125" s="85"/>
      <c r="AC125" s="94"/>
      <c r="AD125" s="93"/>
      <c r="AE125" s="85"/>
    </row>
    <row r="126" spans="1:31" x14ac:dyDescent="0.35">
      <c r="A126" s="87"/>
      <c r="B126" s="87"/>
      <c r="C126" s="87"/>
      <c r="D126" s="87"/>
      <c r="G126" s="85"/>
      <c r="H126" s="87"/>
      <c r="I126" s="94"/>
      <c r="J126" s="93"/>
      <c r="K126" s="85"/>
      <c r="M126" s="94"/>
      <c r="N126" s="93"/>
      <c r="O126" s="85"/>
      <c r="Q126" s="94"/>
      <c r="R126" s="93"/>
      <c r="S126" s="85"/>
      <c r="U126" s="94"/>
      <c r="V126" s="93"/>
      <c r="W126" s="85"/>
      <c r="Y126" s="94"/>
      <c r="Z126" s="93"/>
      <c r="AA126" s="85"/>
      <c r="AC126" s="94"/>
      <c r="AD126" s="93"/>
      <c r="AE126" s="85"/>
    </row>
    <row r="127" spans="1:31" x14ac:dyDescent="0.35">
      <c r="A127" s="87"/>
      <c r="B127" s="87"/>
      <c r="C127" s="87"/>
      <c r="D127" s="87"/>
      <c r="G127" s="85"/>
      <c r="H127" s="87"/>
      <c r="I127" s="94"/>
      <c r="J127" s="93"/>
      <c r="K127" s="85"/>
      <c r="M127" s="94"/>
      <c r="N127" s="93"/>
      <c r="O127" s="85"/>
      <c r="Q127" s="94"/>
      <c r="R127" s="93"/>
      <c r="S127" s="85"/>
      <c r="U127" s="94"/>
      <c r="V127" s="93"/>
      <c r="W127" s="85"/>
      <c r="Y127" s="94"/>
      <c r="Z127" s="93"/>
      <c r="AA127" s="85"/>
      <c r="AC127" s="94"/>
      <c r="AD127" s="93"/>
      <c r="AE127" s="85"/>
    </row>
    <row r="128" spans="1:31" x14ac:dyDescent="0.35">
      <c r="A128" s="87"/>
      <c r="B128" s="87"/>
      <c r="C128" s="87"/>
      <c r="D128" s="87"/>
      <c r="G128" s="85"/>
      <c r="H128" s="87"/>
      <c r="I128" s="94"/>
      <c r="J128" s="93"/>
      <c r="K128" s="85"/>
      <c r="M128" s="94"/>
      <c r="N128" s="93"/>
      <c r="O128" s="85"/>
      <c r="Q128" s="94"/>
      <c r="R128" s="93"/>
      <c r="S128" s="85"/>
      <c r="U128" s="94"/>
      <c r="V128" s="93"/>
      <c r="W128" s="85"/>
      <c r="Y128" s="94"/>
      <c r="Z128" s="93"/>
      <c r="AA128" s="85"/>
      <c r="AC128" s="94"/>
      <c r="AD128" s="93"/>
      <c r="AE128" s="85"/>
    </row>
    <row r="129" spans="1:31" x14ac:dyDescent="0.35">
      <c r="A129" s="87"/>
      <c r="B129" s="87"/>
      <c r="C129" s="87"/>
      <c r="D129" s="87"/>
      <c r="G129" s="85"/>
      <c r="H129" s="87"/>
      <c r="I129" s="94"/>
      <c r="J129" s="93"/>
      <c r="K129" s="85"/>
      <c r="M129" s="94"/>
      <c r="N129" s="93"/>
      <c r="O129" s="85"/>
      <c r="Q129" s="94"/>
      <c r="R129" s="93"/>
      <c r="S129" s="85"/>
      <c r="U129" s="94"/>
      <c r="V129" s="93"/>
      <c r="W129" s="85"/>
      <c r="Y129" s="94"/>
      <c r="Z129" s="93"/>
      <c r="AA129" s="85"/>
      <c r="AC129" s="94"/>
      <c r="AD129" s="93"/>
      <c r="AE129" s="85"/>
    </row>
    <row r="130" spans="1:31" x14ac:dyDescent="0.35">
      <c r="A130" s="87"/>
      <c r="B130" s="87"/>
      <c r="C130" s="87"/>
      <c r="D130" s="87"/>
      <c r="G130" s="85"/>
      <c r="H130" s="87"/>
      <c r="I130" s="94"/>
      <c r="J130" s="93"/>
      <c r="K130" s="85"/>
      <c r="M130" s="94"/>
      <c r="N130" s="93"/>
      <c r="O130" s="85"/>
      <c r="Q130" s="94"/>
      <c r="R130" s="93"/>
      <c r="S130" s="85"/>
      <c r="U130" s="94"/>
      <c r="V130" s="93"/>
      <c r="W130" s="85"/>
      <c r="Y130" s="94"/>
      <c r="Z130" s="93"/>
      <c r="AA130" s="85"/>
      <c r="AC130" s="94"/>
      <c r="AD130" s="93"/>
      <c r="AE130" s="85"/>
    </row>
    <row r="131" spans="1:31" x14ac:dyDescent="0.35">
      <c r="A131" s="87"/>
      <c r="B131" s="87"/>
      <c r="C131" s="87"/>
      <c r="D131" s="87"/>
      <c r="G131" s="85"/>
      <c r="H131" s="87"/>
      <c r="I131" s="94"/>
      <c r="J131" s="93"/>
      <c r="K131" s="85"/>
      <c r="M131" s="94"/>
      <c r="N131" s="93"/>
      <c r="O131" s="85"/>
      <c r="Q131" s="94"/>
      <c r="R131" s="93"/>
      <c r="S131" s="85"/>
      <c r="U131" s="94"/>
      <c r="V131" s="93"/>
      <c r="W131" s="85"/>
      <c r="Y131" s="94"/>
      <c r="Z131" s="93"/>
      <c r="AA131" s="85"/>
      <c r="AC131" s="94"/>
      <c r="AD131" s="93"/>
      <c r="AE131" s="85"/>
    </row>
    <row r="132" spans="1:31" x14ac:dyDescent="0.35">
      <c r="A132" s="87"/>
      <c r="B132" s="87"/>
      <c r="C132" s="87"/>
      <c r="D132" s="87"/>
      <c r="G132" s="85"/>
      <c r="H132" s="87"/>
      <c r="I132" s="94"/>
      <c r="J132" s="93"/>
      <c r="K132" s="85"/>
      <c r="M132" s="94"/>
      <c r="N132" s="93"/>
      <c r="O132" s="85"/>
      <c r="Q132" s="94"/>
      <c r="R132" s="93"/>
      <c r="S132" s="85"/>
      <c r="U132" s="94"/>
      <c r="V132" s="93"/>
      <c r="W132" s="85"/>
      <c r="Y132" s="94"/>
      <c r="Z132" s="93"/>
      <c r="AA132" s="85"/>
      <c r="AC132" s="94"/>
      <c r="AD132" s="93"/>
      <c r="AE132" s="85"/>
    </row>
    <row r="133" spans="1:31" x14ac:dyDescent="0.35">
      <c r="A133" s="87"/>
      <c r="B133" s="87"/>
      <c r="C133" s="87"/>
      <c r="D133" s="87"/>
      <c r="G133" s="85"/>
      <c r="H133" s="87"/>
      <c r="I133" s="94"/>
      <c r="J133" s="93"/>
      <c r="K133" s="85"/>
      <c r="M133" s="94"/>
      <c r="N133" s="93"/>
      <c r="O133" s="85"/>
      <c r="Q133" s="94"/>
      <c r="R133" s="93"/>
      <c r="S133" s="85"/>
      <c r="U133" s="94"/>
      <c r="V133" s="93"/>
      <c r="W133" s="85"/>
      <c r="Y133" s="94"/>
      <c r="Z133" s="93"/>
      <c r="AA133" s="85"/>
      <c r="AC133" s="94"/>
      <c r="AD133" s="93"/>
      <c r="AE133" s="85"/>
    </row>
    <row r="134" spans="1:31" x14ac:dyDescent="0.35">
      <c r="A134" s="87"/>
      <c r="B134" s="87"/>
      <c r="C134" s="87"/>
      <c r="D134" s="87"/>
      <c r="G134" s="85"/>
      <c r="H134" s="87"/>
      <c r="I134" s="94"/>
      <c r="J134" s="93"/>
      <c r="K134" s="85"/>
      <c r="M134" s="94"/>
      <c r="N134" s="93"/>
      <c r="O134" s="85"/>
      <c r="Q134" s="94"/>
      <c r="R134" s="93"/>
      <c r="S134" s="85"/>
      <c r="U134" s="94"/>
      <c r="V134" s="93"/>
      <c r="W134" s="85"/>
      <c r="Y134" s="94"/>
      <c r="Z134" s="93"/>
      <c r="AA134" s="85"/>
      <c r="AC134" s="94"/>
      <c r="AD134" s="93"/>
      <c r="AE134" s="85"/>
    </row>
    <row r="135" spans="1:31" x14ac:dyDescent="0.35">
      <c r="A135" s="87"/>
      <c r="B135" s="87"/>
      <c r="C135" s="87"/>
      <c r="D135" s="87"/>
      <c r="G135" s="85"/>
      <c r="H135" s="87"/>
      <c r="I135" s="94"/>
      <c r="J135" s="93"/>
      <c r="K135" s="85"/>
      <c r="M135" s="94"/>
      <c r="N135" s="93"/>
      <c r="O135" s="85"/>
      <c r="Q135" s="94"/>
      <c r="R135" s="93"/>
      <c r="S135" s="85"/>
      <c r="U135" s="94"/>
      <c r="V135" s="93"/>
      <c r="W135" s="85"/>
      <c r="Y135" s="94"/>
      <c r="Z135" s="93"/>
      <c r="AA135" s="85"/>
      <c r="AC135" s="94"/>
      <c r="AD135" s="93"/>
      <c r="AE135" s="85"/>
    </row>
    <row r="136" spans="1:31" x14ac:dyDescent="0.35">
      <c r="A136" s="87"/>
      <c r="B136" s="87"/>
      <c r="C136" s="87"/>
      <c r="D136" s="87"/>
      <c r="G136" s="85"/>
      <c r="H136" s="87"/>
      <c r="I136" s="94"/>
      <c r="J136" s="93"/>
      <c r="K136" s="85"/>
      <c r="M136" s="94"/>
      <c r="N136" s="93"/>
      <c r="O136" s="85"/>
      <c r="Q136" s="94"/>
      <c r="R136" s="93"/>
      <c r="S136" s="85"/>
      <c r="U136" s="94"/>
      <c r="V136" s="93"/>
      <c r="W136" s="85"/>
      <c r="Y136" s="94"/>
      <c r="Z136" s="93"/>
      <c r="AA136" s="85"/>
      <c r="AC136" s="94"/>
      <c r="AD136" s="93"/>
      <c r="AE136" s="85"/>
    </row>
    <row r="137" spans="1:31" x14ac:dyDescent="0.35">
      <c r="A137" s="87"/>
      <c r="B137" s="87"/>
      <c r="C137" s="87"/>
      <c r="D137" s="87"/>
      <c r="G137" s="85"/>
      <c r="H137" s="87"/>
      <c r="I137" s="94"/>
      <c r="J137" s="93"/>
      <c r="K137" s="85"/>
      <c r="M137" s="94"/>
      <c r="N137" s="93"/>
      <c r="O137" s="85"/>
      <c r="Q137" s="94"/>
      <c r="R137" s="93"/>
      <c r="S137" s="85"/>
      <c r="U137" s="94"/>
      <c r="V137" s="93"/>
      <c r="W137" s="85"/>
      <c r="Y137" s="94"/>
      <c r="Z137" s="93"/>
      <c r="AA137" s="85"/>
      <c r="AC137" s="94"/>
      <c r="AD137" s="93"/>
      <c r="AE137" s="85"/>
    </row>
    <row r="138" spans="1:31" x14ac:dyDescent="0.35">
      <c r="A138" s="87"/>
      <c r="B138" s="87"/>
      <c r="C138" s="87"/>
      <c r="D138" s="87"/>
      <c r="G138" s="85"/>
      <c r="H138" s="87"/>
      <c r="I138" s="94"/>
      <c r="J138" s="93"/>
      <c r="K138" s="85"/>
      <c r="M138" s="94"/>
      <c r="N138" s="93"/>
      <c r="O138" s="85"/>
      <c r="Q138" s="94"/>
      <c r="R138" s="93"/>
      <c r="S138" s="85"/>
      <c r="U138" s="94"/>
      <c r="V138" s="93"/>
      <c r="W138" s="85"/>
      <c r="Y138" s="94"/>
      <c r="Z138" s="93"/>
      <c r="AA138" s="85"/>
      <c r="AC138" s="94"/>
      <c r="AD138" s="93"/>
      <c r="AE138" s="85"/>
    </row>
    <row r="139" spans="1:31" x14ac:dyDescent="0.35">
      <c r="A139" s="87"/>
      <c r="B139" s="87"/>
      <c r="C139" s="87"/>
      <c r="D139" s="87"/>
      <c r="G139" s="85"/>
      <c r="H139" s="87"/>
      <c r="I139" s="94"/>
      <c r="J139" s="93"/>
      <c r="K139" s="85"/>
      <c r="M139" s="94"/>
      <c r="N139" s="93"/>
      <c r="O139" s="85"/>
      <c r="Q139" s="94"/>
      <c r="R139" s="93"/>
      <c r="S139" s="85"/>
      <c r="U139" s="94"/>
      <c r="V139" s="93"/>
      <c r="W139" s="85"/>
      <c r="Y139" s="94"/>
      <c r="Z139" s="93"/>
      <c r="AA139" s="85"/>
      <c r="AC139" s="94"/>
      <c r="AD139" s="93"/>
      <c r="AE139" s="85"/>
    </row>
    <row r="140" spans="1:31" x14ac:dyDescent="0.35">
      <c r="A140" s="87"/>
      <c r="B140" s="87"/>
      <c r="C140" s="87"/>
      <c r="D140" s="87"/>
      <c r="G140" s="85"/>
      <c r="H140" s="87"/>
      <c r="I140" s="94"/>
      <c r="J140" s="93"/>
      <c r="K140" s="85"/>
      <c r="M140" s="94"/>
      <c r="N140" s="93"/>
      <c r="O140" s="85"/>
      <c r="Q140" s="94"/>
      <c r="R140" s="93"/>
      <c r="S140" s="85"/>
      <c r="U140" s="94"/>
      <c r="V140" s="93"/>
      <c r="W140" s="85"/>
      <c r="Y140" s="94"/>
      <c r="Z140" s="93"/>
      <c r="AA140" s="85"/>
      <c r="AC140" s="94"/>
      <c r="AD140" s="93"/>
      <c r="AE140" s="85"/>
    </row>
    <row r="141" spans="1:31" x14ac:dyDescent="0.35">
      <c r="A141" s="87"/>
      <c r="B141" s="87"/>
      <c r="C141" s="87"/>
      <c r="D141" s="87"/>
      <c r="G141" s="85"/>
      <c r="H141" s="87"/>
      <c r="I141" s="94"/>
      <c r="J141" s="93"/>
      <c r="K141" s="85"/>
      <c r="M141" s="94"/>
      <c r="N141" s="93"/>
      <c r="O141" s="85"/>
      <c r="Q141" s="94"/>
      <c r="R141" s="93"/>
      <c r="S141" s="85"/>
      <c r="U141" s="94"/>
      <c r="V141" s="93"/>
      <c r="W141" s="85"/>
      <c r="Y141" s="94"/>
      <c r="Z141" s="93"/>
      <c r="AA141" s="85"/>
      <c r="AC141" s="94"/>
      <c r="AD141" s="93"/>
      <c r="AE141" s="85"/>
    </row>
    <row r="142" spans="1:31" x14ac:dyDescent="0.35">
      <c r="A142" s="87"/>
      <c r="B142" s="87"/>
      <c r="C142" s="87"/>
      <c r="D142" s="87"/>
      <c r="G142" s="85"/>
      <c r="H142" s="87"/>
      <c r="I142" s="94"/>
      <c r="J142" s="93"/>
      <c r="K142" s="85"/>
      <c r="M142" s="94"/>
      <c r="N142" s="93"/>
      <c r="O142" s="85"/>
      <c r="Q142" s="94"/>
      <c r="R142" s="93"/>
      <c r="S142" s="85"/>
      <c r="U142" s="94"/>
      <c r="V142" s="93"/>
      <c r="W142" s="85"/>
      <c r="Y142" s="94"/>
      <c r="Z142" s="93"/>
      <c r="AA142" s="85"/>
      <c r="AC142" s="94"/>
      <c r="AD142" s="93"/>
      <c r="AE142" s="85"/>
    </row>
    <row r="143" spans="1:31" x14ac:dyDescent="0.35">
      <c r="A143" s="87"/>
      <c r="B143" s="87"/>
      <c r="C143" s="87"/>
      <c r="D143" s="87"/>
      <c r="G143" s="85"/>
      <c r="H143" s="87"/>
      <c r="I143" s="94"/>
      <c r="J143" s="93"/>
      <c r="K143" s="85"/>
      <c r="M143" s="94"/>
      <c r="N143" s="93"/>
      <c r="O143" s="85"/>
      <c r="Q143" s="94"/>
      <c r="R143" s="93"/>
      <c r="S143" s="85"/>
      <c r="U143" s="94"/>
      <c r="V143" s="93"/>
      <c r="W143" s="85"/>
      <c r="Y143" s="94"/>
      <c r="Z143" s="93"/>
      <c r="AA143" s="85"/>
      <c r="AC143" s="94"/>
      <c r="AD143" s="93"/>
      <c r="AE143" s="85"/>
    </row>
    <row r="144" spans="1:31" x14ac:dyDescent="0.35">
      <c r="A144" s="87"/>
      <c r="B144" s="87"/>
      <c r="C144" s="87"/>
      <c r="D144" s="87"/>
      <c r="G144" s="85"/>
      <c r="H144" s="87"/>
      <c r="I144" s="94"/>
      <c r="J144" s="93"/>
      <c r="K144" s="85"/>
      <c r="M144" s="94"/>
      <c r="N144" s="93"/>
      <c r="O144" s="85"/>
      <c r="Q144" s="94"/>
      <c r="R144" s="93"/>
      <c r="S144" s="85"/>
      <c r="U144" s="94"/>
      <c r="V144" s="93"/>
      <c r="W144" s="85"/>
      <c r="Y144" s="94"/>
      <c r="Z144" s="93"/>
      <c r="AA144" s="85"/>
      <c r="AC144" s="94"/>
      <c r="AD144" s="93"/>
      <c r="AE144" s="85"/>
    </row>
    <row r="145" spans="1:31" x14ac:dyDescent="0.35">
      <c r="A145" s="87"/>
      <c r="B145" s="87"/>
      <c r="C145" s="87"/>
      <c r="D145" s="87"/>
      <c r="G145" s="85"/>
      <c r="H145" s="87"/>
      <c r="I145" s="94"/>
      <c r="J145" s="93"/>
      <c r="K145" s="85"/>
      <c r="M145" s="94"/>
      <c r="N145" s="93"/>
      <c r="O145" s="85"/>
      <c r="Q145" s="94"/>
      <c r="R145" s="93"/>
      <c r="S145" s="85"/>
      <c r="U145" s="94"/>
      <c r="V145" s="93"/>
      <c r="W145" s="85"/>
      <c r="Y145" s="94"/>
      <c r="Z145" s="93"/>
      <c r="AA145" s="85"/>
      <c r="AC145" s="94"/>
      <c r="AD145" s="93"/>
      <c r="AE145" s="85"/>
    </row>
    <row r="146" spans="1:31" x14ac:dyDescent="0.35">
      <c r="A146" s="87"/>
      <c r="B146" s="87"/>
      <c r="C146" s="87"/>
      <c r="D146" s="87"/>
      <c r="G146" s="85"/>
      <c r="H146" s="87"/>
      <c r="I146" s="94"/>
      <c r="J146" s="93"/>
      <c r="K146" s="85"/>
      <c r="M146" s="94"/>
      <c r="N146" s="93"/>
      <c r="O146" s="85"/>
      <c r="Q146" s="94"/>
      <c r="R146" s="93"/>
      <c r="S146" s="85"/>
      <c r="U146" s="94"/>
      <c r="V146" s="93"/>
      <c r="W146" s="85"/>
      <c r="Y146" s="94"/>
      <c r="Z146" s="93"/>
      <c r="AA146" s="85"/>
      <c r="AC146" s="94"/>
      <c r="AD146" s="93"/>
      <c r="AE146" s="85"/>
    </row>
    <row r="147" spans="1:31" x14ac:dyDescent="0.35">
      <c r="A147" s="87"/>
      <c r="B147" s="87"/>
      <c r="C147" s="87"/>
      <c r="D147" s="87"/>
      <c r="G147" s="85"/>
      <c r="H147" s="87"/>
      <c r="I147" s="94"/>
      <c r="J147" s="93"/>
      <c r="K147" s="85"/>
      <c r="M147" s="94"/>
      <c r="N147" s="93"/>
      <c r="O147" s="85"/>
      <c r="Q147" s="94"/>
      <c r="R147" s="93"/>
      <c r="S147" s="85"/>
      <c r="U147" s="94"/>
      <c r="V147" s="93"/>
      <c r="W147" s="85"/>
      <c r="Y147" s="94"/>
      <c r="Z147" s="93"/>
      <c r="AA147" s="85"/>
      <c r="AC147" s="94"/>
      <c r="AD147" s="93"/>
      <c r="AE147" s="85"/>
    </row>
    <row r="148" spans="1:31" x14ac:dyDescent="0.35">
      <c r="A148" s="87"/>
      <c r="B148" s="87"/>
      <c r="C148" s="87"/>
      <c r="D148" s="87"/>
      <c r="G148" s="85"/>
      <c r="H148" s="87"/>
      <c r="I148" s="94"/>
      <c r="J148" s="93"/>
      <c r="K148" s="85"/>
      <c r="M148" s="94"/>
      <c r="N148" s="93"/>
      <c r="O148" s="85"/>
      <c r="Q148" s="94"/>
      <c r="R148" s="93"/>
      <c r="S148" s="85"/>
      <c r="U148" s="94"/>
      <c r="V148" s="93"/>
      <c r="W148" s="85"/>
      <c r="Y148" s="94"/>
      <c r="Z148" s="93"/>
      <c r="AA148" s="85"/>
      <c r="AC148" s="94"/>
      <c r="AD148" s="93"/>
      <c r="AE148" s="85"/>
    </row>
    <row r="149" spans="1:31" x14ac:dyDescent="0.35">
      <c r="A149" s="87"/>
      <c r="B149" s="87"/>
      <c r="C149" s="87"/>
      <c r="D149" s="87"/>
      <c r="G149" s="85"/>
      <c r="H149" s="87"/>
      <c r="I149" s="94"/>
      <c r="J149" s="93"/>
      <c r="K149" s="85"/>
      <c r="M149" s="94"/>
      <c r="N149" s="93"/>
      <c r="O149" s="85"/>
      <c r="Q149" s="94"/>
      <c r="R149" s="93"/>
      <c r="S149" s="85"/>
      <c r="U149" s="94"/>
      <c r="V149" s="93"/>
      <c r="W149" s="85"/>
      <c r="Y149" s="94"/>
      <c r="Z149" s="93"/>
      <c r="AA149" s="85"/>
      <c r="AC149" s="94"/>
      <c r="AD149" s="93"/>
      <c r="AE149" s="85"/>
    </row>
    <row r="150" spans="1:31" x14ac:dyDescent="0.35">
      <c r="A150" s="87"/>
      <c r="B150" s="87"/>
      <c r="C150" s="87"/>
      <c r="D150" s="87"/>
      <c r="G150" s="85"/>
      <c r="H150" s="87"/>
      <c r="I150" s="94"/>
      <c r="J150" s="93"/>
      <c r="K150" s="85"/>
      <c r="M150" s="94"/>
      <c r="N150" s="93"/>
      <c r="O150" s="85"/>
      <c r="Q150" s="94"/>
      <c r="R150" s="93"/>
      <c r="S150" s="85"/>
      <c r="U150" s="94"/>
      <c r="V150" s="93"/>
      <c r="W150" s="85"/>
      <c r="Y150" s="94"/>
      <c r="Z150" s="93"/>
      <c r="AA150" s="85"/>
      <c r="AC150" s="94"/>
      <c r="AD150" s="93"/>
      <c r="AE150" s="85"/>
    </row>
    <row r="151" spans="1:31" x14ac:dyDescent="0.35">
      <c r="A151" s="87"/>
      <c r="B151" s="87"/>
      <c r="C151" s="87"/>
      <c r="D151" s="87"/>
      <c r="G151" s="85"/>
      <c r="H151" s="87"/>
      <c r="I151" s="94"/>
      <c r="J151" s="93"/>
      <c r="K151" s="85"/>
      <c r="M151" s="94"/>
      <c r="N151" s="93"/>
      <c r="O151" s="85"/>
      <c r="Q151" s="94"/>
      <c r="R151" s="93"/>
      <c r="S151" s="85"/>
      <c r="U151" s="94"/>
      <c r="V151" s="93"/>
      <c r="W151" s="85"/>
      <c r="Y151" s="94"/>
      <c r="Z151" s="93"/>
      <c r="AA151" s="85"/>
      <c r="AC151" s="94"/>
      <c r="AD151" s="93"/>
      <c r="AE151" s="85"/>
    </row>
    <row r="152" spans="1:31" x14ac:dyDescent="0.35">
      <c r="A152" s="87"/>
      <c r="B152" s="87"/>
      <c r="C152" s="87"/>
      <c r="D152" s="87"/>
      <c r="G152" s="85"/>
      <c r="H152" s="87"/>
      <c r="I152" s="94"/>
      <c r="J152" s="93"/>
      <c r="K152" s="85"/>
      <c r="M152" s="94"/>
      <c r="N152" s="93"/>
      <c r="O152" s="85"/>
      <c r="Q152" s="94"/>
      <c r="R152" s="93"/>
      <c r="S152" s="85"/>
      <c r="U152" s="94"/>
      <c r="V152" s="93"/>
      <c r="W152" s="85"/>
      <c r="Y152" s="94"/>
      <c r="Z152" s="93"/>
      <c r="AA152" s="85"/>
      <c r="AC152" s="94"/>
      <c r="AD152" s="93"/>
      <c r="AE152" s="85"/>
    </row>
    <row r="153" spans="1:31" x14ac:dyDescent="0.35">
      <c r="A153" s="87"/>
      <c r="B153" s="87"/>
      <c r="C153" s="87"/>
      <c r="D153" s="87"/>
      <c r="G153" s="85"/>
      <c r="H153" s="87"/>
      <c r="I153" s="94"/>
      <c r="J153" s="93"/>
      <c r="K153" s="85"/>
      <c r="M153" s="94"/>
      <c r="N153" s="93"/>
      <c r="O153" s="85"/>
      <c r="Q153" s="94"/>
      <c r="R153" s="93"/>
      <c r="S153" s="85"/>
      <c r="U153" s="94"/>
      <c r="V153" s="93"/>
      <c r="W153" s="85"/>
      <c r="Y153" s="94"/>
      <c r="Z153" s="93"/>
      <c r="AA153" s="85"/>
      <c r="AC153" s="94"/>
      <c r="AD153" s="93"/>
      <c r="AE153" s="85"/>
    </row>
    <row r="154" spans="1:31" x14ac:dyDescent="0.35">
      <c r="A154" s="87"/>
      <c r="B154" s="87"/>
      <c r="C154" s="87"/>
      <c r="D154" s="87"/>
      <c r="G154" s="85"/>
      <c r="H154" s="87"/>
      <c r="I154" s="94"/>
      <c r="J154" s="93"/>
      <c r="K154" s="85"/>
      <c r="M154" s="94"/>
      <c r="N154" s="93"/>
      <c r="O154" s="85"/>
      <c r="Q154" s="94"/>
      <c r="R154" s="93"/>
      <c r="S154" s="85"/>
      <c r="U154" s="94"/>
      <c r="V154" s="93"/>
      <c r="W154" s="85"/>
      <c r="Y154" s="94"/>
      <c r="Z154" s="93"/>
      <c r="AA154" s="85"/>
      <c r="AC154" s="94"/>
      <c r="AD154" s="93"/>
      <c r="AE154" s="85"/>
    </row>
    <row r="155" spans="1:31" x14ac:dyDescent="0.35">
      <c r="A155" s="87"/>
      <c r="B155" s="87"/>
      <c r="C155" s="87"/>
      <c r="D155" s="87"/>
      <c r="G155" s="85"/>
      <c r="H155" s="87"/>
      <c r="I155" s="94"/>
      <c r="J155" s="93"/>
      <c r="K155" s="85"/>
      <c r="M155" s="94"/>
      <c r="N155" s="93"/>
      <c r="O155" s="85"/>
      <c r="Q155" s="94"/>
      <c r="R155" s="93"/>
      <c r="S155" s="85"/>
      <c r="U155" s="94"/>
      <c r="V155" s="93"/>
      <c r="W155" s="85"/>
      <c r="Y155" s="94"/>
      <c r="Z155" s="93"/>
      <c r="AA155" s="85"/>
      <c r="AC155" s="94"/>
      <c r="AD155" s="93"/>
      <c r="AE155" s="85"/>
    </row>
    <row r="156" spans="1:31" x14ac:dyDescent="0.35">
      <c r="A156" s="87"/>
      <c r="B156" s="87"/>
      <c r="C156" s="87"/>
      <c r="D156" s="87"/>
      <c r="G156" s="85"/>
      <c r="H156" s="87"/>
      <c r="I156" s="94"/>
      <c r="J156" s="93"/>
      <c r="K156" s="85"/>
      <c r="M156" s="94"/>
      <c r="N156" s="93"/>
      <c r="O156" s="85"/>
      <c r="Q156" s="94"/>
      <c r="R156" s="93"/>
      <c r="S156" s="85"/>
      <c r="U156" s="94"/>
      <c r="V156" s="93"/>
      <c r="W156" s="85"/>
      <c r="Y156" s="94"/>
      <c r="Z156" s="93"/>
      <c r="AA156" s="85"/>
      <c r="AC156" s="94"/>
      <c r="AD156" s="93"/>
      <c r="AE156" s="85"/>
    </row>
    <row r="157" spans="1:31" x14ac:dyDescent="0.35">
      <c r="A157" s="87"/>
      <c r="B157" s="87"/>
      <c r="C157" s="87"/>
      <c r="D157" s="87"/>
      <c r="G157" s="85"/>
      <c r="H157" s="87"/>
      <c r="I157" s="94"/>
      <c r="J157" s="93"/>
      <c r="K157" s="85"/>
      <c r="M157" s="94"/>
      <c r="N157" s="93"/>
      <c r="O157" s="85"/>
      <c r="Q157" s="94"/>
      <c r="R157" s="93"/>
      <c r="S157" s="85"/>
      <c r="U157" s="94"/>
      <c r="V157" s="93"/>
      <c r="W157" s="85"/>
      <c r="Y157" s="94"/>
      <c r="Z157" s="93"/>
      <c r="AA157" s="85"/>
      <c r="AC157" s="94"/>
      <c r="AD157" s="93"/>
      <c r="AE157" s="85"/>
    </row>
    <row r="158" spans="1:31" x14ac:dyDescent="0.35">
      <c r="A158" s="87"/>
      <c r="B158" s="87"/>
      <c r="C158" s="87"/>
      <c r="D158" s="87"/>
      <c r="G158" s="85"/>
      <c r="H158" s="87"/>
      <c r="I158" s="94"/>
      <c r="J158" s="93"/>
      <c r="K158" s="85"/>
      <c r="M158" s="94"/>
      <c r="N158" s="93"/>
      <c r="O158" s="85"/>
      <c r="Q158" s="94"/>
      <c r="R158" s="93"/>
      <c r="S158" s="85"/>
      <c r="U158" s="94"/>
      <c r="V158" s="93"/>
      <c r="W158" s="85"/>
      <c r="Y158" s="94"/>
      <c r="Z158" s="93"/>
      <c r="AA158" s="85"/>
      <c r="AC158" s="94"/>
      <c r="AD158" s="93"/>
      <c r="AE158" s="85"/>
    </row>
    <row r="159" spans="1:31" x14ac:dyDescent="0.35">
      <c r="A159" s="87"/>
      <c r="B159" s="87"/>
      <c r="C159" s="87"/>
      <c r="D159" s="87"/>
      <c r="G159" s="85"/>
      <c r="H159" s="87"/>
      <c r="I159" s="94"/>
      <c r="J159" s="93"/>
      <c r="K159" s="85"/>
      <c r="M159" s="94"/>
      <c r="N159" s="93"/>
      <c r="O159" s="85"/>
      <c r="Q159" s="94"/>
      <c r="R159" s="93"/>
      <c r="S159" s="85"/>
      <c r="U159" s="94"/>
      <c r="V159" s="93"/>
      <c r="W159" s="85"/>
      <c r="Y159" s="94"/>
      <c r="Z159" s="93"/>
      <c r="AA159" s="85"/>
      <c r="AC159" s="94"/>
      <c r="AD159" s="93"/>
      <c r="AE159" s="85"/>
    </row>
    <row r="160" spans="1:31" x14ac:dyDescent="0.35">
      <c r="A160" s="87"/>
      <c r="B160" s="87"/>
      <c r="C160" s="87"/>
      <c r="D160" s="87"/>
      <c r="G160" s="85"/>
      <c r="H160" s="87"/>
      <c r="I160" s="94"/>
      <c r="J160" s="93"/>
      <c r="K160" s="85"/>
      <c r="M160" s="94"/>
      <c r="N160" s="93"/>
      <c r="O160" s="85"/>
      <c r="Q160" s="94"/>
      <c r="R160" s="93"/>
      <c r="S160" s="85"/>
      <c r="U160" s="94"/>
      <c r="V160" s="93"/>
      <c r="W160" s="85"/>
      <c r="Y160" s="94"/>
      <c r="Z160" s="93"/>
      <c r="AA160" s="85"/>
      <c r="AC160" s="94"/>
      <c r="AD160" s="93"/>
      <c r="AE160" s="85"/>
    </row>
    <row r="161" spans="1:31" x14ac:dyDescent="0.35">
      <c r="A161" s="87"/>
      <c r="B161" s="87"/>
      <c r="C161" s="87"/>
      <c r="D161" s="87"/>
      <c r="G161" s="85"/>
      <c r="H161" s="87"/>
      <c r="I161" s="94"/>
      <c r="J161" s="93"/>
      <c r="K161" s="85"/>
      <c r="M161" s="94"/>
      <c r="N161" s="93"/>
      <c r="O161" s="85"/>
      <c r="Q161" s="94"/>
      <c r="R161" s="93"/>
      <c r="S161" s="85"/>
      <c r="U161" s="94"/>
      <c r="V161" s="93"/>
      <c r="W161" s="85"/>
      <c r="Y161" s="94"/>
      <c r="Z161" s="93"/>
      <c r="AA161" s="85"/>
      <c r="AC161" s="94"/>
      <c r="AD161" s="93"/>
      <c r="AE161" s="85"/>
    </row>
    <row r="162" spans="1:31" x14ac:dyDescent="0.35">
      <c r="A162" s="87"/>
      <c r="B162" s="87"/>
      <c r="C162" s="87"/>
      <c r="D162" s="87"/>
      <c r="G162" s="85"/>
      <c r="H162" s="87"/>
      <c r="I162" s="94"/>
      <c r="J162" s="93"/>
      <c r="K162" s="85"/>
      <c r="M162" s="94"/>
      <c r="N162" s="93"/>
      <c r="O162" s="85"/>
      <c r="Q162" s="94"/>
      <c r="R162" s="93"/>
      <c r="S162" s="85"/>
      <c r="U162" s="94"/>
      <c r="V162" s="93"/>
      <c r="W162" s="85"/>
      <c r="Y162" s="94"/>
      <c r="Z162" s="93"/>
      <c r="AA162" s="85"/>
      <c r="AC162" s="94"/>
      <c r="AD162" s="93"/>
      <c r="AE162" s="85"/>
    </row>
    <row r="163" spans="1:31" x14ac:dyDescent="0.35">
      <c r="A163" s="87"/>
      <c r="B163" s="87"/>
      <c r="C163" s="87"/>
      <c r="D163" s="87"/>
      <c r="G163" s="85"/>
      <c r="H163" s="87"/>
      <c r="I163" s="94"/>
      <c r="J163" s="93"/>
      <c r="K163" s="85"/>
      <c r="M163" s="94"/>
      <c r="N163" s="93"/>
      <c r="O163" s="85"/>
      <c r="Q163" s="94"/>
      <c r="R163" s="93"/>
      <c r="S163" s="85"/>
      <c r="U163" s="94"/>
      <c r="V163" s="93"/>
      <c r="W163" s="85"/>
      <c r="Y163" s="94"/>
      <c r="Z163" s="93"/>
      <c r="AA163" s="85"/>
      <c r="AC163" s="94"/>
      <c r="AD163" s="93"/>
      <c r="AE163" s="85"/>
    </row>
    <row r="164" spans="1:31" x14ac:dyDescent="0.35">
      <c r="A164" s="87"/>
      <c r="B164" s="87"/>
      <c r="C164" s="87"/>
      <c r="D164" s="87"/>
      <c r="G164" s="85"/>
      <c r="H164" s="87"/>
      <c r="I164" s="94"/>
      <c r="J164" s="93"/>
      <c r="K164" s="85"/>
      <c r="M164" s="94"/>
      <c r="N164" s="93"/>
      <c r="O164" s="85"/>
      <c r="Q164" s="94"/>
      <c r="R164" s="93"/>
      <c r="S164" s="85"/>
      <c r="U164" s="94"/>
      <c r="V164" s="93"/>
      <c r="W164" s="85"/>
      <c r="Y164" s="94"/>
      <c r="Z164" s="93"/>
      <c r="AA164" s="85"/>
      <c r="AC164" s="94"/>
      <c r="AD164" s="93"/>
      <c r="AE164" s="85"/>
    </row>
    <row r="165" spans="1:31" x14ac:dyDescent="0.35">
      <c r="A165" s="87"/>
      <c r="B165" s="87"/>
      <c r="C165" s="87"/>
      <c r="D165" s="87"/>
      <c r="G165" s="85"/>
      <c r="H165" s="87"/>
      <c r="I165" s="94"/>
      <c r="J165" s="93"/>
      <c r="K165" s="85"/>
      <c r="M165" s="94"/>
      <c r="N165" s="93"/>
      <c r="O165" s="85"/>
      <c r="Q165" s="94"/>
      <c r="R165" s="93"/>
      <c r="S165" s="85"/>
      <c r="U165" s="94"/>
      <c r="V165" s="93"/>
      <c r="W165" s="85"/>
      <c r="Y165" s="94"/>
      <c r="Z165" s="93"/>
      <c r="AA165" s="85"/>
      <c r="AC165" s="94"/>
      <c r="AD165" s="93"/>
      <c r="AE165" s="85"/>
    </row>
    <row r="166" spans="1:31" x14ac:dyDescent="0.35">
      <c r="A166" s="87"/>
      <c r="B166" s="87"/>
      <c r="C166" s="87"/>
      <c r="D166" s="87"/>
      <c r="G166" s="85"/>
      <c r="H166" s="87"/>
      <c r="I166" s="94"/>
      <c r="J166" s="93"/>
      <c r="K166" s="85"/>
      <c r="M166" s="94"/>
      <c r="N166" s="93"/>
      <c r="O166" s="85"/>
      <c r="Q166" s="94"/>
      <c r="R166" s="93"/>
      <c r="S166" s="85"/>
      <c r="U166" s="94"/>
      <c r="V166" s="93"/>
      <c r="W166" s="85"/>
      <c r="Y166" s="94"/>
      <c r="Z166" s="93"/>
      <c r="AA166" s="85"/>
      <c r="AC166" s="94"/>
      <c r="AD166" s="93"/>
      <c r="AE166" s="85"/>
    </row>
    <row r="167" spans="1:31" x14ac:dyDescent="0.35">
      <c r="A167" s="87"/>
      <c r="B167" s="87"/>
      <c r="C167" s="87"/>
      <c r="D167" s="87"/>
      <c r="G167" s="85"/>
      <c r="H167" s="87"/>
      <c r="I167" s="94"/>
      <c r="J167" s="93"/>
      <c r="K167" s="85"/>
      <c r="M167" s="94"/>
      <c r="N167" s="93"/>
      <c r="O167" s="85"/>
      <c r="Q167" s="94"/>
      <c r="R167" s="93"/>
      <c r="S167" s="85"/>
      <c r="U167" s="94"/>
      <c r="V167" s="93"/>
      <c r="W167" s="85"/>
      <c r="Y167" s="94"/>
      <c r="Z167" s="93"/>
      <c r="AA167" s="85"/>
      <c r="AC167" s="94"/>
      <c r="AD167" s="93"/>
      <c r="AE167" s="85"/>
    </row>
    <row r="168" spans="1:31" x14ac:dyDescent="0.35">
      <c r="A168" s="87"/>
      <c r="B168" s="87"/>
      <c r="C168" s="87"/>
      <c r="D168" s="87"/>
      <c r="G168" s="85"/>
      <c r="H168" s="87"/>
      <c r="I168" s="94"/>
      <c r="J168" s="93"/>
      <c r="K168" s="85"/>
      <c r="M168" s="94"/>
      <c r="N168" s="93"/>
      <c r="O168" s="85"/>
      <c r="Q168" s="94"/>
      <c r="R168" s="93"/>
      <c r="S168" s="85"/>
      <c r="U168" s="94"/>
      <c r="V168" s="93"/>
      <c r="W168" s="85"/>
      <c r="Y168" s="94"/>
      <c r="Z168" s="93"/>
      <c r="AA168" s="85"/>
      <c r="AC168" s="94"/>
      <c r="AD168" s="93"/>
      <c r="AE168" s="85"/>
    </row>
    <row r="169" spans="1:31" x14ac:dyDescent="0.35">
      <c r="A169" s="87"/>
      <c r="B169" s="87"/>
      <c r="C169" s="87"/>
      <c r="D169" s="87"/>
      <c r="G169" s="85"/>
      <c r="H169" s="87"/>
      <c r="I169" s="94"/>
      <c r="J169" s="93"/>
      <c r="K169" s="85"/>
      <c r="M169" s="94"/>
      <c r="N169" s="93"/>
      <c r="O169" s="85"/>
      <c r="Q169" s="94"/>
      <c r="R169" s="93"/>
      <c r="S169" s="85"/>
      <c r="U169" s="94"/>
      <c r="V169" s="93"/>
      <c r="W169" s="85"/>
      <c r="Y169" s="94"/>
      <c r="Z169" s="93"/>
      <c r="AA169" s="85"/>
      <c r="AC169" s="94"/>
      <c r="AD169" s="93"/>
      <c r="AE169" s="85"/>
    </row>
    <row r="170" spans="1:31" x14ac:dyDescent="0.35">
      <c r="A170" s="87"/>
      <c r="B170" s="87"/>
      <c r="C170" s="87"/>
      <c r="D170" s="87"/>
      <c r="G170" s="85"/>
      <c r="H170" s="87"/>
      <c r="I170" s="94"/>
      <c r="J170" s="93"/>
      <c r="K170" s="85"/>
      <c r="M170" s="94"/>
      <c r="N170" s="93"/>
      <c r="O170" s="85"/>
      <c r="Q170" s="94"/>
      <c r="R170" s="93"/>
      <c r="S170" s="85"/>
      <c r="U170" s="94"/>
      <c r="V170" s="93"/>
      <c r="W170" s="85"/>
      <c r="Y170" s="94"/>
      <c r="Z170" s="93"/>
      <c r="AA170" s="85"/>
      <c r="AC170" s="94"/>
      <c r="AD170" s="93"/>
      <c r="AE170" s="85"/>
    </row>
    <row r="171" spans="1:31" x14ac:dyDescent="0.35">
      <c r="A171" s="87"/>
      <c r="B171" s="87"/>
      <c r="C171" s="87"/>
      <c r="D171" s="87"/>
      <c r="G171" s="85"/>
      <c r="H171" s="87"/>
      <c r="I171" s="94"/>
      <c r="J171" s="93"/>
      <c r="K171" s="85"/>
      <c r="M171" s="94"/>
      <c r="N171" s="93"/>
      <c r="O171" s="85"/>
      <c r="Q171" s="94"/>
      <c r="R171" s="93"/>
      <c r="S171" s="85"/>
      <c r="U171" s="94"/>
      <c r="V171" s="93"/>
      <c r="W171" s="85"/>
      <c r="Y171" s="94"/>
      <c r="Z171" s="93"/>
      <c r="AA171" s="85"/>
      <c r="AC171" s="94"/>
      <c r="AD171" s="93"/>
      <c r="AE171" s="85"/>
    </row>
    <row r="172" spans="1:31" x14ac:dyDescent="0.35">
      <c r="A172" s="87"/>
      <c r="B172" s="87"/>
      <c r="C172" s="87"/>
      <c r="D172" s="87"/>
      <c r="G172" s="85"/>
      <c r="H172" s="87"/>
      <c r="I172" s="94"/>
      <c r="J172" s="93"/>
      <c r="K172" s="85"/>
      <c r="M172" s="94"/>
      <c r="N172" s="93"/>
      <c r="O172" s="85"/>
      <c r="Q172" s="94"/>
      <c r="R172" s="93"/>
      <c r="S172" s="85"/>
      <c r="U172" s="94"/>
      <c r="V172" s="93"/>
      <c r="W172" s="85"/>
      <c r="Y172" s="94"/>
      <c r="Z172" s="93"/>
      <c r="AA172" s="85"/>
      <c r="AC172" s="94"/>
      <c r="AD172" s="93"/>
      <c r="AE172" s="85"/>
    </row>
    <row r="173" spans="1:31" x14ac:dyDescent="0.35">
      <c r="A173" s="87"/>
      <c r="B173" s="87"/>
      <c r="C173" s="87"/>
      <c r="D173" s="87"/>
      <c r="G173" s="85"/>
      <c r="H173" s="87"/>
      <c r="I173" s="94"/>
      <c r="J173" s="93"/>
      <c r="K173" s="85"/>
      <c r="M173" s="94"/>
      <c r="N173" s="93"/>
      <c r="O173" s="85"/>
      <c r="Q173" s="94"/>
      <c r="R173" s="93"/>
      <c r="S173" s="85"/>
      <c r="U173" s="94"/>
      <c r="V173" s="93"/>
      <c r="W173" s="85"/>
      <c r="Y173" s="94"/>
      <c r="Z173" s="93"/>
      <c r="AA173" s="85"/>
      <c r="AC173" s="94"/>
      <c r="AD173" s="93"/>
      <c r="AE173" s="85"/>
    </row>
    <row r="174" spans="1:31" x14ac:dyDescent="0.35">
      <c r="A174" s="87"/>
      <c r="B174" s="87"/>
      <c r="C174" s="87"/>
      <c r="D174" s="87"/>
      <c r="G174" s="85"/>
      <c r="H174" s="87"/>
      <c r="I174" s="94"/>
      <c r="J174" s="93"/>
      <c r="K174" s="85"/>
      <c r="M174" s="94"/>
      <c r="N174" s="93"/>
      <c r="O174" s="85"/>
      <c r="Q174" s="94"/>
      <c r="R174" s="93"/>
      <c r="S174" s="85"/>
      <c r="U174" s="94"/>
      <c r="V174" s="93"/>
      <c r="W174" s="85"/>
      <c r="Y174" s="94"/>
      <c r="Z174" s="93"/>
      <c r="AA174" s="85"/>
      <c r="AC174" s="94"/>
      <c r="AD174" s="93"/>
      <c r="AE174" s="85"/>
    </row>
    <row r="175" spans="1:31" x14ac:dyDescent="0.35">
      <c r="A175" s="87"/>
      <c r="B175" s="87"/>
      <c r="C175" s="87"/>
      <c r="D175" s="87"/>
      <c r="G175" s="85"/>
      <c r="H175" s="87"/>
      <c r="I175" s="94"/>
      <c r="J175" s="93"/>
      <c r="K175" s="85"/>
      <c r="M175" s="94"/>
      <c r="N175" s="93"/>
      <c r="O175" s="85"/>
      <c r="Q175" s="94"/>
      <c r="R175" s="93"/>
      <c r="S175" s="85"/>
      <c r="U175" s="94"/>
      <c r="V175" s="93"/>
      <c r="W175" s="85"/>
      <c r="Y175" s="94"/>
      <c r="Z175" s="93"/>
      <c r="AA175" s="85"/>
      <c r="AC175" s="94"/>
      <c r="AD175" s="93"/>
      <c r="AE175" s="85"/>
    </row>
    <row r="176" spans="1:31" x14ac:dyDescent="0.35">
      <c r="A176" s="87"/>
      <c r="B176" s="87"/>
      <c r="C176" s="87"/>
      <c r="D176" s="87"/>
      <c r="G176" s="85"/>
      <c r="H176" s="87"/>
      <c r="I176" s="94"/>
      <c r="J176" s="93"/>
      <c r="K176" s="85"/>
      <c r="M176" s="94"/>
      <c r="N176" s="93"/>
      <c r="O176" s="85"/>
      <c r="Q176" s="94"/>
      <c r="R176" s="93"/>
      <c r="S176" s="85"/>
      <c r="U176" s="94"/>
      <c r="V176" s="93"/>
      <c r="W176" s="85"/>
      <c r="Y176" s="94"/>
      <c r="Z176" s="93"/>
      <c r="AA176" s="85"/>
      <c r="AC176" s="94"/>
      <c r="AD176" s="93"/>
      <c r="AE176" s="85"/>
    </row>
    <row r="177" spans="1:31" x14ac:dyDescent="0.35">
      <c r="A177" s="87"/>
      <c r="B177" s="87"/>
      <c r="C177" s="87"/>
      <c r="D177" s="87"/>
      <c r="G177" s="85"/>
      <c r="H177" s="87"/>
      <c r="I177" s="94"/>
      <c r="J177" s="93"/>
      <c r="K177" s="85"/>
      <c r="M177" s="94"/>
      <c r="N177" s="93"/>
      <c r="O177" s="85"/>
      <c r="Q177" s="94"/>
      <c r="R177" s="93"/>
      <c r="S177" s="85"/>
      <c r="U177" s="94"/>
      <c r="V177" s="93"/>
      <c r="W177" s="85"/>
      <c r="Y177" s="94"/>
      <c r="Z177" s="93"/>
      <c r="AA177" s="85"/>
      <c r="AC177" s="94"/>
      <c r="AD177" s="93"/>
      <c r="AE177" s="85"/>
    </row>
    <row r="178" spans="1:31" x14ac:dyDescent="0.35">
      <c r="A178" s="87"/>
      <c r="B178" s="87"/>
      <c r="C178" s="87"/>
      <c r="D178" s="87"/>
      <c r="G178" s="85"/>
      <c r="H178" s="87"/>
      <c r="I178" s="94"/>
      <c r="J178" s="93"/>
      <c r="K178" s="85"/>
      <c r="M178" s="94"/>
      <c r="N178" s="93"/>
      <c r="O178" s="85"/>
      <c r="Q178" s="94"/>
      <c r="R178" s="93"/>
      <c r="S178" s="85"/>
      <c r="U178" s="94"/>
      <c r="V178" s="93"/>
      <c r="W178" s="85"/>
      <c r="Y178" s="94"/>
      <c r="Z178" s="93"/>
      <c r="AA178" s="85"/>
      <c r="AC178" s="94"/>
      <c r="AD178" s="93"/>
      <c r="AE178" s="85"/>
    </row>
    <row r="179" spans="1:31" x14ac:dyDescent="0.35">
      <c r="A179" s="87"/>
      <c r="B179" s="87"/>
      <c r="C179" s="87"/>
      <c r="D179" s="87"/>
      <c r="G179" s="85"/>
      <c r="H179" s="87"/>
      <c r="I179" s="94"/>
      <c r="J179" s="93"/>
      <c r="K179" s="85"/>
      <c r="M179" s="94"/>
      <c r="N179" s="93"/>
      <c r="O179" s="85"/>
      <c r="Q179" s="94"/>
      <c r="R179" s="93"/>
      <c r="S179" s="85"/>
      <c r="U179" s="94"/>
      <c r="V179" s="93"/>
      <c r="W179" s="85"/>
      <c r="Y179" s="94"/>
      <c r="Z179" s="93"/>
      <c r="AA179" s="85"/>
      <c r="AC179" s="94"/>
      <c r="AD179" s="93"/>
      <c r="AE179" s="85"/>
    </row>
    <row r="180" spans="1:31" x14ac:dyDescent="0.35">
      <c r="A180" s="87"/>
      <c r="B180" s="87"/>
      <c r="C180" s="87"/>
      <c r="D180" s="87"/>
      <c r="G180" s="85"/>
      <c r="H180" s="87"/>
      <c r="I180" s="94"/>
      <c r="J180" s="93"/>
      <c r="K180" s="85"/>
      <c r="M180" s="94"/>
      <c r="N180" s="93"/>
      <c r="O180" s="85"/>
      <c r="Q180" s="94"/>
      <c r="R180" s="93"/>
      <c r="S180" s="85"/>
      <c r="U180" s="94"/>
      <c r="V180" s="93"/>
      <c r="W180" s="85"/>
      <c r="Y180" s="94"/>
      <c r="Z180" s="93"/>
      <c r="AA180" s="85"/>
      <c r="AC180" s="94"/>
      <c r="AD180" s="93"/>
      <c r="AE180" s="85"/>
    </row>
    <row r="181" spans="1:31" x14ac:dyDescent="0.35">
      <c r="A181" s="87"/>
      <c r="B181" s="87"/>
      <c r="C181" s="87"/>
      <c r="D181" s="87"/>
      <c r="G181" s="85"/>
      <c r="H181" s="87"/>
      <c r="I181" s="94"/>
      <c r="J181" s="93"/>
      <c r="K181" s="85"/>
      <c r="M181" s="94"/>
      <c r="N181" s="93"/>
      <c r="O181" s="85"/>
      <c r="Q181" s="94"/>
      <c r="R181" s="93"/>
      <c r="S181" s="85"/>
      <c r="U181" s="94"/>
      <c r="V181" s="93"/>
      <c r="W181" s="85"/>
      <c r="Y181" s="94"/>
      <c r="Z181" s="93"/>
      <c r="AA181" s="85"/>
      <c r="AC181" s="94"/>
      <c r="AD181" s="93"/>
      <c r="AE181" s="85"/>
    </row>
    <row r="182" spans="1:31" x14ac:dyDescent="0.35">
      <c r="A182" s="87"/>
      <c r="B182" s="87"/>
      <c r="C182" s="87"/>
      <c r="D182" s="87"/>
      <c r="G182" s="85"/>
      <c r="H182" s="87"/>
      <c r="I182" s="94"/>
      <c r="J182" s="93"/>
      <c r="K182" s="85"/>
      <c r="M182" s="94"/>
      <c r="N182" s="93"/>
      <c r="O182" s="85"/>
      <c r="Q182" s="94"/>
      <c r="R182" s="93"/>
      <c r="S182" s="85"/>
      <c r="U182" s="94"/>
      <c r="V182" s="93"/>
      <c r="W182" s="85"/>
      <c r="Y182" s="94"/>
      <c r="Z182" s="93"/>
      <c r="AA182" s="85"/>
      <c r="AC182" s="94"/>
      <c r="AD182" s="93"/>
      <c r="AE182" s="85"/>
    </row>
    <row r="183" spans="1:31" x14ac:dyDescent="0.35">
      <c r="A183" s="87"/>
      <c r="B183" s="87"/>
      <c r="C183" s="87"/>
      <c r="D183" s="87"/>
      <c r="G183" s="85"/>
      <c r="H183" s="87"/>
      <c r="I183" s="94"/>
      <c r="J183" s="93"/>
      <c r="K183" s="85"/>
      <c r="M183" s="94"/>
      <c r="N183" s="93"/>
      <c r="O183" s="85"/>
      <c r="Q183" s="94"/>
      <c r="R183" s="93"/>
      <c r="S183" s="85"/>
      <c r="U183" s="94"/>
      <c r="V183" s="93"/>
      <c r="W183" s="85"/>
      <c r="Y183" s="94"/>
      <c r="Z183" s="93"/>
      <c r="AA183" s="85"/>
      <c r="AC183" s="94"/>
      <c r="AD183" s="93"/>
      <c r="AE183" s="85"/>
    </row>
    <row r="184" spans="1:31" x14ac:dyDescent="0.35">
      <c r="A184" s="87"/>
      <c r="B184" s="87"/>
      <c r="C184" s="87"/>
      <c r="D184" s="87"/>
      <c r="G184" s="85"/>
      <c r="H184" s="87"/>
      <c r="I184" s="94"/>
      <c r="J184" s="93"/>
      <c r="K184" s="85"/>
      <c r="M184" s="94"/>
      <c r="N184" s="93"/>
      <c r="O184" s="85"/>
      <c r="Q184" s="94"/>
      <c r="R184" s="93"/>
      <c r="S184" s="85"/>
      <c r="U184" s="94"/>
      <c r="V184" s="93"/>
      <c r="W184" s="85"/>
      <c r="Y184" s="94"/>
      <c r="Z184" s="93"/>
      <c r="AA184" s="85"/>
      <c r="AC184" s="94"/>
      <c r="AD184" s="93"/>
      <c r="AE184" s="85"/>
    </row>
    <row r="185" spans="1:31" x14ac:dyDescent="0.35">
      <c r="A185" s="87"/>
      <c r="B185" s="87"/>
      <c r="C185" s="87"/>
      <c r="D185" s="87"/>
      <c r="G185" s="85"/>
      <c r="H185" s="87"/>
      <c r="I185" s="94"/>
      <c r="J185" s="93"/>
      <c r="K185" s="85"/>
      <c r="M185" s="94"/>
      <c r="N185" s="93"/>
      <c r="O185" s="85"/>
      <c r="Q185" s="94"/>
      <c r="R185" s="93"/>
      <c r="S185" s="85"/>
      <c r="U185" s="94"/>
      <c r="V185" s="93"/>
      <c r="W185" s="85"/>
      <c r="Y185" s="94"/>
      <c r="Z185" s="93"/>
      <c r="AA185" s="85"/>
      <c r="AC185" s="94"/>
      <c r="AD185" s="93"/>
      <c r="AE185" s="85"/>
    </row>
    <row r="186" spans="1:31" x14ac:dyDescent="0.35">
      <c r="A186" s="87"/>
      <c r="B186" s="87"/>
      <c r="C186" s="87"/>
      <c r="D186" s="87"/>
      <c r="G186" s="85"/>
      <c r="H186" s="87"/>
      <c r="I186" s="94"/>
      <c r="J186" s="93"/>
      <c r="K186" s="85"/>
      <c r="M186" s="94"/>
      <c r="N186" s="93"/>
      <c r="O186" s="85"/>
      <c r="Q186" s="94"/>
      <c r="R186" s="93"/>
      <c r="S186" s="85"/>
      <c r="U186" s="94"/>
      <c r="V186" s="93"/>
      <c r="W186" s="85"/>
      <c r="Y186" s="94"/>
      <c r="Z186" s="93"/>
      <c r="AA186" s="85"/>
      <c r="AC186" s="94"/>
      <c r="AD186" s="93"/>
      <c r="AE186" s="85"/>
    </row>
    <row r="187" spans="1:31" x14ac:dyDescent="0.35">
      <c r="A187" s="87"/>
      <c r="B187" s="87"/>
      <c r="C187" s="87"/>
      <c r="D187" s="87"/>
      <c r="G187" s="85"/>
      <c r="H187" s="87"/>
      <c r="I187" s="94"/>
      <c r="J187" s="93"/>
      <c r="K187" s="85"/>
      <c r="M187" s="94"/>
      <c r="N187" s="93"/>
      <c r="O187" s="85"/>
      <c r="Q187" s="94"/>
      <c r="R187" s="93"/>
      <c r="S187" s="85"/>
      <c r="U187" s="94"/>
      <c r="V187" s="93"/>
      <c r="W187" s="85"/>
      <c r="Y187" s="94"/>
      <c r="Z187" s="93"/>
      <c r="AA187" s="85"/>
      <c r="AC187" s="94"/>
      <c r="AD187" s="93"/>
      <c r="AE187" s="85"/>
    </row>
    <row r="188" spans="1:31" x14ac:dyDescent="0.35">
      <c r="A188" s="87"/>
      <c r="B188" s="87"/>
      <c r="C188" s="87"/>
      <c r="D188" s="87"/>
      <c r="G188" s="85"/>
      <c r="H188" s="87"/>
      <c r="I188" s="94"/>
      <c r="J188" s="93"/>
      <c r="K188" s="85"/>
      <c r="M188" s="94"/>
      <c r="N188" s="93"/>
      <c r="O188" s="85"/>
      <c r="Q188" s="94"/>
      <c r="R188" s="93"/>
      <c r="S188" s="85"/>
      <c r="U188" s="94"/>
      <c r="V188" s="93"/>
      <c r="W188" s="85"/>
      <c r="Y188" s="94"/>
      <c r="Z188" s="93"/>
      <c r="AA188" s="85"/>
      <c r="AC188" s="94"/>
      <c r="AD188" s="93"/>
      <c r="AE188" s="85"/>
    </row>
    <row r="189" spans="1:31" x14ac:dyDescent="0.35">
      <c r="A189" s="87"/>
      <c r="B189" s="87"/>
      <c r="C189" s="87"/>
      <c r="D189" s="87"/>
      <c r="G189" s="85"/>
      <c r="H189" s="87"/>
      <c r="I189" s="94"/>
      <c r="J189" s="93"/>
      <c r="K189" s="85"/>
      <c r="M189" s="94"/>
      <c r="N189" s="93"/>
      <c r="O189" s="85"/>
      <c r="Q189" s="94"/>
      <c r="R189" s="93"/>
      <c r="S189" s="85"/>
      <c r="U189" s="94"/>
      <c r="V189" s="93"/>
      <c r="W189" s="85"/>
      <c r="Y189" s="94"/>
      <c r="Z189" s="93"/>
      <c r="AA189" s="85"/>
      <c r="AC189" s="94"/>
      <c r="AD189" s="93"/>
      <c r="AE189" s="85"/>
    </row>
    <row r="190" spans="1:31" x14ac:dyDescent="0.35">
      <c r="A190" s="87"/>
      <c r="B190" s="87"/>
      <c r="C190" s="87"/>
      <c r="D190" s="87"/>
      <c r="G190" s="85"/>
      <c r="H190" s="87"/>
      <c r="I190" s="94"/>
      <c r="J190" s="93"/>
      <c r="K190" s="85"/>
      <c r="M190" s="94"/>
      <c r="N190" s="93"/>
      <c r="O190" s="85"/>
      <c r="Q190" s="94"/>
      <c r="R190" s="93"/>
      <c r="S190" s="85"/>
      <c r="U190" s="94"/>
      <c r="V190" s="93"/>
      <c r="W190" s="85"/>
      <c r="Y190" s="94"/>
      <c r="Z190" s="93"/>
      <c r="AA190" s="85"/>
      <c r="AC190" s="94"/>
      <c r="AD190" s="93"/>
      <c r="AE190" s="85"/>
    </row>
    <row r="191" spans="1:31" x14ac:dyDescent="0.35">
      <c r="A191" s="87"/>
      <c r="B191" s="87"/>
      <c r="C191" s="87"/>
      <c r="D191" s="87"/>
      <c r="G191" s="85"/>
      <c r="H191" s="87"/>
      <c r="I191" s="94"/>
      <c r="J191" s="93"/>
      <c r="K191" s="85"/>
      <c r="M191" s="94"/>
      <c r="N191" s="93"/>
      <c r="O191" s="85"/>
      <c r="Q191" s="94"/>
      <c r="R191" s="93"/>
      <c r="S191" s="85"/>
      <c r="U191" s="94"/>
      <c r="V191" s="93"/>
      <c r="W191" s="85"/>
      <c r="Y191" s="94"/>
      <c r="Z191" s="93"/>
      <c r="AA191" s="85"/>
      <c r="AC191" s="94"/>
      <c r="AD191" s="93"/>
      <c r="AE191" s="85"/>
    </row>
    <row r="192" spans="1:31" x14ac:dyDescent="0.35">
      <c r="A192" s="87"/>
      <c r="B192" s="87"/>
      <c r="C192" s="87"/>
      <c r="D192" s="87"/>
      <c r="G192" s="85"/>
      <c r="H192" s="87"/>
      <c r="I192" s="94"/>
      <c r="J192" s="93"/>
      <c r="K192" s="85"/>
      <c r="M192" s="94"/>
      <c r="N192" s="93"/>
      <c r="O192" s="85"/>
      <c r="Q192" s="94"/>
      <c r="R192" s="93"/>
      <c r="S192" s="85"/>
      <c r="U192" s="94"/>
      <c r="V192" s="93"/>
      <c r="W192" s="85"/>
      <c r="Y192" s="94"/>
      <c r="Z192" s="93"/>
      <c r="AA192" s="85"/>
      <c r="AC192" s="94"/>
      <c r="AD192" s="93"/>
      <c r="AE192" s="85"/>
    </row>
    <row r="193" spans="1:31" x14ac:dyDescent="0.35">
      <c r="A193" s="87"/>
      <c r="B193" s="87"/>
      <c r="C193" s="87"/>
      <c r="D193" s="87"/>
      <c r="G193" s="85"/>
      <c r="H193" s="87"/>
      <c r="I193" s="94"/>
      <c r="J193" s="93"/>
      <c r="K193" s="85"/>
      <c r="M193" s="94"/>
      <c r="N193" s="93"/>
      <c r="O193" s="85"/>
      <c r="Q193" s="94"/>
      <c r="R193" s="93"/>
      <c r="S193" s="85"/>
      <c r="U193" s="94"/>
      <c r="V193" s="93"/>
      <c r="W193" s="85"/>
      <c r="Y193" s="94"/>
      <c r="Z193" s="93"/>
      <c r="AA193" s="85"/>
      <c r="AC193" s="94"/>
      <c r="AD193" s="93"/>
      <c r="AE193" s="85"/>
    </row>
    <row r="194" spans="1:31" x14ac:dyDescent="0.35">
      <c r="A194" s="87"/>
      <c r="B194" s="87"/>
      <c r="C194" s="87"/>
      <c r="D194" s="87"/>
      <c r="G194" s="85"/>
      <c r="H194" s="87"/>
      <c r="I194" s="94"/>
      <c r="J194" s="93"/>
      <c r="K194" s="85"/>
      <c r="M194" s="94"/>
      <c r="N194" s="93"/>
      <c r="O194" s="85"/>
      <c r="Q194" s="94"/>
      <c r="R194" s="93"/>
      <c r="S194" s="85"/>
      <c r="U194" s="94"/>
      <c r="V194" s="93"/>
      <c r="W194" s="85"/>
      <c r="Y194" s="94"/>
      <c r="Z194" s="93"/>
      <c r="AA194" s="85"/>
      <c r="AC194" s="94"/>
      <c r="AD194" s="93"/>
      <c r="AE194" s="85"/>
    </row>
    <row r="195" spans="1:31" x14ac:dyDescent="0.35">
      <c r="A195" s="87"/>
      <c r="B195" s="87"/>
      <c r="C195" s="87"/>
      <c r="D195" s="87"/>
      <c r="G195" s="85"/>
      <c r="H195" s="87"/>
      <c r="I195" s="94"/>
      <c r="J195" s="93"/>
      <c r="K195" s="85"/>
      <c r="M195" s="94"/>
      <c r="N195" s="93"/>
      <c r="O195" s="85"/>
      <c r="Q195" s="94"/>
      <c r="R195" s="93"/>
      <c r="S195" s="85"/>
      <c r="U195" s="94"/>
      <c r="V195" s="93"/>
      <c r="W195" s="85"/>
      <c r="Y195" s="94"/>
      <c r="Z195" s="93"/>
      <c r="AA195" s="85"/>
      <c r="AC195" s="94"/>
      <c r="AD195" s="93"/>
      <c r="AE195" s="85"/>
    </row>
    <row r="196" spans="1:31" x14ac:dyDescent="0.35">
      <c r="A196" s="87"/>
      <c r="B196" s="87"/>
      <c r="C196" s="87"/>
      <c r="D196" s="87"/>
      <c r="G196" s="85"/>
      <c r="H196" s="87"/>
      <c r="I196" s="94"/>
      <c r="J196" s="93"/>
      <c r="K196" s="85"/>
      <c r="M196" s="94"/>
      <c r="N196" s="93"/>
      <c r="O196" s="85"/>
      <c r="Q196" s="94"/>
      <c r="R196" s="93"/>
      <c r="S196" s="85"/>
      <c r="U196" s="94"/>
      <c r="V196" s="93"/>
      <c r="W196" s="85"/>
      <c r="Y196" s="94"/>
      <c r="Z196" s="93"/>
      <c r="AA196" s="85"/>
      <c r="AC196" s="94"/>
      <c r="AD196" s="93"/>
      <c r="AE196" s="85"/>
    </row>
    <row r="197" spans="1:31" x14ac:dyDescent="0.35">
      <c r="A197" s="87"/>
      <c r="B197" s="87"/>
      <c r="C197" s="87"/>
      <c r="D197" s="87"/>
      <c r="G197" s="85"/>
      <c r="H197" s="87"/>
      <c r="I197" s="94"/>
      <c r="J197" s="93"/>
      <c r="K197" s="85"/>
      <c r="M197" s="94"/>
      <c r="N197" s="93"/>
      <c r="O197" s="85"/>
      <c r="Q197" s="94"/>
      <c r="R197" s="93"/>
      <c r="S197" s="85"/>
      <c r="U197" s="94"/>
      <c r="V197" s="93"/>
      <c r="W197" s="85"/>
      <c r="Y197" s="94"/>
      <c r="Z197" s="93"/>
      <c r="AA197" s="85"/>
      <c r="AC197" s="94"/>
      <c r="AD197" s="93"/>
      <c r="AE197" s="85"/>
    </row>
    <row r="198" spans="1:31" x14ac:dyDescent="0.35">
      <c r="A198" s="87"/>
      <c r="B198" s="87"/>
      <c r="C198" s="87"/>
      <c r="D198" s="87"/>
      <c r="G198" s="85"/>
      <c r="H198" s="87"/>
      <c r="I198" s="94"/>
      <c r="J198" s="93"/>
      <c r="K198" s="85"/>
      <c r="M198" s="94"/>
      <c r="N198" s="93"/>
      <c r="O198" s="85"/>
      <c r="Q198" s="94"/>
      <c r="R198" s="93"/>
      <c r="S198" s="85"/>
      <c r="U198" s="94"/>
      <c r="V198" s="93"/>
      <c r="W198" s="85"/>
      <c r="Y198" s="94"/>
      <c r="Z198" s="93"/>
      <c r="AA198" s="85"/>
      <c r="AC198" s="94"/>
      <c r="AD198" s="93"/>
      <c r="AE198" s="85"/>
    </row>
    <row r="199" spans="1:31" x14ac:dyDescent="0.35">
      <c r="A199" s="87"/>
      <c r="B199" s="87"/>
      <c r="C199" s="87"/>
      <c r="D199" s="87"/>
      <c r="G199" s="85"/>
      <c r="H199" s="87"/>
      <c r="I199" s="94"/>
      <c r="J199" s="93"/>
      <c r="K199" s="85"/>
      <c r="M199" s="94"/>
      <c r="N199" s="93"/>
      <c r="O199" s="85"/>
      <c r="Q199" s="94"/>
      <c r="R199" s="93"/>
      <c r="S199" s="85"/>
      <c r="U199" s="94"/>
      <c r="V199" s="93"/>
      <c r="W199" s="85"/>
      <c r="Y199" s="94"/>
      <c r="Z199" s="93"/>
      <c r="AA199" s="85"/>
      <c r="AC199" s="94"/>
      <c r="AD199" s="93"/>
      <c r="AE199" s="85"/>
    </row>
    <row r="200" spans="1:31" x14ac:dyDescent="0.35">
      <c r="A200" s="87"/>
      <c r="B200" s="87"/>
      <c r="C200" s="87"/>
      <c r="D200" s="87"/>
      <c r="G200" s="85"/>
      <c r="H200" s="87"/>
      <c r="I200" s="94"/>
      <c r="J200" s="93"/>
      <c r="K200" s="85"/>
      <c r="M200" s="94"/>
      <c r="N200" s="93"/>
      <c r="O200" s="85"/>
      <c r="Q200" s="94"/>
      <c r="R200" s="93"/>
      <c r="S200" s="85"/>
      <c r="U200" s="94"/>
      <c r="V200" s="93"/>
      <c r="W200" s="85"/>
      <c r="Y200" s="94"/>
      <c r="Z200" s="93"/>
      <c r="AA200" s="85"/>
      <c r="AC200" s="94"/>
      <c r="AD200" s="93"/>
      <c r="AE200" s="85"/>
    </row>
    <row r="201" spans="1: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1: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1: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1: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1: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1: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1: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1: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4" priority="1">
      <formula>$A4="Spend to Date"</formula>
    </cfRule>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F8C9-C7F2-461D-90F3-6052461A1A8B}">
  <sheetPr codeName="Sheet39"/>
  <dimension ref="A1:AG1000"/>
  <sheetViews>
    <sheetView workbookViewId="0">
      <pane xSplit="2" ySplit="1" topLeftCell="I7" activePane="bottomRight" state="frozen"/>
      <selection pane="topRight" activeCell="C1" sqref="C1"/>
      <selection pane="bottomLeft" activeCell="A2" sqref="A2"/>
      <selection pane="bottomRight" activeCell="P15" sqref="P15"/>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11.7265625" style="87" bestFit="1" customWidth="1"/>
    <col min="8" max="8" width="12.7265625" style="88"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17.72656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285</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2078.54</v>
      </c>
      <c r="F2" s="87">
        <f>SUM(F3:F3)</f>
        <v>0</v>
      </c>
      <c r="I2" s="89">
        <f>SUM(I3:I3)</f>
        <v>-6745</v>
      </c>
      <c r="J2" s="87">
        <f>SUM(J3:J3)</f>
        <v>0</v>
      </c>
      <c r="M2" s="89">
        <f>SUM(M3:M3)</f>
        <v>-6745</v>
      </c>
      <c r="N2" s="87">
        <f>SUM(N3:N3)</f>
        <v>0</v>
      </c>
      <c r="Q2" s="89">
        <f>SUM(Q3:Q3)</f>
        <v>0</v>
      </c>
      <c r="R2" s="87">
        <f>SUM(R3:R3)</f>
        <v>0</v>
      </c>
      <c r="U2" s="89">
        <f>SUM(U3:U3)</f>
        <v>0</v>
      </c>
      <c r="V2" s="87">
        <f>SUM(V3:V3)</f>
        <v>0</v>
      </c>
      <c r="Y2" s="89">
        <f>SUM(Y3:Y3)</f>
        <v>0</v>
      </c>
      <c r="Z2" s="87">
        <f>SUM(Z3:Z3)</f>
        <v>0</v>
      </c>
      <c r="AC2" s="89">
        <f>SUM(AC3:AC3)</f>
        <v>0</v>
      </c>
      <c r="AD2" s="87">
        <f>SUM(AD3:AD3)</f>
        <v>0</v>
      </c>
    </row>
    <row r="3" spans="1:33" x14ac:dyDescent="0.35">
      <c r="A3" s="87" t="s">
        <v>285</v>
      </c>
      <c r="B3" s="85">
        <v>1</v>
      </c>
      <c r="D3" s="86">
        <v>19023</v>
      </c>
      <c r="E3" s="87">
        <f>8373.34-6294.8</f>
        <v>2078.54</v>
      </c>
      <c r="F3" s="87">
        <f>SUMIFS(H$15:H$1001,E$15:E$1001,$B3)</f>
        <v>0</v>
      </c>
      <c r="G3" s="87">
        <f>D3+E3-F3+SUMIFS(E$6:E$9,$C$6:$C$9,$A3)-SUMIFS(F$6:F$9,$C$6:$C$9,$A3)</f>
        <v>21101.54</v>
      </c>
      <c r="I3" s="91">
        <v>-6745</v>
      </c>
      <c r="J3" s="87">
        <f>SUMIFS(L$15:L$1001,I$15:I$1001,$B3)</f>
        <v>0</v>
      </c>
      <c r="K3" s="87">
        <f>G3+I3-J3+SUMIFS(I$6:I$9,$C$6:$C$9,$A3)-SUMIFS(J$6:J$9,$C$6:$C$9,$A3)</f>
        <v>14828.04</v>
      </c>
      <c r="L3" s="86"/>
      <c r="M3" s="89">
        <v>-6745</v>
      </c>
      <c r="N3" s="87">
        <f>SUMIFS(P$15:P$1001,M$15:M$1001,$B3)</f>
        <v>0</v>
      </c>
      <c r="O3" s="87">
        <f>K3+M3-N3+SUMIFS(M$6:M$9,$C$6:$C$9,$A3)-SUMIFS(N$6:N$9,$C$6:$C$9,$A3)</f>
        <v>15292.04</v>
      </c>
      <c r="R3" s="87">
        <f>SUMIFS(T$15:T$1001,Q$15:Q$1001,$B3)</f>
        <v>0</v>
      </c>
      <c r="S3" s="87">
        <f>O3+Q3-R3+SUMIFS(Q$6:Q$9,$C$6:$C$9,$A3)-SUMIFS(R$6:R$9,$C$6:$C$9,$A3)</f>
        <v>15292.04</v>
      </c>
      <c r="V3" s="87">
        <f>SUMIFS(X$15:X$1001,U$15:U$1001,$B3)</f>
        <v>0</v>
      </c>
      <c r="W3" s="87">
        <f>S3+U3-V3+SUMIFS(U$6:U$9,$C$6:$C$9,$A3)-SUMIFS(V$6:V$9,$C$6:$C$9,$A3)</f>
        <v>15292.04</v>
      </c>
      <c r="Z3" s="87">
        <f>SUMIFS(AB$15:AB$1001,Y$15:Y$1001,$B3)</f>
        <v>0</v>
      </c>
      <c r="AA3" s="87">
        <f>W3+Y3-Z3+SUMIFS(Y$6:Y$9,$C$6:$C$9,$A3)-SUMIFS(Z$6:Z$9,$C$6:$C$9,$A3)</f>
        <v>15292.04</v>
      </c>
      <c r="AD3" s="87">
        <f>SUMIFS(AF$15:AF$1001,AC$15:AC$1001,$B3)</f>
        <v>0</v>
      </c>
      <c r="AE3" s="87">
        <f>AA3+AC3-AD3+SUMIFS(AC$6:AC$9,$C$6:$C$9,$A3)-SUMIFS(AD$6:AD$9,$C$6:$C$9,$A3)</f>
        <v>15292.04</v>
      </c>
      <c r="AG3" s="87">
        <v>45000</v>
      </c>
    </row>
    <row r="4" spans="1:33" x14ac:dyDescent="0.35">
      <c r="E4" s="87"/>
    </row>
    <row r="5" spans="1:33" x14ac:dyDescent="0.35">
      <c r="A5" s="84" t="s">
        <v>286</v>
      </c>
      <c r="D5" s="84"/>
      <c r="E5" s="87">
        <f>SUM(E6:E9)</f>
        <v>6294.8</v>
      </c>
      <c r="F5" s="87">
        <f>SUM(F6:F9)</f>
        <v>6294.8</v>
      </c>
      <c r="I5" s="89">
        <f>SUM(I6:I9)</f>
        <v>6745</v>
      </c>
      <c r="J5" s="87">
        <f>SUM(J6:J9)</f>
        <v>6273.5</v>
      </c>
      <c r="M5" s="89">
        <f>SUM(M6:M9)</f>
        <v>7689</v>
      </c>
      <c r="N5" s="89">
        <f>SUM(N6:N9)</f>
        <v>480</v>
      </c>
      <c r="Q5" s="89">
        <f>SUM(Q6:Q9)</f>
        <v>7921</v>
      </c>
      <c r="R5" s="87">
        <f>$Q$5</f>
        <v>7921</v>
      </c>
      <c r="U5" s="89">
        <f>SUM(U6:U9)</f>
        <v>8159</v>
      </c>
      <c r="V5" s="87">
        <f>$U$5</f>
        <v>8159</v>
      </c>
      <c r="Y5" s="89">
        <f>SUM(Y6:Y9)</f>
        <v>8405</v>
      </c>
      <c r="Z5" s="87">
        <f>$Y$5</f>
        <v>8405</v>
      </c>
      <c r="AC5" s="89">
        <f>SUM(AC6:AC9)</f>
        <v>8658</v>
      </c>
      <c r="AD5" s="87">
        <f>$AC$5</f>
        <v>8658</v>
      </c>
    </row>
    <row r="6" spans="1:33" x14ac:dyDescent="0.35">
      <c r="A6" s="86" t="s">
        <v>286</v>
      </c>
      <c r="B6" s="85">
        <v>2</v>
      </c>
      <c r="C6" s="87" t="s">
        <v>285</v>
      </c>
      <c r="D6" s="84"/>
      <c r="E6" s="87">
        <v>0</v>
      </c>
      <c r="F6" s="87">
        <f>SUMIFS(H$15:H$1001,E$15:E$1001,$B6)</f>
        <v>0</v>
      </c>
      <c r="I6" s="89">
        <f>ROUNDUP((E6)*RPICurrent,0)</f>
        <v>0</v>
      </c>
      <c r="J6" s="87">
        <f>SUMIFS(L$15:L$1001,I$15:I$1001,$B6)</f>
        <v>0</v>
      </c>
      <c r="M6" s="89">
        <f>ROUNDUP((I6)*RPI,0)</f>
        <v>0</v>
      </c>
      <c r="N6" s="87">
        <f>SUMIFS(P$15:P$1001,M$15:M$1001,$B6)</f>
        <v>0</v>
      </c>
      <c r="Q6" s="89">
        <f>ROUNDUP((M6)*RPI,0)</f>
        <v>0</v>
      </c>
      <c r="R6" s="87">
        <f>$Q$6</f>
        <v>0</v>
      </c>
      <c r="U6" s="89">
        <f>ROUNDUP((Q6)*RPI,0)</f>
        <v>0</v>
      </c>
      <c r="V6" s="87">
        <f>$U$6</f>
        <v>0</v>
      </c>
      <c r="Y6" s="89">
        <f>ROUNDUP((U6)*RPI,0)</f>
        <v>0</v>
      </c>
      <c r="Z6" s="87">
        <f>$Y$6</f>
        <v>0</v>
      </c>
      <c r="AC6" s="89">
        <f>ROUNDUP((Y6)*RPI,0)</f>
        <v>0</v>
      </c>
      <c r="AD6" s="87">
        <f>$AC$6</f>
        <v>0</v>
      </c>
    </row>
    <row r="7" spans="1:33" x14ac:dyDescent="0.35">
      <c r="A7" s="86" t="s">
        <v>287</v>
      </c>
      <c r="B7" s="85">
        <v>3</v>
      </c>
      <c r="C7" s="87" t="s">
        <v>285</v>
      </c>
      <c r="D7" s="84"/>
      <c r="E7" s="87">
        <v>0</v>
      </c>
      <c r="F7" s="87">
        <f>SUMIFS(H$15:H$1001,E$15:E$1001,$B7)</f>
        <v>0</v>
      </c>
      <c r="I7" s="89">
        <f>ROUNDUP((E7)*RPICurrent,0)</f>
        <v>0</v>
      </c>
      <c r="J7" s="87">
        <f>SUMIFS(L$15:L$1001,I$15:I$1001,$B7)</f>
        <v>0</v>
      </c>
      <c r="M7" s="89">
        <f>ROUNDUP((I7)*RPI,0)</f>
        <v>0</v>
      </c>
      <c r="N7" s="87">
        <f t="shared" ref="N7:N9" si="0">SUMIFS(P$15:P$1001,M$15:M$1001,$B7)</f>
        <v>0</v>
      </c>
      <c r="Q7" s="89">
        <f>ROUNDUP((M7)*RPI,0)</f>
        <v>0</v>
      </c>
      <c r="R7" s="87">
        <f>$Q$7</f>
        <v>0</v>
      </c>
      <c r="U7" s="89">
        <f>ROUNDUP((Q7)*RPI,0)</f>
        <v>0</v>
      </c>
      <c r="V7" s="87">
        <f>$U$7</f>
        <v>0</v>
      </c>
      <c r="Y7" s="89">
        <f>ROUNDUP((U7)*RPI,0)</f>
        <v>0</v>
      </c>
      <c r="Z7" s="87">
        <f>$Y$7</f>
        <v>0</v>
      </c>
      <c r="AC7" s="89">
        <f>ROUNDUP((Y7)*RPI,0)</f>
        <v>0</v>
      </c>
      <c r="AD7" s="87">
        <f>$AC$7</f>
        <v>0</v>
      </c>
    </row>
    <row r="8" spans="1:33" s="126" customFormat="1" x14ac:dyDescent="0.35">
      <c r="A8" s="127" t="s">
        <v>288</v>
      </c>
      <c r="B8" s="128">
        <v>4</v>
      </c>
      <c r="C8" s="126" t="s">
        <v>285</v>
      </c>
      <c r="D8" s="129"/>
      <c r="E8" s="126">
        <v>6294.8</v>
      </c>
      <c r="F8" s="126">
        <f>SUMIFS(H$15:H$1001,E$15:E$1001,$B8)</f>
        <v>6294.8</v>
      </c>
      <c r="H8" s="130"/>
      <c r="I8" s="131">
        <v>6295</v>
      </c>
      <c r="J8" s="126">
        <f>SUMIFS(L$15:L$1001,I$15:I$1001,$B8)</f>
        <v>5823.5</v>
      </c>
      <c r="M8" s="131">
        <v>7239</v>
      </c>
      <c r="N8" s="87">
        <f t="shared" si="0"/>
        <v>0</v>
      </c>
      <c r="P8" s="139"/>
      <c r="Q8" s="131">
        <f>ROUNDUP((M8)*RPI,0)</f>
        <v>7457</v>
      </c>
      <c r="R8" s="126">
        <f>$Q$8</f>
        <v>7457</v>
      </c>
      <c r="U8" s="131">
        <f>ROUNDUP((Q8)*RPI,0)</f>
        <v>7681</v>
      </c>
      <c r="V8" s="126">
        <f>$U$8</f>
        <v>7681</v>
      </c>
      <c r="Y8" s="131">
        <f>ROUNDUP((U8)*RPI,0)</f>
        <v>7912</v>
      </c>
      <c r="Z8" s="126">
        <f>$Y$8</f>
        <v>7912</v>
      </c>
      <c r="AC8" s="131">
        <f>ROUNDUP((Y8)*RPI,0)</f>
        <v>8150</v>
      </c>
      <c r="AD8" s="126">
        <f>$AC$8</f>
        <v>8150</v>
      </c>
    </row>
    <row r="9" spans="1:33" x14ac:dyDescent="0.35">
      <c r="A9" s="86" t="s">
        <v>289</v>
      </c>
      <c r="B9" s="85">
        <v>5</v>
      </c>
      <c r="C9" s="87" t="s">
        <v>285</v>
      </c>
      <c r="D9" s="84"/>
      <c r="E9" s="87">
        <v>0</v>
      </c>
      <c r="F9" s="87">
        <f>SUMIFS(H$15:H$1001,E$15:E$1001,$B9)</f>
        <v>0</v>
      </c>
      <c r="I9" s="89">
        <v>450</v>
      </c>
      <c r="J9" s="87">
        <f>SUMIFS(L$15:L$1001,I$15:I$1001,$B9)</f>
        <v>450</v>
      </c>
      <c r="M9" s="89">
        <v>450</v>
      </c>
      <c r="N9" s="87">
        <f t="shared" si="0"/>
        <v>480</v>
      </c>
      <c r="Q9" s="89">
        <f>ROUNDUP((M9)*RPI,0)</f>
        <v>464</v>
      </c>
      <c r="R9" s="87">
        <f>$Q$9</f>
        <v>464</v>
      </c>
      <c r="U9" s="89">
        <f>ROUNDUP((Q9)*RPI,0)</f>
        <v>478</v>
      </c>
      <c r="V9" s="87">
        <f>$U$9</f>
        <v>478</v>
      </c>
      <c r="Y9" s="89">
        <f>ROUNDUP((U9)*RPI,0)</f>
        <v>493</v>
      </c>
      <c r="Z9" s="87">
        <f>$Y$9</f>
        <v>493</v>
      </c>
      <c r="AC9" s="89">
        <f>ROUNDUP((Y9)*RPI,0)</f>
        <v>508</v>
      </c>
      <c r="AD9" s="87">
        <f>$AC$9</f>
        <v>508</v>
      </c>
    </row>
    <row r="10" spans="1:33" x14ac:dyDescent="0.35">
      <c r="E10" s="87"/>
    </row>
    <row r="11" spans="1:33" x14ac:dyDescent="0.35">
      <c r="E11" s="87"/>
    </row>
    <row r="12" spans="1:33" x14ac:dyDescent="0.35">
      <c r="E12" s="87"/>
    </row>
    <row r="13" spans="1:33" x14ac:dyDescent="0.35">
      <c r="A13" s="84" t="s">
        <v>487</v>
      </c>
      <c r="F13" s="93"/>
      <c r="G13" s="85"/>
      <c r="H13" s="87"/>
      <c r="I13" s="94"/>
      <c r="J13" s="93"/>
      <c r="K13" s="85"/>
      <c r="M13" s="94"/>
      <c r="N13" s="93"/>
      <c r="O13" s="85"/>
      <c r="Q13" s="94"/>
      <c r="R13" s="93"/>
      <c r="S13" s="85"/>
      <c r="U13" s="94"/>
      <c r="V13" s="93"/>
      <c r="W13" s="85"/>
      <c r="Y13" s="94"/>
      <c r="Z13" s="93"/>
      <c r="AA13" s="85"/>
      <c r="AC13" s="94"/>
      <c r="AD13" s="93"/>
      <c r="AE13" s="85"/>
    </row>
    <row r="14" spans="1:33" x14ac:dyDescent="0.35">
      <c r="E14" s="85" t="s">
        <v>484</v>
      </c>
      <c r="F14" s="93" t="s">
        <v>488</v>
      </c>
      <c r="G14" s="85" t="s">
        <v>489</v>
      </c>
      <c r="H14" s="87" t="s">
        <v>475</v>
      </c>
      <c r="I14" s="85" t="s">
        <v>484</v>
      </c>
      <c r="J14" s="93" t="s">
        <v>488</v>
      </c>
      <c r="K14" s="85" t="s">
        <v>489</v>
      </c>
      <c r="L14" s="87" t="s">
        <v>475</v>
      </c>
      <c r="M14" s="85" t="s">
        <v>484</v>
      </c>
      <c r="N14" s="93" t="s">
        <v>488</v>
      </c>
      <c r="O14" s="85" t="s">
        <v>489</v>
      </c>
      <c r="P14" s="87" t="s">
        <v>475</v>
      </c>
      <c r="Q14" s="94"/>
      <c r="R14" s="93"/>
      <c r="S14" s="85"/>
      <c r="U14" s="94"/>
      <c r="V14" s="93"/>
      <c r="W14" s="85"/>
      <c r="Y14" s="94"/>
      <c r="Z14" s="93"/>
      <c r="AA14" s="85"/>
      <c r="AC14" s="94"/>
      <c r="AD14" s="93"/>
      <c r="AE14" s="85"/>
    </row>
    <row r="15" spans="1:33" x14ac:dyDescent="0.35">
      <c r="A15" s="85"/>
      <c r="D15" s="85"/>
      <c r="E15" s="85">
        <v>4</v>
      </c>
      <c r="F15" s="93" t="s">
        <v>790</v>
      </c>
      <c r="G15" s="85" t="s">
        <v>1888</v>
      </c>
      <c r="H15" s="87">
        <v>6294.8</v>
      </c>
      <c r="I15" s="94">
        <v>5</v>
      </c>
      <c r="J15" s="93">
        <v>45049</v>
      </c>
      <c r="K15" s="85" t="s">
        <v>1889</v>
      </c>
      <c r="L15" s="87">
        <f>3*150</f>
        <v>450</v>
      </c>
      <c r="M15" s="94">
        <v>5</v>
      </c>
      <c r="N15" s="93">
        <v>45433</v>
      </c>
      <c r="O15" s="85" t="s">
        <v>2993</v>
      </c>
      <c r="P15" s="148">
        <v>480</v>
      </c>
      <c r="Q15" s="94"/>
      <c r="R15" s="93"/>
      <c r="S15" s="85"/>
      <c r="U15" s="94"/>
      <c r="V15" s="93"/>
      <c r="W15" s="85"/>
      <c r="Y15" s="94"/>
      <c r="Z15" s="93"/>
      <c r="AA15" s="85"/>
      <c r="AC15" s="94"/>
      <c r="AD15" s="93"/>
      <c r="AE15" s="85"/>
    </row>
    <row r="16" spans="1:33" x14ac:dyDescent="0.35">
      <c r="F16" s="93"/>
      <c r="G16" s="85"/>
      <c r="H16" s="87"/>
      <c r="I16" s="94">
        <v>4</v>
      </c>
      <c r="J16" s="93">
        <v>45203</v>
      </c>
      <c r="K16" s="85" t="s">
        <v>1890</v>
      </c>
      <c r="L16" s="87">
        <v>3879</v>
      </c>
      <c r="M16" s="94"/>
      <c r="N16" s="93"/>
      <c r="O16" s="85"/>
      <c r="Q16" s="94"/>
      <c r="R16" s="93"/>
      <c r="S16" s="85"/>
      <c r="U16" s="94"/>
      <c r="V16" s="93"/>
      <c r="W16" s="85"/>
      <c r="Y16" s="94"/>
      <c r="Z16" s="93"/>
      <c r="AA16" s="85"/>
      <c r="AC16" s="94"/>
      <c r="AD16" s="93"/>
      <c r="AE16" s="85"/>
    </row>
    <row r="17" spans="6:31" x14ac:dyDescent="0.35">
      <c r="F17" s="93"/>
      <c r="G17" s="85"/>
      <c r="H17" s="87"/>
      <c r="I17" s="94">
        <v>4</v>
      </c>
      <c r="J17" s="93">
        <v>45264</v>
      </c>
      <c r="K17" s="93" t="s">
        <v>2703</v>
      </c>
      <c r="L17" s="87">
        <f>I8-L16</f>
        <v>2416</v>
      </c>
      <c r="M17" s="94"/>
      <c r="N17" s="93"/>
      <c r="O17" s="85"/>
      <c r="Q17" s="94"/>
      <c r="R17" s="93"/>
      <c r="S17" s="85"/>
      <c r="U17" s="94"/>
      <c r="V17" s="93"/>
      <c r="W17" s="85"/>
      <c r="Y17" s="94"/>
      <c r="Z17" s="93"/>
      <c r="AA17" s="85"/>
      <c r="AC17" s="94"/>
      <c r="AD17" s="93"/>
      <c r="AE17" s="85"/>
    </row>
    <row r="18" spans="6:31" x14ac:dyDescent="0.35">
      <c r="F18" s="93"/>
      <c r="G18" s="85"/>
      <c r="H18" s="87"/>
      <c r="I18" s="94">
        <v>4</v>
      </c>
      <c r="J18" s="93">
        <v>45313</v>
      </c>
      <c r="K18" s="85" t="s">
        <v>2704</v>
      </c>
      <c r="L18" s="87">
        <v>-471.5</v>
      </c>
      <c r="M18" s="94"/>
      <c r="N18" s="93"/>
      <c r="O18" s="85"/>
      <c r="Q18" s="94"/>
      <c r="R18" s="93"/>
      <c r="S18" s="85"/>
      <c r="U18" s="94"/>
      <c r="V18" s="93"/>
      <c r="W18" s="85"/>
      <c r="Y18" s="94"/>
      <c r="Z18" s="93"/>
      <c r="AA18" s="85"/>
      <c r="AC18" s="94"/>
      <c r="AD18" s="93"/>
      <c r="AE18" s="85"/>
    </row>
    <row r="19" spans="6:31" x14ac:dyDescent="0.35">
      <c r="F19" s="93"/>
      <c r="G19" s="85"/>
      <c r="H19" s="87"/>
      <c r="I19" s="94"/>
      <c r="J19" s="93"/>
      <c r="K19" s="85"/>
      <c r="M19" s="94"/>
      <c r="N19" s="93"/>
      <c r="O19" s="85"/>
      <c r="Q19" s="94"/>
      <c r="R19" s="93"/>
      <c r="S19" s="85"/>
      <c r="U19" s="94"/>
      <c r="V19" s="93"/>
      <c r="W19" s="85"/>
      <c r="Y19" s="94"/>
      <c r="Z19" s="93"/>
      <c r="AA19" s="85"/>
      <c r="AC19" s="94"/>
      <c r="AD19" s="93"/>
      <c r="AE19" s="85"/>
    </row>
    <row r="20" spans="6:31" x14ac:dyDescent="0.35">
      <c r="F20" s="93"/>
      <c r="G20" s="85"/>
      <c r="H20" s="87"/>
      <c r="I20" s="94"/>
      <c r="J20" s="93"/>
      <c r="K20" s="85"/>
      <c r="M20" s="94"/>
      <c r="N20" s="93"/>
      <c r="O20" s="85"/>
      <c r="Q20" s="94"/>
      <c r="R20" s="93"/>
      <c r="S20" s="85"/>
      <c r="U20" s="94"/>
      <c r="V20" s="93"/>
      <c r="W20" s="85"/>
      <c r="Y20" s="94"/>
      <c r="Z20" s="93"/>
      <c r="AA20" s="85"/>
      <c r="AC20" s="94"/>
      <c r="AD20" s="93"/>
      <c r="AE20" s="85"/>
    </row>
    <row r="21" spans="6:31" x14ac:dyDescent="0.35">
      <c r="F21" s="93"/>
      <c r="G21" s="85"/>
      <c r="H21" s="87"/>
      <c r="I21" s="94"/>
      <c r="J21" s="93"/>
      <c r="K21" s="85"/>
      <c r="M21" s="94"/>
      <c r="N21" s="93"/>
      <c r="O21" s="85"/>
      <c r="Q21" s="94"/>
      <c r="R21" s="93"/>
      <c r="S21" s="85"/>
      <c r="U21" s="94"/>
      <c r="V21" s="93"/>
      <c r="W21" s="85"/>
      <c r="Y21" s="94"/>
      <c r="Z21" s="93"/>
      <c r="AA21" s="85"/>
      <c r="AC21" s="94"/>
      <c r="AD21" s="93"/>
      <c r="AE21" s="85"/>
    </row>
    <row r="22" spans="6:31" x14ac:dyDescent="0.35">
      <c r="F22" s="93"/>
      <c r="G22" s="85"/>
      <c r="H22" s="87"/>
      <c r="I22" s="94"/>
      <c r="J22" s="93"/>
      <c r="K22" s="85"/>
      <c r="M22" s="94"/>
      <c r="N22" s="93"/>
      <c r="O22" s="85"/>
      <c r="Q22" s="94"/>
      <c r="R22" s="93"/>
      <c r="S22" s="85"/>
      <c r="U22" s="94"/>
      <c r="V22" s="93"/>
      <c r="W22" s="85"/>
      <c r="Y22" s="94"/>
      <c r="Z22" s="93"/>
      <c r="AA22" s="85"/>
      <c r="AC22" s="94"/>
      <c r="AD22" s="93"/>
      <c r="AE22" s="85"/>
    </row>
    <row r="23" spans="6:31" x14ac:dyDescent="0.35">
      <c r="F23" s="93"/>
      <c r="G23" s="85"/>
      <c r="H23" s="87"/>
      <c r="I23" s="94"/>
      <c r="J23" s="93"/>
      <c r="K23" s="85"/>
      <c r="M23" s="94"/>
      <c r="N23" s="93"/>
      <c r="O23" s="85"/>
      <c r="Q23" s="94"/>
      <c r="R23" s="93"/>
      <c r="S23" s="85"/>
      <c r="U23" s="94"/>
      <c r="V23" s="93"/>
      <c r="W23" s="85"/>
      <c r="Y23" s="94"/>
      <c r="Z23" s="93"/>
      <c r="AA23" s="85"/>
      <c r="AC23" s="94"/>
      <c r="AD23" s="93"/>
      <c r="AE23" s="85"/>
    </row>
    <row r="24" spans="6:31" x14ac:dyDescent="0.35">
      <c r="F24" s="93"/>
      <c r="G24" s="85"/>
      <c r="H24" s="87"/>
      <c r="I24" s="94"/>
      <c r="J24" s="93"/>
      <c r="K24" s="85"/>
      <c r="M24" s="94"/>
      <c r="N24" s="93"/>
      <c r="O24" s="85"/>
      <c r="Q24" s="94"/>
      <c r="R24" s="93"/>
      <c r="S24" s="85"/>
      <c r="U24" s="94"/>
      <c r="V24" s="93"/>
      <c r="W24" s="85"/>
      <c r="Y24" s="94"/>
      <c r="Z24" s="93"/>
      <c r="AA24" s="85"/>
      <c r="AC24" s="94"/>
      <c r="AD24" s="93"/>
      <c r="AE24" s="85"/>
    </row>
    <row r="25" spans="6:31" x14ac:dyDescent="0.35">
      <c r="F25" s="93"/>
      <c r="G25" s="85"/>
      <c r="H25" s="87"/>
      <c r="I25" s="94"/>
      <c r="J25" s="93"/>
      <c r="K25" s="85"/>
      <c r="M25" s="94"/>
      <c r="N25" s="93"/>
      <c r="O25" s="85"/>
      <c r="Q25" s="94"/>
      <c r="R25" s="93"/>
      <c r="S25" s="85"/>
      <c r="U25" s="94"/>
      <c r="V25" s="93"/>
      <c r="W25" s="85"/>
      <c r="Y25" s="94"/>
      <c r="Z25" s="93"/>
      <c r="AA25" s="85"/>
      <c r="AC25" s="94"/>
      <c r="AD25" s="93"/>
      <c r="AE25" s="85"/>
    </row>
    <row r="26" spans="6:31" x14ac:dyDescent="0.35">
      <c r="F26" s="93"/>
      <c r="G26" s="85"/>
      <c r="H26" s="87"/>
      <c r="I26" s="94"/>
      <c r="J26" s="93"/>
      <c r="K26" s="85"/>
      <c r="M26" s="94"/>
      <c r="N26" s="93"/>
      <c r="O26" s="85"/>
      <c r="Q26" s="94"/>
      <c r="R26" s="93"/>
      <c r="S26" s="85"/>
      <c r="U26" s="94"/>
      <c r="V26" s="93"/>
      <c r="W26" s="85"/>
      <c r="Y26" s="94"/>
      <c r="Z26" s="93"/>
      <c r="AA26" s="85"/>
      <c r="AC26" s="94"/>
      <c r="AD26" s="93"/>
      <c r="AE26" s="85"/>
    </row>
    <row r="27" spans="6:31" x14ac:dyDescent="0.35">
      <c r="F27" s="93"/>
      <c r="G27" s="85"/>
      <c r="H27" s="87"/>
      <c r="I27" s="94"/>
      <c r="J27" s="93"/>
      <c r="K27" s="85"/>
      <c r="M27" s="94"/>
      <c r="N27" s="93"/>
      <c r="O27" s="85"/>
      <c r="Q27" s="94"/>
      <c r="R27" s="93"/>
      <c r="S27" s="85"/>
      <c r="U27" s="94"/>
      <c r="V27" s="93"/>
      <c r="W27" s="85"/>
      <c r="Y27" s="94"/>
      <c r="Z27" s="93"/>
      <c r="AA27" s="85"/>
      <c r="AC27" s="94"/>
      <c r="AD27" s="93"/>
      <c r="AE27" s="85"/>
    </row>
    <row r="28" spans="6:31" x14ac:dyDescent="0.35">
      <c r="F28" s="93"/>
      <c r="G28" s="85"/>
      <c r="H28" s="87"/>
      <c r="I28" s="94"/>
      <c r="J28" s="93"/>
      <c r="K28" s="85"/>
      <c r="M28" s="94"/>
      <c r="N28" s="93"/>
      <c r="O28" s="85"/>
      <c r="Q28" s="94"/>
      <c r="R28" s="93"/>
      <c r="S28" s="85"/>
      <c r="U28" s="94"/>
      <c r="V28" s="93"/>
      <c r="W28" s="85"/>
      <c r="Y28" s="94"/>
      <c r="Z28" s="93"/>
      <c r="AA28" s="85"/>
      <c r="AC28" s="94"/>
      <c r="AD28" s="93"/>
      <c r="AE28" s="85"/>
    </row>
    <row r="29" spans="6:31" x14ac:dyDescent="0.35">
      <c r="F29" s="93"/>
      <c r="G29" s="85"/>
      <c r="H29" s="87"/>
      <c r="I29" s="94"/>
      <c r="J29" s="93"/>
      <c r="K29" s="85"/>
      <c r="M29" s="94"/>
      <c r="N29" s="93"/>
      <c r="O29" s="85"/>
      <c r="Q29" s="94"/>
      <c r="R29" s="93"/>
      <c r="S29" s="85"/>
      <c r="U29" s="94"/>
      <c r="V29" s="93"/>
      <c r="W29" s="85"/>
      <c r="Y29" s="94"/>
      <c r="Z29" s="93"/>
      <c r="AA29" s="85"/>
      <c r="AC29" s="94"/>
      <c r="AD29" s="93"/>
      <c r="AE29" s="85"/>
    </row>
    <row r="30" spans="6:31" x14ac:dyDescent="0.35">
      <c r="F30" s="93"/>
      <c r="G30" s="85"/>
      <c r="H30" s="87"/>
      <c r="I30" s="94"/>
      <c r="J30" s="93"/>
      <c r="K30" s="85"/>
      <c r="M30" s="94"/>
      <c r="N30" s="93"/>
      <c r="O30" s="85"/>
      <c r="Q30" s="94"/>
      <c r="R30" s="93"/>
      <c r="S30" s="85"/>
      <c r="U30" s="94"/>
      <c r="V30" s="93"/>
      <c r="W30" s="85"/>
      <c r="Y30" s="94"/>
      <c r="Z30" s="93"/>
      <c r="AA30" s="85"/>
      <c r="AC30" s="94"/>
      <c r="AD30" s="93"/>
      <c r="AE30" s="85"/>
    </row>
    <row r="31" spans="6:31" x14ac:dyDescent="0.35">
      <c r="F31" s="93"/>
      <c r="G31" s="85"/>
      <c r="H31" s="87"/>
      <c r="I31" s="94"/>
      <c r="J31" s="93"/>
      <c r="K31" s="85"/>
      <c r="M31" s="94"/>
      <c r="N31" s="93"/>
      <c r="O31" s="85"/>
      <c r="Q31" s="94"/>
      <c r="R31" s="93"/>
      <c r="S31" s="85"/>
      <c r="U31" s="94"/>
      <c r="V31" s="93"/>
      <c r="W31" s="85"/>
      <c r="Y31" s="94"/>
      <c r="Z31" s="93"/>
      <c r="AA31" s="85"/>
      <c r="AC31" s="94"/>
      <c r="AD31" s="93"/>
      <c r="AE31" s="85"/>
    </row>
    <row r="32" spans="6: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3" priority="1">
      <formula>$A4="Spend to Date"</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AG1000"/>
  <sheetViews>
    <sheetView workbookViewId="0">
      <pane xSplit="2" ySplit="1" topLeftCell="I2" activePane="bottomRight" state="frozen"/>
      <selection pane="topRight" activeCell="C1" sqref="C1"/>
      <selection pane="bottomLeft" activeCell="A2" sqref="A2"/>
      <selection pane="bottomRight" activeCell="M15" sqref="M15"/>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22.54296875" style="87" bestFit="1" customWidth="1"/>
    <col min="8" max="8" width="12.7265625" style="88" bestFit="1" customWidth="1"/>
    <col min="9" max="9" width="13.81640625" style="89" bestFit="1"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290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SUM(E3:E4)</f>
        <v>0</v>
      </c>
      <c r="F2" s="87">
        <f>SUM(F3:F3)</f>
        <v>4000</v>
      </c>
      <c r="I2" s="89">
        <f>SUM(I3:I4)</f>
        <v>-400</v>
      </c>
      <c r="J2" s="87">
        <f>SUM(J3:J4)</f>
        <v>171.65</v>
      </c>
      <c r="M2" s="89">
        <f>SUM(M3:M4)</f>
        <v>1000</v>
      </c>
      <c r="N2" s="87">
        <f>SUM(N3:N4)</f>
        <v>0</v>
      </c>
      <c r="Q2" s="89">
        <f>SUM(Q3:Q4)</f>
        <v>0</v>
      </c>
      <c r="R2" s="87">
        <f>SUM(R3:R4)</f>
        <v>0</v>
      </c>
      <c r="U2" s="89">
        <f>SUM(U3:U4)</f>
        <v>0</v>
      </c>
      <c r="V2" s="87">
        <f>SUM(V3:V4)</f>
        <v>0</v>
      </c>
      <c r="Y2" s="89">
        <f>SUM(Y3:Y4)</f>
        <v>0</v>
      </c>
      <c r="Z2" s="87">
        <f>SUM(Z3:Z4)</f>
        <v>0</v>
      </c>
      <c r="AC2" s="89">
        <f>SUM(AC3:AC4)</f>
        <v>0</v>
      </c>
      <c r="AD2" s="87">
        <f>SUM(AD3:AD4)</f>
        <v>0</v>
      </c>
    </row>
    <row r="3" spans="1:33" x14ac:dyDescent="0.35">
      <c r="A3" s="86" t="s">
        <v>290</v>
      </c>
      <c r="B3" s="85">
        <v>1</v>
      </c>
      <c r="D3" s="86">
        <v>4581</v>
      </c>
      <c r="E3" s="87">
        <v>0</v>
      </c>
      <c r="F3" s="87">
        <f>SUMIFS(H$14:H$999,E$14:E$999,$B3)</f>
        <v>4000</v>
      </c>
      <c r="G3" s="87">
        <f>D3+E3-F3+SUMIFS(E$7:E$8,$C$7:$C$8,$A3)-SUMIFS(F$7:F$8,$C$7:$C$8,$A3)</f>
        <v>581</v>
      </c>
      <c r="I3" s="89">
        <v>-400</v>
      </c>
      <c r="J3" s="87">
        <f>SUMIFS(L$14:L$998,I$14:I$998,$B3)</f>
        <v>171.65</v>
      </c>
      <c r="K3" s="87">
        <f>G3+I3-J3+SUMIFS(I$7:I$8,$C$7:$C$8,$A3)-SUMIFS(J$7:J$8,$C$7:$C$8,$A3)</f>
        <v>58.099999999999966</v>
      </c>
      <c r="L3" s="86"/>
      <c r="M3" s="89">
        <v>1000</v>
      </c>
      <c r="N3" s="87">
        <f>SUMIFS(P$14:P$999,M$14:M$999,$B3)</f>
        <v>0</v>
      </c>
      <c r="O3" s="87">
        <f>K3+M3-N3+SUMIFS(M$7:M$8,$C$7:$C$8,$A3)-SUMIFS(N$7:N$8,$C$7:$C$8,$A3)</f>
        <v>2051.35</v>
      </c>
      <c r="R3" s="87">
        <f>SUMIFS(T$14:T$999,Q$14:Q$999,$B3)</f>
        <v>0</v>
      </c>
      <c r="S3" s="87">
        <f>O3+Q3-R3+SUMIFS(Q$7:Q$8,$C$7:$C$8,$A3)-SUMIFS(R$7:R$8,$C$7:$C$8,$A3)</f>
        <v>2051.35</v>
      </c>
      <c r="V3" s="87">
        <f>SUMIFS(X$14:X$999,U$14:U$999,$B3)</f>
        <v>0</v>
      </c>
      <c r="W3" s="87">
        <f>S3+U3-V3+SUMIFS(U$7:U$8,$C$7:$C$8,$A3)-SUMIFS(V$7:V$8,$C$7:$C$8,$A3)</f>
        <v>2051.35</v>
      </c>
      <c r="Z3" s="87">
        <f>SUMIFS(AB$14:AB$999,Y$14:Y$999,$B3)</f>
        <v>0</v>
      </c>
      <c r="AA3" s="87">
        <f>W3+Y3-Z3+SUMIFS(Y$7:Y$8,$C$7:$C$8,$A3)-SUMIFS(Z$7:Z$8,$C$7:$C$8,$A3)</f>
        <v>2051.35</v>
      </c>
      <c r="AD3" s="87">
        <f>SUMIFS(AF$14:AF$999,AC$14:AC$999,$B3)</f>
        <v>0</v>
      </c>
      <c r="AE3" s="87">
        <f>AA3+AC3-AD3+SUMIFS(AC$7:AC$8,$C$7:$C$8,$A3)-SUMIFS(AD$7:AD$8,$C$7:$C$8,$A3)</f>
        <v>2051.35</v>
      </c>
      <c r="AG3" s="87">
        <v>30000</v>
      </c>
    </row>
    <row r="4" spans="1:33" x14ac:dyDescent="0.35">
      <c r="A4" s="86" t="s">
        <v>291</v>
      </c>
      <c r="B4" s="85">
        <v>2</v>
      </c>
      <c r="D4" s="86">
        <v>0</v>
      </c>
      <c r="E4" s="87">
        <v>0</v>
      </c>
      <c r="F4" s="87">
        <f>SUMIFS(H$14:H$999,E$14:E$999,$B4)</f>
        <v>0</v>
      </c>
      <c r="G4" s="87">
        <f>D4+E4-F4+SUMIFS(E$7:E$8,$C$7:$C$8,$A4)-SUMIFS(F$7:F$8,$C$7:$C$8,$A4)</f>
        <v>0</v>
      </c>
      <c r="J4" s="87">
        <f>SUMIFS(L$14:L$998,I$14:I$998,$B4)</f>
        <v>0</v>
      </c>
      <c r="K4" s="87">
        <f>G4+I4-J4+SUMIFS(I$7:I$8,$C$7:$C$8,$A4)-SUMIFS(J$7:J$8,$C$7:$C$8,$A4)</f>
        <v>0</v>
      </c>
      <c r="L4" s="86"/>
      <c r="M4" s="89">
        <v>0</v>
      </c>
      <c r="N4" s="87">
        <f>SUMIFS(P$14:P$999,M$14:M$999,$B4)</f>
        <v>0</v>
      </c>
      <c r="O4" s="87">
        <f>K4+M4-N4+SUMIFS(M$7:M$8,$C$7:$C$8,$A4)-SUMIFS(N$7:N$8,$C$7:$C$8,$A4)</f>
        <v>0</v>
      </c>
      <c r="R4" s="87">
        <f>SUMIFS(T$14:T$999,Q$14:Q$999,$B4)</f>
        <v>0</v>
      </c>
      <c r="S4" s="87">
        <f>O4+Q4-R4+SUMIFS(Q$7:Q$8,$C$7:$C$8,$A4)-SUMIFS(R$7:R$8,$C$7:$C$8,$A4)</f>
        <v>0</v>
      </c>
      <c r="V4" s="87">
        <f>SUMIFS(X$14:X$999,U$14:U$999,$B4)</f>
        <v>0</v>
      </c>
      <c r="W4" s="87">
        <f>S4+U4-V4+SUMIFS(U$7:U$8,$C$7:$C$8,$A4)-SUMIFS(V$7:V$8,$C$7:$C$8,$A4)</f>
        <v>0</v>
      </c>
      <c r="Z4" s="87">
        <f>SUMIFS(AB$14:AB$999,Y$14:Y$999,$B4)</f>
        <v>0</v>
      </c>
      <c r="AA4" s="87">
        <f>W4+Y4-Z4+SUMIFS(Y$7:Y$8,$C$7:$C$8,$A4)-SUMIFS(Z$7:Z$8,$C$7:$C$8,$A4)</f>
        <v>0</v>
      </c>
      <c r="AD4" s="87">
        <f>SUMIFS(AF$14:AF$999,AC$14:AC$999,$B4)</f>
        <v>0</v>
      </c>
      <c r="AE4" s="87">
        <f>AA4+AC4-AD4+SUMIFS(AC$7:AC$8,$C$7:$C$8,$A4)-SUMIFS(AD$7:AD$8,$C$7:$C$8,$A4)</f>
        <v>0</v>
      </c>
    </row>
    <row r="5" spans="1:33" x14ac:dyDescent="0.35">
      <c r="E5" s="87"/>
    </row>
    <row r="6" spans="1:33" x14ac:dyDescent="0.35">
      <c r="A6" s="84" t="s">
        <v>292</v>
      </c>
      <c r="D6" s="84"/>
      <c r="E6" s="87">
        <f>SUM(E7:E8)</f>
        <v>0</v>
      </c>
      <c r="F6" s="87">
        <f>SUM(F7:F8)</f>
        <v>0</v>
      </c>
      <c r="I6" s="89">
        <f>SUM(I7:I8)</f>
        <v>400</v>
      </c>
      <c r="J6" s="87">
        <f>SUM(J7:J8)</f>
        <v>351.25000000000006</v>
      </c>
      <c r="M6" s="89">
        <f>SUM(M7:M8)</f>
        <v>1000</v>
      </c>
      <c r="N6" s="89">
        <f>SUM(N7:N8)</f>
        <v>6.75</v>
      </c>
      <c r="Q6" s="89">
        <f>SUM(Q7:Q8)</f>
        <v>1030</v>
      </c>
      <c r="R6" s="87">
        <f>$Q$6</f>
        <v>1030</v>
      </c>
      <c r="U6" s="89">
        <f>SUM(U7:U8)</f>
        <v>1061</v>
      </c>
      <c r="V6" s="87">
        <f>$U$6</f>
        <v>1061</v>
      </c>
      <c r="Y6" s="89">
        <f>SUM(Y7:Y8)</f>
        <v>1093</v>
      </c>
      <c r="Z6" s="87">
        <f>$Y$6</f>
        <v>1093</v>
      </c>
      <c r="AC6" s="89">
        <f>SUM(AC7:AC8)</f>
        <v>1126</v>
      </c>
      <c r="AD6" s="87">
        <f>$AC$6</f>
        <v>1126</v>
      </c>
    </row>
    <row r="7" spans="1:33" x14ac:dyDescent="0.35">
      <c r="A7" s="86" t="s">
        <v>292</v>
      </c>
      <c r="B7" s="85">
        <v>3</v>
      </c>
      <c r="C7" s="85" t="s">
        <v>290</v>
      </c>
      <c r="D7" s="84"/>
      <c r="E7" s="87">
        <v>0</v>
      </c>
      <c r="F7" s="87">
        <f>SUMIFS(H$14:H$999,E$14:E$999,$B7)</f>
        <v>0</v>
      </c>
      <c r="I7" s="89">
        <f>ROUNDUP((E7)*RPICurrent,0)</f>
        <v>0</v>
      </c>
      <c r="J7" s="87">
        <f>SUMIFS(L$14:L$998,I$14:I$998,$B7)</f>
        <v>0</v>
      </c>
      <c r="M7" s="89">
        <v>0</v>
      </c>
      <c r="N7" s="87">
        <f>SUMIFS(P$14:P$998,M$14:M$998,$B7)</f>
        <v>0</v>
      </c>
      <c r="Q7" s="89">
        <f>ROUNDUP((M7)*RPI,0)</f>
        <v>0</v>
      </c>
      <c r="R7" s="87">
        <f>$Q$7</f>
        <v>0</v>
      </c>
      <c r="U7" s="89">
        <f>ROUNDUP((Q7)*RPI,0)</f>
        <v>0</v>
      </c>
      <c r="V7" s="87">
        <f>$U$7</f>
        <v>0</v>
      </c>
      <c r="Y7" s="89">
        <f>ROUNDUP((U7)*RPI,0)</f>
        <v>0</v>
      </c>
      <c r="Z7" s="87">
        <f>$Y$7</f>
        <v>0</v>
      </c>
      <c r="AC7" s="89">
        <f>ROUNDUP((Y7)*RPI,0)</f>
        <v>0</v>
      </c>
      <c r="AD7" s="87">
        <f>$AC$7</f>
        <v>0</v>
      </c>
    </row>
    <row r="8" spans="1:33" x14ac:dyDescent="0.35">
      <c r="A8" s="86" t="s">
        <v>293</v>
      </c>
      <c r="B8" s="85">
        <v>4</v>
      </c>
      <c r="C8" s="85" t="s">
        <v>290</v>
      </c>
      <c r="D8" s="84"/>
      <c r="E8" s="87">
        <v>0</v>
      </c>
      <c r="F8" s="87">
        <f>SUMIFS(H$14:H$999,E$14:E$999,$B8)</f>
        <v>0</v>
      </c>
      <c r="I8" s="89">
        <v>400</v>
      </c>
      <c r="J8" s="87">
        <f>SUMIFS(L$14:L$998,I$14:I$998,$B8)</f>
        <v>351.25000000000006</v>
      </c>
      <c r="M8" s="89">
        <v>1000</v>
      </c>
      <c r="N8" s="87">
        <f>SUMIFS(P$14:P$998,M$14:M$998,$B8)</f>
        <v>6.75</v>
      </c>
      <c r="Q8" s="89">
        <f>ROUNDUP((M8)*RPI,0)</f>
        <v>1030</v>
      </c>
      <c r="R8" s="87">
        <f>$Q$8</f>
        <v>1030</v>
      </c>
      <c r="U8" s="89">
        <f>ROUNDUP((Q8)*RPI,0)</f>
        <v>1061</v>
      </c>
      <c r="V8" s="87">
        <f>$U$8</f>
        <v>1061</v>
      </c>
      <c r="Y8" s="89">
        <f>ROUNDUP((U8)*RPI,0)</f>
        <v>1093</v>
      </c>
      <c r="Z8" s="87">
        <f>$Y$8</f>
        <v>1093</v>
      </c>
      <c r="AC8" s="89">
        <f>ROUNDUP((Y8)*RPI,0)</f>
        <v>1126</v>
      </c>
      <c r="AD8" s="87">
        <f>$AC$8</f>
        <v>1126</v>
      </c>
    </row>
    <row r="9" spans="1:33" x14ac:dyDescent="0.35">
      <c r="E9" s="87"/>
    </row>
    <row r="10" spans="1:33" x14ac:dyDescent="0.35">
      <c r="E10" s="87"/>
    </row>
    <row r="11" spans="1:33" x14ac:dyDescent="0.35">
      <c r="E11" s="87"/>
    </row>
    <row r="12" spans="1:33" x14ac:dyDescent="0.35">
      <c r="A12" s="84" t="s">
        <v>487</v>
      </c>
      <c r="F12" s="93"/>
      <c r="G12" s="85"/>
      <c r="H12" s="87"/>
      <c r="I12" s="94"/>
      <c r="J12" s="93"/>
      <c r="K12" s="85"/>
      <c r="M12" s="94"/>
      <c r="N12" s="93"/>
      <c r="O12" s="85"/>
      <c r="Q12" s="94"/>
      <c r="R12" s="93"/>
      <c r="S12" s="85"/>
      <c r="U12" s="94"/>
      <c r="V12" s="93"/>
      <c r="W12" s="85"/>
      <c r="Y12" s="94"/>
      <c r="Z12" s="93"/>
      <c r="AA12" s="85"/>
      <c r="AC12" s="94"/>
      <c r="AD12" s="93"/>
      <c r="AE12" s="85"/>
    </row>
    <row r="13" spans="1:33" x14ac:dyDescent="0.35">
      <c r="E13" s="85" t="s">
        <v>484</v>
      </c>
      <c r="F13" s="93" t="s">
        <v>488</v>
      </c>
      <c r="G13" s="85" t="s">
        <v>489</v>
      </c>
      <c r="H13" s="87" t="s">
        <v>475</v>
      </c>
      <c r="I13" s="85" t="s">
        <v>484</v>
      </c>
      <c r="J13" s="93" t="s">
        <v>488</v>
      </c>
      <c r="K13" s="85" t="s">
        <v>489</v>
      </c>
      <c r="L13" s="87" t="s">
        <v>475</v>
      </c>
      <c r="M13" s="85" t="s">
        <v>484</v>
      </c>
      <c r="N13" s="93" t="s">
        <v>488</v>
      </c>
      <c r="O13" s="85" t="s">
        <v>489</v>
      </c>
      <c r="P13" s="87" t="s">
        <v>475</v>
      </c>
      <c r="Q13" s="94"/>
      <c r="R13" s="93"/>
      <c r="S13" s="85"/>
      <c r="U13" s="94"/>
      <c r="V13" s="93"/>
      <c r="W13" s="85"/>
      <c r="Y13" s="94"/>
      <c r="Z13" s="93"/>
      <c r="AA13" s="85"/>
      <c r="AC13" s="94"/>
      <c r="AD13" s="93"/>
      <c r="AE13" s="85"/>
    </row>
    <row r="14" spans="1:33" x14ac:dyDescent="0.35">
      <c r="E14" s="92">
        <v>1</v>
      </c>
      <c r="F14" s="97" t="s">
        <v>699</v>
      </c>
      <c r="G14" s="92" t="s">
        <v>1891</v>
      </c>
      <c r="H14" s="90">
        <v>4000</v>
      </c>
      <c r="I14" s="94">
        <v>1</v>
      </c>
      <c r="J14" s="93">
        <v>45019</v>
      </c>
      <c r="K14" s="85" t="s">
        <v>1892</v>
      </c>
      <c r="L14" s="87">
        <v>78.05</v>
      </c>
      <c r="M14" s="94">
        <v>4</v>
      </c>
      <c r="N14" s="93">
        <v>45398</v>
      </c>
      <c r="O14" s="85" t="s">
        <v>293</v>
      </c>
      <c r="P14" s="87">
        <v>6.75</v>
      </c>
      <c r="Q14" s="94"/>
      <c r="R14" s="93"/>
      <c r="S14" s="85"/>
      <c r="U14" s="94"/>
      <c r="V14" s="93"/>
      <c r="W14" s="85"/>
      <c r="Y14" s="94"/>
      <c r="Z14" s="93"/>
      <c r="AA14" s="85"/>
      <c r="AC14" s="94"/>
      <c r="AD14" s="93"/>
      <c r="AE14" s="85"/>
    </row>
    <row r="15" spans="1:33" x14ac:dyDescent="0.35">
      <c r="F15" s="93"/>
      <c r="G15" s="85"/>
      <c r="H15" s="87"/>
      <c r="I15" s="94">
        <v>1</v>
      </c>
      <c r="J15" s="93">
        <v>45019</v>
      </c>
      <c r="K15" s="85" t="s">
        <v>1892</v>
      </c>
      <c r="L15" s="87">
        <v>47.7</v>
      </c>
      <c r="M15" s="94"/>
      <c r="N15" s="93"/>
      <c r="O15" s="85"/>
      <c r="Q15" s="94"/>
      <c r="R15" s="93"/>
      <c r="S15" s="85"/>
      <c r="U15" s="94"/>
      <c r="V15" s="93"/>
      <c r="W15" s="85"/>
      <c r="Y15" s="94"/>
      <c r="Z15" s="93"/>
      <c r="AA15" s="85"/>
      <c r="AC15" s="94"/>
      <c r="AD15" s="93"/>
      <c r="AE15" s="85"/>
    </row>
    <row r="16" spans="1:33" x14ac:dyDescent="0.35">
      <c r="F16" s="93"/>
      <c r="G16" s="85"/>
      <c r="H16" s="87"/>
      <c r="I16" s="94">
        <v>4</v>
      </c>
      <c r="J16" s="93">
        <v>45095</v>
      </c>
      <c r="K16" s="85" t="s">
        <v>1893</v>
      </c>
      <c r="L16" s="87">
        <v>45</v>
      </c>
      <c r="M16" s="94"/>
      <c r="N16" s="93"/>
      <c r="O16" s="85"/>
      <c r="Q16" s="94"/>
      <c r="R16" s="93"/>
      <c r="S16" s="85"/>
      <c r="U16" s="94"/>
      <c r="V16" s="93"/>
      <c r="W16" s="85"/>
      <c r="Y16" s="94"/>
      <c r="Z16" s="93"/>
      <c r="AA16" s="85"/>
      <c r="AC16" s="94"/>
      <c r="AD16" s="93"/>
      <c r="AE16" s="85"/>
    </row>
    <row r="17" spans="6:31" x14ac:dyDescent="0.35">
      <c r="F17" s="93"/>
      <c r="G17" s="85"/>
      <c r="H17" s="87"/>
      <c r="I17" s="94">
        <v>4</v>
      </c>
      <c r="J17" s="93">
        <v>45098</v>
      </c>
      <c r="K17" s="85" t="s">
        <v>1894</v>
      </c>
      <c r="L17" s="87">
        <v>49.85</v>
      </c>
      <c r="M17" s="94"/>
      <c r="N17" s="93"/>
      <c r="O17" s="85"/>
      <c r="Q17" s="94"/>
      <c r="R17" s="93"/>
      <c r="S17" s="85"/>
      <c r="U17" s="94"/>
      <c r="V17" s="93"/>
      <c r="W17" s="85"/>
      <c r="Y17" s="94"/>
      <c r="Z17" s="93"/>
      <c r="AA17" s="85"/>
      <c r="AC17" s="94"/>
      <c r="AD17" s="93"/>
      <c r="AE17" s="85"/>
    </row>
    <row r="18" spans="6:31" x14ac:dyDescent="0.35">
      <c r="F18" s="93"/>
      <c r="G18" s="85"/>
      <c r="H18" s="87"/>
      <c r="I18" s="94">
        <v>4</v>
      </c>
      <c r="J18" s="93">
        <v>45088</v>
      </c>
      <c r="K18" s="85" t="s">
        <v>1895</v>
      </c>
      <c r="L18" s="87">
        <v>10.8</v>
      </c>
      <c r="M18" s="94"/>
      <c r="N18" s="93"/>
      <c r="O18" s="85"/>
      <c r="Q18" s="94"/>
      <c r="R18" s="93"/>
      <c r="S18" s="85"/>
      <c r="U18" s="94"/>
      <c r="V18" s="93"/>
      <c r="W18" s="85"/>
      <c r="Y18" s="94"/>
      <c r="Z18" s="93"/>
      <c r="AA18" s="85"/>
      <c r="AC18" s="94"/>
      <c r="AD18" s="93"/>
      <c r="AE18" s="85"/>
    </row>
    <row r="19" spans="6:31" x14ac:dyDescent="0.35">
      <c r="F19" s="93"/>
      <c r="G19" s="85"/>
      <c r="H19" s="87"/>
      <c r="I19" s="94">
        <v>4</v>
      </c>
      <c r="J19" s="93">
        <v>45155</v>
      </c>
      <c r="K19" s="85" t="s">
        <v>1896</v>
      </c>
      <c r="L19" s="87">
        <v>43.65</v>
      </c>
      <c r="M19" s="94"/>
      <c r="N19" s="93"/>
      <c r="O19" s="85"/>
      <c r="Q19" s="94"/>
      <c r="R19" s="93"/>
      <c r="S19" s="85"/>
      <c r="U19" s="94"/>
      <c r="V19" s="93"/>
      <c r="W19" s="85"/>
      <c r="Y19" s="94"/>
      <c r="Z19" s="93"/>
      <c r="AA19" s="85"/>
      <c r="AC19" s="94"/>
      <c r="AD19" s="93"/>
      <c r="AE19" s="85"/>
    </row>
    <row r="20" spans="6:31" x14ac:dyDescent="0.35">
      <c r="F20" s="93"/>
      <c r="G20" s="85"/>
      <c r="H20" s="87"/>
      <c r="I20" s="94">
        <v>1</v>
      </c>
      <c r="J20" s="93">
        <v>45040</v>
      </c>
      <c r="K20" s="85" t="s">
        <v>1892</v>
      </c>
      <c r="L20" s="87">
        <v>45.9</v>
      </c>
      <c r="M20" s="94"/>
      <c r="N20" s="93"/>
      <c r="O20" s="85"/>
      <c r="Q20" s="94"/>
      <c r="R20" s="93"/>
      <c r="S20" s="85"/>
      <c r="U20" s="94"/>
      <c r="V20" s="93"/>
      <c r="W20" s="85"/>
      <c r="Y20" s="94"/>
      <c r="Z20" s="93"/>
      <c r="AA20" s="85"/>
      <c r="AC20" s="94"/>
      <c r="AD20" s="93"/>
      <c r="AE20" s="85"/>
    </row>
    <row r="21" spans="6:31" x14ac:dyDescent="0.35">
      <c r="F21" s="93"/>
      <c r="G21" s="85"/>
      <c r="H21" s="87"/>
      <c r="I21" s="94">
        <v>4</v>
      </c>
      <c r="J21" s="93">
        <v>45225</v>
      </c>
      <c r="K21" s="85" t="s">
        <v>293</v>
      </c>
      <c r="L21" s="87">
        <v>14.9</v>
      </c>
      <c r="M21" s="94"/>
      <c r="N21" s="93"/>
      <c r="O21" s="85"/>
      <c r="Q21" s="94"/>
      <c r="R21" s="93"/>
      <c r="S21" s="85"/>
      <c r="U21" s="94"/>
      <c r="V21" s="93"/>
      <c r="W21" s="85"/>
      <c r="Y21" s="94"/>
      <c r="Z21" s="93"/>
      <c r="AA21" s="85"/>
      <c r="AC21" s="94"/>
      <c r="AD21" s="93"/>
      <c r="AE21" s="85"/>
    </row>
    <row r="22" spans="6:31" x14ac:dyDescent="0.35">
      <c r="F22" s="93"/>
      <c r="G22" s="85"/>
      <c r="H22" s="87"/>
      <c r="I22" s="94">
        <v>4</v>
      </c>
      <c r="J22" s="93">
        <v>45211</v>
      </c>
      <c r="K22" s="85" t="s">
        <v>293</v>
      </c>
      <c r="L22" s="87">
        <v>6.75</v>
      </c>
      <c r="M22" s="94"/>
      <c r="N22" s="93"/>
      <c r="O22" s="85"/>
      <c r="Q22" s="94"/>
      <c r="R22" s="93"/>
      <c r="S22" s="85"/>
      <c r="U22" s="94"/>
      <c r="V22" s="93"/>
      <c r="W22" s="85"/>
      <c r="Y22" s="94"/>
      <c r="Z22" s="93"/>
      <c r="AA22" s="85"/>
      <c r="AC22" s="94"/>
      <c r="AD22" s="93"/>
      <c r="AE22" s="85"/>
    </row>
    <row r="23" spans="6:31" x14ac:dyDescent="0.35">
      <c r="F23" s="93"/>
      <c r="G23" s="85"/>
      <c r="H23" s="87"/>
      <c r="I23" s="94">
        <v>4</v>
      </c>
      <c r="J23" s="93">
        <v>45211</v>
      </c>
      <c r="K23" s="85" t="s">
        <v>293</v>
      </c>
      <c r="L23" s="87">
        <v>6.75</v>
      </c>
      <c r="M23" s="94"/>
      <c r="N23" s="93"/>
      <c r="O23" s="85"/>
      <c r="Q23" s="94"/>
      <c r="R23" s="93"/>
      <c r="S23" s="85"/>
      <c r="U23" s="94"/>
      <c r="V23" s="93"/>
      <c r="W23" s="85"/>
      <c r="Y23" s="94"/>
      <c r="Z23" s="93"/>
      <c r="AA23" s="85"/>
      <c r="AC23" s="94"/>
      <c r="AD23" s="93"/>
      <c r="AE23" s="85"/>
    </row>
    <row r="24" spans="6:31" x14ac:dyDescent="0.35">
      <c r="F24" s="93"/>
      <c r="G24" s="85"/>
      <c r="H24" s="87"/>
      <c r="I24" s="94">
        <v>4</v>
      </c>
      <c r="J24" s="93">
        <v>45211</v>
      </c>
      <c r="K24" s="85" t="s">
        <v>293</v>
      </c>
      <c r="L24" s="87">
        <v>27.9</v>
      </c>
      <c r="M24" s="94"/>
      <c r="N24" s="93"/>
      <c r="O24" s="85"/>
      <c r="Q24" s="94"/>
      <c r="R24" s="93"/>
      <c r="S24" s="85"/>
      <c r="U24" s="94"/>
      <c r="V24" s="93"/>
      <c r="W24" s="85"/>
      <c r="Y24" s="94"/>
      <c r="Z24" s="93"/>
      <c r="AA24" s="85"/>
      <c r="AC24" s="94"/>
      <c r="AD24" s="93"/>
      <c r="AE24" s="85"/>
    </row>
    <row r="25" spans="6:31" x14ac:dyDescent="0.35">
      <c r="F25" s="93"/>
      <c r="G25" s="85"/>
      <c r="H25" s="87"/>
      <c r="I25" s="94">
        <v>4</v>
      </c>
      <c r="J25" s="93">
        <v>45211</v>
      </c>
      <c r="K25" s="85" t="s">
        <v>293</v>
      </c>
      <c r="L25" s="87">
        <v>26.85</v>
      </c>
      <c r="M25" s="94"/>
      <c r="N25" s="93"/>
      <c r="O25" s="85"/>
      <c r="Q25" s="94"/>
      <c r="R25" s="93"/>
      <c r="S25" s="85"/>
      <c r="U25" s="94"/>
      <c r="V25" s="93"/>
      <c r="W25" s="85"/>
      <c r="Y25" s="94"/>
      <c r="Z25" s="93"/>
      <c r="AA25" s="85"/>
      <c r="AC25" s="94"/>
      <c r="AD25" s="93"/>
      <c r="AE25" s="85"/>
    </row>
    <row r="26" spans="6:31" x14ac:dyDescent="0.35">
      <c r="F26" s="93"/>
      <c r="G26" s="85"/>
      <c r="H26" s="87"/>
      <c r="I26" s="94">
        <v>4</v>
      </c>
      <c r="J26" s="93">
        <v>45365</v>
      </c>
      <c r="K26" s="85" t="s">
        <v>293</v>
      </c>
      <c r="L26" s="87">
        <v>28.35</v>
      </c>
      <c r="M26" s="94"/>
      <c r="N26" s="93"/>
      <c r="O26" s="85"/>
      <c r="Q26" s="94"/>
      <c r="R26" s="93"/>
      <c r="S26" s="85"/>
      <c r="U26" s="94"/>
      <c r="V26" s="93"/>
      <c r="W26" s="85"/>
      <c r="Y26" s="94"/>
      <c r="Z26" s="93"/>
      <c r="AA26" s="85"/>
      <c r="AC26" s="94"/>
      <c r="AD26" s="93"/>
      <c r="AE26" s="85"/>
    </row>
    <row r="27" spans="6:31" x14ac:dyDescent="0.35">
      <c r="F27" s="93"/>
      <c r="G27" s="85"/>
      <c r="H27" s="87"/>
      <c r="I27" s="94">
        <v>4</v>
      </c>
      <c r="J27" s="93">
        <v>45379</v>
      </c>
      <c r="K27" s="85" t="s">
        <v>293</v>
      </c>
      <c r="L27" s="87">
        <v>46.35</v>
      </c>
      <c r="M27" s="94"/>
      <c r="N27" s="93"/>
      <c r="O27" s="85"/>
      <c r="Q27" s="94"/>
      <c r="R27" s="93"/>
      <c r="S27" s="85"/>
      <c r="U27" s="94"/>
      <c r="V27" s="93"/>
      <c r="W27" s="85"/>
      <c r="Y27" s="94"/>
      <c r="Z27" s="93"/>
      <c r="AA27" s="85"/>
      <c r="AC27" s="94"/>
      <c r="AD27" s="93"/>
      <c r="AE27" s="85"/>
    </row>
    <row r="28" spans="6:31" x14ac:dyDescent="0.35">
      <c r="F28" s="93"/>
      <c r="G28" s="85"/>
      <c r="H28" s="87"/>
      <c r="I28" s="94">
        <v>4</v>
      </c>
      <c r="J28" s="93">
        <v>45379</v>
      </c>
      <c r="K28" s="85" t="s">
        <v>293</v>
      </c>
      <c r="L28" s="87">
        <v>44.1</v>
      </c>
      <c r="M28" s="94"/>
      <c r="N28" s="93"/>
      <c r="O28" s="85"/>
      <c r="Q28" s="94"/>
      <c r="R28" s="93"/>
      <c r="S28" s="85"/>
      <c r="U28" s="94"/>
      <c r="V28" s="93"/>
      <c r="W28" s="85"/>
      <c r="Y28" s="94"/>
      <c r="Z28" s="93"/>
      <c r="AA28" s="85"/>
      <c r="AC28" s="94"/>
      <c r="AD28" s="93"/>
      <c r="AE28" s="85"/>
    </row>
    <row r="29" spans="6:31" x14ac:dyDescent="0.35">
      <c r="F29" s="93"/>
      <c r="G29" s="85"/>
      <c r="H29" s="87"/>
      <c r="I29" s="94"/>
      <c r="J29" s="93"/>
      <c r="K29" s="85"/>
      <c r="M29" s="94"/>
      <c r="N29" s="93"/>
      <c r="O29" s="85"/>
      <c r="Q29" s="94"/>
      <c r="R29" s="93"/>
      <c r="S29" s="85"/>
      <c r="U29" s="94"/>
      <c r="V29" s="93"/>
      <c r="W29" s="85"/>
      <c r="Y29" s="94"/>
      <c r="Z29" s="93"/>
      <c r="AA29" s="85"/>
      <c r="AC29" s="94"/>
      <c r="AD29" s="93"/>
      <c r="AE29" s="85"/>
    </row>
    <row r="30" spans="6:31" x14ac:dyDescent="0.35">
      <c r="F30" s="93"/>
      <c r="G30" s="85"/>
      <c r="H30" s="87"/>
      <c r="I30" s="94"/>
      <c r="J30" s="93"/>
      <c r="K30" s="85"/>
      <c r="M30" s="94"/>
      <c r="N30" s="93"/>
      <c r="O30" s="85"/>
      <c r="Q30" s="94"/>
      <c r="R30" s="93"/>
      <c r="S30" s="85"/>
      <c r="U30" s="94"/>
      <c r="V30" s="93"/>
      <c r="W30" s="85"/>
      <c r="Y30" s="94"/>
      <c r="Z30" s="93"/>
      <c r="AA30" s="85"/>
      <c r="AC30" s="94"/>
      <c r="AD30" s="93"/>
      <c r="AE30" s="85"/>
    </row>
    <row r="31" spans="6:31" x14ac:dyDescent="0.35">
      <c r="F31" s="93"/>
      <c r="G31" s="85"/>
      <c r="H31" s="87"/>
      <c r="I31" s="94"/>
      <c r="J31" s="93"/>
      <c r="K31" s="85"/>
      <c r="M31" s="94"/>
      <c r="N31" s="93"/>
      <c r="O31" s="85"/>
      <c r="Q31" s="94"/>
      <c r="R31" s="93"/>
      <c r="S31" s="85"/>
      <c r="U31" s="94"/>
      <c r="V31" s="93"/>
      <c r="W31" s="85"/>
      <c r="Y31" s="94"/>
      <c r="Z31" s="93"/>
      <c r="AA31" s="85"/>
      <c r="AC31" s="94"/>
      <c r="AD31" s="93"/>
      <c r="AE31" s="85"/>
    </row>
    <row r="32" spans="6: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2" priority="1">
      <formula>$A4="Spend to Date"</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AG1000"/>
  <sheetViews>
    <sheetView workbookViewId="0">
      <pane xSplit="2" ySplit="1" topLeftCell="J4" activePane="bottomRight" state="frozen"/>
      <selection pane="topRight" activeCell="C1" sqref="C1"/>
      <selection pane="bottomLeft" activeCell="A2" sqref="A2"/>
      <selection pane="bottomRight" activeCell="M21" sqref="M21"/>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bestFit="1" customWidth="1"/>
    <col min="5" max="5" width="13.81640625" style="85" bestFit="1" customWidth="1"/>
    <col min="6" max="6" width="19.81640625" style="87" bestFit="1" customWidth="1"/>
    <col min="7" max="7" width="35.453125" style="87" bestFit="1" customWidth="1"/>
    <col min="8" max="8" width="12.7265625" style="88" bestFit="1" customWidth="1"/>
    <col min="9" max="9" width="25.26953125" style="94" customWidth="1"/>
    <col min="10" max="10" width="19.54296875" style="87" bestFit="1" customWidth="1"/>
    <col min="11" max="11" width="11" style="87" bestFit="1" customWidth="1"/>
    <col min="12" max="12" width="13.453125" style="87" bestFit="1" customWidth="1"/>
    <col min="13" max="13" width="13.81640625" style="89" bestFit="1" customWidth="1"/>
    <col min="14" max="14" width="13.81640625" style="87" customWidth="1"/>
    <col min="15" max="15" width="11.54296875" style="87" bestFit="1" customWidth="1"/>
    <col min="16" max="16" width="20.453125" style="87"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294</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SUM(E3:E5)</f>
        <v>11526</v>
      </c>
      <c r="F2" s="87">
        <f>SUM(F3:F3)</f>
        <v>-4000</v>
      </c>
      <c r="I2" s="89">
        <f>SUM(I3:I5)</f>
        <v>-16598</v>
      </c>
      <c r="J2" s="87">
        <f>SUM(J3:J5)</f>
        <v>18968.7</v>
      </c>
      <c r="M2" s="89">
        <f>SUM(M3:M5)</f>
        <v>5100</v>
      </c>
      <c r="N2" s="87">
        <f>SUM(N3:N5)</f>
        <v>0</v>
      </c>
      <c r="Q2" s="89">
        <f>SUM(Q3:Q5)</f>
        <v>0</v>
      </c>
      <c r="R2" s="87">
        <f>SUM(R3:R5)</f>
        <v>0</v>
      </c>
      <c r="U2" s="89">
        <f>SUM(U3:U5)</f>
        <v>0</v>
      </c>
      <c r="V2" s="87">
        <f>SUM(V3:V5)</f>
        <v>0</v>
      </c>
      <c r="Y2" s="89">
        <f>SUM(Y3:Y5)</f>
        <v>0</v>
      </c>
      <c r="Z2" s="87">
        <f>SUM(Z3:Z5)</f>
        <v>0</v>
      </c>
      <c r="AC2" s="89">
        <f>SUM(AC3:AC5)</f>
        <v>0</v>
      </c>
      <c r="AD2" s="87">
        <f>SUM(AD3:AD5)</f>
        <v>0</v>
      </c>
    </row>
    <row r="3" spans="1:33" ht="130.5" x14ac:dyDescent="0.35">
      <c r="A3" s="87" t="s">
        <v>294</v>
      </c>
      <c r="B3" s="85">
        <v>1</v>
      </c>
      <c r="D3" s="86">
        <v>0</v>
      </c>
      <c r="E3" s="87">
        <f>14000-2474</f>
        <v>11526</v>
      </c>
      <c r="F3" s="87">
        <f>SUMIFS(H$18:H$1003,E$18:E$1003,$B3)</f>
        <v>-4000</v>
      </c>
      <c r="G3" s="87">
        <f>D3+E3-F3+SUMIFS(E$8:E$12,$C$8:$C$12,$A3)-SUMIFS(F$8:F$12,$C$8:$C$12,$A3)</f>
        <v>16598</v>
      </c>
      <c r="I3" s="89">
        <f>-G3</f>
        <v>-16598</v>
      </c>
      <c r="J3" s="87">
        <f>SUMIFS(L$18:L$1002,I$18:I$1002,$B3)</f>
        <v>1368.7</v>
      </c>
      <c r="K3" s="87">
        <f>G3+I3-J3+SUMIFS(I$8:I$12,$C$8:$C$12,$A3)-SUMIFS(J$8:J$12,$C$8:$C$12,$A3)</f>
        <v>17631.3</v>
      </c>
      <c r="L3" s="84" t="s">
        <v>295</v>
      </c>
      <c r="N3" s="87">
        <f>SUMIFS(P$18:P$1003,M$18:M$1003,$B3)</f>
        <v>0</v>
      </c>
      <c r="O3" s="87">
        <f>K3+M3-N3+SUMIFS(M$8:M$12,$C$8:$C$12,$A3)-SUMIFS(N$8:N$12,$C$8:$C$12,$A3)</f>
        <v>42610.8</v>
      </c>
      <c r="R3" s="87">
        <f>SUMIFS(T$18:T$1003,Q$18:Q$1003,$B3)</f>
        <v>0</v>
      </c>
      <c r="S3" s="87">
        <f>O3+Q3-R3+SUMIFS(Q$8:Q$12,$C$8:$C$12,$A3)-SUMIFS(R$8:R$12,$C$8:$C$12,$A3)</f>
        <v>42610.8</v>
      </c>
      <c r="V3" s="87">
        <f>SUMIFS(X$18:X$1003,U$18:U$1003,$B3)</f>
        <v>0</v>
      </c>
      <c r="W3" s="87">
        <f>S3+U3-V3+SUMIFS(U$8:U$12,$C$8:$C$12,$A3)-SUMIFS(V$8:V$12,$C$8:$C$12,$A3)</f>
        <v>42610.8</v>
      </c>
      <c r="Z3" s="87">
        <f>SUMIFS(AB$18:AB$1003,Y$18:Y$1003,$B3)</f>
        <v>0</v>
      </c>
      <c r="AA3" s="87">
        <f>W3+Y3-Z3+SUMIFS(Y$8:Y$12,$C$8:$C$12,$A3)-SUMIFS(Z$8:Z$12,$C$8:$C$12,$A3)</f>
        <v>42610.8</v>
      </c>
      <c r="AD3" s="87">
        <f>SUMIFS(AF$18:AF$1003,AC$18:AC$1003,$B3)</f>
        <v>0</v>
      </c>
      <c r="AE3" s="87">
        <f>AA3+AC3-AD3+SUMIFS(AC$8:AC$12,$C$8:$C$12,$A3)-SUMIFS(AD$8:AD$12,$C$8:$C$12,$A3)</f>
        <v>42610.8</v>
      </c>
      <c r="AG3" s="87">
        <v>100000</v>
      </c>
    </row>
    <row r="4" spans="1:33" s="126" customFormat="1" ht="87" x14ac:dyDescent="0.35">
      <c r="A4" s="126" t="s">
        <v>296</v>
      </c>
      <c r="B4" s="128">
        <v>2</v>
      </c>
      <c r="C4" s="128"/>
      <c r="D4" s="127">
        <v>41499</v>
      </c>
      <c r="E4" s="126">
        <v>0</v>
      </c>
      <c r="F4" s="126">
        <f>SUMIFS(H$18:H$1003,E$18:E$1003,$B4)</f>
        <v>4100</v>
      </c>
      <c r="G4" s="126">
        <f>D4+E4-F4+SUMIFS(E$8:E$12,$C$8:$C$12,$A4)-SUMIFS(F$8:F$12,$C$8:$C$12,$A4)</f>
        <v>41459</v>
      </c>
      <c r="H4" s="130"/>
      <c r="I4" s="131">
        <v>0</v>
      </c>
      <c r="J4" s="126">
        <f>SUMIFS(L$18:L$1002,I$18:I$1002,$B4)</f>
        <v>7600</v>
      </c>
      <c r="K4" s="126">
        <f>G4+I4-J4+SUMIFS(I$8:I$12,$C$8:$C$12,$A4)-SUMIFS(J$8:J$12,$C$8:$C$12,$A4)</f>
        <v>33859</v>
      </c>
      <c r="L4" s="127"/>
      <c r="M4" s="131">
        <f>5100</f>
        <v>5100</v>
      </c>
      <c r="N4" s="126">
        <f>SUMIFS(P$18:P$1003,M$18:M$1003,$B4)</f>
        <v>0</v>
      </c>
      <c r="O4" s="126">
        <f>K4+M4-N4+SUMIFS(M$8:M$12,$C$8:$C$12,$A4)-SUMIFS(N$8:N$12,$C$8:$C$12,$A4)</f>
        <v>38959</v>
      </c>
      <c r="P4" s="139" t="s">
        <v>2418</v>
      </c>
      <c r="Q4" s="131"/>
      <c r="R4" s="126">
        <f>SUMIFS(T$18:T$1003,Q$18:Q$1003,$B4)</f>
        <v>0</v>
      </c>
      <c r="S4" s="126">
        <f>O4+Q4-R4+SUMIFS(Q$8:Q$12,$C$8:$C$12,$A4)-SUMIFS(R$8:R$12,$C$8:$C$12,$A4)</f>
        <v>38959</v>
      </c>
      <c r="U4" s="131"/>
      <c r="V4" s="126">
        <f>SUMIFS(X$18:X$1003,U$18:U$1003,$B4)</f>
        <v>0</v>
      </c>
      <c r="W4" s="126">
        <f>S4+U4-V4+SUMIFS(U$8:U$12,$C$8:$C$12,$A4)-SUMIFS(V$8:V$12,$C$8:$C$12,$A4)</f>
        <v>38959</v>
      </c>
      <c r="Y4" s="131"/>
      <c r="Z4" s="126">
        <f>SUMIFS(AB$18:AB$1003,Y$18:Y$1003,$B4)</f>
        <v>0</v>
      </c>
      <c r="AA4" s="126">
        <f>W4+Y4-Z4+SUMIFS(Y$8:Y$12,$C$8:$C$12,$A4)-SUMIFS(Z$8:Z$12,$C$8:$C$12,$A4)</f>
        <v>38959</v>
      </c>
      <c r="AC4" s="131"/>
      <c r="AD4" s="126">
        <f>SUMIFS(AF$18:AF$1003,AC$18:AC$1003,$B4)</f>
        <v>0</v>
      </c>
      <c r="AE4" s="126">
        <f>AA4+AC4-AD4+SUMIFS(AC$8:AC$12,$C$8:$C$12,$A4)-SUMIFS(AD$8:AD$12,$C$8:$C$12,$A4)</f>
        <v>38959</v>
      </c>
    </row>
    <row r="5" spans="1:33" x14ac:dyDescent="0.35">
      <c r="A5" s="87" t="s">
        <v>297</v>
      </c>
      <c r="B5" s="85">
        <v>3</v>
      </c>
      <c r="D5" s="86">
        <v>10000</v>
      </c>
      <c r="E5" s="87">
        <v>0</v>
      </c>
      <c r="F5" s="87">
        <f>SUMIFS(H$18:H$1003,E$18:E$1003,$B5)</f>
        <v>0</v>
      </c>
      <c r="G5" s="87">
        <f>D5+E5-F5+SUMIFS(E$8:E$12,$C$8:$C$12,$A5)-SUMIFS(F$8:F$12,$C$8:$C$12,$A5)</f>
        <v>10000</v>
      </c>
      <c r="I5" s="89">
        <v>0</v>
      </c>
      <c r="J5" s="87">
        <f>SUMIFS(L$18:L$1002,I$18:I$1002,$B5)</f>
        <v>10000</v>
      </c>
      <c r="K5" s="87">
        <f>G5+I5-J5+SUMIFS(I$8:I$12,$C$8:$C$12,$A5)-SUMIFS(J$8:J$12,$C$8:$C$12,$A5)</f>
        <v>0</v>
      </c>
      <c r="L5" s="86"/>
      <c r="N5" s="87">
        <f>SUMIFS(P$18:P$1003,M$18:M$1003,$B5)</f>
        <v>0</v>
      </c>
      <c r="O5" s="87">
        <f>K5+M5-N5+SUMIFS(M$8:M$12,$C$8:$C$12,$A5)-SUMIFS(N$8:N$12,$C$8:$C$12,$A5)</f>
        <v>0</v>
      </c>
      <c r="R5" s="87">
        <f>SUMIFS(T$18:T$1003,Q$18:Q$1003,$B5)</f>
        <v>0</v>
      </c>
      <c r="S5" s="87">
        <f>O5+Q5-R5+SUMIFS(Q$8:Q$12,$C$8:$C$12,$A5)-SUMIFS(R$8:R$12,$C$8:$C$12,$A5)</f>
        <v>0</v>
      </c>
      <c r="V5" s="87">
        <f>SUMIFS(X$18:X$1003,U$18:U$1003,$B5)</f>
        <v>0</v>
      </c>
      <c r="W5" s="87">
        <f>S5+U5-V5+SUMIFS(U$8:U$12,$C$8:$C$12,$A5)-SUMIFS(V$8:V$12,$C$8:$C$12,$A5)</f>
        <v>0</v>
      </c>
      <c r="Z5" s="87">
        <f>SUMIFS(AB$18:AB$1003,Y$18:Y$1003,$B5)</f>
        <v>0</v>
      </c>
      <c r="AA5" s="87">
        <f>W5+Y5-Z5+SUMIFS(Y$8:Y$12,$C$8:$C$12,$A5)-SUMIFS(Z$8:Z$12,$C$8:$C$12,$A5)</f>
        <v>0</v>
      </c>
      <c r="AD5" s="87">
        <f>SUMIFS(AF$18:AF$1003,AC$18:AC$1003,$B5)</f>
        <v>0</v>
      </c>
      <c r="AE5" s="87">
        <f>AA5+AC5-AD5+SUMIFS(AC$8:AC$12,$C$8:$C$12,$A5)-SUMIFS(AD$8:AD$12,$C$8:$C$12,$A5)</f>
        <v>0</v>
      </c>
    </row>
    <row r="6" spans="1:33" x14ac:dyDescent="0.35">
      <c r="E6" s="87"/>
      <c r="I6" s="89"/>
    </row>
    <row r="7" spans="1:33" x14ac:dyDescent="0.35">
      <c r="A7" s="84" t="s">
        <v>298</v>
      </c>
      <c r="D7" s="84"/>
      <c r="E7" s="87">
        <f>SUM(E8:E12)</f>
        <v>8472</v>
      </c>
      <c r="F7" s="87">
        <f>SUM(F8:F12)</f>
        <v>3340</v>
      </c>
      <c r="I7" s="89">
        <f>SUM(I8:I12)</f>
        <v>21400</v>
      </c>
      <c r="J7" s="87">
        <f>SUM(J8:J12)</f>
        <v>2400</v>
      </c>
      <c r="M7" s="89">
        <f>SUM(M8:M12)</f>
        <v>32400</v>
      </c>
      <c r="N7" s="89">
        <f>SUM(N8:N12)</f>
        <v>7420.5</v>
      </c>
      <c r="Q7" s="89">
        <f>SUM(Q8:Q12)</f>
        <v>33372</v>
      </c>
      <c r="R7" s="87">
        <f>$Q$7</f>
        <v>33372</v>
      </c>
      <c r="U7" s="89">
        <f>SUM(U8:U12)</f>
        <v>34374</v>
      </c>
      <c r="V7" s="87">
        <f>$U$7</f>
        <v>34374</v>
      </c>
      <c r="Y7" s="89">
        <f>SUM(Y8:Y12)</f>
        <v>35406</v>
      </c>
      <c r="Z7" s="87">
        <f>$Y$7</f>
        <v>35406</v>
      </c>
      <c r="AC7" s="89">
        <f>SUM(AC8:AC12)</f>
        <v>36469</v>
      </c>
      <c r="AD7" s="87">
        <f>$AC$7</f>
        <v>36469</v>
      </c>
    </row>
    <row r="8" spans="1:33" x14ac:dyDescent="0.35">
      <c r="A8" s="86" t="s">
        <v>298</v>
      </c>
      <c r="B8" s="85">
        <v>4</v>
      </c>
      <c r="C8" s="87" t="s">
        <v>294</v>
      </c>
      <c r="D8" s="84"/>
      <c r="E8" s="87">
        <v>0</v>
      </c>
      <c r="F8" s="87">
        <f>SUMIFS(H$18:H$1003,E$18:E$1003,$B8)</f>
        <v>0</v>
      </c>
      <c r="I8" s="89">
        <f>ROUNDUP((E8)*RPICurrent,0)</f>
        <v>0</v>
      </c>
      <c r="J8" s="87">
        <f>SUMIFS(L$18:L$1002,I$18:I$1002,$B8)</f>
        <v>0</v>
      </c>
      <c r="M8" s="89">
        <v>30000</v>
      </c>
      <c r="N8" s="87">
        <f>SUMIFS(P$18:P$1002,M$18:M$1002,$B8)</f>
        <v>5020.5</v>
      </c>
      <c r="Q8" s="89">
        <f>ROUNDUP((M8)*RPI,0)</f>
        <v>30900</v>
      </c>
      <c r="R8" s="87">
        <f>$Q$8</f>
        <v>30900</v>
      </c>
      <c r="U8" s="89">
        <f>ROUNDUP((Q8)*RPI,0)</f>
        <v>31827</v>
      </c>
      <c r="V8" s="87">
        <f>$U$8</f>
        <v>31827</v>
      </c>
      <c r="Y8" s="89">
        <f>ROUNDUP((U8)*RPI,0)</f>
        <v>32782</v>
      </c>
      <c r="Z8" s="87">
        <f>$Y$8</f>
        <v>32782</v>
      </c>
      <c r="AC8" s="89">
        <f>ROUNDUP((Y8)*RPI,0)</f>
        <v>33766</v>
      </c>
      <c r="AD8" s="87">
        <f>$AC$8</f>
        <v>33766</v>
      </c>
    </row>
    <row r="9" spans="1:33" x14ac:dyDescent="0.35">
      <c r="A9" s="86" t="s">
        <v>299</v>
      </c>
      <c r="B9" s="85">
        <v>5</v>
      </c>
      <c r="C9" s="87" t="s">
        <v>294</v>
      </c>
      <c r="D9" s="84"/>
      <c r="E9" s="87">
        <v>2472</v>
      </c>
      <c r="F9" s="87">
        <f>SUMIFS(H$18:H$1003,E$18:E$1003,$B9)</f>
        <v>2400</v>
      </c>
      <c r="I9" s="89">
        <f>2400</f>
        <v>2400</v>
      </c>
      <c r="J9" s="87">
        <f>SUMIFS(L$18:L$1002,I$18:I$1002,$B9)</f>
        <v>2400</v>
      </c>
      <c r="M9" s="89">
        <v>2400</v>
      </c>
      <c r="N9" s="87">
        <f>SUMIFS(P$18:P$1002,M$18:M$1002,$B9)</f>
        <v>2400</v>
      </c>
      <c r="Q9" s="89">
        <f>ROUNDUP((M9)*RPI,0)</f>
        <v>2472</v>
      </c>
      <c r="R9" s="87">
        <f>$Q$9</f>
        <v>2472</v>
      </c>
      <c r="U9" s="89">
        <f>ROUNDUP((Q9)*RPI,0)</f>
        <v>2547</v>
      </c>
      <c r="V9" s="87">
        <f>$U$9</f>
        <v>2547</v>
      </c>
      <c r="Y9" s="89">
        <f>ROUNDUP((U9)*RPI,0)</f>
        <v>2624</v>
      </c>
      <c r="Z9" s="87">
        <f>$Y$9</f>
        <v>2624</v>
      </c>
      <c r="AC9" s="89">
        <f>ROUNDUP((Y9)*RPI,0)</f>
        <v>2703</v>
      </c>
      <c r="AD9" s="87">
        <f>$AC$9</f>
        <v>2703</v>
      </c>
    </row>
    <row r="10" spans="1:33" x14ac:dyDescent="0.35">
      <c r="A10" s="86" t="s">
        <v>296</v>
      </c>
      <c r="B10" s="85">
        <v>6</v>
      </c>
      <c r="C10" s="87" t="s">
        <v>296</v>
      </c>
      <c r="D10" s="84"/>
      <c r="E10" s="87">
        <v>5000</v>
      </c>
      <c r="F10" s="87">
        <f>SUMIFS(H$18:H$1003,E$18:E$1003,$B10)</f>
        <v>940</v>
      </c>
      <c r="I10" s="89">
        <v>0</v>
      </c>
      <c r="J10" s="87">
        <f>SUMIFS(L$18:L$1002,I$18:I$1002,$B10)</f>
        <v>0</v>
      </c>
      <c r="M10" s="89">
        <f>ROUNDUP((I10)*RPI,0)</f>
        <v>0</v>
      </c>
      <c r="N10" s="87">
        <f>SUMIFS(P$18:P$1002,M$18:M$1002,$B10)</f>
        <v>0</v>
      </c>
      <c r="Q10" s="89">
        <f>ROUNDUP((M10)*RPI,0)</f>
        <v>0</v>
      </c>
      <c r="R10" s="87">
        <f>$Q$10</f>
        <v>0</v>
      </c>
      <c r="U10" s="89">
        <f>ROUNDUP((Q10)*RPI,0)</f>
        <v>0</v>
      </c>
      <c r="V10" s="87">
        <f>$U$10</f>
        <v>0</v>
      </c>
      <c r="Y10" s="89">
        <f>ROUNDUP((U10)*RPI,0)</f>
        <v>0</v>
      </c>
      <c r="Z10" s="87">
        <f>$Y$10</f>
        <v>0</v>
      </c>
      <c r="AC10" s="89">
        <f>ROUNDUP((Y10)*RPI,0)</f>
        <v>0</v>
      </c>
      <c r="AD10" s="87">
        <f>$AC$10</f>
        <v>0</v>
      </c>
    </row>
    <row r="11" spans="1:33" x14ac:dyDescent="0.35">
      <c r="A11" s="86" t="s">
        <v>300</v>
      </c>
      <c r="B11" s="85">
        <v>7</v>
      </c>
      <c r="C11" s="87" t="s">
        <v>294</v>
      </c>
      <c r="D11" s="84"/>
      <c r="E11" s="87">
        <v>0</v>
      </c>
      <c r="F11" s="87">
        <f>SUMIFS(H$18:H$1003,E$18:E$1003,$B11)</f>
        <v>0</v>
      </c>
      <c r="I11" s="89">
        <v>15000</v>
      </c>
      <c r="J11" s="87">
        <f>SUMIFS(L$18:L$1002,I$18:I$1002,$B11)</f>
        <v>0</v>
      </c>
      <c r="M11" s="89">
        <v>0</v>
      </c>
      <c r="N11" s="87">
        <f>SUMIFS(P$18:P$1002,M$18:M$1002,$B11)</f>
        <v>0</v>
      </c>
      <c r="Q11" s="89">
        <f>ROUNDUP((M11)*RPI,0)</f>
        <v>0</v>
      </c>
      <c r="R11" s="87">
        <f>$Q$11</f>
        <v>0</v>
      </c>
      <c r="U11" s="89">
        <f>ROUNDUP((Q11)*RPI,0)</f>
        <v>0</v>
      </c>
      <c r="V11" s="87">
        <f>$U$11</f>
        <v>0</v>
      </c>
      <c r="Y11" s="89">
        <f>ROUNDUP((U11)*RPI,0)</f>
        <v>0</v>
      </c>
      <c r="Z11" s="87">
        <f>$Y$11</f>
        <v>0</v>
      </c>
      <c r="AC11" s="89">
        <f>ROUNDUP((Y11)*RPI,0)</f>
        <v>0</v>
      </c>
      <c r="AD11" s="87">
        <f>$AC$11</f>
        <v>0</v>
      </c>
    </row>
    <row r="12" spans="1:33" x14ac:dyDescent="0.35">
      <c r="A12" s="86" t="s">
        <v>301</v>
      </c>
      <c r="B12" s="85">
        <v>8</v>
      </c>
      <c r="C12" s="87" t="s">
        <v>294</v>
      </c>
      <c r="D12" s="84"/>
      <c r="E12" s="87">
        <v>1000</v>
      </c>
      <c r="F12" s="87">
        <f>SUMIFS(H$18:H$1003,E$18:E$1003,$B12)</f>
        <v>0</v>
      </c>
      <c r="I12" s="89">
        <v>4000</v>
      </c>
      <c r="J12" s="87">
        <f>SUMIFS(L$18:L$1002,I$18:I$1002,$B12)</f>
        <v>0</v>
      </c>
      <c r="M12" s="89">
        <v>0</v>
      </c>
      <c r="N12" s="87">
        <f>SUMIFS(P$18:P$1002,M$18:M$1002,$B12)</f>
        <v>0</v>
      </c>
      <c r="Q12" s="89">
        <f>ROUNDUP((M12)*RPI,0)</f>
        <v>0</v>
      </c>
      <c r="R12" s="87">
        <f>$Q$12</f>
        <v>0</v>
      </c>
      <c r="U12" s="89">
        <f>ROUNDUP((Q12)*RPI,0)</f>
        <v>0</v>
      </c>
      <c r="V12" s="87">
        <f>$U$12</f>
        <v>0</v>
      </c>
      <c r="Y12" s="89">
        <f>ROUNDUP((U12)*RPI,0)</f>
        <v>0</v>
      </c>
      <c r="Z12" s="87">
        <f>$Y$12</f>
        <v>0</v>
      </c>
      <c r="AC12" s="89">
        <f>ROUNDUP((Y12)*RPI,0)</f>
        <v>0</v>
      </c>
      <c r="AD12" s="87">
        <f>$AC$12</f>
        <v>0</v>
      </c>
    </row>
    <row r="13" spans="1:33" x14ac:dyDescent="0.35">
      <c r="E13" s="87"/>
      <c r="I13" s="89"/>
    </row>
    <row r="14" spans="1:33" x14ac:dyDescent="0.35">
      <c r="E14" s="87"/>
      <c r="I14" s="89"/>
    </row>
    <row r="15" spans="1:33" x14ac:dyDescent="0.35">
      <c r="E15" s="87"/>
      <c r="I15" s="89"/>
    </row>
    <row r="16" spans="1:33" x14ac:dyDescent="0.35">
      <c r="A16" s="84" t="s">
        <v>487</v>
      </c>
      <c r="F16" s="93"/>
      <c r="G16" s="85"/>
      <c r="H16" s="87"/>
      <c r="J16" s="93"/>
      <c r="K16" s="85"/>
      <c r="M16" s="94"/>
      <c r="N16" s="93"/>
      <c r="O16" s="85"/>
      <c r="Q16" s="94"/>
      <c r="R16" s="93"/>
      <c r="S16" s="85"/>
      <c r="U16" s="94"/>
      <c r="V16" s="93"/>
      <c r="W16" s="85"/>
      <c r="Y16" s="94"/>
      <c r="Z16" s="93"/>
      <c r="AA16" s="85"/>
      <c r="AC16" s="94"/>
      <c r="AD16" s="93"/>
      <c r="AE16" s="85"/>
    </row>
    <row r="17" spans="1:31" x14ac:dyDescent="0.35">
      <c r="E17" s="85" t="s">
        <v>484</v>
      </c>
      <c r="F17" s="93" t="s">
        <v>488</v>
      </c>
      <c r="G17" s="85" t="s">
        <v>489</v>
      </c>
      <c r="H17" s="87" t="s">
        <v>475</v>
      </c>
      <c r="I17" s="94" t="s">
        <v>484</v>
      </c>
      <c r="J17" s="93" t="s">
        <v>488</v>
      </c>
      <c r="K17" s="85" t="s">
        <v>489</v>
      </c>
      <c r="L17" s="87" t="s">
        <v>475</v>
      </c>
      <c r="M17" s="85" t="s">
        <v>484</v>
      </c>
      <c r="N17" s="93" t="s">
        <v>488</v>
      </c>
      <c r="O17" s="85" t="s">
        <v>489</v>
      </c>
      <c r="P17" s="87" t="s">
        <v>475</v>
      </c>
      <c r="Q17" s="94"/>
      <c r="R17" s="93"/>
      <c r="S17" s="85"/>
      <c r="U17" s="94"/>
      <c r="V17" s="93"/>
      <c r="W17" s="85"/>
      <c r="Y17" s="94"/>
      <c r="Z17" s="93"/>
      <c r="AA17" s="85"/>
      <c r="AC17" s="94"/>
      <c r="AD17" s="93"/>
      <c r="AE17" s="85"/>
    </row>
    <row r="18" spans="1:31" s="126" customFormat="1" ht="87" x14ac:dyDescent="0.35">
      <c r="A18" s="128"/>
      <c r="B18" s="128"/>
      <c r="C18" s="128"/>
      <c r="D18" s="128"/>
      <c r="E18" s="128">
        <v>5</v>
      </c>
      <c r="F18" s="138" t="s">
        <v>967</v>
      </c>
      <c r="G18" s="128" t="s">
        <v>299</v>
      </c>
      <c r="H18" s="126">
        <v>2400</v>
      </c>
      <c r="I18" s="139" t="s">
        <v>2247</v>
      </c>
      <c r="J18" s="138" t="s">
        <v>1897</v>
      </c>
      <c r="K18" s="128" t="s">
        <v>1898</v>
      </c>
      <c r="L18" s="126">
        <v>30000</v>
      </c>
      <c r="M18" s="139">
        <v>5</v>
      </c>
      <c r="N18" s="138" t="s">
        <v>790</v>
      </c>
      <c r="O18" s="128" t="s">
        <v>1902</v>
      </c>
      <c r="P18" s="126">
        <v>2400</v>
      </c>
      <c r="Q18" s="137"/>
      <c r="R18" s="138"/>
      <c r="S18" s="128"/>
      <c r="U18" s="137"/>
      <c r="V18" s="138"/>
      <c r="W18" s="128"/>
      <c r="Y18" s="137"/>
      <c r="Z18" s="138"/>
      <c r="AA18" s="128"/>
      <c r="AC18" s="137"/>
      <c r="AD18" s="138"/>
      <c r="AE18" s="128"/>
    </row>
    <row r="19" spans="1:31" x14ac:dyDescent="0.35">
      <c r="E19" s="85">
        <v>6</v>
      </c>
      <c r="F19" s="93">
        <v>44861</v>
      </c>
      <c r="G19" s="85" t="s">
        <v>1899</v>
      </c>
      <c r="H19" s="87">
        <v>940</v>
      </c>
      <c r="I19" s="94">
        <v>1</v>
      </c>
      <c r="J19" s="93">
        <v>45078</v>
      </c>
      <c r="K19" s="85" t="s">
        <v>1900</v>
      </c>
      <c r="L19" s="87">
        <v>190.4</v>
      </c>
      <c r="M19" s="94">
        <v>4</v>
      </c>
      <c r="N19" s="93">
        <v>45410</v>
      </c>
      <c r="O19" s="85" t="s">
        <v>2983</v>
      </c>
      <c r="P19" s="148">
        <v>20.5</v>
      </c>
      <c r="Q19" s="94"/>
      <c r="R19" s="93"/>
      <c r="S19" s="85"/>
      <c r="U19" s="94"/>
      <c r="V19" s="93"/>
      <c r="W19" s="85"/>
      <c r="Y19" s="94"/>
      <c r="Z19" s="93"/>
      <c r="AA19" s="85"/>
      <c r="AC19" s="94"/>
      <c r="AD19" s="93"/>
      <c r="AE19" s="85"/>
    </row>
    <row r="20" spans="1:31" x14ac:dyDescent="0.35">
      <c r="E20" s="92">
        <v>1</v>
      </c>
      <c r="F20" s="97" t="s">
        <v>699</v>
      </c>
      <c r="G20" s="92" t="s">
        <v>1901</v>
      </c>
      <c r="H20" s="90">
        <v>-4000</v>
      </c>
      <c r="I20" s="94">
        <v>5</v>
      </c>
      <c r="J20" s="93" t="s">
        <v>790</v>
      </c>
      <c r="K20" s="85" t="s">
        <v>1902</v>
      </c>
      <c r="L20" s="87">
        <v>2400</v>
      </c>
      <c r="M20" s="94">
        <v>4</v>
      </c>
      <c r="N20" s="93" t="s">
        <v>491</v>
      </c>
      <c r="O20" s="85" t="s">
        <v>3177</v>
      </c>
      <c r="P20" s="87">
        <v>5000</v>
      </c>
      <c r="Q20" s="94"/>
      <c r="R20" s="93"/>
      <c r="S20" s="85"/>
      <c r="U20" s="94"/>
      <c r="V20" s="93"/>
      <c r="W20" s="85"/>
      <c r="Y20" s="94"/>
      <c r="Z20" s="93"/>
      <c r="AA20" s="85"/>
      <c r="AC20" s="94"/>
      <c r="AD20" s="93"/>
      <c r="AE20" s="85"/>
    </row>
    <row r="21" spans="1:31" x14ac:dyDescent="0.35">
      <c r="E21" s="85">
        <v>2</v>
      </c>
      <c r="F21" s="93">
        <v>44791</v>
      </c>
      <c r="G21" s="85" t="s">
        <v>1903</v>
      </c>
      <c r="H21" s="87">
        <v>2050</v>
      </c>
      <c r="I21" s="94">
        <v>2</v>
      </c>
      <c r="J21" s="93">
        <v>45147</v>
      </c>
      <c r="K21" s="85" t="s">
        <v>1904</v>
      </c>
      <c r="L21" s="87">
        <v>2500</v>
      </c>
      <c r="M21" s="94"/>
      <c r="N21" s="93"/>
      <c r="O21" s="85"/>
      <c r="Q21" s="94"/>
      <c r="R21" s="93"/>
      <c r="S21" s="85"/>
      <c r="U21" s="94"/>
      <c r="V21" s="93"/>
      <c r="W21" s="85"/>
      <c r="Y21" s="94"/>
      <c r="Z21" s="93"/>
      <c r="AA21" s="85"/>
      <c r="AC21" s="94"/>
      <c r="AD21" s="93"/>
      <c r="AE21" s="85"/>
    </row>
    <row r="22" spans="1:31" x14ac:dyDescent="0.35">
      <c r="E22" s="85">
        <v>2</v>
      </c>
      <c r="F22" s="93">
        <v>44957</v>
      </c>
      <c r="G22" s="85" t="s">
        <v>1905</v>
      </c>
      <c r="H22" s="87">
        <v>2050</v>
      </c>
      <c r="I22" s="94">
        <v>1</v>
      </c>
      <c r="J22" s="93">
        <v>45301</v>
      </c>
      <c r="K22" s="85" t="s">
        <v>1906</v>
      </c>
      <c r="L22" s="87">
        <v>1178.3</v>
      </c>
      <c r="M22" s="94"/>
      <c r="N22" s="93"/>
      <c r="O22" s="85"/>
      <c r="Q22" s="94"/>
      <c r="R22" s="93"/>
      <c r="S22" s="85"/>
      <c r="U22" s="94"/>
      <c r="V22" s="93"/>
      <c r="W22" s="85"/>
      <c r="Y22" s="94"/>
      <c r="Z22" s="93"/>
      <c r="AA22" s="85"/>
      <c r="AC22" s="94"/>
      <c r="AD22" s="93"/>
      <c r="AE22" s="85"/>
    </row>
    <row r="23" spans="1:31" x14ac:dyDescent="0.35">
      <c r="F23" s="93"/>
      <c r="G23" s="85"/>
      <c r="H23" s="87"/>
      <c r="I23" s="95">
        <v>2</v>
      </c>
      <c r="J23" s="106">
        <v>45314</v>
      </c>
      <c r="K23" s="96" t="s">
        <v>1907</v>
      </c>
      <c r="L23" s="87">
        <v>5100</v>
      </c>
      <c r="M23" s="94"/>
      <c r="N23" s="93"/>
      <c r="O23" s="85"/>
      <c r="Q23" s="94"/>
      <c r="R23" s="93"/>
      <c r="S23" s="85"/>
      <c r="U23" s="94"/>
      <c r="V23" s="93"/>
      <c r="W23" s="85"/>
      <c r="Y23" s="94"/>
      <c r="Z23" s="93"/>
      <c r="AA23" s="85"/>
      <c r="AC23" s="94"/>
      <c r="AD23" s="93"/>
      <c r="AE23" s="85"/>
    </row>
    <row r="24" spans="1:31" x14ac:dyDescent="0.35">
      <c r="F24" s="93"/>
      <c r="G24" s="85"/>
      <c r="H24" s="87"/>
      <c r="I24" s="94">
        <v>3</v>
      </c>
      <c r="J24" s="93">
        <v>45278</v>
      </c>
      <c r="K24" s="85" t="s">
        <v>2356</v>
      </c>
      <c r="L24" s="87">
        <v>10000</v>
      </c>
      <c r="M24" s="94"/>
      <c r="N24" s="93"/>
      <c r="O24" s="85"/>
      <c r="Q24" s="94"/>
      <c r="R24" s="93"/>
      <c r="S24" s="85"/>
      <c r="U24" s="94"/>
      <c r="V24" s="93"/>
      <c r="W24" s="85"/>
      <c r="Y24" s="94"/>
      <c r="Z24" s="93"/>
      <c r="AA24" s="85"/>
      <c r="AC24" s="94"/>
      <c r="AD24" s="93"/>
      <c r="AE24" s="85"/>
    </row>
    <row r="25" spans="1:31" x14ac:dyDescent="0.35">
      <c r="F25" s="93"/>
      <c r="G25" s="85"/>
      <c r="H25" s="87"/>
      <c r="I25" s="95"/>
      <c r="J25" s="93"/>
      <c r="K25" s="85"/>
      <c r="M25" s="94"/>
      <c r="N25" s="93"/>
      <c r="O25" s="85"/>
      <c r="Q25" s="94"/>
      <c r="R25" s="93"/>
      <c r="S25" s="85"/>
      <c r="U25" s="94"/>
      <c r="V25" s="93"/>
      <c r="W25" s="85"/>
      <c r="Y25" s="94"/>
      <c r="Z25" s="93"/>
      <c r="AA25" s="85"/>
      <c r="AC25" s="94"/>
      <c r="AD25" s="93"/>
      <c r="AE25" s="85"/>
    </row>
    <row r="26" spans="1:31" x14ac:dyDescent="0.35">
      <c r="F26" s="93"/>
      <c r="G26" s="85"/>
      <c r="H26" s="87"/>
      <c r="I26" s="95"/>
      <c r="J26" s="93"/>
      <c r="K26" s="85"/>
      <c r="M26" s="94"/>
      <c r="N26" s="93"/>
      <c r="O26" s="85"/>
      <c r="Q26" s="94"/>
      <c r="R26" s="93"/>
      <c r="S26" s="85"/>
      <c r="U26" s="94"/>
      <c r="V26" s="93"/>
      <c r="W26" s="85"/>
      <c r="Y26" s="94"/>
      <c r="Z26" s="93"/>
      <c r="AA26" s="85"/>
      <c r="AC26" s="94"/>
      <c r="AD26" s="93"/>
      <c r="AE26" s="85"/>
    </row>
    <row r="27" spans="1:31" x14ac:dyDescent="0.35">
      <c r="F27" s="93"/>
      <c r="G27" s="85"/>
      <c r="H27" s="87"/>
      <c r="I27" s="95"/>
      <c r="J27" s="93"/>
      <c r="K27" s="85"/>
      <c r="M27" s="94"/>
      <c r="N27" s="93"/>
      <c r="O27" s="85"/>
      <c r="Q27" s="94"/>
      <c r="R27" s="93"/>
      <c r="S27" s="85"/>
      <c r="U27" s="94"/>
      <c r="V27" s="93"/>
      <c r="W27" s="85"/>
      <c r="Y27" s="94"/>
      <c r="Z27" s="93"/>
      <c r="AA27" s="85"/>
      <c r="AC27" s="94"/>
      <c r="AD27" s="93"/>
      <c r="AE27" s="85"/>
    </row>
    <row r="28" spans="1:31" x14ac:dyDescent="0.35">
      <c r="F28" s="93"/>
      <c r="G28" s="85"/>
      <c r="H28" s="87"/>
      <c r="I28" s="95"/>
      <c r="J28" s="93"/>
      <c r="K28" s="85"/>
      <c r="M28" s="94"/>
      <c r="N28" s="93"/>
      <c r="O28" s="85"/>
      <c r="Q28" s="94"/>
      <c r="R28" s="93"/>
      <c r="S28" s="85"/>
      <c r="U28" s="94"/>
      <c r="V28" s="93"/>
      <c r="W28" s="85"/>
      <c r="Y28" s="94"/>
      <c r="Z28" s="93"/>
      <c r="AA28" s="85"/>
      <c r="AC28" s="94"/>
      <c r="AD28" s="93"/>
      <c r="AE28" s="85"/>
    </row>
    <row r="29" spans="1:31" x14ac:dyDescent="0.35">
      <c r="F29" s="93"/>
      <c r="G29" s="85"/>
      <c r="H29" s="87"/>
      <c r="I29" s="95"/>
      <c r="J29" s="93"/>
      <c r="K29" s="85"/>
      <c r="M29" s="94"/>
      <c r="N29" s="93"/>
      <c r="O29" s="85"/>
      <c r="Q29" s="94"/>
      <c r="R29" s="93"/>
      <c r="S29" s="85"/>
      <c r="U29" s="94"/>
      <c r="V29" s="93"/>
      <c r="W29" s="85"/>
      <c r="Y29" s="94"/>
      <c r="Z29" s="93"/>
      <c r="AA29" s="85"/>
      <c r="AC29" s="94"/>
      <c r="AD29" s="93"/>
      <c r="AE29" s="85"/>
    </row>
    <row r="30" spans="1:31" x14ac:dyDescent="0.35">
      <c r="F30" s="93"/>
      <c r="G30" s="85"/>
      <c r="H30" s="87"/>
      <c r="I30" s="95"/>
      <c r="J30" s="93"/>
      <c r="K30" s="85"/>
      <c r="M30" s="94"/>
      <c r="N30" s="93"/>
      <c r="O30" s="85"/>
      <c r="Q30" s="94"/>
      <c r="R30" s="93"/>
      <c r="S30" s="85"/>
      <c r="U30" s="94"/>
      <c r="V30" s="93"/>
      <c r="W30" s="85"/>
      <c r="Y30" s="94"/>
      <c r="Z30" s="93"/>
      <c r="AA30" s="85"/>
      <c r="AC30" s="94"/>
      <c r="AD30" s="93"/>
      <c r="AE30" s="85"/>
    </row>
    <row r="31" spans="1:31" x14ac:dyDescent="0.35">
      <c r="F31" s="93"/>
      <c r="G31" s="85"/>
      <c r="H31" s="87"/>
      <c r="I31" s="95"/>
      <c r="J31" s="93"/>
      <c r="K31" s="85"/>
      <c r="M31" s="94"/>
      <c r="N31" s="93"/>
      <c r="O31" s="85"/>
      <c r="Q31" s="94"/>
      <c r="R31" s="93"/>
      <c r="S31" s="85"/>
      <c r="U31" s="94"/>
      <c r="V31" s="93"/>
      <c r="W31" s="85"/>
      <c r="Y31" s="94"/>
      <c r="Z31" s="93"/>
      <c r="AA31" s="85"/>
      <c r="AC31" s="94"/>
      <c r="AD31" s="93"/>
      <c r="AE31" s="85"/>
    </row>
    <row r="32" spans="1:31" x14ac:dyDescent="0.35">
      <c r="F32" s="93"/>
      <c r="G32" s="85"/>
      <c r="H32" s="87"/>
      <c r="I32" s="95"/>
      <c r="J32" s="93"/>
      <c r="K32" s="85"/>
      <c r="M32" s="94"/>
      <c r="N32" s="93"/>
      <c r="O32" s="85"/>
      <c r="Q32" s="94"/>
      <c r="R32" s="93"/>
      <c r="S32" s="85"/>
      <c r="U32" s="94"/>
      <c r="V32" s="93"/>
      <c r="W32" s="85"/>
      <c r="Y32" s="94"/>
      <c r="Z32" s="93"/>
      <c r="AA32" s="85"/>
      <c r="AC32" s="94"/>
      <c r="AD32" s="93"/>
      <c r="AE32" s="85"/>
    </row>
    <row r="33" spans="6:31" x14ac:dyDescent="0.35">
      <c r="F33" s="93"/>
      <c r="G33" s="85"/>
      <c r="H33" s="87"/>
      <c r="I33" s="95"/>
      <c r="J33" s="93"/>
      <c r="K33" s="85"/>
      <c r="M33" s="94"/>
      <c r="N33" s="93"/>
      <c r="O33" s="85"/>
      <c r="Q33" s="94"/>
      <c r="R33" s="93"/>
      <c r="S33" s="85"/>
      <c r="U33" s="94"/>
      <c r="V33" s="93"/>
      <c r="W33" s="85"/>
      <c r="Y33" s="94"/>
      <c r="Z33" s="93"/>
      <c r="AA33" s="85"/>
      <c r="AC33" s="94"/>
      <c r="AD33" s="93"/>
      <c r="AE33" s="85"/>
    </row>
    <row r="34" spans="6:31" x14ac:dyDescent="0.35">
      <c r="F34" s="93"/>
      <c r="G34" s="85"/>
      <c r="H34" s="87"/>
      <c r="I34" s="95"/>
      <c r="J34" s="93"/>
      <c r="K34" s="85"/>
      <c r="M34" s="94"/>
      <c r="N34" s="93"/>
      <c r="O34" s="85"/>
      <c r="Q34" s="94"/>
      <c r="R34" s="93"/>
      <c r="S34" s="85"/>
      <c r="U34" s="94"/>
      <c r="V34" s="93"/>
      <c r="W34" s="85"/>
      <c r="Y34" s="94"/>
      <c r="Z34" s="93"/>
      <c r="AA34" s="85"/>
      <c r="AC34" s="94"/>
      <c r="AD34" s="93"/>
      <c r="AE34" s="85"/>
    </row>
    <row r="35" spans="6:31" x14ac:dyDescent="0.35">
      <c r="F35" s="93"/>
      <c r="G35" s="85"/>
      <c r="H35" s="87"/>
      <c r="I35" s="95"/>
      <c r="J35" s="93"/>
      <c r="K35" s="85"/>
      <c r="M35" s="94"/>
      <c r="N35" s="93"/>
      <c r="O35" s="85"/>
      <c r="Q35" s="94"/>
      <c r="R35" s="93"/>
      <c r="S35" s="85"/>
      <c r="U35" s="94"/>
      <c r="V35" s="93"/>
      <c r="W35" s="85"/>
      <c r="Y35" s="94"/>
      <c r="Z35" s="93"/>
      <c r="AA35" s="85"/>
      <c r="AC35" s="94"/>
      <c r="AD35" s="93"/>
      <c r="AE35" s="85"/>
    </row>
    <row r="36" spans="6:31" x14ac:dyDescent="0.35">
      <c r="F36" s="93"/>
      <c r="G36" s="85"/>
      <c r="H36" s="87"/>
      <c r="I36" s="95"/>
      <c r="J36" s="93"/>
      <c r="K36" s="85"/>
      <c r="M36" s="94"/>
      <c r="N36" s="93"/>
      <c r="O36" s="85"/>
      <c r="Q36" s="94"/>
      <c r="R36" s="93"/>
      <c r="S36" s="85"/>
      <c r="U36" s="94"/>
      <c r="V36" s="93"/>
      <c r="W36" s="85"/>
      <c r="Y36" s="94"/>
      <c r="Z36" s="93"/>
      <c r="AA36" s="85"/>
      <c r="AC36" s="94"/>
      <c r="AD36" s="93"/>
      <c r="AE36" s="85"/>
    </row>
    <row r="37" spans="6:31" x14ac:dyDescent="0.35">
      <c r="F37" s="93"/>
      <c r="G37" s="85"/>
      <c r="H37" s="87"/>
      <c r="J37" s="93"/>
      <c r="K37" s="85"/>
      <c r="M37" s="94"/>
      <c r="N37" s="93"/>
      <c r="O37" s="85"/>
      <c r="Q37" s="94"/>
      <c r="R37" s="93"/>
      <c r="S37" s="85"/>
      <c r="U37" s="94"/>
      <c r="V37" s="93"/>
      <c r="W37" s="85"/>
      <c r="Y37" s="94"/>
      <c r="Z37" s="93"/>
      <c r="AA37" s="85"/>
      <c r="AC37" s="94"/>
      <c r="AD37" s="93"/>
      <c r="AE37" s="85"/>
    </row>
    <row r="38" spans="6:31" x14ac:dyDescent="0.35">
      <c r="F38" s="93"/>
      <c r="G38" s="85"/>
      <c r="H38" s="87"/>
      <c r="J38" s="93"/>
      <c r="K38" s="85"/>
      <c r="M38" s="94"/>
      <c r="N38" s="93"/>
      <c r="O38" s="85"/>
      <c r="Q38" s="94"/>
      <c r="R38" s="93"/>
      <c r="S38" s="85"/>
      <c r="U38" s="94"/>
      <c r="V38" s="93"/>
      <c r="W38" s="85"/>
      <c r="Y38" s="94"/>
      <c r="Z38" s="93"/>
      <c r="AA38" s="85"/>
      <c r="AC38" s="94"/>
      <c r="AD38" s="93"/>
      <c r="AE38" s="85"/>
    </row>
    <row r="39" spans="6:31" x14ac:dyDescent="0.35">
      <c r="F39" s="93"/>
      <c r="G39" s="85"/>
      <c r="H39" s="87"/>
      <c r="J39" s="93"/>
      <c r="K39" s="85"/>
      <c r="M39" s="94"/>
      <c r="N39" s="93"/>
      <c r="O39" s="85"/>
      <c r="Q39" s="94"/>
      <c r="R39" s="93"/>
      <c r="S39" s="85"/>
      <c r="U39" s="94"/>
      <c r="V39" s="93"/>
      <c r="W39" s="85"/>
      <c r="Y39" s="94"/>
      <c r="Z39" s="93"/>
      <c r="AA39" s="85"/>
      <c r="AC39" s="94"/>
      <c r="AD39" s="93"/>
      <c r="AE39" s="85"/>
    </row>
    <row r="40" spans="6:31" x14ac:dyDescent="0.35">
      <c r="F40" s="93"/>
      <c r="G40" s="85"/>
      <c r="H40" s="87"/>
      <c r="J40" s="93"/>
      <c r="K40" s="85"/>
      <c r="M40" s="94"/>
      <c r="N40" s="93"/>
      <c r="O40" s="85"/>
      <c r="Q40" s="94"/>
      <c r="R40" s="93"/>
      <c r="S40" s="85"/>
      <c r="U40" s="94"/>
      <c r="V40" s="93"/>
      <c r="W40" s="85"/>
      <c r="Y40" s="94"/>
      <c r="Z40" s="93"/>
      <c r="AA40" s="85"/>
      <c r="AC40" s="94"/>
      <c r="AD40" s="93"/>
      <c r="AE40" s="85"/>
    </row>
    <row r="41" spans="6:31" x14ac:dyDescent="0.35">
      <c r="F41" s="93"/>
      <c r="G41" s="85"/>
      <c r="H41" s="87"/>
      <c r="J41" s="93"/>
      <c r="K41" s="85"/>
      <c r="M41" s="94"/>
      <c r="N41" s="93"/>
      <c r="O41" s="85"/>
      <c r="Q41" s="94"/>
      <c r="R41" s="93"/>
      <c r="S41" s="85"/>
      <c r="U41" s="94"/>
      <c r="V41" s="93"/>
      <c r="W41" s="85"/>
      <c r="Y41" s="94"/>
      <c r="Z41" s="93"/>
      <c r="AA41" s="85"/>
      <c r="AC41" s="94"/>
      <c r="AD41" s="93"/>
      <c r="AE41" s="85"/>
    </row>
    <row r="42" spans="6:31" x14ac:dyDescent="0.35">
      <c r="F42" s="93"/>
      <c r="G42" s="85"/>
      <c r="H42" s="87"/>
      <c r="J42" s="93"/>
      <c r="K42" s="85"/>
      <c r="M42" s="94"/>
      <c r="N42" s="93"/>
      <c r="O42" s="85"/>
      <c r="Q42" s="94"/>
      <c r="R42" s="93"/>
      <c r="S42" s="85"/>
      <c r="U42" s="94"/>
      <c r="V42" s="93"/>
      <c r="W42" s="85"/>
      <c r="Y42" s="94"/>
      <c r="Z42" s="93"/>
      <c r="AA42" s="85"/>
      <c r="AC42" s="94"/>
      <c r="AD42" s="93"/>
      <c r="AE42" s="85"/>
    </row>
    <row r="43" spans="6:31" x14ac:dyDescent="0.35">
      <c r="F43" s="93"/>
      <c r="G43" s="85"/>
      <c r="H43" s="87"/>
      <c r="J43" s="93"/>
      <c r="K43" s="85"/>
      <c r="M43" s="94"/>
      <c r="N43" s="93"/>
      <c r="O43" s="85"/>
      <c r="Q43" s="94"/>
      <c r="R43" s="93"/>
      <c r="S43" s="85"/>
      <c r="U43" s="94"/>
      <c r="V43" s="93"/>
      <c r="W43" s="85"/>
      <c r="Y43" s="94"/>
      <c r="Z43" s="93"/>
      <c r="AA43" s="85"/>
      <c r="AC43" s="94"/>
      <c r="AD43" s="93"/>
      <c r="AE43" s="85"/>
    </row>
    <row r="44" spans="6:31" x14ac:dyDescent="0.35">
      <c r="F44" s="93"/>
      <c r="G44" s="85"/>
      <c r="H44" s="87"/>
      <c r="J44" s="93"/>
      <c r="K44" s="85"/>
      <c r="M44" s="94"/>
      <c r="N44" s="93"/>
      <c r="O44" s="85"/>
      <c r="Q44" s="94"/>
      <c r="R44" s="93"/>
      <c r="S44" s="85"/>
      <c r="U44" s="94"/>
      <c r="V44" s="93"/>
      <c r="W44" s="85"/>
      <c r="Y44" s="94"/>
      <c r="Z44" s="93"/>
      <c r="AA44" s="85"/>
      <c r="AC44" s="94"/>
      <c r="AD44" s="93"/>
      <c r="AE44" s="85"/>
    </row>
    <row r="45" spans="6:31" x14ac:dyDescent="0.35">
      <c r="F45" s="93"/>
      <c r="G45" s="85"/>
      <c r="H45" s="87"/>
      <c r="J45" s="93"/>
      <c r="K45" s="85"/>
      <c r="M45" s="94"/>
      <c r="N45" s="93"/>
      <c r="O45" s="85"/>
      <c r="Q45" s="94"/>
      <c r="R45" s="93"/>
      <c r="S45" s="85"/>
      <c r="U45" s="94"/>
      <c r="V45" s="93"/>
      <c r="W45" s="85"/>
      <c r="Y45" s="94"/>
      <c r="Z45" s="93"/>
      <c r="AA45" s="85"/>
      <c r="AC45" s="94"/>
      <c r="AD45" s="93"/>
      <c r="AE45" s="85"/>
    </row>
    <row r="46" spans="6:31" x14ac:dyDescent="0.35">
      <c r="F46" s="93"/>
      <c r="G46" s="85"/>
      <c r="H46" s="87"/>
      <c r="J46" s="93"/>
      <c r="K46" s="85"/>
      <c r="M46" s="94"/>
      <c r="N46" s="93"/>
      <c r="O46" s="85"/>
      <c r="Q46" s="94"/>
      <c r="R46" s="93"/>
      <c r="S46" s="85"/>
      <c r="U46" s="94"/>
      <c r="V46" s="93"/>
      <c r="W46" s="85"/>
      <c r="Y46" s="94"/>
      <c r="Z46" s="93"/>
      <c r="AA46" s="85"/>
      <c r="AC46" s="94"/>
      <c r="AD46" s="93"/>
      <c r="AE46" s="85"/>
    </row>
    <row r="47" spans="6:31" x14ac:dyDescent="0.35">
      <c r="F47" s="93"/>
      <c r="G47" s="85"/>
      <c r="H47" s="87"/>
      <c r="J47" s="93"/>
      <c r="K47" s="85"/>
      <c r="M47" s="94"/>
      <c r="N47" s="93"/>
      <c r="O47" s="85"/>
      <c r="Q47" s="94"/>
      <c r="R47" s="93"/>
      <c r="S47" s="85"/>
      <c r="U47" s="94"/>
      <c r="V47" s="93"/>
      <c r="W47" s="85"/>
      <c r="Y47" s="94"/>
      <c r="Z47" s="93"/>
      <c r="AA47" s="85"/>
      <c r="AC47" s="94"/>
      <c r="AD47" s="93"/>
      <c r="AE47" s="85"/>
    </row>
    <row r="48" spans="6:31" x14ac:dyDescent="0.35">
      <c r="F48" s="93"/>
      <c r="G48" s="85"/>
      <c r="H48" s="87"/>
      <c r="J48" s="93"/>
      <c r="K48" s="85"/>
      <c r="M48" s="94"/>
      <c r="N48" s="93"/>
      <c r="O48" s="85"/>
      <c r="Q48" s="94"/>
      <c r="R48" s="93"/>
      <c r="S48" s="85"/>
      <c r="U48" s="94"/>
      <c r="V48" s="93"/>
      <c r="W48" s="85"/>
      <c r="Y48" s="94"/>
      <c r="Z48" s="93"/>
      <c r="AA48" s="85"/>
      <c r="AC48" s="94"/>
      <c r="AD48" s="93"/>
      <c r="AE48" s="85"/>
    </row>
    <row r="49" spans="6:31" x14ac:dyDescent="0.35">
      <c r="F49" s="93"/>
      <c r="G49" s="85"/>
      <c r="H49" s="87"/>
      <c r="J49" s="93"/>
      <c r="K49" s="85"/>
      <c r="M49" s="94"/>
      <c r="N49" s="93"/>
      <c r="O49" s="85"/>
      <c r="Q49" s="94"/>
      <c r="R49" s="93"/>
      <c r="S49" s="85"/>
      <c r="U49" s="94"/>
      <c r="V49" s="93"/>
      <c r="W49" s="85"/>
      <c r="Y49" s="94"/>
      <c r="Z49" s="93"/>
      <c r="AA49" s="85"/>
      <c r="AC49" s="94"/>
      <c r="AD49" s="93"/>
      <c r="AE49" s="85"/>
    </row>
    <row r="50" spans="6:31" x14ac:dyDescent="0.35">
      <c r="F50" s="93"/>
      <c r="G50" s="85"/>
      <c r="H50" s="87"/>
      <c r="J50" s="93"/>
      <c r="K50" s="85"/>
      <c r="M50" s="94"/>
      <c r="N50" s="93"/>
      <c r="O50" s="85"/>
      <c r="Q50" s="94"/>
      <c r="R50" s="93"/>
      <c r="S50" s="85"/>
      <c r="U50" s="94"/>
      <c r="V50" s="93"/>
      <c r="W50" s="85"/>
      <c r="Y50" s="94"/>
      <c r="Z50" s="93"/>
      <c r="AA50" s="85"/>
      <c r="AC50" s="94"/>
      <c r="AD50" s="93"/>
      <c r="AE50" s="85"/>
    </row>
    <row r="51" spans="6:31" x14ac:dyDescent="0.35">
      <c r="F51" s="93"/>
      <c r="G51" s="85"/>
      <c r="H51" s="87"/>
      <c r="J51" s="93"/>
      <c r="K51" s="85"/>
      <c r="M51" s="94"/>
      <c r="N51" s="93"/>
      <c r="O51" s="85"/>
      <c r="Q51" s="94"/>
      <c r="R51" s="93"/>
      <c r="S51" s="85"/>
      <c r="U51" s="94"/>
      <c r="V51" s="93"/>
      <c r="W51" s="85"/>
      <c r="Y51" s="94"/>
      <c r="Z51" s="93"/>
      <c r="AA51" s="85"/>
      <c r="AC51" s="94"/>
      <c r="AD51" s="93"/>
      <c r="AE51" s="85"/>
    </row>
    <row r="52" spans="6:31" x14ac:dyDescent="0.35">
      <c r="F52" s="93"/>
      <c r="G52" s="85"/>
      <c r="H52" s="87"/>
      <c r="J52" s="93"/>
      <c r="K52" s="85"/>
      <c r="M52" s="94"/>
      <c r="N52" s="93"/>
      <c r="O52" s="85"/>
      <c r="Q52" s="94"/>
      <c r="R52" s="93"/>
      <c r="S52" s="85"/>
      <c r="U52" s="94"/>
      <c r="V52" s="93"/>
      <c r="W52" s="85"/>
      <c r="Y52" s="94"/>
      <c r="Z52" s="93"/>
      <c r="AA52" s="85"/>
      <c r="AC52" s="94"/>
      <c r="AD52" s="93"/>
      <c r="AE52" s="85"/>
    </row>
    <row r="53" spans="6:31" x14ac:dyDescent="0.35">
      <c r="F53" s="93"/>
      <c r="G53" s="85"/>
      <c r="H53" s="87"/>
      <c r="J53" s="93"/>
      <c r="K53" s="85"/>
      <c r="M53" s="94"/>
      <c r="N53" s="93"/>
      <c r="O53" s="85"/>
      <c r="Q53" s="94"/>
      <c r="R53" s="93"/>
      <c r="S53" s="85"/>
      <c r="U53" s="94"/>
      <c r="V53" s="93"/>
      <c r="W53" s="85"/>
      <c r="Y53" s="94"/>
      <c r="Z53" s="93"/>
      <c r="AA53" s="85"/>
      <c r="AC53" s="94"/>
      <c r="AD53" s="93"/>
      <c r="AE53" s="85"/>
    </row>
    <row r="54" spans="6:31" x14ac:dyDescent="0.35">
      <c r="F54" s="93"/>
      <c r="G54" s="85"/>
      <c r="H54" s="87"/>
      <c r="J54" s="93"/>
      <c r="K54" s="85"/>
      <c r="M54" s="94"/>
      <c r="N54" s="93"/>
      <c r="O54" s="85"/>
      <c r="Q54" s="94"/>
      <c r="R54" s="93"/>
      <c r="S54" s="85"/>
      <c r="U54" s="94"/>
      <c r="V54" s="93"/>
      <c r="W54" s="85"/>
      <c r="Y54" s="94"/>
      <c r="Z54" s="93"/>
      <c r="AA54" s="85"/>
      <c r="AC54" s="94"/>
      <c r="AD54" s="93"/>
      <c r="AE54" s="85"/>
    </row>
    <row r="55" spans="6:31" x14ac:dyDescent="0.35">
      <c r="F55" s="93"/>
      <c r="G55" s="85"/>
      <c r="H55" s="87"/>
      <c r="J55" s="93"/>
      <c r="K55" s="85"/>
      <c r="M55" s="94"/>
      <c r="N55" s="93"/>
      <c r="O55" s="85"/>
      <c r="Q55" s="94"/>
      <c r="R55" s="93"/>
      <c r="S55" s="85"/>
      <c r="U55" s="94"/>
      <c r="V55" s="93"/>
      <c r="W55" s="85"/>
      <c r="Y55" s="94"/>
      <c r="Z55" s="93"/>
      <c r="AA55" s="85"/>
      <c r="AC55" s="94"/>
      <c r="AD55" s="93"/>
      <c r="AE55" s="85"/>
    </row>
    <row r="56" spans="6:31" x14ac:dyDescent="0.35">
      <c r="F56" s="93"/>
      <c r="G56" s="85"/>
      <c r="H56" s="87"/>
      <c r="J56" s="93"/>
      <c r="K56" s="85"/>
      <c r="M56" s="94"/>
      <c r="N56" s="93"/>
      <c r="O56" s="85"/>
      <c r="Q56" s="94"/>
      <c r="R56" s="93"/>
      <c r="S56" s="85"/>
      <c r="U56" s="94"/>
      <c r="V56" s="93"/>
      <c r="W56" s="85"/>
      <c r="Y56" s="94"/>
      <c r="Z56" s="93"/>
      <c r="AA56" s="85"/>
      <c r="AC56" s="94"/>
      <c r="AD56" s="93"/>
      <c r="AE56" s="85"/>
    </row>
    <row r="57" spans="6:31" x14ac:dyDescent="0.35">
      <c r="F57" s="93"/>
      <c r="G57" s="85"/>
      <c r="H57" s="87"/>
      <c r="J57" s="93"/>
      <c r="K57" s="85"/>
      <c r="M57" s="94"/>
      <c r="N57" s="93"/>
      <c r="O57" s="85"/>
      <c r="Q57" s="94"/>
      <c r="R57" s="93"/>
      <c r="S57" s="85"/>
      <c r="U57" s="94"/>
      <c r="V57" s="93"/>
      <c r="W57" s="85"/>
      <c r="Y57" s="94"/>
      <c r="Z57" s="93"/>
      <c r="AA57" s="85"/>
      <c r="AC57" s="94"/>
      <c r="AD57" s="93"/>
      <c r="AE57" s="85"/>
    </row>
    <row r="58" spans="6:31" x14ac:dyDescent="0.35">
      <c r="F58" s="93"/>
      <c r="G58" s="85"/>
      <c r="H58" s="87"/>
      <c r="J58" s="93"/>
      <c r="K58" s="85"/>
      <c r="M58" s="94"/>
      <c r="N58" s="93"/>
      <c r="O58" s="85"/>
      <c r="Q58" s="94"/>
      <c r="R58" s="93"/>
      <c r="S58" s="85"/>
      <c r="U58" s="94"/>
      <c r="V58" s="93"/>
      <c r="W58" s="85"/>
      <c r="Y58" s="94"/>
      <c r="Z58" s="93"/>
      <c r="AA58" s="85"/>
      <c r="AC58" s="94"/>
      <c r="AD58" s="93"/>
      <c r="AE58" s="85"/>
    </row>
    <row r="59" spans="6:31" x14ac:dyDescent="0.35">
      <c r="F59" s="93"/>
      <c r="G59" s="85"/>
      <c r="H59" s="87"/>
      <c r="J59" s="93"/>
      <c r="K59" s="85"/>
      <c r="M59" s="94"/>
      <c r="N59" s="93"/>
      <c r="O59" s="85"/>
      <c r="Q59" s="94"/>
      <c r="R59" s="93"/>
      <c r="S59" s="85"/>
      <c r="U59" s="94"/>
      <c r="V59" s="93"/>
      <c r="W59" s="85"/>
      <c r="Y59" s="94"/>
      <c r="Z59" s="93"/>
      <c r="AA59" s="85"/>
      <c r="AC59" s="94"/>
      <c r="AD59" s="93"/>
      <c r="AE59" s="85"/>
    </row>
    <row r="60" spans="6:31" x14ac:dyDescent="0.35">
      <c r="F60" s="93"/>
      <c r="G60" s="85"/>
      <c r="H60" s="87"/>
      <c r="J60" s="93"/>
      <c r="K60" s="85"/>
      <c r="M60" s="94"/>
      <c r="N60" s="93"/>
      <c r="O60" s="85"/>
      <c r="Q60" s="94"/>
      <c r="R60" s="93"/>
      <c r="S60" s="85"/>
      <c r="U60" s="94"/>
      <c r="V60" s="93"/>
      <c r="W60" s="85"/>
      <c r="Y60" s="94"/>
      <c r="Z60" s="93"/>
      <c r="AA60" s="85"/>
      <c r="AC60" s="94"/>
      <c r="AD60" s="93"/>
      <c r="AE60" s="85"/>
    </row>
    <row r="61" spans="6:31" x14ac:dyDescent="0.35">
      <c r="F61" s="93"/>
      <c r="G61" s="85"/>
      <c r="H61" s="87"/>
      <c r="J61" s="93"/>
      <c r="K61" s="85"/>
      <c r="M61" s="94"/>
      <c r="N61" s="93"/>
      <c r="O61" s="85"/>
      <c r="Q61" s="94"/>
      <c r="R61" s="93"/>
      <c r="S61" s="85"/>
      <c r="U61" s="94"/>
      <c r="V61" s="93"/>
      <c r="W61" s="85"/>
      <c r="Y61" s="94"/>
      <c r="Z61" s="93"/>
      <c r="AA61" s="85"/>
      <c r="AC61" s="94"/>
      <c r="AD61" s="93"/>
      <c r="AE61" s="85"/>
    </row>
    <row r="62" spans="6:31" x14ac:dyDescent="0.35">
      <c r="F62" s="93"/>
      <c r="G62" s="85"/>
      <c r="H62" s="87"/>
      <c r="J62" s="93"/>
      <c r="K62" s="85"/>
      <c r="M62" s="94"/>
      <c r="N62" s="93"/>
      <c r="O62" s="85"/>
      <c r="Q62" s="94"/>
      <c r="R62" s="93"/>
      <c r="S62" s="85"/>
      <c r="U62" s="94"/>
      <c r="V62" s="93"/>
      <c r="W62" s="85"/>
      <c r="Y62" s="94"/>
      <c r="Z62" s="93"/>
      <c r="AA62" s="85"/>
      <c r="AC62" s="94"/>
      <c r="AD62" s="93"/>
      <c r="AE62" s="85"/>
    </row>
    <row r="63" spans="6:31" x14ac:dyDescent="0.35">
      <c r="F63" s="93"/>
      <c r="G63" s="85"/>
      <c r="H63" s="87"/>
      <c r="J63" s="93"/>
      <c r="K63" s="85"/>
      <c r="M63" s="94"/>
      <c r="N63" s="93"/>
      <c r="O63" s="85"/>
      <c r="Q63" s="94"/>
      <c r="R63" s="93"/>
      <c r="S63" s="85"/>
      <c r="U63" s="94"/>
      <c r="V63" s="93"/>
      <c r="W63" s="85"/>
      <c r="Y63" s="94"/>
      <c r="Z63" s="93"/>
      <c r="AA63" s="85"/>
      <c r="AC63" s="94"/>
      <c r="AD63" s="93"/>
      <c r="AE63" s="85"/>
    </row>
    <row r="64" spans="6:31" x14ac:dyDescent="0.35">
      <c r="F64" s="93"/>
      <c r="G64" s="85"/>
      <c r="H64" s="87"/>
      <c r="J64" s="93"/>
      <c r="K64" s="85"/>
      <c r="M64" s="94"/>
      <c r="N64" s="93"/>
      <c r="O64" s="85"/>
      <c r="Q64" s="94"/>
      <c r="R64" s="93"/>
      <c r="S64" s="85"/>
      <c r="U64" s="94"/>
      <c r="V64" s="93"/>
      <c r="W64" s="85"/>
      <c r="Y64" s="94"/>
      <c r="Z64" s="93"/>
      <c r="AA64" s="85"/>
      <c r="AC64" s="94"/>
      <c r="AD64" s="93"/>
      <c r="AE64" s="85"/>
    </row>
    <row r="65" spans="6:31" x14ac:dyDescent="0.35">
      <c r="F65" s="93"/>
      <c r="G65" s="85"/>
      <c r="H65" s="87"/>
      <c r="J65" s="93"/>
      <c r="K65" s="85"/>
      <c r="M65" s="94"/>
      <c r="N65" s="93"/>
      <c r="O65" s="85"/>
      <c r="Q65" s="94"/>
      <c r="R65" s="93"/>
      <c r="S65" s="85"/>
      <c r="U65" s="94"/>
      <c r="V65" s="93"/>
      <c r="W65" s="85"/>
      <c r="Y65" s="94"/>
      <c r="Z65" s="93"/>
      <c r="AA65" s="85"/>
      <c r="AC65" s="94"/>
      <c r="AD65" s="93"/>
      <c r="AE65" s="85"/>
    </row>
    <row r="66" spans="6:31" x14ac:dyDescent="0.35">
      <c r="F66" s="93"/>
      <c r="G66" s="85"/>
      <c r="H66" s="87"/>
      <c r="J66" s="93"/>
      <c r="K66" s="85"/>
      <c r="M66" s="94"/>
      <c r="N66" s="93"/>
      <c r="O66" s="85"/>
      <c r="Q66" s="94"/>
      <c r="R66" s="93"/>
      <c r="S66" s="85"/>
      <c r="U66" s="94"/>
      <c r="V66" s="93"/>
      <c r="W66" s="85"/>
      <c r="Y66" s="94"/>
      <c r="Z66" s="93"/>
      <c r="AA66" s="85"/>
      <c r="AC66" s="94"/>
      <c r="AD66" s="93"/>
      <c r="AE66" s="85"/>
    </row>
    <row r="67" spans="6:31" x14ac:dyDescent="0.35">
      <c r="F67" s="93"/>
      <c r="G67" s="85"/>
      <c r="H67" s="87"/>
      <c r="J67" s="93"/>
      <c r="K67" s="85"/>
      <c r="M67" s="94"/>
      <c r="N67" s="93"/>
      <c r="O67" s="85"/>
      <c r="Q67" s="94"/>
      <c r="R67" s="93"/>
      <c r="S67" s="85"/>
      <c r="U67" s="94"/>
      <c r="V67" s="93"/>
      <c r="W67" s="85"/>
      <c r="Y67" s="94"/>
      <c r="Z67" s="93"/>
      <c r="AA67" s="85"/>
      <c r="AC67" s="94"/>
      <c r="AD67" s="93"/>
      <c r="AE67" s="85"/>
    </row>
    <row r="68" spans="6:31" x14ac:dyDescent="0.35">
      <c r="F68" s="93"/>
      <c r="G68" s="85"/>
      <c r="H68" s="87"/>
      <c r="J68" s="93"/>
      <c r="K68" s="85"/>
      <c r="M68" s="94"/>
      <c r="N68" s="93"/>
      <c r="O68" s="85"/>
      <c r="Q68" s="94"/>
      <c r="R68" s="93"/>
      <c r="S68" s="85"/>
      <c r="U68" s="94"/>
      <c r="V68" s="93"/>
      <c r="W68" s="85"/>
      <c r="Y68" s="94"/>
      <c r="Z68" s="93"/>
      <c r="AA68" s="85"/>
      <c r="AC68" s="94"/>
      <c r="AD68" s="93"/>
      <c r="AE68" s="85"/>
    </row>
    <row r="69" spans="6:31" x14ac:dyDescent="0.35">
      <c r="F69" s="93"/>
      <c r="G69" s="85"/>
      <c r="H69" s="87"/>
      <c r="J69" s="93"/>
      <c r="K69" s="85"/>
      <c r="M69" s="94"/>
      <c r="N69" s="93"/>
      <c r="O69" s="85"/>
      <c r="Q69" s="94"/>
      <c r="R69" s="93"/>
      <c r="S69" s="85"/>
      <c r="U69" s="94"/>
      <c r="V69" s="93"/>
      <c r="W69" s="85"/>
      <c r="Y69" s="94"/>
      <c r="Z69" s="93"/>
      <c r="AA69" s="85"/>
      <c r="AC69" s="94"/>
      <c r="AD69" s="93"/>
      <c r="AE69" s="85"/>
    </row>
    <row r="70" spans="6:31" x14ac:dyDescent="0.35">
      <c r="F70" s="93"/>
      <c r="G70" s="85"/>
      <c r="H70" s="87"/>
      <c r="J70" s="93"/>
      <c r="K70" s="85"/>
      <c r="M70" s="94"/>
      <c r="N70" s="93"/>
      <c r="O70" s="85"/>
      <c r="Q70" s="94"/>
      <c r="R70" s="93"/>
      <c r="S70" s="85"/>
      <c r="U70" s="94"/>
      <c r="V70" s="93"/>
      <c r="W70" s="85"/>
      <c r="Y70" s="94"/>
      <c r="Z70" s="93"/>
      <c r="AA70" s="85"/>
      <c r="AC70" s="94"/>
      <c r="AD70" s="93"/>
      <c r="AE70" s="85"/>
    </row>
    <row r="71" spans="6:31" x14ac:dyDescent="0.35">
      <c r="F71" s="93"/>
      <c r="G71" s="85"/>
      <c r="H71" s="87"/>
      <c r="J71" s="93"/>
      <c r="K71" s="85"/>
      <c r="M71" s="94"/>
      <c r="N71" s="93"/>
      <c r="O71" s="85"/>
      <c r="Q71" s="94"/>
      <c r="R71" s="93"/>
      <c r="S71" s="85"/>
      <c r="U71" s="94"/>
      <c r="V71" s="93"/>
      <c r="W71" s="85"/>
      <c r="Y71" s="94"/>
      <c r="Z71" s="93"/>
      <c r="AA71" s="85"/>
      <c r="AC71" s="94"/>
      <c r="AD71" s="93"/>
      <c r="AE71" s="85"/>
    </row>
    <row r="72" spans="6:31" x14ac:dyDescent="0.35">
      <c r="F72" s="93"/>
      <c r="G72" s="85"/>
      <c r="H72" s="87"/>
      <c r="J72" s="93"/>
      <c r="K72" s="85"/>
      <c r="M72" s="94"/>
      <c r="N72" s="93"/>
      <c r="O72" s="85"/>
      <c r="Q72" s="94"/>
      <c r="R72" s="93"/>
      <c r="S72" s="85"/>
      <c r="U72" s="94"/>
      <c r="V72" s="93"/>
      <c r="W72" s="85"/>
      <c r="Y72" s="94"/>
      <c r="Z72" s="93"/>
      <c r="AA72" s="85"/>
      <c r="AC72" s="94"/>
      <c r="AD72" s="93"/>
      <c r="AE72" s="85"/>
    </row>
    <row r="73" spans="6:31" x14ac:dyDescent="0.35">
      <c r="F73" s="93"/>
      <c r="G73" s="85"/>
      <c r="H73" s="87"/>
      <c r="J73" s="93"/>
      <c r="K73" s="85"/>
      <c r="M73" s="94"/>
      <c r="N73" s="93"/>
      <c r="O73" s="85"/>
      <c r="Q73" s="94"/>
      <c r="R73" s="93"/>
      <c r="S73" s="85"/>
      <c r="U73" s="94"/>
      <c r="V73" s="93"/>
      <c r="W73" s="85"/>
      <c r="Y73" s="94"/>
      <c r="Z73" s="93"/>
      <c r="AA73" s="85"/>
      <c r="AC73" s="94"/>
      <c r="AD73" s="93"/>
      <c r="AE73" s="85"/>
    </row>
    <row r="74" spans="6:31" x14ac:dyDescent="0.35">
      <c r="F74" s="93"/>
      <c r="G74" s="85"/>
      <c r="H74" s="87"/>
      <c r="J74" s="93"/>
      <c r="K74" s="85"/>
      <c r="M74" s="94"/>
      <c r="N74" s="93"/>
      <c r="O74" s="85"/>
      <c r="Q74" s="94"/>
      <c r="R74" s="93"/>
      <c r="S74" s="85"/>
      <c r="U74" s="94"/>
      <c r="V74" s="93"/>
      <c r="W74" s="85"/>
      <c r="Y74" s="94"/>
      <c r="Z74" s="93"/>
      <c r="AA74" s="85"/>
      <c r="AC74" s="94"/>
      <c r="AD74" s="93"/>
      <c r="AE74" s="85"/>
    </row>
    <row r="75" spans="6:31" x14ac:dyDescent="0.35">
      <c r="F75" s="93"/>
      <c r="G75" s="85"/>
      <c r="H75" s="87"/>
      <c r="J75" s="93"/>
      <c r="K75" s="85"/>
      <c r="M75" s="94"/>
      <c r="N75" s="93"/>
      <c r="O75" s="85"/>
      <c r="Q75" s="94"/>
      <c r="R75" s="93"/>
      <c r="S75" s="85"/>
      <c r="U75" s="94"/>
      <c r="V75" s="93"/>
      <c r="W75" s="85"/>
      <c r="Y75" s="94"/>
      <c r="Z75" s="93"/>
      <c r="AA75" s="85"/>
      <c r="AC75" s="94"/>
      <c r="AD75" s="93"/>
      <c r="AE75" s="85"/>
    </row>
    <row r="76" spans="6:31" x14ac:dyDescent="0.35">
      <c r="F76" s="93"/>
      <c r="G76" s="85"/>
      <c r="H76" s="87"/>
      <c r="J76" s="93"/>
      <c r="K76" s="85"/>
      <c r="M76" s="94"/>
      <c r="N76" s="93"/>
      <c r="O76" s="85"/>
      <c r="Q76" s="94"/>
      <c r="R76" s="93"/>
      <c r="S76" s="85"/>
      <c r="U76" s="94"/>
      <c r="V76" s="93"/>
      <c r="W76" s="85"/>
      <c r="Y76" s="94"/>
      <c r="Z76" s="93"/>
      <c r="AA76" s="85"/>
      <c r="AC76" s="94"/>
      <c r="AD76" s="93"/>
      <c r="AE76" s="85"/>
    </row>
    <row r="77" spans="6:31" x14ac:dyDescent="0.35">
      <c r="F77" s="93"/>
      <c r="G77" s="85"/>
      <c r="H77" s="87"/>
      <c r="J77" s="93"/>
      <c r="K77" s="85"/>
      <c r="M77" s="94"/>
      <c r="N77" s="93"/>
      <c r="O77" s="85"/>
      <c r="Q77" s="94"/>
      <c r="R77" s="93"/>
      <c r="S77" s="85"/>
      <c r="U77" s="94"/>
      <c r="V77" s="93"/>
      <c r="W77" s="85"/>
      <c r="Y77" s="94"/>
      <c r="Z77" s="93"/>
      <c r="AA77" s="85"/>
      <c r="AC77" s="94"/>
      <c r="AD77" s="93"/>
      <c r="AE77" s="85"/>
    </row>
    <row r="78" spans="6:31" x14ac:dyDescent="0.35">
      <c r="F78" s="93"/>
      <c r="G78" s="85"/>
      <c r="H78" s="87"/>
      <c r="J78" s="93"/>
      <c r="K78" s="85"/>
      <c r="M78" s="94"/>
      <c r="N78" s="93"/>
      <c r="O78" s="85"/>
      <c r="Q78" s="94"/>
      <c r="R78" s="93"/>
      <c r="S78" s="85"/>
      <c r="U78" s="94"/>
      <c r="V78" s="93"/>
      <c r="W78" s="85"/>
      <c r="Y78" s="94"/>
      <c r="Z78" s="93"/>
      <c r="AA78" s="85"/>
      <c r="AC78" s="94"/>
      <c r="AD78" s="93"/>
      <c r="AE78" s="85"/>
    </row>
    <row r="79" spans="6:31" x14ac:dyDescent="0.35">
      <c r="F79" s="93"/>
      <c r="G79" s="85"/>
      <c r="H79" s="87"/>
      <c r="J79" s="93"/>
      <c r="K79" s="85"/>
      <c r="M79" s="94"/>
      <c r="N79" s="93"/>
      <c r="O79" s="85"/>
      <c r="Q79" s="94"/>
      <c r="R79" s="93"/>
      <c r="S79" s="85"/>
      <c r="U79" s="94"/>
      <c r="V79" s="93"/>
      <c r="W79" s="85"/>
      <c r="Y79" s="94"/>
      <c r="Z79" s="93"/>
      <c r="AA79" s="85"/>
      <c r="AC79" s="94"/>
      <c r="AD79" s="93"/>
      <c r="AE79" s="85"/>
    </row>
    <row r="80" spans="6:31" x14ac:dyDescent="0.35">
      <c r="F80" s="93"/>
      <c r="G80" s="85"/>
      <c r="H80" s="87"/>
      <c r="J80" s="93"/>
      <c r="K80" s="85"/>
      <c r="M80" s="94"/>
      <c r="N80" s="93"/>
      <c r="O80" s="85"/>
      <c r="Q80" s="94"/>
      <c r="R80" s="93"/>
      <c r="S80" s="85"/>
      <c r="U80" s="94"/>
      <c r="V80" s="93"/>
      <c r="W80" s="85"/>
      <c r="Y80" s="94"/>
      <c r="Z80" s="93"/>
      <c r="AA80" s="85"/>
      <c r="AC80" s="94"/>
      <c r="AD80" s="93"/>
      <c r="AE80" s="85"/>
    </row>
    <row r="81" spans="6:31" x14ac:dyDescent="0.35">
      <c r="F81" s="93"/>
      <c r="G81" s="85"/>
      <c r="H81" s="87"/>
      <c r="J81" s="93"/>
      <c r="K81" s="85"/>
      <c r="M81" s="94"/>
      <c r="N81" s="93"/>
      <c r="O81" s="85"/>
      <c r="Q81" s="94"/>
      <c r="R81" s="93"/>
      <c r="S81" s="85"/>
      <c r="U81" s="94"/>
      <c r="V81" s="93"/>
      <c r="W81" s="85"/>
      <c r="Y81" s="94"/>
      <c r="Z81" s="93"/>
      <c r="AA81" s="85"/>
      <c r="AC81" s="94"/>
      <c r="AD81" s="93"/>
      <c r="AE81" s="85"/>
    </row>
    <row r="82" spans="6:31" x14ac:dyDescent="0.35">
      <c r="F82" s="93"/>
      <c r="G82" s="85"/>
      <c r="H82" s="87"/>
      <c r="J82" s="93"/>
      <c r="K82" s="85"/>
      <c r="M82" s="94"/>
      <c r="N82" s="93"/>
      <c r="O82" s="85"/>
      <c r="Q82" s="94"/>
      <c r="R82" s="93"/>
      <c r="S82" s="85"/>
      <c r="U82" s="94"/>
      <c r="V82" s="93"/>
      <c r="W82" s="85"/>
      <c r="Y82" s="94"/>
      <c r="Z82" s="93"/>
      <c r="AA82" s="85"/>
      <c r="AC82" s="94"/>
      <c r="AD82" s="93"/>
      <c r="AE82" s="85"/>
    </row>
    <row r="83" spans="6:31" x14ac:dyDescent="0.35">
      <c r="F83" s="93"/>
      <c r="G83" s="85"/>
      <c r="H83" s="87"/>
      <c r="J83" s="93"/>
      <c r="K83" s="85"/>
      <c r="M83" s="94"/>
      <c r="N83" s="93"/>
      <c r="O83" s="85"/>
      <c r="Q83" s="94"/>
      <c r="R83" s="93"/>
      <c r="S83" s="85"/>
      <c r="U83" s="94"/>
      <c r="V83" s="93"/>
      <c r="W83" s="85"/>
      <c r="Y83" s="94"/>
      <c r="Z83" s="93"/>
      <c r="AA83" s="85"/>
      <c r="AC83" s="94"/>
      <c r="AD83" s="93"/>
      <c r="AE83" s="85"/>
    </row>
    <row r="84" spans="6:31" x14ac:dyDescent="0.35">
      <c r="F84" s="93"/>
      <c r="G84" s="85"/>
      <c r="H84" s="87"/>
      <c r="J84" s="93"/>
      <c r="K84" s="85"/>
      <c r="M84" s="94"/>
      <c r="N84" s="93"/>
      <c r="O84" s="85"/>
      <c r="Q84" s="94"/>
      <c r="R84" s="93"/>
      <c r="S84" s="85"/>
      <c r="U84" s="94"/>
      <c r="V84" s="93"/>
      <c r="W84" s="85"/>
      <c r="Y84" s="94"/>
      <c r="Z84" s="93"/>
      <c r="AA84" s="85"/>
      <c r="AC84" s="94"/>
      <c r="AD84" s="93"/>
      <c r="AE84" s="85"/>
    </row>
    <row r="85" spans="6:31" x14ac:dyDescent="0.35">
      <c r="F85" s="93"/>
      <c r="G85" s="85"/>
      <c r="H85" s="87"/>
      <c r="J85" s="93"/>
      <c r="K85" s="85"/>
      <c r="M85" s="94"/>
      <c r="N85" s="93"/>
      <c r="O85" s="85"/>
      <c r="Q85" s="94"/>
      <c r="R85" s="93"/>
      <c r="S85" s="85"/>
      <c r="U85" s="94"/>
      <c r="V85" s="93"/>
      <c r="W85" s="85"/>
      <c r="Y85" s="94"/>
      <c r="Z85" s="93"/>
      <c r="AA85" s="85"/>
      <c r="AC85" s="94"/>
      <c r="AD85" s="93"/>
      <c r="AE85" s="85"/>
    </row>
    <row r="86" spans="6:31" x14ac:dyDescent="0.35">
      <c r="F86" s="93"/>
      <c r="G86" s="85"/>
      <c r="H86" s="87"/>
      <c r="J86" s="93"/>
      <c r="K86" s="85"/>
      <c r="M86" s="94"/>
      <c r="N86" s="93"/>
      <c r="O86" s="85"/>
      <c r="Q86" s="94"/>
      <c r="R86" s="93"/>
      <c r="S86" s="85"/>
      <c r="U86" s="94"/>
      <c r="V86" s="93"/>
      <c r="W86" s="85"/>
      <c r="Y86" s="94"/>
      <c r="Z86" s="93"/>
      <c r="AA86" s="85"/>
      <c r="AC86" s="94"/>
      <c r="AD86" s="93"/>
      <c r="AE86" s="85"/>
    </row>
    <row r="87" spans="6:31" x14ac:dyDescent="0.35">
      <c r="F87" s="93"/>
      <c r="G87" s="85"/>
      <c r="H87" s="87"/>
      <c r="J87" s="93"/>
      <c r="K87" s="85"/>
      <c r="M87" s="94"/>
      <c r="N87" s="93"/>
      <c r="O87" s="85"/>
      <c r="Q87" s="94"/>
      <c r="R87" s="93"/>
      <c r="S87" s="85"/>
      <c r="U87" s="94"/>
      <c r="V87" s="93"/>
      <c r="W87" s="85"/>
      <c r="Y87" s="94"/>
      <c r="Z87" s="93"/>
      <c r="AA87" s="85"/>
      <c r="AC87" s="94"/>
      <c r="AD87" s="93"/>
      <c r="AE87" s="85"/>
    </row>
    <row r="88" spans="6:31" x14ac:dyDescent="0.35">
      <c r="F88" s="93"/>
      <c r="G88" s="85"/>
      <c r="H88" s="87"/>
      <c r="J88" s="93"/>
      <c r="K88" s="85"/>
      <c r="M88" s="94"/>
      <c r="N88" s="93"/>
      <c r="O88" s="85"/>
      <c r="Q88" s="94"/>
      <c r="R88" s="93"/>
      <c r="S88" s="85"/>
      <c r="U88" s="94"/>
      <c r="V88" s="93"/>
      <c r="W88" s="85"/>
      <c r="Y88" s="94"/>
      <c r="Z88" s="93"/>
      <c r="AA88" s="85"/>
      <c r="AC88" s="94"/>
      <c r="AD88" s="93"/>
      <c r="AE88" s="85"/>
    </row>
    <row r="89" spans="6:31" x14ac:dyDescent="0.35">
      <c r="F89" s="93"/>
      <c r="G89" s="85"/>
      <c r="H89" s="87"/>
      <c r="J89" s="93"/>
      <c r="K89" s="85"/>
      <c r="M89" s="94"/>
      <c r="N89" s="93"/>
      <c r="O89" s="85"/>
      <c r="Q89" s="94"/>
      <c r="R89" s="93"/>
      <c r="S89" s="85"/>
      <c r="U89" s="94"/>
      <c r="V89" s="93"/>
      <c r="W89" s="85"/>
      <c r="Y89" s="94"/>
      <c r="Z89" s="93"/>
      <c r="AA89" s="85"/>
      <c r="AC89" s="94"/>
      <c r="AD89" s="93"/>
      <c r="AE89" s="85"/>
    </row>
    <row r="90" spans="6:31" x14ac:dyDescent="0.35">
      <c r="F90" s="93"/>
      <c r="G90" s="85"/>
      <c r="H90" s="87"/>
      <c r="J90" s="93"/>
      <c r="K90" s="85"/>
      <c r="M90" s="94"/>
      <c r="N90" s="93"/>
      <c r="O90" s="85"/>
      <c r="Q90" s="94"/>
      <c r="R90" s="93"/>
      <c r="S90" s="85"/>
      <c r="U90" s="94"/>
      <c r="V90" s="93"/>
      <c r="W90" s="85"/>
      <c r="Y90" s="94"/>
      <c r="Z90" s="93"/>
      <c r="AA90" s="85"/>
      <c r="AC90" s="94"/>
      <c r="AD90" s="93"/>
      <c r="AE90" s="85"/>
    </row>
    <row r="91" spans="6:31" x14ac:dyDescent="0.35">
      <c r="F91" s="93"/>
      <c r="G91" s="85"/>
      <c r="H91" s="87"/>
      <c r="J91" s="93"/>
      <c r="K91" s="85"/>
      <c r="M91" s="94"/>
      <c r="N91" s="93"/>
      <c r="O91" s="85"/>
      <c r="Q91" s="94"/>
      <c r="R91" s="93"/>
      <c r="S91" s="85"/>
      <c r="U91" s="94"/>
      <c r="V91" s="93"/>
      <c r="W91" s="85"/>
      <c r="Y91" s="94"/>
      <c r="Z91" s="93"/>
      <c r="AA91" s="85"/>
      <c r="AC91" s="94"/>
      <c r="AD91" s="93"/>
      <c r="AE91" s="85"/>
    </row>
    <row r="92" spans="6:31" x14ac:dyDescent="0.35">
      <c r="F92" s="93"/>
      <c r="G92" s="85"/>
      <c r="H92" s="87"/>
      <c r="J92" s="93"/>
      <c r="K92" s="85"/>
      <c r="M92" s="94"/>
      <c r="N92" s="93"/>
      <c r="O92" s="85"/>
      <c r="Q92" s="94"/>
      <c r="R92" s="93"/>
      <c r="S92" s="85"/>
      <c r="U92" s="94"/>
      <c r="V92" s="93"/>
      <c r="W92" s="85"/>
      <c r="Y92" s="94"/>
      <c r="Z92" s="93"/>
      <c r="AA92" s="85"/>
      <c r="AC92" s="94"/>
      <c r="AD92" s="93"/>
      <c r="AE92" s="85"/>
    </row>
    <row r="93" spans="6:31" x14ac:dyDescent="0.35">
      <c r="F93" s="93"/>
      <c r="G93" s="85"/>
      <c r="H93" s="87"/>
      <c r="J93" s="93"/>
      <c r="K93" s="85"/>
      <c r="M93" s="94"/>
      <c r="N93" s="93"/>
      <c r="O93" s="85"/>
      <c r="Q93" s="94"/>
      <c r="R93" s="93"/>
      <c r="S93" s="85"/>
      <c r="U93" s="94"/>
      <c r="V93" s="93"/>
      <c r="W93" s="85"/>
      <c r="Y93" s="94"/>
      <c r="Z93" s="93"/>
      <c r="AA93" s="85"/>
      <c r="AC93" s="94"/>
      <c r="AD93" s="93"/>
      <c r="AE93" s="85"/>
    </row>
    <row r="94" spans="6:31" x14ac:dyDescent="0.35">
      <c r="F94" s="93"/>
      <c r="G94" s="85"/>
      <c r="H94" s="87"/>
      <c r="J94" s="93"/>
      <c r="K94" s="85"/>
      <c r="M94" s="94"/>
      <c r="N94" s="93"/>
      <c r="O94" s="85"/>
      <c r="Q94" s="94"/>
      <c r="R94" s="93"/>
      <c r="S94" s="85"/>
      <c r="U94" s="94"/>
      <c r="V94" s="93"/>
      <c r="W94" s="85"/>
      <c r="Y94" s="94"/>
      <c r="Z94" s="93"/>
      <c r="AA94" s="85"/>
      <c r="AC94" s="94"/>
      <c r="AD94" s="93"/>
      <c r="AE94" s="85"/>
    </row>
    <row r="95" spans="6:31" x14ac:dyDescent="0.35">
      <c r="F95" s="93"/>
      <c r="G95" s="85"/>
      <c r="H95" s="87"/>
      <c r="J95" s="93"/>
      <c r="K95" s="85"/>
      <c r="M95" s="94"/>
      <c r="N95" s="93"/>
      <c r="O95" s="85"/>
      <c r="Q95" s="94"/>
      <c r="R95" s="93"/>
      <c r="S95" s="85"/>
      <c r="U95" s="94"/>
      <c r="V95" s="93"/>
      <c r="W95" s="85"/>
      <c r="Y95" s="94"/>
      <c r="Z95" s="93"/>
      <c r="AA95" s="85"/>
      <c r="AC95" s="94"/>
      <c r="AD95" s="93"/>
      <c r="AE95" s="85"/>
    </row>
    <row r="96" spans="6:31" x14ac:dyDescent="0.35">
      <c r="F96" s="93"/>
      <c r="G96" s="85"/>
      <c r="H96" s="87"/>
      <c r="J96" s="93"/>
      <c r="K96" s="85"/>
      <c r="M96" s="94"/>
      <c r="N96" s="93"/>
      <c r="O96" s="85"/>
      <c r="Q96" s="94"/>
      <c r="R96" s="93"/>
      <c r="S96" s="85"/>
      <c r="U96" s="94"/>
      <c r="V96" s="93"/>
      <c r="W96" s="85"/>
      <c r="Y96" s="94"/>
      <c r="Z96" s="93"/>
      <c r="AA96" s="85"/>
      <c r="AC96" s="94"/>
      <c r="AD96" s="93"/>
      <c r="AE96" s="85"/>
    </row>
    <row r="97" spans="6:31" x14ac:dyDescent="0.35">
      <c r="F97" s="93"/>
      <c r="G97" s="85"/>
      <c r="H97" s="87"/>
      <c r="J97" s="93"/>
      <c r="K97" s="85"/>
      <c r="M97" s="94"/>
      <c r="N97" s="93"/>
      <c r="O97" s="85"/>
      <c r="Q97" s="94"/>
      <c r="R97" s="93"/>
      <c r="S97" s="85"/>
      <c r="U97" s="94"/>
      <c r="V97" s="93"/>
      <c r="W97" s="85"/>
      <c r="Y97" s="94"/>
      <c r="Z97" s="93"/>
      <c r="AA97" s="85"/>
      <c r="AC97" s="94"/>
      <c r="AD97" s="93"/>
      <c r="AE97" s="85"/>
    </row>
    <row r="98" spans="6:31" x14ac:dyDescent="0.35">
      <c r="F98" s="93"/>
      <c r="G98" s="85"/>
      <c r="H98" s="87"/>
      <c r="J98" s="93"/>
      <c r="K98" s="85"/>
      <c r="M98" s="94"/>
      <c r="N98" s="93"/>
      <c r="O98" s="85"/>
      <c r="Q98" s="94"/>
      <c r="R98" s="93"/>
      <c r="S98" s="85"/>
      <c r="U98" s="94"/>
      <c r="V98" s="93"/>
      <c r="W98" s="85"/>
      <c r="Y98" s="94"/>
      <c r="Z98" s="93"/>
      <c r="AA98" s="85"/>
      <c r="AC98" s="94"/>
      <c r="AD98" s="93"/>
      <c r="AE98" s="85"/>
    </row>
    <row r="99" spans="6:31" x14ac:dyDescent="0.35">
      <c r="F99" s="93"/>
      <c r="G99" s="85"/>
      <c r="H99" s="87"/>
      <c r="J99" s="93"/>
      <c r="K99" s="85"/>
      <c r="M99" s="94"/>
      <c r="N99" s="93"/>
      <c r="O99" s="85"/>
      <c r="Q99" s="94"/>
      <c r="R99" s="93"/>
      <c r="S99" s="85"/>
      <c r="U99" s="94"/>
      <c r="V99" s="93"/>
      <c r="W99" s="85"/>
      <c r="Y99" s="94"/>
      <c r="Z99" s="93"/>
      <c r="AA99" s="85"/>
      <c r="AC99" s="94"/>
      <c r="AD99" s="93"/>
      <c r="AE99" s="85"/>
    </row>
    <row r="100" spans="6:31" x14ac:dyDescent="0.35">
      <c r="F100" s="93"/>
      <c r="G100" s="85"/>
      <c r="H100" s="87"/>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M1000" s="94"/>
      <c r="N1000" s="93"/>
      <c r="O1000" s="85"/>
      <c r="Q1000" s="94"/>
      <c r="R1000" s="93"/>
      <c r="S1000" s="85"/>
      <c r="U1000" s="94"/>
      <c r="V1000" s="93"/>
      <c r="W1000" s="85"/>
      <c r="Y1000" s="94"/>
      <c r="Z1000" s="93"/>
      <c r="AA1000" s="85"/>
      <c r="AC1000" s="94"/>
      <c r="AD1000" s="93"/>
      <c r="AE1000" s="85"/>
    </row>
  </sheetData>
  <conditionalFormatting sqref="A1:AG1048576">
    <cfRule type="expression" dxfId="1" priority="1">
      <formula>$A4="Spend to Date"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F37"/>
  <sheetViews>
    <sheetView zoomScaleNormal="100" workbookViewId="0">
      <pane xSplit="1" ySplit="2" topLeftCell="N25" activePane="bottomRight" state="frozen"/>
      <selection activeCell="K13" sqref="K13"/>
      <selection pane="topRight" activeCell="K13" sqref="K13"/>
      <selection pane="bottomLeft" activeCell="K13" sqref="K13"/>
      <selection pane="bottomRight" activeCell="P3" sqref="P3:Q37"/>
    </sheetView>
  </sheetViews>
  <sheetFormatPr defaultColWidth="13.453125" defaultRowHeight="14.5" x14ac:dyDescent="0.35"/>
  <cols>
    <col min="1" max="1" width="50.1796875" style="1" bestFit="1" customWidth="1"/>
    <col min="2" max="2" width="19.453125" style="1" bestFit="1" customWidth="1"/>
    <col min="3" max="3" width="13.453125" style="1"/>
    <col min="4" max="9" width="0" style="1" hidden="1" customWidth="1"/>
    <col min="10" max="12" width="13.453125" style="1"/>
    <col min="13" max="30" width="13.453125" style="1" customWidth="1"/>
    <col min="31" max="31" width="15.1796875" style="1" bestFit="1" customWidth="1"/>
    <col min="32" max="32" width="19.54296875" style="1" customWidth="1"/>
    <col min="33" max="33" width="13.453125" style="1" customWidth="1"/>
    <col min="34" max="16384" width="13.453125" style="1"/>
  </cols>
  <sheetData>
    <row r="1" spans="1:32" s="2" customFormat="1" ht="15.5" x14ac:dyDescent="0.35">
      <c r="A1" s="4" t="s">
        <v>381</v>
      </c>
      <c r="B1" s="4" t="s">
        <v>346</v>
      </c>
      <c r="C1" s="4" t="s">
        <v>347</v>
      </c>
      <c r="D1" s="159" t="s">
        <v>348</v>
      </c>
      <c r="E1" s="159"/>
      <c r="F1" s="159"/>
      <c r="G1" s="159" t="s">
        <v>349</v>
      </c>
      <c r="H1" s="159"/>
      <c r="I1" s="159"/>
      <c r="J1" s="159" t="s">
        <v>350</v>
      </c>
      <c r="K1" s="159"/>
      <c r="L1" s="159"/>
      <c r="M1" s="159" t="s">
        <v>351</v>
      </c>
      <c r="N1" s="159"/>
      <c r="O1" s="159"/>
      <c r="P1" s="159" t="s">
        <v>352</v>
      </c>
      <c r="Q1" s="159"/>
      <c r="R1" s="159"/>
      <c r="S1" s="159" t="s">
        <v>353</v>
      </c>
      <c r="T1" s="159"/>
      <c r="U1" s="159"/>
      <c r="V1" s="159" t="s">
        <v>354</v>
      </c>
      <c r="W1" s="159"/>
      <c r="X1" s="159"/>
      <c r="Y1" s="159" t="s">
        <v>355</v>
      </c>
      <c r="Z1" s="159"/>
      <c r="AA1" s="159"/>
      <c r="AB1" s="159" t="s">
        <v>356</v>
      </c>
      <c r="AC1" s="159"/>
      <c r="AD1" s="159"/>
      <c r="AE1" s="4" t="s">
        <v>357</v>
      </c>
      <c r="AF1" s="4" t="s">
        <v>358</v>
      </c>
    </row>
    <row r="2" spans="1:32" s="2" customFormat="1" ht="62" x14ac:dyDescent="0.35">
      <c r="D2" s="2" t="s">
        <v>359</v>
      </c>
      <c r="E2" s="2" t="s">
        <v>360</v>
      </c>
      <c r="F2" s="3" t="s">
        <v>361</v>
      </c>
      <c r="G2" s="2" t="s">
        <v>359</v>
      </c>
      <c r="H2" s="2" t="s">
        <v>360</v>
      </c>
      <c r="I2" s="3" t="s">
        <v>361</v>
      </c>
      <c r="J2" s="2" t="s">
        <v>359</v>
      </c>
      <c r="K2" s="3" t="s">
        <v>382</v>
      </c>
      <c r="L2" s="3" t="s">
        <v>363</v>
      </c>
      <c r="M2" s="2" t="s">
        <v>359</v>
      </c>
      <c r="N2" s="2" t="s">
        <v>360</v>
      </c>
      <c r="O2" s="3" t="s">
        <v>361</v>
      </c>
      <c r="P2" s="2" t="s">
        <v>359</v>
      </c>
      <c r="Q2" s="2" t="s">
        <v>360</v>
      </c>
      <c r="R2" s="3" t="s">
        <v>361</v>
      </c>
      <c r="S2" s="2" t="s">
        <v>359</v>
      </c>
      <c r="T2" s="2" t="s">
        <v>360</v>
      </c>
      <c r="U2" s="3" t="s">
        <v>361</v>
      </c>
      <c r="V2" s="2" t="s">
        <v>359</v>
      </c>
      <c r="W2" s="2" t="s">
        <v>360</v>
      </c>
      <c r="X2" s="3" t="s">
        <v>361</v>
      </c>
      <c r="Y2" s="2" t="s">
        <v>359</v>
      </c>
      <c r="Z2" s="2" t="s">
        <v>360</v>
      </c>
      <c r="AA2" s="3" t="s">
        <v>361</v>
      </c>
      <c r="AB2" s="2" t="s">
        <v>359</v>
      </c>
      <c r="AC2" s="2" t="s">
        <v>360</v>
      </c>
      <c r="AD2" s="3" t="s">
        <v>361</v>
      </c>
    </row>
    <row r="3" spans="1:32" x14ac:dyDescent="0.35">
      <c r="A3" t="s">
        <v>383</v>
      </c>
      <c r="B3" s="24" t="s">
        <v>384</v>
      </c>
      <c r="J3" s="1">
        <f>'2-Parks and Open Spaces'!E2</f>
        <v>22646</v>
      </c>
      <c r="K3" s="1">
        <f>'2-Parks and Open Spaces'!F2</f>
        <v>41480.71</v>
      </c>
      <c r="L3" s="1">
        <f>K3-J3</f>
        <v>18834.71</v>
      </c>
      <c r="M3" s="1">
        <f>'2-Parks and Open Spaces'!I2</f>
        <v>-62975</v>
      </c>
      <c r="N3" s="1">
        <f>'2-Parks and Open Spaces'!J2</f>
        <v>45844.04</v>
      </c>
      <c r="O3" s="1">
        <f>N3-M3</f>
        <v>108819.04000000001</v>
      </c>
      <c r="P3" s="83">
        <f>'2-Parks and Open Spaces'!M2</f>
        <v>-37000</v>
      </c>
      <c r="Q3" s="83">
        <f>'2-Parks and Open Spaces'!N2</f>
        <v>8541.1500000000015</v>
      </c>
      <c r="R3" s="1">
        <f>Q3-P3</f>
        <v>45541.15</v>
      </c>
      <c r="S3" s="1">
        <f>'2-Parks and Open Spaces'!Q2</f>
        <v>0</v>
      </c>
      <c r="U3" s="1">
        <f>T3-S3</f>
        <v>0</v>
      </c>
      <c r="X3" s="1">
        <f>W3-V3</f>
        <v>0</v>
      </c>
      <c r="AA3" s="1">
        <f>Z3-Y3</f>
        <v>0</v>
      </c>
      <c r="AD3" s="1">
        <f>AC3-AB3</f>
        <v>0</v>
      </c>
    </row>
    <row r="4" spans="1:32" x14ac:dyDescent="0.35">
      <c r="A4" t="s">
        <v>73</v>
      </c>
      <c r="B4" s="24" t="s">
        <v>384</v>
      </c>
      <c r="J4" s="1">
        <f>'2-Parks and Open Spaces'!E6</f>
        <v>76005</v>
      </c>
      <c r="K4" s="1">
        <f>'2-Parks and Open Spaces'!F6</f>
        <v>93281.58</v>
      </c>
      <c r="L4" s="1">
        <f t="shared" ref="L4:L36" si="0">K4-J4</f>
        <v>17276.580000000002</v>
      </c>
      <c r="M4" s="1">
        <f>'2-Parks and Open Spaces'!I6</f>
        <v>62975</v>
      </c>
      <c r="N4" s="1">
        <f>'2-Parks and Open Spaces'!J6</f>
        <v>15766.01</v>
      </c>
      <c r="O4" s="1">
        <f t="shared" ref="O4:O36" si="1">N4-M4</f>
        <v>-47208.99</v>
      </c>
      <c r="P4" s="83">
        <f>'2-Parks and Open Spaces'!M6</f>
        <v>70750</v>
      </c>
      <c r="Q4" s="83">
        <f>'2-Parks and Open Spaces'!N6</f>
        <v>14397.119999999999</v>
      </c>
      <c r="R4" s="1">
        <f t="shared" ref="R4:R36" si="2">Q4-P4</f>
        <v>-56352.880000000005</v>
      </c>
      <c r="S4" s="1">
        <f>'2-Parks and Open Spaces'!Q6</f>
        <v>72873</v>
      </c>
      <c r="U4" s="1">
        <f t="shared" ref="U4:U36" si="3">T4-S4</f>
        <v>-72873</v>
      </c>
      <c r="X4" s="1">
        <f t="shared" ref="X4:X36" si="4">W4-V4</f>
        <v>0</v>
      </c>
      <c r="AA4" s="1">
        <f t="shared" ref="AA4:AA36" si="5">Z4-Y4</f>
        <v>0</v>
      </c>
      <c r="AD4" s="1">
        <f t="shared" ref="AD4:AD36" si="6">AC4-AB4</f>
        <v>0</v>
      </c>
    </row>
    <row r="5" spans="1:32" x14ac:dyDescent="0.35">
      <c r="A5" t="s">
        <v>385</v>
      </c>
      <c r="B5" s="24" t="s">
        <v>386</v>
      </c>
      <c r="J5" s="1">
        <f>'2-Horticulture'!E2</f>
        <v>0</v>
      </c>
      <c r="K5" s="1">
        <f>'2-Horticulture'!F2</f>
        <v>-27025</v>
      </c>
      <c r="L5" s="1">
        <f t="shared" si="0"/>
        <v>-27025</v>
      </c>
      <c r="M5" s="1">
        <f>'2-Horticulture'!I2</f>
        <v>-33525</v>
      </c>
      <c r="N5" s="1">
        <f>'2-Horticulture'!J2</f>
        <v>3518.6499999999996</v>
      </c>
      <c r="O5" s="1">
        <f t="shared" si="1"/>
        <v>37043.65</v>
      </c>
      <c r="P5" s="83">
        <f>'2-Horticulture'!M2</f>
        <v>-28000</v>
      </c>
      <c r="Q5" s="83">
        <f>'2-Horticulture'!N2</f>
        <v>0</v>
      </c>
      <c r="R5" s="1">
        <f t="shared" si="2"/>
        <v>28000</v>
      </c>
      <c r="S5" s="1">
        <f>'2-Horticulture'!Q2</f>
        <v>0</v>
      </c>
      <c r="U5" s="1">
        <f t="shared" si="3"/>
        <v>0</v>
      </c>
      <c r="X5" s="1">
        <f t="shared" si="4"/>
        <v>0</v>
      </c>
      <c r="AA5" s="1">
        <f t="shared" si="5"/>
        <v>0</v>
      </c>
      <c r="AD5" s="1">
        <f t="shared" si="6"/>
        <v>0</v>
      </c>
    </row>
    <row r="6" spans="1:32" x14ac:dyDescent="0.35">
      <c r="A6" t="s">
        <v>86</v>
      </c>
      <c r="B6" s="24" t="s">
        <v>386</v>
      </c>
      <c r="J6" s="1">
        <f>'2-Horticulture'!E5</f>
        <v>14008</v>
      </c>
      <c r="K6" s="1">
        <f>'2-Horticulture'!F5</f>
        <v>-4452.6899999999996</v>
      </c>
      <c r="L6" s="1">
        <f>K6-J6</f>
        <v>-18460.689999999999</v>
      </c>
      <c r="M6" s="1">
        <f>'2-Horticulture'!I5</f>
        <v>64000</v>
      </c>
      <c r="N6" s="1">
        <f>'2-Horticulture'!J5</f>
        <v>39860.229999999996</v>
      </c>
      <c r="O6" s="1">
        <f>N6-M6</f>
        <v>-24139.770000000004</v>
      </c>
      <c r="P6" s="83">
        <f>'2-Horticulture'!M5</f>
        <v>68500</v>
      </c>
      <c r="Q6" s="83">
        <f>'2-Horticulture'!N5</f>
        <v>12593.43</v>
      </c>
      <c r="R6" s="1">
        <f>Q6-P6</f>
        <v>-55906.57</v>
      </c>
      <c r="S6" s="1">
        <f>'2-Horticulture'!Q5</f>
        <v>70555</v>
      </c>
      <c r="U6" s="1">
        <f>T6-S6</f>
        <v>-70555</v>
      </c>
      <c r="X6" s="1">
        <f>W6-V6</f>
        <v>0</v>
      </c>
      <c r="AA6" s="1">
        <f>Z6-Y6</f>
        <v>0</v>
      </c>
      <c r="AD6" s="1">
        <f>AC6-AB6</f>
        <v>0</v>
      </c>
    </row>
    <row r="7" spans="1:32" x14ac:dyDescent="0.35">
      <c r="A7" t="s">
        <v>387</v>
      </c>
      <c r="B7" s="24" t="s">
        <v>388</v>
      </c>
      <c r="J7" s="1">
        <f>'2-Waterways and Ponds'!E2</f>
        <v>0</v>
      </c>
      <c r="K7" s="1">
        <f>'2-Waterways and Ponds'!F2</f>
        <v>10580</v>
      </c>
      <c r="L7" s="1">
        <f t="shared" si="0"/>
        <v>10580</v>
      </c>
      <c r="M7" s="1">
        <f>'2-Waterways and Ponds'!I2</f>
        <v>-36451</v>
      </c>
      <c r="N7" s="1">
        <f>'2-Waterways and Ponds'!J2</f>
        <v>0</v>
      </c>
      <c r="O7" s="1">
        <f t="shared" si="1"/>
        <v>36451</v>
      </c>
      <c r="P7" s="83">
        <f>'2-Waterways and Ponds'!M2</f>
        <v>-40800</v>
      </c>
      <c r="Q7" s="83">
        <f>'2-Waterways and Ponds'!N2</f>
        <v>0</v>
      </c>
      <c r="R7" s="1">
        <f t="shared" si="2"/>
        <v>40800</v>
      </c>
      <c r="S7" s="1">
        <f>'2-Waterways and Ponds'!Q2</f>
        <v>0</v>
      </c>
      <c r="U7" s="1">
        <f t="shared" si="3"/>
        <v>0</v>
      </c>
      <c r="X7" s="1">
        <f t="shared" si="4"/>
        <v>0</v>
      </c>
      <c r="AA7" s="1">
        <f t="shared" si="5"/>
        <v>0</v>
      </c>
      <c r="AD7" s="1">
        <f t="shared" si="6"/>
        <v>0</v>
      </c>
    </row>
    <row r="8" spans="1:32" x14ac:dyDescent="0.35">
      <c r="A8" t="s">
        <v>101</v>
      </c>
      <c r="B8" s="24" t="s">
        <v>388</v>
      </c>
      <c r="J8" s="1">
        <f>'2-Waterways and Ponds'!E6</f>
        <v>20000</v>
      </c>
      <c r="K8" s="1">
        <f>'2-Waterways and Ponds'!F6</f>
        <v>20000</v>
      </c>
      <c r="L8" s="1">
        <f t="shared" si="0"/>
        <v>0</v>
      </c>
      <c r="M8" s="1">
        <f>'2-Waterways and Ponds'!I6</f>
        <v>75000</v>
      </c>
      <c r="N8" s="1">
        <f>'2-Waterways and Ponds'!J6</f>
        <v>9949.7099999999991</v>
      </c>
      <c r="O8" s="1">
        <f t="shared" si="1"/>
        <v>-65050.29</v>
      </c>
      <c r="P8" s="83">
        <f>'2-Waterways and Ponds'!M6</f>
        <v>40800</v>
      </c>
      <c r="Q8" s="83">
        <f>'2-Waterways and Ponds'!N6</f>
        <v>0</v>
      </c>
      <c r="R8" s="1">
        <f t="shared" si="2"/>
        <v>-40800</v>
      </c>
      <c r="S8" s="1">
        <f>'2-Waterways and Ponds'!Q6</f>
        <v>53199</v>
      </c>
      <c r="U8" s="1">
        <f t="shared" si="3"/>
        <v>-53199</v>
      </c>
      <c r="X8" s="1">
        <f t="shared" si="4"/>
        <v>0</v>
      </c>
      <c r="AA8" s="1">
        <f t="shared" si="5"/>
        <v>0</v>
      </c>
      <c r="AD8" s="1">
        <f t="shared" si="6"/>
        <v>0</v>
      </c>
    </row>
    <row r="9" spans="1:32" x14ac:dyDescent="0.35">
      <c r="A9" t="s">
        <v>389</v>
      </c>
      <c r="B9" s="24" t="s">
        <v>390</v>
      </c>
      <c r="J9" s="1">
        <f>'2-Play Areas'!E2</f>
        <v>22770</v>
      </c>
      <c r="K9" s="1">
        <f>'2-Play Areas'!F2</f>
        <v>-80607.839999999997</v>
      </c>
      <c r="L9" s="1">
        <f t="shared" si="0"/>
        <v>-103377.84</v>
      </c>
      <c r="M9" s="1">
        <f>'2-Play Areas'!I2</f>
        <v>-123800</v>
      </c>
      <c r="N9" s="1">
        <f>'2-Play Areas'!J2</f>
        <v>89586.15</v>
      </c>
      <c r="O9" s="1">
        <f t="shared" si="1"/>
        <v>213386.15</v>
      </c>
      <c r="P9" s="83">
        <f>'2-Play Areas'!M2</f>
        <v>-125000</v>
      </c>
      <c r="Q9" s="83">
        <f>'2-Play Areas'!N2</f>
        <v>95000</v>
      </c>
      <c r="R9" s="1">
        <f t="shared" si="2"/>
        <v>220000</v>
      </c>
      <c r="S9" s="1">
        <f>'2-Play Areas'!Q2</f>
        <v>0</v>
      </c>
      <c r="U9" s="1">
        <f t="shared" si="3"/>
        <v>0</v>
      </c>
      <c r="X9" s="1">
        <f t="shared" si="4"/>
        <v>0</v>
      </c>
      <c r="AA9" s="1">
        <f t="shared" si="5"/>
        <v>0</v>
      </c>
      <c r="AD9" s="1">
        <f t="shared" si="6"/>
        <v>0</v>
      </c>
    </row>
    <row r="10" spans="1:32" x14ac:dyDescent="0.35">
      <c r="A10" t="s">
        <v>113</v>
      </c>
      <c r="B10" s="24" t="s">
        <v>390</v>
      </c>
      <c r="J10" s="1">
        <f>'2-Play Areas'!E8</f>
        <v>120730</v>
      </c>
      <c r="K10" s="1">
        <f>'2-Play Areas'!F8</f>
        <v>72003.700000000012</v>
      </c>
      <c r="L10" s="1">
        <f t="shared" si="0"/>
        <v>-48726.299999999988</v>
      </c>
      <c r="M10" s="1">
        <f>'2-Play Areas'!I8</f>
        <v>198800</v>
      </c>
      <c r="N10" s="1">
        <f>'2-Play Areas'!J8</f>
        <v>18261.739999999998</v>
      </c>
      <c r="O10" s="1">
        <f t="shared" si="1"/>
        <v>-180538.26</v>
      </c>
      <c r="P10" s="83">
        <f>'2-Play Areas'!M8</f>
        <v>185000</v>
      </c>
      <c r="Q10" s="83">
        <f>'2-Play Areas'!N8</f>
        <v>0</v>
      </c>
      <c r="R10" s="1">
        <f t="shared" si="2"/>
        <v>-185000</v>
      </c>
      <c r="S10" s="1">
        <f>'2-Play Areas'!Q8</f>
        <v>164800</v>
      </c>
      <c r="U10" s="1">
        <f t="shared" si="3"/>
        <v>-164800</v>
      </c>
      <c r="X10" s="1">
        <f t="shared" si="4"/>
        <v>0</v>
      </c>
      <c r="AA10" s="1">
        <f t="shared" si="5"/>
        <v>0</v>
      </c>
      <c r="AD10" s="1">
        <f t="shared" si="6"/>
        <v>0</v>
      </c>
    </row>
    <row r="11" spans="1:32" x14ac:dyDescent="0.35">
      <c r="A11" t="s">
        <v>391</v>
      </c>
      <c r="B11" s="24" t="s">
        <v>392</v>
      </c>
      <c r="J11" s="1">
        <f>'2-Public Conveniences'!E2</f>
        <v>20213</v>
      </c>
      <c r="K11" s="1">
        <f>'2-Public Conveniences'!F2</f>
        <v>0</v>
      </c>
      <c r="L11" s="1">
        <f t="shared" si="0"/>
        <v>-20213</v>
      </c>
      <c r="M11" s="1">
        <f>'2-Public Conveniences'!I2</f>
        <v>0</v>
      </c>
      <c r="N11" s="1">
        <f>'2-Public Conveniences'!J2</f>
        <v>119270</v>
      </c>
      <c r="O11" s="1">
        <f t="shared" si="1"/>
        <v>119270</v>
      </c>
      <c r="P11" s="83">
        <f>'2-Public Conveniences'!M2</f>
        <v>-45271</v>
      </c>
      <c r="Q11" s="83">
        <f>'2-Public Conveniences'!N2</f>
        <v>54056.540000000008</v>
      </c>
      <c r="R11" s="1">
        <f t="shared" si="2"/>
        <v>99327.540000000008</v>
      </c>
      <c r="S11" s="1">
        <f>'2-Public Conveniences'!Q2</f>
        <v>0</v>
      </c>
      <c r="U11" s="1">
        <f t="shared" si="3"/>
        <v>0</v>
      </c>
      <c r="X11" s="1">
        <f t="shared" si="4"/>
        <v>0</v>
      </c>
      <c r="AA11" s="1">
        <f t="shared" si="5"/>
        <v>0</v>
      </c>
      <c r="AD11" s="1">
        <f t="shared" si="6"/>
        <v>0</v>
      </c>
    </row>
    <row r="12" spans="1:32" x14ac:dyDescent="0.35">
      <c r="A12" t="s">
        <v>120</v>
      </c>
      <c r="B12" s="24" t="s">
        <v>392</v>
      </c>
      <c r="J12" s="1">
        <f>'2-Public Conveniences'!E6</f>
        <v>102564.76</v>
      </c>
      <c r="K12" s="1">
        <f>'2-Public Conveniences'!F6</f>
        <v>30703.440000000002</v>
      </c>
      <c r="L12" s="1">
        <f t="shared" si="0"/>
        <v>-71861.319999999992</v>
      </c>
      <c r="M12" s="1">
        <f>'2-Public Conveniences'!I6</f>
        <v>91900</v>
      </c>
      <c r="N12" s="1">
        <f>'2-Public Conveniences'!J6</f>
        <v>44315.99</v>
      </c>
      <c r="O12" s="1">
        <f t="shared" si="1"/>
        <v>-47584.01</v>
      </c>
      <c r="P12" s="83">
        <f>'2-Public Conveniences'!M6</f>
        <v>84718</v>
      </c>
      <c r="Q12" s="83">
        <f>'2-Public Conveniences'!N6</f>
        <v>9447.6299999999992</v>
      </c>
      <c r="R12" s="1">
        <f t="shared" si="2"/>
        <v>-75270.37</v>
      </c>
      <c r="S12" s="1">
        <f>'2-Public Conveniences'!Q6</f>
        <v>87260</v>
      </c>
      <c r="U12" s="1">
        <f t="shared" si="3"/>
        <v>-87260</v>
      </c>
      <c r="X12" s="1">
        <f t="shared" si="4"/>
        <v>0</v>
      </c>
      <c r="AA12" s="1">
        <f t="shared" si="5"/>
        <v>0</v>
      </c>
      <c r="AD12" s="1">
        <f t="shared" si="6"/>
        <v>0</v>
      </c>
    </row>
    <row r="13" spans="1:32" x14ac:dyDescent="0.35">
      <c r="A13" t="s">
        <v>393</v>
      </c>
      <c r="B13" s="24" t="s">
        <v>394</v>
      </c>
      <c r="J13" s="1">
        <f>'2-Triangle Market'!E2</f>
        <v>13321</v>
      </c>
      <c r="K13" s="1">
        <f>'2-Triangle Market'!F2</f>
        <v>34690.65</v>
      </c>
      <c r="L13" s="1">
        <f t="shared" si="0"/>
        <v>21369.65</v>
      </c>
      <c r="M13" s="1">
        <f>'2-Triangle Market'!I2</f>
        <v>6700</v>
      </c>
      <c r="N13" s="1">
        <f>'2-Triangle Market'!J2</f>
        <v>11157.16</v>
      </c>
      <c r="O13" s="1">
        <f t="shared" si="1"/>
        <v>4457.16</v>
      </c>
      <c r="P13" s="83">
        <f>'2-Triangle Market'!M2</f>
        <v>-10356</v>
      </c>
      <c r="Q13" s="83">
        <f>'2-Triangle Market'!N2</f>
        <v>12170</v>
      </c>
      <c r="R13" s="1">
        <f t="shared" si="2"/>
        <v>22526</v>
      </c>
      <c r="S13" s="1">
        <f>'2-Triangle Market'!Q2</f>
        <v>0</v>
      </c>
      <c r="U13" s="1">
        <f t="shared" si="3"/>
        <v>0</v>
      </c>
      <c r="X13" s="1">
        <f t="shared" si="4"/>
        <v>0</v>
      </c>
      <c r="AA13" s="1">
        <f t="shared" si="5"/>
        <v>0</v>
      </c>
      <c r="AD13" s="1">
        <f t="shared" si="6"/>
        <v>0</v>
      </c>
    </row>
    <row r="14" spans="1:32" x14ac:dyDescent="0.35">
      <c r="A14" t="s">
        <v>128</v>
      </c>
      <c r="B14" s="24" t="s">
        <v>394</v>
      </c>
      <c r="J14" s="1">
        <f>'2-Triangle Market'!E6</f>
        <v>6679</v>
      </c>
      <c r="K14" s="1">
        <f>'2-Triangle Market'!F6</f>
        <v>17253.91</v>
      </c>
      <c r="L14" s="1">
        <f t="shared" si="0"/>
        <v>10574.91</v>
      </c>
      <c r="M14" s="1">
        <f>'2-Triangle Market'!I6</f>
        <v>25200</v>
      </c>
      <c r="N14" s="1">
        <f>'2-Triangle Market'!J6</f>
        <v>25420.68</v>
      </c>
      <c r="O14" s="1">
        <f t="shared" si="1"/>
        <v>220.68000000000029</v>
      </c>
      <c r="P14" s="83">
        <f>'2-Triangle Market'!M6</f>
        <v>10356</v>
      </c>
      <c r="Q14" s="83">
        <f>'2-Triangle Market'!N6</f>
        <v>6406.32</v>
      </c>
      <c r="R14" s="1">
        <f t="shared" si="2"/>
        <v>-3949.6800000000003</v>
      </c>
      <c r="S14" s="1">
        <f>'2-Triangle Market'!Q6</f>
        <v>5517</v>
      </c>
      <c r="U14" s="1">
        <f t="shared" si="3"/>
        <v>-5517</v>
      </c>
      <c r="X14" s="1">
        <f t="shared" si="4"/>
        <v>0</v>
      </c>
      <c r="AA14" s="1">
        <f t="shared" si="5"/>
        <v>0</v>
      </c>
      <c r="AD14" s="1">
        <f t="shared" si="6"/>
        <v>0</v>
      </c>
    </row>
    <row r="15" spans="1:32" x14ac:dyDescent="0.35">
      <c r="A15" t="s">
        <v>395</v>
      </c>
      <c r="B15" s="24" t="s">
        <v>396</v>
      </c>
      <c r="J15" s="1">
        <f>'2-Allotments'!E2</f>
        <v>283</v>
      </c>
      <c r="K15" s="1">
        <f>'2-Allotments'!F2</f>
        <v>9674.31</v>
      </c>
      <c r="L15" s="1">
        <f t="shared" si="0"/>
        <v>9391.31</v>
      </c>
      <c r="M15" s="1">
        <f>'2-Allotments'!I2</f>
        <v>-19658</v>
      </c>
      <c r="N15" s="1">
        <f>'2-Allotments'!J2</f>
        <v>0</v>
      </c>
      <c r="O15" s="1">
        <f t="shared" si="1"/>
        <v>19658</v>
      </c>
      <c r="P15" s="1">
        <f>'2-Allotments'!M2</f>
        <v>-15000</v>
      </c>
      <c r="Q15" s="1">
        <f>'2-Allotments'!N2</f>
        <v>0</v>
      </c>
      <c r="R15" s="1">
        <f t="shared" si="2"/>
        <v>15000</v>
      </c>
      <c r="S15" s="1">
        <f>'2-Allotments'!Q2</f>
        <v>0</v>
      </c>
      <c r="U15" s="1">
        <f t="shared" si="3"/>
        <v>0</v>
      </c>
      <c r="X15" s="1">
        <f t="shared" si="4"/>
        <v>0</v>
      </c>
      <c r="AA15" s="1">
        <f t="shared" si="5"/>
        <v>0</v>
      </c>
      <c r="AD15" s="1">
        <f t="shared" si="6"/>
        <v>0</v>
      </c>
    </row>
    <row r="16" spans="1:32" x14ac:dyDescent="0.35">
      <c r="A16" t="s">
        <v>397</v>
      </c>
      <c r="B16" s="24" t="s">
        <v>396</v>
      </c>
      <c r="J16" s="1">
        <f>'2-Allotments'!E5</f>
        <v>10717</v>
      </c>
      <c r="K16" s="1">
        <f>'2-Allotments'!F5</f>
        <v>1005</v>
      </c>
      <c r="L16" s="1">
        <f t="shared" si="0"/>
        <v>-9712</v>
      </c>
      <c r="M16" s="1">
        <f>'2-Allotments'!I5</f>
        <v>29375</v>
      </c>
      <c r="N16" s="1">
        <f>'2-Allotments'!J5</f>
        <v>13610.080000000002</v>
      </c>
      <c r="O16" s="1">
        <f t="shared" si="1"/>
        <v>-15764.919999999998</v>
      </c>
      <c r="P16" s="1">
        <f>'2-Allotments'!M5</f>
        <v>17241</v>
      </c>
      <c r="Q16" s="1">
        <f>'2-Allotments'!N5</f>
        <v>530</v>
      </c>
      <c r="R16" s="1">
        <f t="shared" si="2"/>
        <v>-16711</v>
      </c>
      <c r="S16" s="1">
        <f>'2-Allotments'!Q5</f>
        <v>17758</v>
      </c>
      <c r="U16" s="1">
        <f t="shared" si="3"/>
        <v>-17758</v>
      </c>
      <c r="X16" s="1">
        <f t="shared" si="4"/>
        <v>0</v>
      </c>
      <c r="AA16" s="1">
        <f t="shared" si="5"/>
        <v>0</v>
      </c>
      <c r="AD16" s="1">
        <f t="shared" si="6"/>
        <v>0</v>
      </c>
    </row>
    <row r="17" spans="1:30" x14ac:dyDescent="0.35">
      <c r="A17" t="s">
        <v>398</v>
      </c>
      <c r="B17" s="24" t="s">
        <v>399</v>
      </c>
      <c r="J17" s="1">
        <f>'2-Normanston Park'!E2</f>
        <v>6250</v>
      </c>
      <c r="K17" s="1">
        <f>'2-Normanston Park'!F2</f>
        <v>8277.89</v>
      </c>
      <c r="L17" s="1">
        <f t="shared" si="0"/>
        <v>2027.8899999999994</v>
      </c>
      <c r="M17" s="1">
        <f>'2-Normanston Park'!I2</f>
        <v>3912</v>
      </c>
      <c r="N17" s="1">
        <f>'2-Normanston Park'!J2</f>
        <v>-9307.27</v>
      </c>
      <c r="O17" s="1">
        <f t="shared" si="1"/>
        <v>-13219.27</v>
      </c>
      <c r="P17" s="1">
        <f>'2-Normanston Park'!M2</f>
        <v>0</v>
      </c>
      <c r="Q17" s="1">
        <f>'2-Normanston Park'!N2</f>
        <v>45531.37</v>
      </c>
      <c r="R17" s="1">
        <f t="shared" si="2"/>
        <v>45531.37</v>
      </c>
      <c r="S17" s="1">
        <f>'2-Normanston Park'!Q2</f>
        <v>0</v>
      </c>
      <c r="U17" s="1">
        <f t="shared" si="3"/>
        <v>0</v>
      </c>
      <c r="X17" s="1">
        <f t="shared" si="4"/>
        <v>0</v>
      </c>
      <c r="AA17" s="1">
        <f t="shared" si="5"/>
        <v>0</v>
      </c>
      <c r="AD17" s="1">
        <f t="shared" si="6"/>
        <v>0</v>
      </c>
    </row>
    <row r="18" spans="1:30" x14ac:dyDescent="0.35">
      <c r="A18" t="s">
        <v>141</v>
      </c>
      <c r="B18" s="24" t="s">
        <v>399</v>
      </c>
      <c r="J18" s="1">
        <f>'2-Normanston Park'!E7</f>
        <v>86014.94</v>
      </c>
      <c r="K18" s="1">
        <f>'2-Normanston Park'!F7</f>
        <v>86393.530000000013</v>
      </c>
      <c r="L18" s="1">
        <f t="shared" si="0"/>
        <v>378.59000000001106</v>
      </c>
      <c r="M18" s="1">
        <f>'2-Normanston Park'!I7</f>
        <v>-250</v>
      </c>
      <c r="N18" s="1">
        <f>'2-Normanston Park'!J7</f>
        <v>3355.3500000000004</v>
      </c>
      <c r="O18" s="1">
        <f t="shared" si="1"/>
        <v>3605.3500000000004</v>
      </c>
      <c r="P18" s="1">
        <f>'2-Normanston Park'!M7</f>
        <v>84930</v>
      </c>
      <c r="Q18" s="1">
        <f>'2-Normanston Park'!N7</f>
        <v>780.73</v>
      </c>
      <c r="R18" s="1">
        <f t="shared" si="2"/>
        <v>-84149.27</v>
      </c>
      <c r="S18" s="1">
        <f>'2-Normanston Park'!Q7</f>
        <v>87478</v>
      </c>
      <c r="U18" s="1">
        <f t="shared" si="3"/>
        <v>-87478</v>
      </c>
      <c r="X18" s="1">
        <f t="shared" si="4"/>
        <v>0</v>
      </c>
      <c r="AA18" s="1">
        <f t="shared" si="5"/>
        <v>0</v>
      </c>
      <c r="AD18" s="1">
        <f t="shared" si="6"/>
        <v>0</v>
      </c>
    </row>
    <row r="19" spans="1:30" x14ac:dyDescent="0.35">
      <c r="A19" t="s">
        <v>400</v>
      </c>
      <c r="B19" s="24" t="s">
        <v>401</v>
      </c>
      <c r="J19" s="1">
        <f>'2-GELP'!E2</f>
        <v>30</v>
      </c>
      <c r="K19" s="1">
        <f>'2-GELP'!F2</f>
        <v>0</v>
      </c>
      <c r="L19" s="1">
        <f t="shared" si="0"/>
        <v>-30</v>
      </c>
      <c r="M19" s="1">
        <f>'2-GELP'!I2</f>
        <v>-23</v>
      </c>
      <c r="N19" s="1">
        <f>'2-GELP'!J2</f>
        <v>0</v>
      </c>
      <c r="O19" s="1">
        <f t="shared" si="1"/>
        <v>23</v>
      </c>
      <c r="P19" s="1">
        <f>'2-GELP'!M2</f>
        <v>-24</v>
      </c>
      <c r="Q19" s="1">
        <f>'2-GELP'!N2</f>
        <v>0</v>
      </c>
      <c r="R19" s="1">
        <f t="shared" si="2"/>
        <v>24</v>
      </c>
      <c r="S19" s="1">
        <f>'2-GELP'!Q2</f>
        <v>0</v>
      </c>
      <c r="U19" s="1">
        <f t="shared" si="3"/>
        <v>0</v>
      </c>
      <c r="X19" s="1">
        <f t="shared" si="4"/>
        <v>0</v>
      </c>
      <c r="AA19" s="1">
        <f t="shared" si="5"/>
        <v>0</v>
      </c>
      <c r="AD19" s="1">
        <f t="shared" si="6"/>
        <v>0</v>
      </c>
    </row>
    <row r="20" spans="1:30" x14ac:dyDescent="0.35">
      <c r="A20" t="s">
        <v>146</v>
      </c>
      <c r="B20" s="24" t="s">
        <v>401</v>
      </c>
      <c r="J20" s="1">
        <f>'2-GELP'!E6</f>
        <v>4148</v>
      </c>
      <c r="K20" s="1">
        <f>'2-GELP'!F6</f>
        <v>4197.0200000000004</v>
      </c>
      <c r="L20" s="1">
        <f t="shared" si="0"/>
        <v>49.020000000000437</v>
      </c>
      <c r="M20" s="1">
        <f>'2-GELP'!I6</f>
        <v>23</v>
      </c>
      <c r="N20" s="1">
        <f>'2-GELP'!J6</f>
        <v>0</v>
      </c>
      <c r="O20" s="1">
        <f t="shared" si="1"/>
        <v>-23</v>
      </c>
      <c r="P20" s="1">
        <f>'2-GELP'!M6</f>
        <v>24</v>
      </c>
      <c r="Q20" s="1">
        <f>'2-GELP'!N6</f>
        <v>24</v>
      </c>
      <c r="R20" s="1">
        <f t="shared" si="2"/>
        <v>0</v>
      </c>
      <c r="S20" s="1">
        <f>'2-GELP'!Q6</f>
        <v>25</v>
      </c>
      <c r="U20" s="1">
        <f t="shared" si="3"/>
        <v>-25</v>
      </c>
      <c r="X20" s="1">
        <f t="shared" si="4"/>
        <v>0</v>
      </c>
      <c r="AA20" s="1">
        <f t="shared" si="5"/>
        <v>0</v>
      </c>
      <c r="AD20" s="1">
        <f t="shared" si="6"/>
        <v>0</v>
      </c>
    </row>
    <row r="21" spans="1:30" x14ac:dyDescent="0.35">
      <c r="A21" t="s">
        <v>402</v>
      </c>
      <c r="B21" s="24" t="s">
        <v>403</v>
      </c>
      <c r="J21" s="1">
        <f>'2-Links Road Car Park'!E2</f>
        <v>3277.5200000000004</v>
      </c>
      <c r="K21" s="1">
        <f>'2-Links Road Car Park'!F2</f>
        <v>632.20000000000005</v>
      </c>
      <c r="L21" s="1">
        <f t="shared" si="0"/>
        <v>-2645.3200000000006</v>
      </c>
      <c r="M21" s="1">
        <f>'2-Links Road Car Park'!I2</f>
        <v>-2121</v>
      </c>
      <c r="N21" s="1">
        <f>'2-Links Road Car Park'!J2</f>
        <v>10000</v>
      </c>
      <c r="O21" s="1">
        <f t="shared" si="1"/>
        <v>12121</v>
      </c>
      <c r="P21" s="1">
        <f>'2-Links Road Car Park'!M2</f>
        <v>-2185</v>
      </c>
      <c r="Q21" s="1">
        <f>'2-Links Road Car Park'!N2</f>
        <v>0</v>
      </c>
      <c r="R21" s="1">
        <f t="shared" si="2"/>
        <v>2185</v>
      </c>
      <c r="S21" s="1">
        <f>'2-Links Road Car Park'!Q2</f>
        <v>0</v>
      </c>
      <c r="U21" s="1">
        <f t="shared" si="3"/>
        <v>0</v>
      </c>
      <c r="X21" s="1">
        <f t="shared" si="4"/>
        <v>0</v>
      </c>
      <c r="AA21" s="1">
        <f t="shared" si="5"/>
        <v>0</v>
      </c>
      <c r="AD21" s="1">
        <f t="shared" si="6"/>
        <v>0</v>
      </c>
    </row>
    <row r="22" spans="1:30" x14ac:dyDescent="0.35">
      <c r="A22" t="s">
        <v>404</v>
      </c>
      <c r="B22" s="24" t="s">
        <v>403</v>
      </c>
      <c r="J22" s="1">
        <f>'2-Links Road Car Park'!E6</f>
        <v>-3277.5200000000004</v>
      </c>
      <c r="K22" s="1">
        <f>'2-Links Road Car Park'!F6</f>
        <v>-9446.26</v>
      </c>
      <c r="L22" s="1">
        <f t="shared" si="0"/>
        <v>-6168.74</v>
      </c>
      <c r="M22" s="1">
        <f>'2-Links Road Car Park'!I6</f>
        <v>2121</v>
      </c>
      <c r="N22" s="1">
        <f>'2-Links Road Car Park'!J6</f>
        <v>-215.19000000000005</v>
      </c>
      <c r="O22" s="1">
        <f t="shared" si="1"/>
        <v>-2336.19</v>
      </c>
      <c r="P22" s="1">
        <f>'2-Links Road Car Park'!M6</f>
        <v>2185</v>
      </c>
      <c r="Q22" s="1">
        <f>'2-Links Road Car Park'!N6</f>
        <v>2120.75</v>
      </c>
      <c r="R22" s="1">
        <f t="shared" si="2"/>
        <v>-64.25</v>
      </c>
      <c r="S22" s="1">
        <f>'2-Links Road Car Park'!Q6</f>
        <v>2251</v>
      </c>
      <c r="U22" s="1">
        <f t="shared" si="3"/>
        <v>-2251</v>
      </c>
      <c r="X22" s="1">
        <f t="shared" si="4"/>
        <v>0</v>
      </c>
      <c r="AA22" s="1">
        <f t="shared" si="5"/>
        <v>0</v>
      </c>
      <c r="AD22" s="1">
        <f t="shared" si="6"/>
        <v>0</v>
      </c>
    </row>
    <row r="23" spans="1:30" x14ac:dyDescent="0.35">
      <c r="A23" t="s">
        <v>405</v>
      </c>
      <c r="B23" s="24" t="s">
        <v>406</v>
      </c>
      <c r="J23" s="1">
        <f>'2-Denes Oval'!E2</f>
        <v>26912.149999999998</v>
      </c>
      <c r="K23" s="1">
        <f>'2-Denes Oval'!F2</f>
        <v>94286.71</v>
      </c>
      <c r="L23" s="1">
        <f t="shared" si="0"/>
        <v>67374.560000000012</v>
      </c>
      <c r="M23" s="1">
        <f>'2-Denes Oval'!I2</f>
        <v>53168</v>
      </c>
      <c r="N23" s="1">
        <f>'2-Denes Oval'!J2</f>
        <v>37044.51</v>
      </c>
      <c r="O23" s="1">
        <f t="shared" si="1"/>
        <v>-16123.489999999998</v>
      </c>
      <c r="P23" s="1">
        <f>'2-Denes Oval'!M2</f>
        <v>0</v>
      </c>
      <c r="Q23" s="1">
        <f>'2-Denes Oval'!N2</f>
        <v>30929.599999999999</v>
      </c>
      <c r="R23" s="1">
        <f t="shared" si="2"/>
        <v>30929.599999999999</v>
      </c>
      <c r="S23" s="1">
        <f>'2-Denes Oval'!Q2</f>
        <v>0</v>
      </c>
      <c r="U23" s="1">
        <f t="shared" si="3"/>
        <v>0</v>
      </c>
      <c r="X23" s="1">
        <f t="shared" si="4"/>
        <v>0</v>
      </c>
      <c r="AA23" s="1">
        <f t="shared" si="5"/>
        <v>0</v>
      </c>
      <c r="AD23" s="1">
        <f t="shared" si="6"/>
        <v>0</v>
      </c>
    </row>
    <row r="24" spans="1:30" x14ac:dyDescent="0.35">
      <c r="A24" t="s">
        <v>154</v>
      </c>
      <c r="B24" s="24" t="s">
        <v>406</v>
      </c>
      <c r="J24" s="1">
        <f>'2-Denes Oval'!E7</f>
        <v>66071.149999999994</v>
      </c>
      <c r="K24" s="1">
        <f>'2-Denes Oval'!F7</f>
        <v>77052.83</v>
      </c>
      <c r="L24" s="1">
        <f t="shared" si="0"/>
        <v>10981.680000000008</v>
      </c>
      <c r="M24" s="1">
        <f>'2-Denes Oval'!I7</f>
        <v>14500</v>
      </c>
      <c r="N24" s="1">
        <f>'2-Denes Oval'!J7</f>
        <v>17460.25</v>
      </c>
      <c r="O24" s="1">
        <f t="shared" si="1"/>
        <v>2960.25</v>
      </c>
      <c r="P24" s="1">
        <f>'2-Denes Oval'!M7</f>
        <v>7500</v>
      </c>
      <c r="Q24" s="1">
        <f>'2-Denes Oval'!N7</f>
        <v>18325.36</v>
      </c>
      <c r="R24" s="1">
        <f t="shared" si="2"/>
        <v>10825.36</v>
      </c>
      <c r="S24" s="1">
        <f>'2-Denes Oval'!Q7</f>
        <v>7725</v>
      </c>
      <c r="U24" s="1">
        <f t="shared" si="3"/>
        <v>-7725</v>
      </c>
      <c r="X24" s="1">
        <f t="shared" si="4"/>
        <v>0</v>
      </c>
      <c r="AA24" s="1">
        <f t="shared" si="5"/>
        <v>0</v>
      </c>
      <c r="AD24" s="1">
        <f t="shared" si="6"/>
        <v>0</v>
      </c>
    </row>
    <row r="25" spans="1:30" x14ac:dyDescent="0.35">
      <c r="A25" s="1" t="s">
        <v>407</v>
      </c>
      <c r="B25" s="24" t="s">
        <v>408</v>
      </c>
      <c r="J25" s="1">
        <f>'2-Belle Vue Park'!E2</f>
        <v>39437</v>
      </c>
      <c r="K25" s="1">
        <f>'2-Belle Vue Park'!F2</f>
        <v>300319.43</v>
      </c>
      <c r="L25" s="1">
        <f t="shared" si="0"/>
        <v>260882.43</v>
      </c>
      <c r="M25" s="1">
        <f>'2-Belle Vue Park'!I2</f>
        <v>2771</v>
      </c>
      <c r="N25" s="1">
        <f>'2-Belle Vue Park'!J2</f>
        <v>0</v>
      </c>
      <c r="O25" s="1">
        <f t="shared" si="1"/>
        <v>-2771</v>
      </c>
      <c r="P25" s="1">
        <f>'2-Belle Vue Park'!M2</f>
        <v>-8077</v>
      </c>
      <c r="Q25" s="1">
        <f>'2-Belle Vue Park'!N2</f>
        <v>0</v>
      </c>
      <c r="R25" s="1">
        <f t="shared" si="2"/>
        <v>8077</v>
      </c>
      <c r="S25" s="1">
        <f>'2-Belle Vue Park'!Q2</f>
        <v>0</v>
      </c>
      <c r="U25" s="1">
        <f t="shared" si="3"/>
        <v>0</v>
      </c>
      <c r="X25" s="1">
        <f t="shared" si="4"/>
        <v>0</v>
      </c>
      <c r="AA25" s="1">
        <f t="shared" si="5"/>
        <v>0</v>
      </c>
      <c r="AD25" s="1">
        <f t="shared" si="6"/>
        <v>0</v>
      </c>
    </row>
    <row r="26" spans="1:30" x14ac:dyDescent="0.35">
      <c r="A26" s="1" t="s">
        <v>160</v>
      </c>
      <c r="B26" s="24" t="s">
        <v>408</v>
      </c>
      <c r="J26" s="1">
        <f>'2-Belle Vue Park'!E8</f>
        <v>10563</v>
      </c>
      <c r="K26" s="1">
        <f>'2-Belle Vue Park'!F8</f>
        <v>10562.92</v>
      </c>
      <c r="L26" s="1">
        <f t="shared" si="0"/>
        <v>-7.999999999992724E-2</v>
      </c>
      <c r="M26" s="1">
        <f>'2-Belle Vue Park'!I8</f>
        <v>-2771</v>
      </c>
      <c r="N26" s="1">
        <f>'2-Belle Vue Park'!J8</f>
        <v>-2771.08</v>
      </c>
      <c r="O26" s="1">
        <f t="shared" si="1"/>
        <v>-7.999999999992724E-2</v>
      </c>
      <c r="P26" s="1">
        <f>'2-Belle Vue Park'!M8</f>
        <v>8078</v>
      </c>
      <c r="Q26" s="1">
        <f>'2-Belle Vue Park'!N8</f>
        <v>-24322.15</v>
      </c>
      <c r="R26" s="1">
        <f t="shared" si="2"/>
        <v>-32400.15</v>
      </c>
      <c r="S26" s="1">
        <f>'2-Belle Vue Park'!Q8</f>
        <v>8320</v>
      </c>
      <c r="U26" s="1">
        <f t="shared" si="3"/>
        <v>-8320</v>
      </c>
      <c r="X26" s="1">
        <f t="shared" si="4"/>
        <v>0</v>
      </c>
      <c r="AA26" s="1">
        <f t="shared" si="5"/>
        <v>0</v>
      </c>
      <c r="AD26" s="1">
        <f t="shared" si="6"/>
        <v>0</v>
      </c>
    </row>
    <row r="27" spans="1:30" x14ac:dyDescent="0.35">
      <c r="A27" s="1" t="s">
        <v>409</v>
      </c>
      <c r="B27" s="24" t="s">
        <v>410</v>
      </c>
      <c r="J27" s="1">
        <f>'2-Sparrows Nest'!E2</f>
        <v>-80354.179999999993</v>
      </c>
      <c r="K27" s="1">
        <f>'2-Sparrows Nest'!F2</f>
        <v>4476.83</v>
      </c>
      <c r="L27" s="1">
        <f t="shared" si="0"/>
        <v>84831.01</v>
      </c>
      <c r="M27" s="1">
        <f>'2-Sparrows Nest'!I2</f>
        <v>0</v>
      </c>
      <c r="N27" s="1">
        <f>'2-Sparrows Nest'!J2</f>
        <v>24517.430000000004</v>
      </c>
      <c r="O27" s="1">
        <f t="shared" si="1"/>
        <v>24517.430000000004</v>
      </c>
      <c r="P27" s="1">
        <f>'2-Sparrows Nest'!M2</f>
        <v>1799</v>
      </c>
      <c r="Q27" s="1">
        <f>'2-Sparrows Nest'!N2</f>
        <v>36432.67</v>
      </c>
      <c r="R27" s="1">
        <f t="shared" si="2"/>
        <v>34633.67</v>
      </c>
      <c r="S27" s="1">
        <f>'2-Sparrows Nest'!Q2</f>
        <v>0</v>
      </c>
      <c r="U27" s="1">
        <f t="shared" si="3"/>
        <v>0</v>
      </c>
      <c r="X27" s="1">
        <f t="shared" si="4"/>
        <v>0</v>
      </c>
      <c r="AA27" s="1">
        <f t="shared" si="5"/>
        <v>0</v>
      </c>
      <c r="AD27" s="1">
        <f t="shared" si="6"/>
        <v>0</v>
      </c>
    </row>
    <row r="28" spans="1:30" x14ac:dyDescent="0.35">
      <c r="A28" s="1" t="s">
        <v>165</v>
      </c>
      <c r="B28" s="24" t="s">
        <v>410</v>
      </c>
      <c r="J28" s="1">
        <f>'2-Sparrows Nest'!E8</f>
        <v>150459.18</v>
      </c>
      <c r="K28" s="1">
        <f>'2-Sparrows Nest'!F8</f>
        <v>63379.51</v>
      </c>
      <c r="L28" s="1">
        <f t="shared" si="0"/>
        <v>-87079.669999999984</v>
      </c>
      <c r="M28" s="1">
        <f>'2-Sparrows Nest'!I8</f>
        <v>36663</v>
      </c>
      <c r="N28" s="1">
        <f>'2-Sparrows Nest'!J8</f>
        <v>-9603.0199999999986</v>
      </c>
      <c r="O28" s="1">
        <f t="shared" si="1"/>
        <v>-46266.02</v>
      </c>
      <c r="P28" s="1">
        <f>'2-Sparrows Nest'!M8</f>
        <v>89773</v>
      </c>
      <c r="Q28" s="1">
        <f>'2-Sparrows Nest'!N8</f>
        <v>44205.440000000002</v>
      </c>
      <c r="R28" s="1">
        <f t="shared" si="2"/>
        <v>-45567.56</v>
      </c>
      <c r="S28" s="1">
        <f>'2-Sparrows Nest'!Q8</f>
        <v>92468</v>
      </c>
      <c r="U28" s="1">
        <f t="shared" si="3"/>
        <v>-92468</v>
      </c>
      <c r="X28" s="1">
        <f t="shared" si="4"/>
        <v>0</v>
      </c>
      <c r="AA28" s="1">
        <f t="shared" si="5"/>
        <v>0</v>
      </c>
      <c r="AD28" s="1">
        <f t="shared" si="6"/>
        <v>0</v>
      </c>
    </row>
    <row r="29" spans="1:30" x14ac:dyDescent="0.35">
      <c r="A29" s="1" t="s">
        <v>411</v>
      </c>
      <c r="B29" s="24" t="s">
        <v>412</v>
      </c>
      <c r="J29" s="1">
        <f>'2-The Ness'!E2</f>
        <v>-11080</v>
      </c>
      <c r="K29" s="1">
        <f>'2-The Ness'!F2</f>
        <v>57435.090000000004</v>
      </c>
      <c r="L29" s="1">
        <f t="shared" si="0"/>
        <v>68515.09</v>
      </c>
      <c r="M29" s="1">
        <f>'2-The Ness'!I2</f>
        <v>0</v>
      </c>
      <c r="N29" s="1">
        <f>'2-The Ness'!J2</f>
        <v>3000</v>
      </c>
      <c r="O29" s="1">
        <f t="shared" si="1"/>
        <v>3000</v>
      </c>
      <c r="P29" s="1">
        <f>'2-The Ness'!M2</f>
        <v>0</v>
      </c>
      <c r="Q29" s="1">
        <f>'2-The Ness'!N2</f>
        <v>4410.91</v>
      </c>
      <c r="R29" s="1">
        <f t="shared" si="2"/>
        <v>4410.91</v>
      </c>
      <c r="S29" s="1">
        <f>'2-The Ness'!Q2</f>
        <v>0</v>
      </c>
      <c r="U29" s="1">
        <f t="shared" si="3"/>
        <v>0</v>
      </c>
      <c r="X29" s="1">
        <f t="shared" si="4"/>
        <v>0</v>
      </c>
      <c r="AA29" s="1">
        <f t="shared" si="5"/>
        <v>0</v>
      </c>
      <c r="AD29" s="1">
        <f t="shared" si="6"/>
        <v>0</v>
      </c>
    </row>
    <row r="30" spans="1:30" x14ac:dyDescent="0.35">
      <c r="A30" s="1" t="s">
        <v>169</v>
      </c>
      <c r="B30" s="24" t="s">
        <v>412</v>
      </c>
      <c r="J30" s="1">
        <f>'2-The Ness'!E7</f>
        <v>11080</v>
      </c>
      <c r="K30" s="1">
        <f>'2-The Ness'!F7</f>
        <v>11080</v>
      </c>
      <c r="L30" s="1">
        <f t="shared" si="0"/>
        <v>0</v>
      </c>
      <c r="M30" s="1">
        <f>'2-The Ness'!I7</f>
        <v>0</v>
      </c>
      <c r="N30" s="1">
        <f>'2-The Ness'!J7</f>
        <v>0</v>
      </c>
      <c r="O30" s="1">
        <f t="shared" si="1"/>
        <v>0</v>
      </c>
      <c r="P30" s="1">
        <f>'2-The Ness'!M7</f>
        <v>0</v>
      </c>
      <c r="Q30" s="1">
        <f>'2-The Ness'!N7</f>
        <v>0</v>
      </c>
      <c r="R30" s="1">
        <f t="shared" si="2"/>
        <v>0</v>
      </c>
      <c r="S30" s="1">
        <f>'2-The Ness'!Q7</f>
        <v>0</v>
      </c>
      <c r="U30" s="1">
        <f t="shared" si="3"/>
        <v>0</v>
      </c>
      <c r="X30" s="1">
        <f t="shared" si="4"/>
        <v>0</v>
      </c>
      <c r="AA30" s="1">
        <f t="shared" si="5"/>
        <v>0</v>
      </c>
      <c r="AD30" s="1">
        <f t="shared" si="6"/>
        <v>0</v>
      </c>
    </row>
    <row r="31" spans="1:30" x14ac:dyDescent="0.35">
      <c r="A31" s="1" t="s">
        <v>413</v>
      </c>
      <c r="B31" s="24" t="s">
        <v>414</v>
      </c>
      <c r="J31" s="1">
        <f>'2-Sea Wall'!E2</f>
        <v>0</v>
      </c>
      <c r="K31" s="1">
        <f>'2-Sea Wall'!F2</f>
        <v>0</v>
      </c>
      <c r="L31" s="1">
        <f>'2-Sea Wall'!G2</f>
        <v>0</v>
      </c>
      <c r="M31" s="1">
        <f>'2-Sea Wall'!I2</f>
        <v>2000</v>
      </c>
      <c r="N31" s="1">
        <f>'2-Sea Wall'!J2</f>
        <v>2000</v>
      </c>
      <c r="O31" s="1">
        <f>N31-M31</f>
        <v>0</v>
      </c>
      <c r="P31" s="1">
        <f>'2-Sea Wall'!M2</f>
        <v>0</v>
      </c>
      <c r="Q31" s="1">
        <f>'2-Sea Wall'!N2</f>
        <v>0</v>
      </c>
      <c r="R31" s="1">
        <f>Q31-P31</f>
        <v>0</v>
      </c>
      <c r="S31" s="1">
        <f>'2-Sea Wall'!Q2</f>
        <v>0</v>
      </c>
      <c r="U31" s="1">
        <f>T31-S31</f>
        <v>0</v>
      </c>
      <c r="X31" s="1">
        <f>W31-V31</f>
        <v>0</v>
      </c>
      <c r="AA31" s="1">
        <f>Z31-Y31</f>
        <v>0</v>
      </c>
      <c r="AD31" s="1">
        <f>AC31-AB31</f>
        <v>0</v>
      </c>
    </row>
    <row r="32" spans="1:30" x14ac:dyDescent="0.35">
      <c r="A32" s="1" t="s">
        <v>173</v>
      </c>
      <c r="B32" s="24" t="s">
        <v>414</v>
      </c>
      <c r="J32" s="1">
        <f>'2-Sea Wall'!E6</f>
        <v>0</v>
      </c>
      <c r="K32" s="1">
        <f>'2-Sea Wall'!F6</f>
        <v>0</v>
      </c>
      <c r="L32" s="1">
        <f>'2-Sea Wall'!G6</f>
        <v>0</v>
      </c>
      <c r="M32" s="1">
        <f>'2-Sea Wall'!I6</f>
        <v>0</v>
      </c>
      <c r="N32" s="1">
        <f>'2-Sea Wall'!J6</f>
        <v>0</v>
      </c>
      <c r="O32" s="1">
        <f>N32-M32</f>
        <v>0</v>
      </c>
      <c r="P32" s="1">
        <f>'2-Sea Wall'!M6</f>
        <v>0</v>
      </c>
      <c r="Q32" s="1">
        <f>'2-Sea Wall'!N6</f>
        <v>0</v>
      </c>
      <c r="R32" s="1">
        <f>Q32-P32</f>
        <v>0</v>
      </c>
      <c r="S32" s="1">
        <f>'2-Sea Wall'!Q6</f>
        <v>0</v>
      </c>
      <c r="U32" s="1">
        <f>T32-S32</f>
        <v>0</v>
      </c>
      <c r="X32" s="1">
        <f>W32-V32</f>
        <v>0</v>
      </c>
      <c r="AA32" s="1">
        <f>Z32-Y32</f>
        <v>0</v>
      </c>
      <c r="AD32" s="1">
        <f>AC32-AB32</f>
        <v>0</v>
      </c>
    </row>
    <row r="33" spans="1:30" x14ac:dyDescent="0.35">
      <c r="A33" s="1" t="s">
        <v>415</v>
      </c>
      <c r="B33" s="24" t="s">
        <v>414</v>
      </c>
      <c r="J33" s="1">
        <f>'2-Kensington Gardens'!E2</f>
        <v>1556.83</v>
      </c>
      <c r="K33" s="1">
        <f>'2-Kensington Gardens'!F2</f>
        <v>-869.0300000000002</v>
      </c>
      <c r="L33" s="1">
        <f t="shared" si="0"/>
        <v>-2425.86</v>
      </c>
      <c r="M33" s="1">
        <f>'2-Kensington Gardens'!I2</f>
        <v>3145</v>
      </c>
      <c r="N33" s="1">
        <f>'2-Kensington Gardens'!J2</f>
        <v>6640.5999999999967</v>
      </c>
      <c r="O33" s="1">
        <f t="shared" si="1"/>
        <v>3495.5999999999967</v>
      </c>
      <c r="P33" s="1">
        <f>'2-Kensington Gardens'!M2</f>
        <v>-1855</v>
      </c>
      <c r="Q33" s="1">
        <f>'2-Kensington Gardens'!N2</f>
        <v>-9830.5</v>
      </c>
      <c r="R33" s="1">
        <f t="shared" si="2"/>
        <v>-7975.5</v>
      </c>
      <c r="S33" s="1">
        <f>'2-Kensington Gardens'!Q2</f>
        <v>0</v>
      </c>
      <c r="U33" s="1">
        <f t="shared" si="3"/>
        <v>0</v>
      </c>
      <c r="X33" s="1">
        <f t="shared" si="4"/>
        <v>0</v>
      </c>
      <c r="AA33" s="1">
        <f t="shared" si="5"/>
        <v>0</v>
      </c>
      <c r="AD33" s="1">
        <f t="shared" si="6"/>
        <v>0</v>
      </c>
    </row>
    <row r="34" spans="1:30" x14ac:dyDescent="0.35">
      <c r="A34" s="1" t="s">
        <v>176</v>
      </c>
      <c r="B34" s="24" t="s">
        <v>414</v>
      </c>
      <c r="J34" s="1">
        <f>'2-Kensington Gardens'!E8</f>
        <v>91396.17</v>
      </c>
      <c r="K34" s="1">
        <f>'2-Kensington Gardens'!F8</f>
        <v>99788.56</v>
      </c>
      <c r="L34" s="1">
        <f t="shared" si="0"/>
        <v>8392.39</v>
      </c>
      <c r="M34" s="1">
        <f>'2-Kensington Gardens'!I8</f>
        <v>6355</v>
      </c>
      <c r="N34" s="1">
        <f>'2-Kensington Gardens'!J8</f>
        <v>3108.2199999999975</v>
      </c>
      <c r="O34" s="1">
        <f t="shared" si="1"/>
        <v>-3246.7800000000025</v>
      </c>
      <c r="P34" s="1">
        <f>'2-Kensington Gardens'!M8</f>
        <v>6855</v>
      </c>
      <c r="Q34" s="1">
        <f>'2-Kensington Gardens'!N8</f>
        <v>1777.3400000000001</v>
      </c>
      <c r="R34" s="1">
        <f t="shared" si="2"/>
        <v>-5077.66</v>
      </c>
      <c r="S34" s="1">
        <f>'2-Kensington Gardens'!Q8</f>
        <v>7060</v>
      </c>
      <c r="U34" s="1">
        <f t="shared" si="3"/>
        <v>-7060</v>
      </c>
      <c r="X34" s="1">
        <f t="shared" si="4"/>
        <v>0</v>
      </c>
      <c r="AA34" s="1">
        <f t="shared" si="5"/>
        <v>0</v>
      </c>
      <c r="AD34" s="1">
        <f t="shared" si="6"/>
        <v>0</v>
      </c>
    </row>
    <row r="35" spans="1:30" x14ac:dyDescent="0.35">
      <c r="A35" s="1" t="s">
        <v>416</v>
      </c>
      <c r="B35" s="24" t="s">
        <v>417</v>
      </c>
      <c r="J35" s="1">
        <f>'2-Fen Park'!E2</f>
        <v>406</v>
      </c>
      <c r="K35" s="1">
        <f>'2-Fen Park'!F2</f>
        <v>-26053</v>
      </c>
      <c r="L35" s="1">
        <f t="shared" si="0"/>
        <v>-26459</v>
      </c>
      <c r="M35" s="1">
        <f>'2-Fen Park'!I2</f>
        <v>-37000</v>
      </c>
      <c r="N35" s="1">
        <f>'2-Fen Park'!J2</f>
        <v>0</v>
      </c>
      <c r="O35" s="1">
        <f t="shared" si="1"/>
        <v>37000</v>
      </c>
      <c r="P35" s="1">
        <f>'2-Fen Park'!M2</f>
        <v>0</v>
      </c>
      <c r="Q35" s="1">
        <f>'2-Fen Park'!N2</f>
        <v>0</v>
      </c>
      <c r="R35" s="1">
        <f t="shared" si="2"/>
        <v>0</v>
      </c>
      <c r="S35" s="1">
        <f>'2-Fen Park'!Q2</f>
        <v>0</v>
      </c>
      <c r="U35" s="1">
        <f t="shared" si="3"/>
        <v>0</v>
      </c>
      <c r="X35" s="1">
        <f t="shared" si="4"/>
        <v>0</v>
      </c>
      <c r="AA35" s="1">
        <f t="shared" si="5"/>
        <v>0</v>
      </c>
      <c r="AD35" s="1">
        <f t="shared" si="6"/>
        <v>0</v>
      </c>
    </row>
    <row r="36" spans="1:30" x14ac:dyDescent="0.35">
      <c r="A36" s="1" t="s">
        <v>179</v>
      </c>
      <c r="B36" s="24" t="s">
        <v>417</v>
      </c>
      <c r="J36" s="1">
        <f>'2-Fen Park'!E7</f>
        <v>19781</v>
      </c>
      <c r="K36" s="1">
        <f>'2-Fen Park'!F7</f>
        <v>8885.01</v>
      </c>
      <c r="L36" s="1">
        <f t="shared" si="0"/>
        <v>-10895.99</v>
      </c>
      <c r="M36" s="1">
        <f>'2-Fen Park'!I7</f>
        <v>37000</v>
      </c>
      <c r="N36" s="1">
        <f>'2-Fen Park'!J7</f>
        <v>13810</v>
      </c>
      <c r="O36" s="1">
        <f t="shared" si="1"/>
        <v>-23190</v>
      </c>
      <c r="P36" s="1">
        <f>'2-Fen Park'!M7</f>
        <v>5000</v>
      </c>
      <c r="Q36" s="1">
        <f>'2-Fen Park'!N7</f>
        <v>36.76</v>
      </c>
      <c r="R36" s="1">
        <f t="shared" si="2"/>
        <v>-4963.24</v>
      </c>
      <c r="S36" s="1">
        <f>'2-Fen Park'!Q7</f>
        <v>5150</v>
      </c>
      <c r="U36" s="1">
        <f t="shared" si="3"/>
        <v>-5150</v>
      </c>
      <c r="X36" s="1">
        <f t="shared" si="4"/>
        <v>0</v>
      </c>
      <c r="AA36" s="1">
        <f t="shared" si="5"/>
        <v>0</v>
      </c>
      <c r="AD36" s="1">
        <f t="shared" si="6"/>
        <v>0</v>
      </c>
    </row>
    <row r="37" spans="1:30" s="9" customFormat="1" x14ac:dyDescent="0.35">
      <c r="A37" s="9" t="s">
        <v>380</v>
      </c>
      <c r="B37"/>
      <c r="J37" s="9">
        <f>SUM(J3:J36)</f>
        <v>852608</v>
      </c>
      <c r="K37" s="9">
        <f>SUM(K3:K36)</f>
        <v>1008987.01</v>
      </c>
      <c r="L37" s="9">
        <f>SUM(L3:L36)</f>
        <v>156379.01000000007</v>
      </c>
      <c r="M37" s="9">
        <f>SUM(M3:M36)</f>
        <v>397034</v>
      </c>
      <c r="N37" s="9">
        <f>SUM(N3:N36)</f>
        <v>535600.23999999976</v>
      </c>
      <c r="P37" s="9">
        <f>SUM(P3:P36)</f>
        <v>369941</v>
      </c>
      <c r="Q37" s="9">
        <f>SUM(Q3:Q36)</f>
        <v>363564.47</v>
      </c>
      <c r="S37" s="9">
        <f>SUM(S3:S36)</f>
        <v>682439</v>
      </c>
    </row>
  </sheetData>
  <mergeCells count="9">
    <mergeCell ref="V1:X1"/>
    <mergeCell ref="Y1:AA1"/>
    <mergeCell ref="AB1:AD1"/>
    <mergeCell ref="D1:F1"/>
    <mergeCell ref="G1:I1"/>
    <mergeCell ref="J1:L1"/>
    <mergeCell ref="M1:O1"/>
    <mergeCell ref="P1:R1"/>
    <mergeCell ref="S1:U1"/>
  </mergeCells>
  <hyperlinks>
    <hyperlink ref="B3" location="'2-Parks'!A1" display="2-Parks" xr:uid="{00000000-0004-0000-0400-000000000000}"/>
    <hyperlink ref="B4" location="'2-Parks'!A1" display="2-Parks" xr:uid="{00000000-0004-0000-0400-000001000000}"/>
    <hyperlink ref="B5" location="'2-Horticulture'!A1" display="2-Horticulture" xr:uid="{00000000-0004-0000-0400-000002000000}"/>
    <hyperlink ref="B6" location="'2-Horticulture'!A1" display="2-Horticulture" xr:uid="{00000000-0004-0000-0400-000003000000}"/>
    <hyperlink ref="B7" location="'2-Waterways'!A1" display="2-Waterways" xr:uid="{00000000-0004-0000-0400-000004000000}"/>
    <hyperlink ref="B8" location="'2-Waterways'!A1" display="2-Waterways" xr:uid="{00000000-0004-0000-0400-000005000000}"/>
    <hyperlink ref="B9" location="'2-Play Areas'!A1" display="2-Play Areas" xr:uid="{00000000-0004-0000-0400-000006000000}"/>
    <hyperlink ref="B10" location="'2-Play Areas'!A1" display="2-Play Areas" xr:uid="{00000000-0004-0000-0400-000007000000}"/>
    <hyperlink ref="B11" location="'2-Public Conveniences'!A1" display="2-Public Conveniences" xr:uid="{00000000-0004-0000-0400-000008000000}"/>
    <hyperlink ref="B12" location="'2-Public Conveniences'!A1" display="2-Public Conveniences" xr:uid="{00000000-0004-0000-0400-000009000000}"/>
    <hyperlink ref="B13" location="'2-Triangle Market'!A1" display="2-Triangle Market" xr:uid="{00000000-0004-0000-0400-00000A000000}"/>
    <hyperlink ref="B14" location="'2-Triangle Market'!A1" display="2-Triangle Market" xr:uid="{00000000-0004-0000-0400-00000B000000}"/>
    <hyperlink ref="B15" location="'2-Allotments'!A1" display="2-Allotments" xr:uid="{00000000-0004-0000-0400-00000C000000}"/>
    <hyperlink ref="B16" location="'2-Allotments'!A1" display="2-Allotments" xr:uid="{00000000-0004-0000-0400-00000D000000}"/>
    <hyperlink ref="B17" location="'2-Normanston'!A1" display="2-Normanston" xr:uid="{00000000-0004-0000-0400-00000E000000}"/>
    <hyperlink ref="B18" location="'2-Normanston'!A1" display="2-Normanston" xr:uid="{00000000-0004-0000-0400-00000F000000}"/>
    <hyperlink ref="B19" location="'2-GELP'!A1" display="2-GELP" xr:uid="{00000000-0004-0000-0400-000010000000}"/>
    <hyperlink ref="B20" location="'2-GELP'!A1" display="2-GELP" xr:uid="{00000000-0004-0000-0400-000011000000}"/>
    <hyperlink ref="B21" location="'2-Links Road'!A1" display="2-Links Road" xr:uid="{00000000-0004-0000-0400-000012000000}"/>
    <hyperlink ref="B22" location="'2-Links Road'!A1" display="2-Links Road" xr:uid="{00000000-0004-0000-0400-000013000000}"/>
    <hyperlink ref="B23" location="'2-Denes Oval'!A1" display="2-Denes Oval" xr:uid="{00000000-0004-0000-0400-000014000000}"/>
    <hyperlink ref="B24" location="'2-Denes Oval'!A1" display="2-Denes Oval" xr:uid="{00000000-0004-0000-0400-000015000000}"/>
    <hyperlink ref="B25" location="'2-BVP'!A1" display="2-BVP" xr:uid="{00000000-0004-0000-0400-000016000000}"/>
    <hyperlink ref="B26" location="'2-BVP'!A1" display="2-BVP" xr:uid="{00000000-0004-0000-0400-000017000000}"/>
    <hyperlink ref="B27" location="'2-Sparrows Nest'!A1" display="2-Sparrows Nest" xr:uid="{00000000-0004-0000-0400-000018000000}"/>
    <hyperlink ref="B28" location="'2-Sparrows Nest'!A1" display="2-Sparrows Nest" xr:uid="{00000000-0004-0000-0400-000019000000}"/>
    <hyperlink ref="B29" location="'2-The Ness'!A1" display="2-The Ness" xr:uid="{00000000-0004-0000-0400-00001A000000}"/>
    <hyperlink ref="B30" location="'2-The Ness'!A1" display="2-The Ness" xr:uid="{00000000-0004-0000-0400-00001B000000}"/>
    <hyperlink ref="B33" location="'2-Kensington Gardens'!A1" display="2-Kensington Gardens" xr:uid="{00000000-0004-0000-0400-00001C000000}"/>
    <hyperlink ref="B34" location="'2-Kensington Gardens'!A1" display="2-Kensington Gardens" xr:uid="{00000000-0004-0000-0400-00001D000000}"/>
    <hyperlink ref="B35" location="'2-Fen Park'!A1" display="2-Fen Park" xr:uid="{00000000-0004-0000-0400-00001E000000}"/>
    <hyperlink ref="B36" location="'2-Fen Park'!A1" display="2-Fen Park" xr:uid="{00000000-0004-0000-0400-00001F000000}"/>
    <hyperlink ref="B31" location="'2-Kensington Gardens'!A1" display="2-Kensington Gardens" xr:uid="{00000000-0004-0000-0400-000020000000}"/>
    <hyperlink ref="B32" location="'2-Kensington Gardens'!A1" display="2-Kensington Gardens" xr:uid="{00000000-0004-0000-0400-000021000000}"/>
  </hyperlinks>
  <pageMargins left="0.7" right="0.7" top="0.75" bottom="0.75" header="0.3" footer="0.3"/>
  <pageSetup paperSize="9" scale="4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AG1001"/>
  <sheetViews>
    <sheetView workbookViewId="0">
      <pane xSplit="2" ySplit="1" topLeftCell="C5" activePane="bottomRight" state="frozen"/>
      <selection pane="topRight" activeCell="C1" sqref="C1"/>
      <selection pane="bottomLeft" activeCell="A2" sqref="A2"/>
      <selection pane="bottomRight" activeCell="H20" sqref="H20"/>
    </sheetView>
  </sheetViews>
  <sheetFormatPr defaultColWidth="8.81640625" defaultRowHeight="14.5" x14ac:dyDescent="0.35"/>
  <cols>
    <col min="1" max="1" width="27" style="86" customWidth="1"/>
    <col min="2" max="2" width="5.453125" style="85" bestFit="1" customWidth="1"/>
    <col min="3" max="3" width="5.453125" style="85" customWidth="1"/>
    <col min="4" max="4" width="11" style="86" bestFit="1" customWidth="1"/>
    <col min="5" max="5" width="13.81640625" style="85" customWidth="1"/>
    <col min="6" max="6" width="19.54296875" style="93" customWidth="1"/>
    <col min="7" max="7" width="18.54296875" style="87" customWidth="1"/>
    <col min="8" max="8" width="13.453125" style="88" customWidth="1"/>
    <col min="9" max="9" width="13.81640625" style="89" bestFit="1" customWidth="1"/>
    <col min="10" max="10" width="19.54296875" style="87" customWidth="1"/>
    <col min="11" max="11" width="41.26953125" style="87" bestFit="1" customWidth="1"/>
    <col min="12" max="12" width="16.54296875" style="87" customWidth="1"/>
    <col min="13" max="13" width="34.453125" style="89" customWidth="1"/>
    <col min="14" max="14" width="13.81640625" style="87" customWidth="1"/>
    <col min="15" max="15" width="11.54296875" style="87" bestFit="1" customWidth="1"/>
    <col min="16" max="16" width="13.453125" style="87" bestFit="1" customWidth="1"/>
    <col min="17" max="17" width="13.81640625" style="89" bestFit="1" customWidth="1"/>
    <col min="18" max="18" width="13.81640625" style="87" customWidth="1"/>
    <col min="19" max="19" width="11" style="87" bestFit="1" customWidth="1"/>
    <col min="20" max="20" width="13.453125" style="87" bestFit="1" customWidth="1"/>
    <col min="21" max="21" width="13.81640625" style="89" bestFit="1" customWidth="1"/>
    <col min="22" max="22" width="13.81640625" style="87" customWidth="1"/>
    <col min="23" max="23" width="11"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0.81640625" style="87" bestFit="1" customWidth="1"/>
    <col min="34" max="16384" width="8.81640625" style="87"/>
  </cols>
  <sheetData>
    <row r="1" spans="1:33" ht="20.5" customHeight="1" x14ac:dyDescent="0.35">
      <c r="A1" s="84" t="s">
        <v>302</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SUM(E3:E4)</f>
        <v>0</v>
      </c>
      <c r="F2" s="87">
        <f>SUM(F3:F3)</f>
        <v>-5924.7800000000007</v>
      </c>
      <c r="I2" s="89">
        <f>SUM(I3:I4)</f>
        <v>0</v>
      </c>
      <c r="J2" s="87">
        <f>SUM(J3:J4)</f>
        <v>112419.62</v>
      </c>
      <c r="M2" s="89">
        <f>SUM(M3:M4)</f>
        <v>0</v>
      </c>
      <c r="N2" s="87">
        <f>SUM(N3:N4)</f>
        <v>3918.99</v>
      </c>
      <c r="Q2" s="89">
        <f>SUM(Q3:Q4)</f>
        <v>0</v>
      </c>
      <c r="R2" s="87">
        <f>SUM(R3:R4)</f>
        <v>0</v>
      </c>
      <c r="U2" s="89">
        <f>SUM(U3:U4)</f>
        <v>0</v>
      </c>
      <c r="V2" s="87">
        <f>SUM(V3:V4)</f>
        <v>0</v>
      </c>
      <c r="Y2" s="89">
        <f>SUM(Y3:Y4)</f>
        <v>0</v>
      </c>
      <c r="Z2" s="87">
        <f>SUM(Z3:Z4)</f>
        <v>0</v>
      </c>
      <c r="AC2" s="89">
        <f>SUM(AC3:AC4)</f>
        <v>0</v>
      </c>
      <c r="AD2" s="87">
        <f>SUM(AD3:AD4)</f>
        <v>0</v>
      </c>
    </row>
    <row r="3" spans="1:33" x14ac:dyDescent="0.35">
      <c r="A3" s="86" t="s">
        <v>303</v>
      </c>
      <c r="B3" s="85">
        <v>1</v>
      </c>
      <c r="D3" s="86">
        <v>104276.32</v>
      </c>
      <c r="E3" s="87">
        <v>0</v>
      </c>
      <c r="F3" s="87">
        <f>SUMIFS(H$14:H$999,E$14:E$999,$B3)</f>
        <v>-5924.7800000000007</v>
      </c>
      <c r="G3" s="87">
        <f>D3+E3-F3+SUMIFS(E$7:E$8,$C$7:$C$8,$A3)-SUMIFS(F$7:F$8,$C$7:$C$8,$A3)</f>
        <v>63569.390000000007</v>
      </c>
      <c r="J3" s="87">
        <f>SUMIFS(L$14:L$1000,I$14:I$1000,$B3)</f>
        <v>57004.159999999996</v>
      </c>
      <c r="K3" s="87">
        <f>G3+I3-J3+SUMIFS(I$7:I$8,$C$7:$C$8,$A3)-SUMIFS(J$7:J$8,$C$7:$C$8,$A3)</f>
        <v>6565.2300000000105</v>
      </c>
      <c r="L3" s="86"/>
      <c r="N3" s="87">
        <f>SUMIFS(P$14:P$1000,M$14:M$1000,$B3)</f>
        <v>3918.99</v>
      </c>
      <c r="O3" s="87">
        <f>K3+M3-N3+SUMIFS(M$7:M$8,$C$7:$C$8,$A3)-SUMIFS(N$7:N$8,$C$7:$C$8,$A3)</f>
        <v>2646.2400000000107</v>
      </c>
      <c r="R3" s="87">
        <f>SUMIFS(T$14:T$999,Q$14:Q$999,$B3)</f>
        <v>0</v>
      </c>
      <c r="S3" s="87">
        <f>O3+Q3-R3+SUMIFS(Q$7:Q$8,$C$7:$C$8,$A3)-SUMIFS(R$7:R$8,$C$7:$C$8,$A3)</f>
        <v>2646.2400000000107</v>
      </c>
      <c r="V3" s="87">
        <f>SUMIFS(X$14:X$999,U$14:U$999,$B3)</f>
        <v>0</v>
      </c>
      <c r="W3" s="87">
        <f>S3+U3-V3+SUMIFS(U$7:U$8,$C$7:$C$8,$A3)-SUMIFS(V$7:V$8,$C$7:$C$8,$A3)</f>
        <v>2646.2400000000107</v>
      </c>
      <c r="Z3" s="87">
        <f>SUMIFS(AB$14:AB$999,Y$14:Y$999,$B3)</f>
        <v>0</v>
      </c>
      <c r="AA3" s="87">
        <f>W3+Y3-Z3+SUMIFS(Y$7:Y$8,$C$7:$C$8,$A3)-SUMIFS(Z$7:Z$8,$C$7:$C$8,$A3)</f>
        <v>2646.2400000000107</v>
      </c>
      <c r="AD3" s="87">
        <f>SUMIFS(AF$14:AF$999,AC$14:AC$999,$B3)</f>
        <v>0</v>
      </c>
      <c r="AE3" s="87">
        <f>AA3+AC3-AD3+SUMIFS(AC$7:AC$8,$C$7:$C$8,$A3)-SUMIFS(AD$7:AD$8,$C$7:$C$8,$A3)</f>
        <v>2646.2400000000107</v>
      </c>
    </row>
    <row r="4" spans="1:33" x14ac:dyDescent="0.35">
      <c r="A4" s="86" t="s">
        <v>304</v>
      </c>
      <c r="B4" s="85">
        <v>2</v>
      </c>
      <c r="D4" s="86">
        <v>93176.2</v>
      </c>
      <c r="E4" s="87">
        <v>0</v>
      </c>
      <c r="F4" s="87">
        <f>SUMIFS(H$14:H$999,E$14:E$999,$B4)</f>
        <v>0</v>
      </c>
      <c r="G4" s="87">
        <f>D4+E4-F4+SUMIFS(E$7:E$8,$C$7:$C$8,$A4)-SUMIFS(F$7:F$8,$C$7:$C$8,$A4)</f>
        <v>55415.46</v>
      </c>
      <c r="J4" s="87">
        <f>SUMIFS(L$14:L$1000,I$14:I$1000,$B4)</f>
        <v>55415.46</v>
      </c>
      <c r="K4" s="87">
        <f>G4+I4-J4+SUMIFS(I$7:I$8,$C$7:$C$8,$A4)-SUMIFS(J$7:J$8,$C$7:$C$8,$A4)</f>
        <v>0</v>
      </c>
      <c r="L4" s="86"/>
      <c r="N4" s="87">
        <f>SUMIFS(P$14:P$1000,M$14:M$1000,$B4)</f>
        <v>0</v>
      </c>
      <c r="O4" s="87">
        <f>K4+M4-N4+SUMIFS(M$7:M$8,$C$7:$C$8,$A4)-SUMIFS(N$7:N$8,$C$7:$C$8,$A4)</f>
        <v>0</v>
      </c>
      <c r="R4" s="87">
        <f>SUMIFS(T$14:T$999,Q$14:Q$999,$B4)</f>
        <v>0</v>
      </c>
      <c r="S4" s="87">
        <f>O4+Q4-R4+SUMIFS(Q$7:Q$8,$C$7:$C$8,$A4)-SUMIFS(R$7:R$8,$C$7:$C$8,$A4)</f>
        <v>0</v>
      </c>
      <c r="V4" s="87">
        <f>SUMIFS(X$14:X$999,U$14:U$999,$B4)</f>
        <v>0</v>
      </c>
      <c r="W4" s="87">
        <f>S4+U4-V4+SUMIFS(U$7:U$8,$C$7:$C$8,$A4)-SUMIFS(V$7:V$8,$C$7:$C$8,$A4)</f>
        <v>0</v>
      </c>
      <c r="Z4" s="87">
        <f>SUMIFS(AB$14:AB$999,Y$14:Y$999,$B4)</f>
        <v>0</v>
      </c>
      <c r="AA4" s="87">
        <f>W4+Y4-Z4+SUMIFS(Y$7:Y$8,$C$7:$C$8,$A4)-SUMIFS(Z$7:Z$8,$C$7:$C$8,$A4)</f>
        <v>0</v>
      </c>
      <c r="AD4" s="87">
        <f>SUMIFS(AF$14:AF$999,AC$14:AC$999,$B4)</f>
        <v>0</v>
      </c>
      <c r="AE4" s="87">
        <f>AA4+AC4-AD4+SUMIFS(AC$7:AC$8,$C$7:$C$8,$A4)-SUMIFS(AD$7:AD$8,$C$7:$C$8,$A4)</f>
        <v>0</v>
      </c>
    </row>
    <row r="5" spans="1:33" x14ac:dyDescent="0.35">
      <c r="E5" s="87"/>
      <c r="F5" s="87"/>
    </row>
    <row r="6" spans="1:33" x14ac:dyDescent="0.35">
      <c r="A6" s="84" t="s">
        <v>302</v>
      </c>
      <c r="D6" s="84"/>
      <c r="E6" s="87">
        <f>SUM(E7:E8)</f>
        <v>0</v>
      </c>
      <c r="F6" s="87">
        <f>SUM(F7:F8)</f>
        <v>84392.45</v>
      </c>
      <c r="I6" s="89">
        <f>SUM(I7:I8)</f>
        <v>0</v>
      </c>
      <c r="J6" s="87">
        <f>SUM(J7:J8)</f>
        <v>0</v>
      </c>
      <c r="M6" s="89">
        <f>SUM(M7:M8)</f>
        <v>0</v>
      </c>
      <c r="N6" s="89">
        <f>SUM(N7:N8)</f>
        <v>0</v>
      </c>
      <c r="Q6" s="89">
        <f>SUM(Q7:Q8)</f>
        <v>0</v>
      </c>
      <c r="R6" s="87">
        <f>$Q$6</f>
        <v>0</v>
      </c>
      <c r="U6" s="89">
        <f>SUM(U7:U8)</f>
        <v>0</v>
      </c>
      <c r="V6" s="87">
        <f>$U$6</f>
        <v>0</v>
      </c>
      <c r="Y6" s="89">
        <f>SUM(Y7:Y8)</f>
        <v>0</v>
      </c>
      <c r="Z6" s="87">
        <f>$Y$6</f>
        <v>0</v>
      </c>
      <c r="AC6" s="89">
        <f>SUM(AC7:AC8)</f>
        <v>0</v>
      </c>
      <c r="AD6" s="87">
        <f>$AC$6</f>
        <v>0</v>
      </c>
    </row>
    <row r="7" spans="1:33" x14ac:dyDescent="0.35">
      <c r="A7" s="86" t="s">
        <v>305</v>
      </c>
      <c r="B7" s="85">
        <v>3</v>
      </c>
      <c r="C7" s="85" t="s">
        <v>303</v>
      </c>
      <c r="D7" s="84"/>
      <c r="E7" s="87">
        <v>0</v>
      </c>
      <c r="F7" s="87">
        <f>SUMIFS(H$14:H$999,E$14:E$999,$B7)</f>
        <v>46631.71</v>
      </c>
      <c r="I7" s="89">
        <f>ROUNDUP((E7)*RPICurrent,0)</f>
        <v>0</v>
      </c>
      <c r="J7" s="87">
        <f>SUMIFS(L$14:L$1000,I$14:I$1000,$B7)</f>
        <v>0</v>
      </c>
      <c r="M7" s="89">
        <f>ROUNDUP((I7)*RPI,0)</f>
        <v>0</v>
      </c>
      <c r="N7" s="87">
        <f>SUMIFS(P$14:P$1000,M$14:M$1000,$B7)</f>
        <v>0</v>
      </c>
      <c r="Q7" s="89">
        <f>ROUNDUP((M7)*RPI,0)</f>
        <v>0</v>
      </c>
      <c r="R7" s="87">
        <f>$Q$7</f>
        <v>0</v>
      </c>
      <c r="U7" s="89">
        <f>ROUNDUP((Q7)*RPI,0)</f>
        <v>0</v>
      </c>
      <c r="V7" s="87">
        <f>$U$7</f>
        <v>0</v>
      </c>
      <c r="Y7" s="89">
        <f>ROUNDUP((U7)*RPI,0)</f>
        <v>0</v>
      </c>
      <c r="Z7" s="87">
        <f>$Y$7</f>
        <v>0</v>
      </c>
      <c r="AC7" s="89">
        <f>ROUNDUP((Y7)*RPI,0)</f>
        <v>0</v>
      </c>
      <c r="AD7" s="87">
        <f>$AC$7</f>
        <v>0</v>
      </c>
    </row>
    <row r="8" spans="1:33" x14ac:dyDescent="0.35">
      <c r="A8" s="86" t="s">
        <v>306</v>
      </c>
      <c r="B8" s="85">
        <v>4</v>
      </c>
      <c r="C8" s="87" t="s">
        <v>304</v>
      </c>
      <c r="D8" s="84"/>
      <c r="E8" s="87">
        <v>0</v>
      </c>
      <c r="F8" s="87">
        <f>SUMIFS(H$14:H$999,E$14:E$999,$B8)</f>
        <v>37760.74</v>
      </c>
      <c r="I8" s="89">
        <f>ROUNDUP((E8)*RPICurrent,0)</f>
        <v>0</v>
      </c>
      <c r="J8" s="87">
        <f>SUMIFS(L$14:L$1000,I$14:I$1000,$B8)</f>
        <v>0</v>
      </c>
      <c r="M8" s="89">
        <f>ROUNDUP((I8)*RPI,0)</f>
        <v>0</v>
      </c>
      <c r="N8" s="87">
        <f>SUMIFS(P$14:P$1000,M$14:M$1000,$B8)</f>
        <v>0</v>
      </c>
      <c r="Q8" s="89">
        <f>ROUNDUP((M8)*RPI,0)</f>
        <v>0</v>
      </c>
      <c r="R8" s="87">
        <f>$Q$8</f>
        <v>0</v>
      </c>
      <c r="U8" s="89">
        <f>ROUNDUP((Q8)*RPI,0)</f>
        <v>0</v>
      </c>
      <c r="V8" s="87">
        <f>$U$8</f>
        <v>0</v>
      </c>
      <c r="Y8" s="89">
        <f>ROUNDUP((U8)*RPI,0)</f>
        <v>0</v>
      </c>
      <c r="Z8" s="87">
        <f>$Y$8</f>
        <v>0</v>
      </c>
      <c r="AC8" s="89">
        <f>ROUNDUP((Y8)*RPI,0)</f>
        <v>0</v>
      </c>
      <c r="AD8" s="87">
        <f>$AC$8</f>
        <v>0</v>
      </c>
    </row>
    <row r="9" spans="1:33" x14ac:dyDescent="0.35">
      <c r="E9" s="87"/>
      <c r="F9" s="87"/>
    </row>
    <row r="10" spans="1:33" x14ac:dyDescent="0.35">
      <c r="E10" s="87"/>
      <c r="F10" s="87"/>
    </row>
    <row r="11" spans="1:33" x14ac:dyDescent="0.35">
      <c r="E11" s="87"/>
      <c r="F11" s="87"/>
    </row>
    <row r="12" spans="1:33" x14ac:dyDescent="0.35">
      <c r="A12" s="84" t="s">
        <v>487</v>
      </c>
      <c r="G12" s="85"/>
      <c r="H12" s="87"/>
      <c r="I12" s="94"/>
      <c r="J12" s="93"/>
      <c r="K12" s="85"/>
      <c r="M12" s="94"/>
      <c r="N12" s="93"/>
      <c r="O12" s="85"/>
      <c r="Q12" s="94"/>
      <c r="R12" s="93"/>
      <c r="S12" s="85"/>
      <c r="U12" s="94"/>
      <c r="V12" s="93"/>
      <c r="W12" s="85"/>
      <c r="Y12" s="94"/>
      <c r="Z12" s="93"/>
      <c r="AA12" s="85"/>
      <c r="AC12" s="94"/>
      <c r="AD12" s="93"/>
      <c r="AE12" s="85"/>
    </row>
    <row r="13" spans="1:33" x14ac:dyDescent="0.35">
      <c r="E13" s="85" t="s">
        <v>484</v>
      </c>
      <c r="F13" s="93" t="s">
        <v>488</v>
      </c>
      <c r="G13" s="85" t="s">
        <v>489</v>
      </c>
      <c r="H13" s="87" t="s">
        <v>475</v>
      </c>
      <c r="I13" s="94" t="s">
        <v>484</v>
      </c>
      <c r="J13" s="93" t="s">
        <v>488</v>
      </c>
      <c r="K13" s="85" t="s">
        <v>489</v>
      </c>
      <c r="L13" s="87" t="s">
        <v>475</v>
      </c>
      <c r="M13" s="85" t="s">
        <v>484</v>
      </c>
      <c r="N13" s="93" t="s">
        <v>488</v>
      </c>
      <c r="O13" s="85" t="s">
        <v>489</v>
      </c>
      <c r="P13" s="87" t="s">
        <v>475</v>
      </c>
      <c r="Q13" s="94"/>
      <c r="R13" s="93"/>
      <c r="S13" s="85"/>
      <c r="U13" s="94"/>
      <c r="V13" s="93"/>
      <c r="W13" s="85"/>
      <c r="Y13" s="94"/>
      <c r="Z13" s="93"/>
      <c r="AA13" s="85"/>
      <c r="AC13" s="94"/>
      <c r="AD13" s="93"/>
      <c r="AE13" s="85"/>
    </row>
    <row r="14" spans="1:33" ht="75" customHeight="1" x14ac:dyDescent="0.35">
      <c r="A14" s="85"/>
      <c r="D14" s="85"/>
      <c r="E14" s="85">
        <v>1</v>
      </c>
      <c r="F14" s="93">
        <v>44677</v>
      </c>
      <c r="G14" s="85" t="s">
        <v>1908</v>
      </c>
      <c r="H14" s="87">
        <f>-4233.05-1691.73</f>
        <v>-5924.7800000000007</v>
      </c>
      <c r="I14" s="94">
        <v>1</v>
      </c>
      <c r="J14" s="93" t="s">
        <v>676</v>
      </c>
      <c r="K14" s="96" t="s">
        <v>1909</v>
      </c>
      <c r="L14" s="87">
        <v>15000</v>
      </c>
      <c r="M14" s="85">
        <v>1</v>
      </c>
      <c r="N14" s="93" t="s">
        <v>2392</v>
      </c>
      <c r="O14" s="85" t="s">
        <v>1914</v>
      </c>
      <c r="P14" s="87">
        <v>5000</v>
      </c>
      <c r="Q14" s="94"/>
      <c r="R14" s="93"/>
      <c r="S14" s="85"/>
      <c r="U14" s="94"/>
      <c r="V14" s="93"/>
      <c r="W14" s="85"/>
      <c r="Y14" s="94"/>
      <c r="Z14" s="93"/>
      <c r="AA14" s="85"/>
      <c r="AC14" s="94"/>
      <c r="AD14" s="93"/>
      <c r="AE14" s="85"/>
    </row>
    <row r="15" spans="1:33" x14ac:dyDescent="0.35">
      <c r="E15" s="85">
        <v>4</v>
      </c>
      <c r="F15" s="93">
        <v>44673</v>
      </c>
      <c r="G15" s="85" t="s">
        <v>1910</v>
      </c>
      <c r="H15" s="87">
        <f>675+2800+508.74+9044.52+3064.72+14890.76+177</f>
        <v>31160.739999999998</v>
      </c>
      <c r="I15" s="94">
        <v>1</v>
      </c>
      <c r="J15" s="93">
        <v>45104</v>
      </c>
      <c r="K15" s="93" t="s">
        <v>1911</v>
      </c>
      <c r="L15" s="87">
        <v>43986</v>
      </c>
      <c r="M15" s="94">
        <v>1</v>
      </c>
      <c r="N15" s="93">
        <v>45399</v>
      </c>
      <c r="O15" s="85" t="s">
        <v>1925</v>
      </c>
      <c r="P15" s="87">
        <v>-1081.01</v>
      </c>
      <c r="Q15" s="94"/>
      <c r="R15" s="93"/>
      <c r="S15" s="85"/>
      <c r="U15" s="94"/>
      <c r="V15" s="93"/>
      <c r="W15" s="85"/>
      <c r="Y15" s="94"/>
      <c r="Z15" s="93"/>
      <c r="AA15" s="85"/>
      <c r="AC15" s="94"/>
      <c r="AD15" s="93"/>
      <c r="AE15" s="85"/>
    </row>
    <row r="16" spans="1:33" x14ac:dyDescent="0.35">
      <c r="E16" s="85" t="s">
        <v>867</v>
      </c>
      <c r="F16" s="93" t="s">
        <v>1912</v>
      </c>
      <c r="G16" s="85" t="s">
        <v>1913</v>
      </c>
      <c r="H16" s="87">
        <f>43986-H27</f>
        <v>41786</v>
      </c>
      <c r="I16" s="85" t="s">
        <v>23</v>
      </c>
      <c r="J16" s="93" t="s">
        <v>2392</v>
      </c>
      <c r="K16" s="85" t="s">
        <v>1914</v>
      </c>
      <c r="L16" s="87">
        <v>5000</v>
      </c>
      <c r="M16" s="94"/>
      <c r="N16" s="93"/>
      <c r="O16" s="85"/>
      <c r="Q16" s="94"/>
      <c r="R16" s="93"/>
      <c r="S16" s="85"/>
      <c r="U16" s="94"/>
      <c r="V16" s="93"/>
      <c r="W16" s="85"/>
      <c r="Y16" s="94"/>
      <c r="Z16" s="93"/>
      <c r="AA16" s="85"/>
      <c r="AC16" s="94"/>
      <c r="AD16" s="93"/>
      <c r="AE16" s="85"/>
    </row>
    <row r="17" spans="5:31" x14ac:dyDescent="0.35">
      <c r="E17" s="85">
        <v>3</v>
      </c>
      <c r="F17" s="93">
        <v>44987</v>
      </c>
      <c r="G17" s="85" t="s">
        <v>1915</v>
      </c>
      <c r="H17" s="87">
        <v>43076.71</v>
      </c>
      <c r="I17" s="94">
        <v>2</v>
      </c>
      <c r="J17" s="93" t="s">
        <v>1916</v>
      </c>
      <c r="K17" s="85" t="s">
        <v>1917</v>
      </c>
      <c r="L17" s="87">
        <v>32803.58</v>
      </c>
      <c r="M17" s="94"/>
      <c r="N17" s="93"/>
      <c r="O17" s="85"/>
      <c r="Q17" s="94"/>
      <c r="R17" s="93"/>
      <c r="S17" s="85"/>
      <c r="U17" s="94"/>
      <c r="V17" s="93"/>
      <c r="W17" s="85"/>
      <c r="Y17" s="94"/>
      <c r="Z17" s="93"/>
      <c r="AA17" s="85"/>
      <c r="AC17" s="94"/>
      <c r="AD17" s="93"/>
      <c r="AE17" s="85"/>
    </row>
    <row r="18" spans="5:31" x14ac:dyDescent="0.35">
      <c r="E18" s="85" t="s">
        <v>867</v>
      </c>
      <c r="F18" s="93" t="s">
        <v>1912</v>
      </c>
      <c r="G18" s="85" t="s">
        <v>1914</v>
      </c>
      <c r="H18" s="87">
        <v>5000</v>
      </c>
      <c r="I18" s="94">
        <v>2</v>
      </c>
      <c r="J18" s="93" t="s">
        <v>1916</v>
      </c>
      <c r="K18" s="85" t="s">
        <v>1918</v>
      </c>
      <c r="L18" s="87">
        <v>1700</v>
      </c>
      <c r="M18" s="94"/>
      <c r="N18" s="93"/>
      <c r="O18" s="85"/>
      <c r="Q18" s="94"/>
      <c r="R18" s="93"/>
      <c r="S18" s="85"/>
      <c r="U18" s="94"/>
      <c r="V18" s="93"/>
      <c r="W18" s="85"/>
      <c r="Y18" s="94"/>
      <c r="Z18" s="93"/>
      <c r="AA18" s="85"/>
      <c r="AC18" s="94"/>
      <c r="AD18" s="93"/>
      <c r="AE18" s="85"/>
    </row>
    <row r="19" spans="5:31" x14ac:dyDescent="0.35">
      <c r="E19" s="85">
        <v>4</v>
      </c>
      <c r="F19" s="93">
        <v>44965</v>
      </c>
      <c r="G19" s="85" t="s">
        <v>1919</v>
      </c>
      <c r="H19" s="87">
        <v>6600</v>
      </c>
      <c r="I19" s="94">
        <v>2</v>
      </c>
      <c r="J19" s="93" t="s">
        <v>1916</v>
      </c>
      <c r="K19" s="85" t="s">
        <v>1920</v>
      </c>
      <c r="L19" s="87">
        <v>11271.73</v>
      </c>
      <c r="M19" s="147"/>
      <c r="N19" s="93"/>
      <c r="O19" s="85"/>
      <c r="Q19" s="94"/>
      <c r="R19" s="93"/>
      <c r="S19" s="85"/>
      <c r="U19" s="94"/>
      <c r="V19" s="93"/>
      <c r="W19" s="85"/>
      <c r="Y19" s="94"/>
      <c r="Z19" s="93"/>
      <c r="AA19" s="85"/>
      <c r="AC19" s="94"/>
      <c r="AD19" s="93"/>
      <c r="AE19" s="85"/>
    </row>
    <row r="20" spans="5:31" x14ac:dyDescent="0.35">
      <c r="E20" s="85" t="s">
        <v>867</v>
      </c>
      <c r="F20" s="93" t="s">
        <v>1916</v>
      </c>
      <c r="G20" s="85" t="s">
        <v>1917</v>
      </c>
      <c r="H20" s="87">
        <v>32980.58</v>
      </c>
      <c r="I20" s="94">
        <v>2</v>
      </c>
      <c r="J20" s="93" t="s">
        <v>1916</v>
      </c>
      <c r="K20" s="85" t="s">
        <v>1921</v>
      </c>
      <c r="L20" s="87">
        <v>3950</v>
      </c>
      <c r="M20" s="94"/>
      <c r="N20" s="93"/>
      <c r="O20" s="85"/>
      <c r="Q20" s="94"/>
      <c r="R20" s="93"/>
      <c r="S20" s="85"/>
      <c r="U20" s="94"/>
      <c r="V20" s="93"/>
      <c r="W20" s="85"/>
      <c r="Y20" s="94"/>
      <c r="Z20" s="93"/>
      <c r="AA20" s="85"/>
      <c r="AC20" s="94"/>
      <c r="AD20" s="93"/>
      <c r="AE20" s="85"/>
    </row>
    <row r="21" spans="5:31" x14ac:dyDescent="0.35">
      <c r="E21" s="85" t="s">
        <v>867</v>
      </c>
      <c r="F21" s="93" t="s">
        <v>1916</v>
      </c>
      <c r="G21" s="85" t="s">
        <v>1918</v>
      </c>
      <c r="H21" s="87">
        <v>1700</v>
      </c>
      <c r="I21" s="94">
        <v>2</v>
      </c>
      <c r="J21" s="93" t="s">
        <v>1916</v>
      </c>
      <c r="K21" s="85" t="s">
        <v>1922</v>
      </c>
      <c r="L21" s="87">
        <v>4000</v>
      </c>
      <c r="M21" s="94"/>
      <c r="N21" s="93"/>
      <c r="O21" s="85"/>
      <c r="Q21" s="94"/>
      <c r="R21" s="93"/>
      <c r="S21" s="85"/>
      <c r="U21" s="94"/>
      <c r="V21" s="93"/>
      <c r="W21" s="85"/>
      <c r="Y21" s="94"/>
      <c r="Z21" s="93"/>
      <c r="AA21" s="85"/>
      <c r="AC21" s="94"/>
      <c r="AD21" s="93"/>
      <c r="AE21" s="85"/>
    </row>
    <row r="22" spans="5:31" x14ac:dyDescent="0.35">
      <c r="E22" s="85" t="s">
        <v>867</v>
      </c>
      <c r="F22" s="93" t="s">
        <v>1916</v>
      </c>
      <c r="G22" s="85" t="s">
        <v>1923</v>
      </c>
      <c r="H22" s="87">
        <v>11271.73</v>
      </c>
      <c r="I22" s="94">
        <v>2</v>
      </c>
      <c r="J22" s="93" t="s">
        <v>1916</v>
      </c>
      <c r="K22" s="85" t="s">
        <v>1924</v>
      </c>
      <c r="L22" s="87">
        <v>1690.15</v>
      </c>
      <c r="M22" s="94"/>
      <c r="N22" s="93"/>
      <c r="O22" s="85"/>
      <c r="Q22" s="94"/>
      <c r="R22" s="93"/>
      <c r="S22" s="85"/>
      <c r="U22" s="94"/>
      <c r="V22" s="93"/>
      <c r="W22" s="85"/>
      <c r="Y22" s="94"/>
      <c r="Z22" s="93"/>
      <c r="AA22" s="85"/>
      <c r="AC22" s="94"/>
      <c r="AD22" s="93"/>
      <c r="AE22" s="85"/>
    </row>
    <row r="23" spans="5:31" x14ac:dyDescent="0.35">
      <c r="E23" s="85" t="s">
        <v>867</v>
      </c>
      <c r="F23" s="93" t="s">
        <v>1916</v>
      </c>
      <c r="G23" s="85" t="s">
        <v>1921</v>
      </c>
      <c r="H23" s="87">
        <v>3950</v>
      </c>
      <c r="I23" s="94">
        <v>1</v>
      </c>
      <c r="J23" s="93">
        <v>45034</v>
      </c>
      <c r="K23" s="85" t="s">
        <v>1925</v>
      </c>
      <c r="L23" s="87">
        <v>-10470.17</v>
      </c>
      <c r="M23" s="94"/>
      <c r="N23" s="93"/>
      <c r="O23" s="85"/>
      <c r="Q23" s="94"/>
      <c r="R23" s="93"/>
      <c r="S23" s="85"/>
      <c r="U23" s="94"/>
      <c r="V23" s="93"/>
      <c r="W23" s="85"/>
      <c r="Y23" s="94"/>
      <c r="Z23" s="93"/>
      <c r="AA23" s="85"/>
      <c r="AC23" s="94"/>
      <c r="AD23" s="93"/>
      <c r="AE23" s="85"/>
    </row>
    <row r="24" spans="5:31" x14ac:dyDescent="0.35">
      <c r="E24" s="85" t="s">
        <v>867</v>
      </c>
      <c r="F24" s="93" t="s">
        <v>1916</v>
      </c>
      <c r="G24" s="85" t="s">
        <v>1922</v>
      </c>
      <c r="H24" s="87">
        <v>4000</v>
      </c>
      <c r="I24" s="94">
        <v>1</v>
      </c>
      <c r="J24" s="93">
        <v>45223</v>
      </c>
      <c r="K24" s="85" t="s">
        <v>2109</v>
      </c>
      <c r="L24" s="87">
        <v>-1565.23</v>
      </c>
      <c r="M24" s="94"/>
      <c r="N24" s="93"/>
      <c r="O24" s="85"/>
      <c r="Q24" s="94"/>
      <c r="R24" s="93"/>
      <c r="S24" s="85"/>
      <c r="U24" s="94"/>
      <c r="V24" s="93"/>
      <c r="W24" s="85"/>
      <c r="Y24" s="94"/>
      <c r="Z24" s="93"/>
      <c r="AA24" s="85"/>
      <c r="AC24" s="94"/>
      <c r="AD24" s="93"/>
      <c r="AE24" s="85"/>
    </row>
    <row r="25" spans="5:31" x14ac:dyDescent="0.35">
      <c r="E25" s="85" t="s">
        <v>867</v>
      </c>
      <c r="F25" s="93" t="s">
        <v>1916</v>
      </c>
      <c r="G25" s="85" t="s">
        <v>1924</v>
      </c>
      <c r="H25" s="87">
        <v>1690.15</v>
      </c>
      <c r="I25" s="95">
        <v>1</v>
      </c>
      <c r="J25" s="96" t="s">
        <v>699</v>
      </c>
      <c r="K25" s="96" t="s">
        <v>1909</v>
      </c>
      <c r="L25" s="87">
        <v>10053.56</v>
      </c>
      <c r="M25" s="147"/>
      <c r="N25" s="93"/>
      <c r="O25" s="85"/>
      <c r="Q25" s="94"/>
      <c r="R25" s="93"/>
      <c r="S25" s="85"/>
      <c r="U25" s="94"/>
      <c r="V25" s="93"/>
      <c r="W25" s="85"/>
      <c r="Y25" s="94"/>
      <c r="Z25" s="93"/>
      <c r="AA25" s="85"/>
      <c r="AC25" s="94"/>
      <c r="AD25" s="93"/>
      <c r="AE25" s="85"/>
    </row>
    <row r="26" spans="5:31" x14ac:dyDescent="0.35">
      <c r="E26" s="85">
        <v>3</v>
      </c>
      <c r="F26" s="93">
        <v>44991</v>
      </c>
      <c r="G26" s="85" t="s">
        <v>1926</v>
      </c>
      <c r="H26" s="87">
        <v>1355</v>
      </c>
      <c r="I26" s="94"/>
      <c r="J26" s="93"/>
      <c r="K26" s="85"/>
      <c r="M26" s="94"/>
      <c r="N26" s="93"/>
      <c r="O26" s="85"/>
      <c r="Q26" s="94"/>
      <c r="R26" s="93"/>
      <c r="S26" s="85"/>
      <c r="U26" s="94"/>
      <c r="V26" s="93"/>
      <c r="W26" s="85"/>
      <c r="Y26" s="94"/>
      <c r="Z26" s="93"/>
      <c r="AA26" s="85"/>
      <c r="AC26" s="94"/>
      <c r="AD26" s="93"/>
      <c r="AE26" s="85"/>
    </row>
    <row r="27" spans="5:31" x14ac:dyDescent="0.35">
      <c r="E27" s="85">
        <v>3</v>
      </c>
      <c r="F27" s="93">
        <v>44976</v>
      </c>
      <c r="G27" s="85" t="s">
        <v>1927</v>
      </c>
      <c r="H27" s="87">
        <v>2200</v>
      </c>
      <c r="I27" s="96"/>
      <c r="J27" s="96"/>
      <c r="K27" s="96"/>
      <c r="L27" s="96"/>
      <c r="M27" s="95"/>
      <c r="N27" s="96"/>
      <c r="O27" s="96"/>
      <c r="P27" s="96"/>
      <c r="Q27" s="94"/>
      <c r="R27" s="93"/>
      <c r="S27" s="85"/>
      <c r="U27" s="94"/>
      <c r="V27" s="93"/>
      <c r="W27" s="85"/>
      <c r="Y27" s="94"/>
      <c r="Z27" s="93"/>
      <c r="AA27" s="85"/>
      <c r="AC27" s="94"/>
      <c r="AD27" s="93"/>
      <c r="AE27" s="85"/>
    </row>
    <row r="28" spans="5:31" x14ac:dyDescent="0.35">
      <c r="F28" s="93" t="s">
        <v>1928</v>
      </c>
      <c r="G28" s="85"/>
      <c r="H28" s="87">
        <v>-177</v>
      </c>
      <c r="I28" s="96"/>
      <c r="J28" s="96"/>
      <c r="K28" s="96"/>
      <c r="L28" s="96"/>
      <c r="M28" s="95"/>
      <c r="N28" s="96"/>
      <c r="O28" s="96"/>
      <c r="P28" s="96"/>
      <c r="Q28" s="94"/>
      <c r="R28" s="93"/>
      <c r="S28" s="85"/>
      <c r="U28" s="94"/>
      <c r="V28" s="93"/>
      <c r="W28" s="85"/>
      <c r="Y28" s="94"/>
      <c r="Z28" s="93"/>
      <c r="AA28" s="85"/>
      <c r="AC28" s="94"/>
      <c r="AD28" s="93"/>
      <c r="AE28" s="85"/>
    </row>
    <row r="29" spans="5:31" x14ac:dyDescent="0.35">
      <c r="G29" s="85"/>
      <c r="H29" s="87"/>
      <c r="I29" s="96"/>
      <c r="J29" s="96"/>
      <c r="K29" s="96"/>
      <c r="L29" s="96"/>
      <c r="M29" s="95"/>
      <c r="N29" s="96"/>
      <c r="O29" s="96"/>
      <c r="P29" s="96"/>
      <c r="Q29" s="94"/>
      <c r="R29" s="93"/>
      <c r="S29" s="85"/>
      <c r="U29" s="94"/>
      <c r="V29" s="93"/>
      <c r="W29" s="85"/>
      <c r="Y29" s="94"/>
      <c r="Z29" s="93"/>
      <c r="AA29" s="85"/>
      <c r="AC29" s="94"/>
      <c r="AD29" s="93"/>
      <c r="AE29" s="85"/>
    </row>
    <row r="30" spans="5:31" x14ac:dyDescent="0.35">
      <c r="G30" s="85"/>
      <c r="H30" s="87"/>
      <c r="I30" s="96"/>
      <c r="J30" s="96"/>
      <c r="K30" s="96"/>
      <c r="L30" s="96"/>
      <c r="M30" s="95"/>
      <c r="N30" s="96"/>
      <c r="O30" s="96"/>
      <c r="P30" s="96"/>
      <c r="Q30" s="94"/>
      <c r="R30" s="93"/>
      <c r="S30" s="85"/>
      <c r="U30" s="94"/>
      <c r="V30" s="93"/>
      <c r="W30" s="85"/>
      <c r="Y30" s="94"/>
      <c r="Z30" s="93"/>
      <c r="AA30" s="85"/>
      <c r="AC30" s="94"/>
      <c r="AD30" s="93"/>
      <c r="AE30" s="85"/>
    </row>
    <row r="31" spans="5:31" x14ac:dyDescent="0.35">
      <c r="G31" s="85"/>
      <c r="H31" s="87"/>
      <c r="I31" s="96"/>
      <c r="J31" s="96"/>
      <c r="K31" s="96"/>
      <c r="L31" s="96"/>
      <c r="M31" s="95"/>
      <c r="N31" s="96"/>
      <c r="O31" s="96"/>
      <c r="P31" s="96"/>
      <c r="Q31" s="94"/>
      <c r="R31" s="93"/>
      <c r="S31" s="85"/>
      <c r="U31" s="94"/>
      <c r="V31" s="93"/>
      <c r="W31" s="85"/>
      <c r="Y31" s="94"/>
      <c r="Z31" s="93"/>
      <c r="AA31" s="85"/>
      <c r="AC31" s="94"/>
      <c r="AD31" s="93"/>
      <c r="AE31" s="85"/>
    </row>
    <row r="32" spans="5:31" x14ac:dyDescent="0.35">
      <c r="G32" s="85"/>
      <c r="H32" s="87"/>
      <c r="I32" s="96"/>
      <c r="J32" s="96"/>
      <c r="K32" s="96"/>
      <c r="L32" s="96"/>
      <c r="M32" s="95"/>
      <c r="N32" s="96"/>
      <c r="O32" s="96"/>
      <c r="P32" s="96"/>
      <c r="Q32" s="94"/>
      <c r="R32" s="93"/>
      <c r="S32" s="85"/>
      <c r="U32" s="94"/>
      <c r="V32" s="93"/>
      <c r="W32" s="85"/>
      <c r="Y32" s="94"/>
      <c r="Z32" s="93"/>
      <c r="AA32" s="85"/>
      <c r="AC32" s="94"/>
      <c r="AD32" s="93"/>
      <c r="AE32" s="85"/>
    </row>
    <row r="33" spans="7:31" x14ac:dyDescent="0.35">
      <c r="G33" s="85"/>
      <c r="H33" s="87"/>
      <c r="I33" s="96"/>
      <c r="J33" s="96"/>
      <c r="K33" s="96"/>
      <c r="L33" s="96"/>
      <c r="M33" s="95"/>
      <c r="N33" s="96"/>
      <c r="O33" s="96"/>
      <c r="P33" s="96"/>
      <c r="Q33" s="94"/>
      <c r="R33" s="93"/>
      <c r="S33" s="85"/>
      <c r="U33" s="94"/>
      <c r="V33" s="93"/>
      <c r="W33" s="85"/>
      <c r="Y33" s="94"/>
      <c r="Z33" s="93"/>
      <c r="AA33" s="85"/>
      <c r="AC33" s="94"/>
      <c r="AD33" s="93"/>
      <c r="AE33" s="85"/>
    </row>
    <row r="34" spans="7:31" x14ac:dyDescent="0.35">
      <c r="G34" s="85"/>
      <c r="H34" s="87"/>
      <c r="I34" s="96"/>
      <c r="J34" s="96"/>
      <c r="K34" s="96"/>
      <c r="L34" s="96"/>
      <c r="M34" s="95"/>
      <c r="N34" s="96"/>
      <c r="O34" s="96"/>
      <c r="P34" s="96"/>
      <c r="Q34" s="94"/>
      <c r="R34" s="93"/>
      <c r="S34" s="85"/>
      <c r="U34" s="94"/>
      <c r="V34" s="93"/>
      <c r="W34" s="85"/>
      <c r="Y34" s="94"/>
      <c r="Z34" s="93"/>
      <c r="AA34" s="85"/>
      <c r="AC34" s="94"/>
      <c r="AD34" s="93"/>
      <c r="AE34" s="85"/>
    </row>
    <row r="35" spans="7:31" x14ac:dyDescent="0.35">
      <c r="G35" s="85"/>
      <c r="H35" s="87"/>
      <c r="I35" s="96"/>
      <c r="J35" s="96"/>
      <c r="K35" s="96"/>
      <c r="L35" s="96"/>
      <c r="M35" s="95"/>
      <c r="N35" s="96"/>
      <c r="O35" s="96"/>
      <c r="P35" s="96"/>
      <c r="Q35" s="94"/>
      <c r="R35" s="93"/>
      <c r="S35" s="85"/>
      <c r="U35" s="94"/>
      <c r="V35" s="93"/>
      <c r="W35" s="85"/>
      <c r="Y35" s="94"/>
      <c r="Z35" s="93"/>
      <c r="AA35" s="85"/>
      <c r="AC35" s="94"/>
      <c r="AD35" s="93"/>
      <c r="AE35" s="85"/>
    </row>
    <row r="36" spans="7:31" x14ac:dyDescent="0.35">
      <c r="G36" s="85"/>
      <c r="H36" s="87"/>
      <c r="I36" s="96"/>
      <c r="J36" s="96"/>
      <c r="K36" s="96"/>
      <c r="L36" s="96"/>
      <c r="M36" s="95"/>
      <c r="N36" s="96"/>
      <c r="O36" s="96"/>
      <c r="P36" s="96"/>
      <c r="Q36" s="94"/>
      <c r="R36" s="93"/>
      <c r="S36" s="85"/>
      <c r="U36" s="94"/>
      <c r="V36" s="93"/>
      <c r="W36" s="85"/>
      <c r="Y36" s="94"/>
      <c r="Z36" s="93"/>
      <c r="AA36" s="85"/>
      <c r="AC36" s="94"/>
      <c r="AD36" s="93"/>
      <c r="AE36" s="85"/>
    </row>
    <row r="37" spans="7:31" x14ac:dyDescent="0.35">
      <c r="G37" s="85"/>
      <c r="H37" s="87"/>
      <c r="I37" s="96"/>
      <c r="J37" s="96"/>
      <c r="K37" s="96"/>
      <c r="L37" s="96"/>
      <c r="M37" s="95"/>
      <c r="N37" s="96"/>
      <c r="O37" s="96"/>
      <c r="P37" s="96"/>
      <c r="Q37" s="94"/>
      <c r="R37" s="93"/>
      <c r="S37" s="85"/>
      <c r="U37" s="94"/>
      <c r="V37" s="93"/>
      <c r="W37" s="85"/>
      <c r="Y37" s="94"/>
      <c r="Z37" s="93"/>
      <c r="AA37" s="85"/>
      <c r="AC37" s="94"/>
      <c r="AD37" s="93"/>
      <c r="AE37" s="85"/>
    </row>
    <row r="38" spans="7:31" x14ac:dyDescent="0.35">
      <c r="G38" s="85"/>
      <c r="H38" s="87"/>
      <c r="I38" s="94"/>
      <c r="J38" s="93"/>
      <c r="K38" s="85"/>
      <c r="M38" s="94"/>
      <c r="N38" s="93"/>
      <c r="O38" s="85"/>
      <c r="Q38" s="94"/>
      <c r="R38" s="93"/>
      <c r="S38" s="85"/>
      <c r="U38" s="94"/>
      <c r="V38" s="93"/>
      <c r="W38" s="85"/>
      <c r="Y38" s="94"/>
      <c r="Z38" s="93"/>
      <c r="AA38" s="85"/>
      <c r="AC38" s="94"/>
      <c r="AD38" s="93"/>
      <c r="AE38" s="85"/>
    </row>
    <row r="39" spans="7:31" x14ac:dyDescent="0.35">
      <c r="G39" s="85"/>
      <c r="H39" s="87"/>
      <c r="I39" s="94"/>
      <c r="J39" s="93"/>
      <c r="K39" s="85"/>
      <c r="M39" s="94"/>
      <c r="N39" s="93"/>
      <c r="O39" s="85"/>
      <c r="Q39" s="94"/>
      <c r="R39" s="93"/>
      <c r="S39" s="85"/>
      <c r="U39" s="94"/>
      <c r="V39" s="93"/>
      <c r="W39" s="85"/>
      <c r="Y39" s="94"/>
      <c r="Z39" s="93"/>
      <c r="AA39" s="85"/>
      <c r="AC39" s="94"/>
      <c r="AD39" s="93"/>
      <c r="AE39" s="85"/>
    </row>
    <row r="40" spans="7:31" x14ac:dyDescent="0.35">
      <c r="G40" s="85"/>
      <c r="H40" s="87"/>
      <c r="I40" s="94"/>
      <c r="J40" s="93"/>
      <c r="K40" s="85"/>
      <c r="M40" s="94"/>
      <c r="N40" s="93"/>
      <c r="O40" s="85"/>
      <c r="Q40" s="94"/>
      <c r="R40" s="93"/>
      <c r="S40" s="85"/>
      <c r="U40" s="94"/>
      <c r="V40" s="93"/>
      <c r="W40" s="85"/>
      <c r="Y40" s="94"/>
      <c r="Z40" s="93"/>
      <c r="AA40" s="85"/>
      <c r="AC40" s="94"/>
      <c r="AD40" s="93"/>
      <c r="AE40" s="85"/>
    </row>
    <row r="41" spans="7:31" x14ac:dyDescent="0.35">
      <c r="G41" s="85"/>
      <c r="H41" s="87"/>
      <c r="I41" s="94"/>
      <c r="J41" s="93"/>
      <c r="K41" s="85"/>
      <c r="M41" s="94"/>
      <c r="N41" s="93"/>
      <c r="O41" s="85"/>
      <c r="Q41" s="94"/>
      <c r="R41" s="93"/>
      <c r="S41" s="85"/>
      <c r="U41" s="94"/>
      <c r="V41" s="93"/>
      <c r="W41" s="85"/>
      <c r="Y41" s="94"/>
      <c r="Z41" s="93"/>
      <c r="AA41" s="85"/>
      <c r="AC41" s="94"/>
      <c r="AD41" s="93"/>
      <c r="AE41" s="85"/>
    </row>
    <row r="42" spans="7:31" x14ac:dyDescent="0.35">
      <c r="G42" s="85"/>
      <c r="H42" s="87"/>
      <c r="I42" s="94"/>
      <c r="J42" s="93"/>
      <c r="K42" s="85"/>
      <c r="M42" s="94"/>
      <c r="N42" s="93"/>
      <c r="O42" s="85"/>
      <c r="Q42" s="94"/>
      <c r="R42" s="93"/>
      <c r="S42" s="85"/>
      <c r="U42" s="94"/>
      <c r="V42" s="93"/>
      <c r="W42" s="85"/>
      <c r="Y42" s="94"/>
      <c r="Z42" s="93"/>
      <c r="AA42" s="85"/>
      <c r="AC42" s="94"/>
      <c r="AD42" s="93"/>
      <c r="AE42" s="85"/>
    </row>
    <row r="43" spans="7:31" x14ac:dyDescent="0.35">
      <c r="G43" s="85"/>
      <c r="H43" s="87"/>
      <c r="I43" s="94"/>
      <c r="J43" s="93"/>
      <c r="K43" s="85"/>
      <c r="M43" s="94"/>
      <c r="N43" s="93"/>
      <c r="O43" s="85"/>
      <c r="Q43" s="94"/>
      <c r="R43" s="93"/>
      <c r="S43" s="85"/>
      <c r="U43" s="94"/>
      <c r="V43" s="93"/>
      <c r="W43" s="85"/>
      <c r="Y43" s="94"/>
      <c r="Z43" s="93"/>
      <c r="AA43" s="85"/>
      <c r="AC43" s="94"/>
      <c r="AD43" s="93"/>
      <c r="AE43" s="85"/>
    </row>
    <row r="44" spans="7:31" x14ac:dyDescent="0.35">
      <c r="G44" s="85"/>
      <c r="H44" s="87"/>
      <c r="I44" s="94"/>
      <c r="J44" s="93"/>
      <c r="K44" s="85"/>
      <c r="M44" s="94"/>
      <c r="N44" s="93"/>
      <c r="O44" s="85"/>
      <c r="Q44" s="94"/>
      <c r="R44" s="93"/>
      <c r="S44" s="85"/>
      <c r="U44" s="94"/>
      <c r="V44" s="93"/>
      <c r="W44" s="85"/>
      <c r="Y44" s="94"/>
      <c r="Z44" s="93"/>
      <c r="AA44" s="85"/>
      <c r="AC44" s="94"/>
      <c r="AD44" s="93"/>
      <c r="AE44" s="85"/>
    </row>
    <row r="45" spans="7:31" x14ac:dyDescent="0.35">
      <c r="G45" s="85"/>
      <c r="H45" s="87"/>
      <c r="I45" s="94"/>
      <c r="J45" s="93"/>
      <c r="K45" s="85"/>
      <c r="M45" s="94"/>
      <c r="N45" s="93"/>
      <c r="O45" s="85"/>
      <c r="Q45" s="94"/>
      <c r="R45" s="93"/>
      <c r="S45" s="85"/>
      <c r="U45" s="94"/>
      <c r="V45" s="93"/>
      <c r="W45" s="85"/>
      <c r="Y45" s="94"/>
      <c r="Z45" s="93"/>
      <c r="AA45" s="85"/>
      <c r="AC45" s="94"/>
      <c r="AD45" s="93"/>
      <c r="AE45" s="85"/>
    </row>
    <row r="46" spans="7:31" x14ac:dyDescent="0.35">
      <c r="G46" s="85"/>
      <c r="H46" s="87"/>
      <c r="I46" s="94"/>
      <c r="J46" s="93"/>
      <c r="K46" s="85"/>
      <c r="M46" s="94"/>
      <c r="N46" s="93"/>
      <c r="O46" s="85"/>
      <c r="Q46" s="94"/>
      <c r="R46" s="93"/>
      <c r="S46" s="85"/>
      <c r="U46" s="94"/>
      <c r="V46" s="93"/>
      <c r="W46" s="85"/>
      <c r="Y46" s="94"/>
      <c r="Z46" s="93"/>
      <c r="AA46" s="85"/>
      <c r="AC46" s="94"/>
      <c r="AD46" s="93"/>
      <c r="AE46" s="85"/>
    </row>
    <row r="47" spans="7:31" x14ac:dyDescent="0.35">
      <c r="G47" s="85"/>
      <c r="H47" s="87"/>
      <c r="I47" s="94"/>
      <c r="J47" s="93"/>
      <c r="K47" s="85"/>
      <c r="M47" s="94"/>
      <c r="N47" s="93"/>
      <c r="O47" s="85"/>
      <c r="Q47" s="94"/>
      <c r="R47" s="93"/>
      <c r="S47" s="85"/>
      <c r="U47" s="94"/>
      <c r="V47" s="93"/>
      <c r="W47" s="85"/>
      <c r="Y47" s="94"/>
      <c r="Z47" s="93"/>
      <c r="AA47" s="85"/>
      <c r="AC47" s="94"/>
      <c r="AD47" s="93"/>
      <c r="AE47" s="85"/>
    </row>
    <row r="48" spans="7:31" x14ac:dyDescent="0.35">
      <c r="G48" s="85"/>
      <c r="H48" s="87"/>
      <c r="I48" s="94"/>
      <c r="J48" s="93"/>
      <c r="K48" s="85"/>
      <c r="M48" s="94"/>
      <c r="N48" s="93"/>
      <c r="O48" s="85"/>
      <c r="Q48" s="94"/>
      <c r="R48" s="93"/>
      <c r="S48" s="85"/>
      <c r="U48" s="94"/>
      <c r="V48" s="93"/>
      <c r="W48" s="85"/>
      <c r="Y48" s="94"/>
      <c r="Z48" s="93"/>
      <c r="AA48" s="85"/>
      <c r="AC48" s="94"/>
      <c r="AD48" s="93"/>
      <c r="AE48" s="85"/>
    </row>
    <row r="49" spans="7:31" x14ac:dyDescent="0.35">
      <c r="G49" s="85"/>
      <c r="H49" s="87"/>
      <c r="I49" s="94"/>
      <c r="J49" s="93"/>
      <c r="K49" s="85"/>
      <c r="M49" s="94"/>
      <c r="N49" s="93"/>
      <c r="O49" s="85"/>
      <c r="Q49" s="94"/>
      <c r="R49" s="93"/>
      <c r="S49" s="85"/>
      <c r="U49" s="94"/>
      <c r="V49" s="93"/>
      <c r="W49" s="85"/>
      <c r="Y49" s="94"/>
      <c r="Z49" s="93"/>
      <c r="AA49" s="85"/>
      <c r="AC49" s="94"/>
      <c r="AD49" s="93"/>
      <c r="AE49" s="85"/>
    </row>
    <row r="50" spans="7:31" x14ac:dyDescent="0.35">
      <c r="G50" s="85"/>
      <c r="H50" s="87"/>
      <c r="I50" s="94"/>
      <c r="J50" s="93"/>
      <c r="K50" s="85"/>
      <c r="M50" s="94"/>
      <c r="N50" s="93"/>
      <c r="O50" s="85"/>
      <c r="Q50" s="94"/>
      <c r="R50" s="93"/>
      <c r="S50" s="85"/>
      <c r="U50" s="94"/>
      <c r="V50" s="93"/>
      <c r="W50" s="85"/>
      <c r="Y50" s="94"/>
      <c r="Z50" s="93"/>
      <c r="AA50" s="85"/>
      <c r="AC50" s="94"/>
      <c r="AD50" s="93"/>
      <c r="AE50" s="85"/>
    </row>
    <row r="51" spans="7:31" x14ac:dyDescent="0.35">
      <c r="G51" s="85"/>
      <c r="H51" s="87"/>
      <c r="I51" s="94"/>
      <c r="J51" s="93"/>
      <c r="K51" s="85"/>
      <c r="M51" s="94"/>
      <c r="N51" s="93"/>
      <c r="O51" s="85"/>
      <c r="Q51" s="94"/>
      <c r="R51" s="93"/>
      <c r="S51" s="85"/>
      <c r="U51" s="94"/>
      <c r="V51" s="93"/>
      <c r="W51" s="85"/>
      <c r="Y51" s="94"/>
      <c r="Z51" s="93"/>
      <c r="AA51" s="85"/>
      <c r="AC51" s="94"/>
      <c r="AD51" s="93"/>
      <c r="AE51" s="85"/>
    </row>
    <row r="52" spans="7:31" x14ac:dyDescent="0.35">
      <c r="G52" s="85"/>
      <c r="H52" s="87"/>
      <c r="I52" s="94"/>
      <c r="J52" s="93"/>
      <c r="K52" s="85"/>
      <c r="M52" s="94"/>
      <c r="N52" s="93"/>
      <c r="O52" s="85"/>
      <c r="Q52" s="94"/>
      <c r="R52" s="93"/>
      <c r="S52" s="85"/>
      <c r="U52" s="94"/>
      <c r="V52" s="93"/>
      <c r="W52" s="85"/>
      <c r="Y52" s="94"/>
      <c r="Z52" s="93"/>
      <c r="AA52" s="85"/>
      <c r="AC52" s="94"/>
      <c r="AD52" s="93"/>
      <c r="AE52" s="85"/>
    </row>
    <row r="53" spans="7:31" x14ac:dyDescent="0.35">
      <c r="G53" s="85"/>
      <c r="H53" s="87"/>
      <c r="I53" s="94"/>
      <c r="J53" s="93"/>
      <c r="K53" s="85"/>
      <c r="M53" s="94"/>
      <c r="N53" s="93"/>
      <c r="O53" s="85"/>
      <c r="Q53" s="94"/>
      <c r="R53" s="93"/>
      <c r="S53" s="85"/>
      <c r="U53" s="94"/>
      <c r="V53" s="93"/>
      <c r="W53" s="85"/>
      <c r="Y53" s="94"/>
      <c r="Z53" s="93"/>
      <c r="AA53" s="85"/>
      <c r="AC53" s="94"/>
      <c r="AD53" s="93"/>
      <c r="AE53" s="85"/>
    </row>
    <row r="54" spans="7:31" x14ac:dyDescent="0.35">
      <c r="G54" s="85"/>
      <c r="H54" s="87"/>
      <c r="I54" s="94"/>
      <c r="J54" s="93"/>
      <c r="K54" s="85"/>
      <c r="M54" s="94"/>
      <c r="N54" s="93"/>
      <c r="O54" s="85"/>
      <c r="Q54" s="94"/>
      <c r="R54" s="93"/>
      <c r="S54" s="85"/>
      <c r="U54" s="94"/>
      <c r="V54" s="93"/>
      <c r="W54" s="85"/>
      <c r="Y54" s="94"/>
      <c r="Z54" s="93"/>
      <c r="AA54" s="85"/>
      <c r="AC54" s="94"/>
      <c r="AD54" s="93"/>
      <c r="AE54" s="85"/>
    </row>
    <row r="55" spans="7:31" x14ac:dyDescent="0.35">
      <c r="G55" s="85"/>
      <c r="H55" s="87"/>
      <c r="I55" s="94"/>
      <c r="J55" s="93"/>
      <c r="K55" s="85"/>
      <c r="M55" s="94"/>
      <c r="N55" s="93"/>
      <c r="O55" s="85"/>
      <c r="Q55" s="94"/>
      <c r="R55" s="93"/>
      <c r="S55" s="85"/>
      <c r="U55" s="94"/>
      <c r="V55" s="93"/>
      <c r="W55" s="85"/>
      <c r="Y55" s="94"/>
      <c r="Z55" s="93"/>
      <c r="AA55" s="85"/>
      <c r="AC55" s="94"/>
      <c r="AD55" s="93"/>
      <c r="AE55" s="85"/>
    </row>
    <row r="56" spans="7:31" x14ac:dyDescent="0.35">
      <c r="G56" s="85"/>
      <c r="H56" s="87"/>
      <c r="I56" s="94"/>
      <c r="J56" s="93"/>
      <c r="K56" s="85"/>
      <c r="M56" s="94"/>
      <c r="N56" s="93"/>
      <c r="O56" s="85"/>
      <c r="Q56" s="94"/>
      <c r="R56" s="93"/>
      <c r="S56" s="85"/>
      <c r="U56" s="94"/>
      <c r="V56" s="93"/>
      <c r="W56" s="85"/>
      <c r="Y56" s="94"/>
      <c r="Z56" s="93"/>
      <c r="AA56" s="85"/>
      <c r="AC56" s="94"/>
      <c r="AD56" s="93"/>
      <c r="AE56" s="85"/>
    </row>
    <row r="57" spans="7:31" x14ac:dyDescent="0.35">
      <c r="G57" s="85"/>
      <c r="H57" s="87"/>
      <c r="I57" s="94"/>
      <c r="J57" s="93"/>
      <c r="K57" s="85"/>
      <c r="M57" s="94"/>
      <c r="N57" s="93"/>
      <c r="O57" s="85"/>
      <c r="Q57" s="94"/>
      <c r="R57" s="93"/>
      <c r="S57" s="85"/>
      <c r="U57" s="94"/>
      <c r="V57" s="93"/>
      <c r="W57" s="85"/>
      <c r="Y57" s="94"/>
      <c r="Z57" s="93"/>
      <c r="AA57" s="85"/>
      <c r="AC57" s="94"/>
      <c r="AD57" s="93"/>
      <c r="AE57" s="85"/>
    </row>
    <row r="58" spans="7:31" x14ac:dyDescent="0.35">
      <c r="G58" s="85"/>
      <c r="H58" s="87"/>
      <c r="I58" s="94"/>
      <c r="J58" s="93"/>
      <c r="K58" s="85"/>
      <c r="M58" s="94"/>
      <c r="N58" s="93"/>
      <c r="O58" s="85"/>
      <c r="Q58" s="94"/>
      <c r="R58" s="93"/>
      <c r="S58" s="85"/>
      <c r="U58" s="94"/>
      <c r="V58" s="93"/>
      <c r="W58" s="85"/>
      <c r="Y58" s="94"/>
      <c r="Z58" s="93"/>
      <c r="AA58" s="85"/>
      <c r="AC58" s="94"/>
      <c r="AD58" s="93"/>
      <c r="AE58" s="85"/>
    </row>
    <row r="59" spans="7:31" x14ac:dyDescent="0.35">
      <c r="G59" s="85"/>
      <c r="H59" s="87"/>
      <c r="I59" s="94"/>
      <c r="J59" s="93"/>
      <c r="K59" s="85"/>
      <c r="M59" s="94"/>
      <c r="N59" s="93"/>
      <c r="O59" s="85"/>
      <c r="Q59" s="94"/>
      <c r="R59" s="93"/>
      <c r="S59" s="85"/>
      <c r="U59" s="94"/>
      <c r="V59" s="93"/>
      <c r="W59" s="85"/>
      <c r="Y59" s="94"/>
      <c r="Z59" s="93"/>
      <c r="AA59" s="85"/>
      <c r="AC59" s="94"/>
      <c r="AD59" s="93"/>
      <c r="AE59" s="85"/>
    </row>
    <row r="60" spans="7:31" x14ac:dyDescent="0.35">
      <c r="G60" s="85"/>
      <c r="H60" s="87"/>
      <c r="I60" s="94"/>
      <c r="J60" s="93"/>
      <c r="K60" s="85"/>
      <c r="M60" s="94"/>
      <c r="N60" s="93"/>
      <c r="O60" s="85"/>
      <c r="Q60" s="94"/>
      <c r="R60" s="93"/>
      <c r="S60" s="85"/>
      <c r="U60" s="94"/>
      <c r="V60" s="93"/>
      <c r="W60" s="85"/>
      <c r="Y60" s="94"/>
      <c r="Z60" s="93"/>
      <c r="AA60" s="85"/>
      <c r="AC60" s="94"/>
      <c r="AD60" s="93"/>
      <c r="AE60" s="85"/>
    </row>
    <row r="61" spans="7:31" x14ac:dyDescent="0.35">
      <c r="G61" s="85"/>
      <c r="H61" s="87"/>
      <c r="I61" s="94"/>
      <c r="J61" s="93"/>
      <c r="K61" s="85"/>
      <c r="M61" s="94"/>
      <c r="N61" s="93"/>
      <c r="O61" s="85"/>
      <c r="Q61" s="94"/>
      <c r="R61" s="93"/>
      <c r="S61" s="85"/>
      <c r="U61" s="94"/>
      <c r="V61" s="93"/>
      <c r="W61" s="85"/>
      <c r="Y61" s="94"/>
      <c r="Z61" s="93"/>
      <c r="AA61" s="85"/>
      <c r="AC61" s="94"/>
      <c r="AD61" s="93"/>
      <c r="AE61" s="85"/>
    </row>
    <row r="62" spans="7:31" x14ac:dyDescent="0.35">
      <c r="G62" s="85"/>
      <c r="H62" s="87"/>
      <c r="I62" s="94"/>
      <c r="J62" s="93"/>
      <c r="K62" s="85"/>
      <c r="M62" s="94"/>
      <c r="N62" s="93"/>
      <c r="O62" s="85"/>
      <c r="Q62" s="94"/>
      <c r="R62" s="93"/>
      <c r="S62" s="85"/>
      <c r="U62" s="94"/>
      <c r="V62" s="93"/>
      <c r="W62" s="85"/>
      <c r="Y62" s="94"/>
      <c r="Z62" s="93"/>
      <c r="AA62" s="85"/>
      <c r="AC62" s="94"/>
      <c r="AD62" s="93"/>
      <c r="AE62" s="85"/>
    </row>
    <row r="63" spans="7:31" x14ac:dyDescent="0.35">
      <c r="G63" s="85"/>
      <c r="H63" s="87"/>
      <c r="I63" s="94"/>
      <c r="J63" s="93"/>
      <c r="K63" s="85"/>
      <c r="M63" s="94"/>
      <c r="N63" s="93"/>
      <c r="O63" s="85"/>
      <c r="Q63" s="94"/>
      <c r="R63" s="93"/>
      <c r="S63" s="85"/>
      <c r="U63" s="94"/>
      <c r="V63" s="93"/>
      <c r="W63" s="85"/>
      <c r="Y63" s="94"/>
      <c r="Z63" s="93"/>
      <c r="AA63" s="85"/>
      <c r="AC63" s="94"/>
      <c r="AD63" s="93"/>
      <c r="AE63" s="85"/>
    </row>
    <row r="64" spans="7:31" x14ac:dyDescent="0.35">
      <c r="G64" s="85"/>
      <c r="H64" s="87"/>
      <c r="I64" s="94"/>
      <c r="J64" s="93"/>
      <c r="K64" s="85"/>
      <c r="M64" s="94"/>
      <c r="N64" s="93"/>
      <c r="O64" s="85"/>
      <c r="Q64" s="94"/>
      <c r="R64" s="93"/>
      <c r="S64" s="85"/>
      <c r="U64" s="94"/>
      <c r="V64" s="93"/>
      <c r="W64" s="85"/>
      <c r="Y64" s="94"/>
      <c r="Z64" s="93"/>
      <c r="AA64" s="85"/>
      <c r="AC64" s="94"/>
      <c r="AD64" s="93"/>
      <c r="AE64" s="85"/>
    </row>
    <row r="65" spans="7:31" x14ac:dyDescent="0.35">
      <c r="G65" s="85"/>
      <c r="H65" s="87"/>
      <c r="I65" s="94"/>
      <c r="J65" s="93"/>
      <c r="K65" s="85"/>
      <c r="M65" s="94"/>
      <c r="N65" s="93"/>
      <c r="O65" s="85"/>
      <c r="Q65" s="94"/>
      <c r="R65" s="93"/>
      <c r="S65" s="85"/>
      <c r="U65" s="94"/>
      <c r="V65" s="93"/>
      <c r="W65" s="85"/>
      <c r="Y65" s="94"/>
      <c r="Z65" s="93"/>
      <c r="AA65" s="85"/>
      <c r="AC65" s="94"/>
      <c r="AD65" s="93"/>
      <c r="AE65" s="85"/>
    </row>
    <row r="66" spans="7:31" x14ac:dyDescent="0.35">
      <c r="G66" s="85"/>
      <c r="H66" s="87"/>
      <c r="I66" s="94"/>
      <c r="J66" s="93"/>
      <c r="K66" s="85"/>
      <c r="M66" s="94"/>
      <c r="N66" s="93"/>
      <c r="O66" s="85"/>
      <c r="Q66" s="94"/>
      <c r="R66" s="93"/>
      <c r="S66" s="85"/>
      <c r="U66" s="94"/>
      <c r="V66" s="93"/>
      <c r="W66" s="85"/>
      <c r="Y66" s="94"/>
      <c r="Z66" s="93"/>
      <c r="AA66" s="85"/>
      <c r="AC66" s="94"/>
      <c r="AD66" s="93"/>
      <c r="AE66" s="85"/>
    </row>
    <row r="67" spans="7:31" x14ac:dyDescent="0.35">
      <c r="G67" s="85"/>
      <c r="H67" s="87"/>
      <c r="I67" s="94"/>
      <c r="J67" s="93"/>
      <c r="K67" s="85"/>
      <c r="M67" s="94"/>
      <c r="N67" s="93"/>
      <c r="O67" s="85"/>
      <c r="Q67" s="94"/>
      <c r="R67" s="93"/>
      <c r="S67" s="85"/>
      <c r="U67" s="94"/>
      <c r="V67" s="93"/>
      <c r="W67" s="85"/>
      <c r="Y67" s="94"/>
      <c r="Z67" s="93"/>
      <c r="AA67" s="85"/>
      <c r="AC67" s="94"/>
      <c r="AD67" s="93"/>
      <c r="AE67" s="85"/>
    </row>
    <row r="68" spans="7:31" x14ac:dyDescent="0.35">
      <c r="G68" s="85"/>
      <c r="H68" s="87"/>
      <c r="I68" s="94"/>
      <c r="J68" s="93"/>
      <c r="K68" s="85"/>
      <c r="M68" s="94"/>
      <c r="N68" s="93"/>
      <c r="O68" s="85"/>
      <c r="Q68" s="94"/>
      <c r="R68" s="93"/>
      <c r="S68" s="85"/>
      <c r="U68" s="94"/>
      <c r="V68" s="93"/>
      <c r="W68" s="85"/>
      <c r="Y68" s="94"/>
      <c r="Z68" s="93"/>
      <c r="AA68" s="85"/>
      <c r="AC68" s="94"/>
      <c r="AD68" s="93"/>
      <c r="AE68" s="85"/>
    </row>
    <row r="69" spans="7:31" x14ac:dyDescent="0.35">
      <c r="G69" s="85"/>
      <c r="H69" s="87"/>
      <c r="I69" s="94"/>
      <c r="J69" s="93"/>
      <c r="K69" s="85"/>
      <c r="M69" s="94"/>
      <c r="N69" s="93"/>
      <c r="O69" s="85"/>
      <c r="Q69" s="94"/>
      <c r="R69" s="93"/>
      <c r="S69" s="85"/>
      <c r="U69" s="94"/>
      <c r="V69" s="93"/>
      <c r="W69" s="85"/>
      <c r="Y69" s="94"/>
      <c r="Z69" s="93"/>
      <c r="AA69" s="85"/>
      <c r="AC69" s="94"/>
      <c r="AD69" s="93"/>
      <c r="AE69" s="85"/>
    </row>
    <row r="70" spans="7:31" x14ac:dyDescent="0.35">
      <c r="G70" s="85"/>
      <c r="H70" s="87"/>
      <c r="I70" s="94"/>
      <c r="J70" s="93"/>
      <c r="K70" s="85"/>
      <c r="M70" s="94"/>
      <c r="N70" s="93"/>
      <c r="O70" s="85"/>
      <c r="Q70" s="94"/>
      <c r="R70" s="93"/>
      <c r="S70" s="85"/>
      <c r="U70" s="94"/>
      <c r="V70" s="93"/>
      <c r="W70" s="85"/>
      <c r="Y70" s="94"/>
      <c r="Z70" s="93"/>
      <c r="AA70" s="85"/>
      <c r="AC70" s="94"/>
      <c r="AD70" s="93"/>
      <c r="AE70" s="85"/>
    </row>
    <row r="71" spans="7:31" x14ac:dyDescent="0.35">
      <c r="G71" s="85"/>
      <c r="H71" s="87"/>
      <c r="I71" s="94"/>
      <c r="J71" s="93"/>
      <c r="K71" s="85"/>
      <c r="M71" s="94"/>
      <c r="N71" s="93"/>
      <c r="O71" s="85"/>
      <c r="Q71" s="94"/>
      <c r="R71" s="93"/>
      <c r="S71" s="85"/>
      <c r="U71" s="94"/>
      <c r="V71" s="93"/>
      <c r="W71" s="85"/>
      <c r="Y71" s="94"/>
      <c r="Z71" s="93"/>
      <c r="AA71" s="85"/>
      <c r="AC71" s="94"/>
      <c r="AD71" s="93"/>
      <c r="AE71" s="85"/>
    </row>
    <row r="72" spans="7:31" x14ac:dyDescent="0.35">
      <c r="G72" s="85"/>
      <c r="H72" s="87"/>
      <c r="I72" s="94"/>
      <c r="J72" s="93"/>
      <c r="K72" s="85"/>
      <c r="M72" s="94"/>
      <c r="N72" s="93"/>
      <c r="O72" s="85"/>
      <c r="Q72" s="94"/>
      <c r="R72" s="93"/>
      <c r="S72" s="85"/>
      <c r="U72" s="94"/>
      <c r="V72" s="93"/>
      <c r="W72" s="85"/>
      <c r="Y72" s="94"/>
      <c r="Z72" s="93"/>
      <c r="AA72" s="85"/>
      <c r="AC72" s="94"/>
      <c r="AD72" s="93"/>
      <c r="AE72" s="85"/>
    </row>
    <row r="73" spans="7:31" x14ac:dyDescent="0.35">
      <c r="G73" s="85"/>
      <c r="H73" s="87"/>
      <c r="I73" s="94"/>
      <c r="J73" s="93"/>
      <c r="K73" s="85"/>
      <c r="M73" s="94"/>
      <c r="N73" s="93"/>
      <c r="O73" s="85"/>
      <c r="Q73" s="94"/>
      <c r="R73" s="93"/>
      <c r="S73" s="85"/>
      <c r="U73" s="94"/>
      <c r="V73" s="93"/>
      <c r="W73" s="85"/>
      <c r="Y73" s="94"/>
      <c r="Z73" s="93"/>
      <c r="AA73" s="85"/>
      <c r="AC73" s="94"/>
      <c r="AD73" s="93"/>
      <c r="AE73" s="85"/>
    </row>
    <row r="74" spans="7:31" x14ac:dyDescent="0.35">
      <c r="G74" s="85"/>
      <c r="H74" s="87"/>
      <c r="I74" s="94"/>
      <c r="J74" s="93"/>
      <c r="K74" s="85"/>
      <c r="M74" s="94"/>
      <c r="N74" s="93"/>
      <c r="O74" s="85"/>
      <c r="Q74" s="94"/>
      <c r="R74" s="93"/>
      <c r="S74" s="85"/>
      <c r="U74" s="94"/>
      <c r="V74" s="93"/>
      <c r="W74" s="85"/>
      <c r="Y74" s="94"/>
      <c r="Z74" s="93"/>
      <c r="AA74" s="85"/>
      <c r="AC74" s="94"/>
      <c r="AD74" s="93"/>
      <c r="AE74" s="85"/>
    </row>
    <row r="75" spans="7:31" x14ac:dyDescent="0.35">
      <c r="G75" s="85"/>
      <c r="H75" s="87"/>
      <c r="I75" s="94"/>
      <c r="J75" s="93"/>
      <c r="K75" s="85"/>
      <c r="M75" s="94"/>
      <c r="N75" s="93"/>
      <c r="O75" s="85"/>
      <c r="Q75" s="94"/>
      <c r="R75" s="93"/>
      <c r="S75" s="85"/>
      <c r="U75" s="94"/>
      <c r="V75" s="93"/>
      <c r="W75" s="85"/>
      <c r="Y75" s="94"/>
      <c r="Z75" s="93"/>
      <c r="AA75" s="85"/>
      <c r="AC75" s="94"/>
      <c r="AD75" s="93"/>
      <c r="AE75" s="85"/>
    </row>
    <row r="76" spans="7:31" x14ac:dyDescent="0.35">
      <c r="G76" s="85"/>
      <c r="H76" s="87"/>
      <c r="I76" s="94"/>
      <c r="J76" s="93"/>
      <c r="K76" s="85"/>
      <c r="M76" s="94"/>
      <c r="N76" s="93"/>
      <c r="O76" s="85"/>
      <c r="Q76" s="94"/>
      <c r="R76" s="93"/>
      <c r="S76" s="85"/>
      <c r="U76" s="94"/>
      <c r="V76" s="93"/>
      <c r="W76" s="85"/>
      <c r="Y76" s="94"/>
      <c r="Z76" s="93"/>
      <c r="AA76" s="85"/>
      <c r="AC76" s="94"/>
      <c r="AD76" s="93"/>
      <c r="AE76" s="85"/>
    </row>
    <row r="77" spans="7:31" x14ac:dyDescent="0.35">
      <c r="G77" s="85"/>
      <c r="H77" s="87"/>
      <c r="I77" s="94"/>
      <c r="J77" s="93"/>
      <c r="K77" s="85"/>
      <c r="M77" s="94"/>
      <c r="N77" s="93"/>
      <c r="O77" s="85"/>
      <c r="Q77" s="94"/>
      <c r="R77" s="93"/>
      <c r="S77" s="85"/>
      <c r="U77" s="94"/>
      <c r="V77" s="93"/>
      <c r="W77" s="85"/>
      <c r="Y77" s="94"/>
      <c r="Z77" s="93"/>
      <c r="AA77" s="85"/>
      <c r="AC77" s="94"/>
      <c r="AD77" s="93"/>
      <c r="AE77" s="85"/>
    </row>
    <row r="78" spans="7:31" x14ac:dyDescent="0.35">
      <c r="G78" s="85"/>
      <c r="H78" s="87"/>
      <c r="I78" s="94"/>
      <c r="J78" s="93"/>
      <c r="K78" s="85"/>
      <c r="M78" s="94"/>
      <c r="N78" s="93"/>
      <c r="O78" s="85"/>
      <c r="Q78" s="94"/>
      <c r="R78" s="93"/>
      <c r="S78" s="85"/>
      <c r="U78" s="94"/>
      <c r="V78" s="93"/>
      <c r="W78" s="85"/>
      <c r="Y78" s="94"/>
      <c r="Z78" s="93"/>
      <c r="AA78" s="85"/>
      <c r="AC78" s="94"/>
      <c r="AD78" s="93"/>
      <c r="AE78" s="85"/>
    </row>
    <row r="79" spans="7:31" x14ac:dyDescent="0.35">
      <c r="G79" s="85"/>
      <c r="H79" s="87"/>
      <c r="I79" s="94"/>
      <c r="J79" s="93"/>
      <c r="K79" s="85"/>
      <c r="M79" s="94"/>
      <c r="N79" s="93"/>
      <c r="O79" s="85"/>
      <c r="Q79" s="94"/>
      <c r="R79" s="93"/>
      <c r="S79" s="85"/>
      <c r="U79" s="94"/>
      <c r="V79" s="93"/>
      <c r="W79" s="85"/>
      <c r="Y79" s="94"/>
      <c r="Z79" s="93"/>
      <c r="AA79" s="85"/>
      <c r="AC79" s="94"/>
      <c r="AD79" s="93"/>
      <c r="AE79" s="85"/>
    </row>
    <row r="80" spans="7:31" x14ac:dyDescent="0.35">
      <c r="G80" s="85"/>
      <c r="H80" s="87"/>
      <c r="I80" s="94"/>
      <c r="J80" s="93"/>
      <c r="K80" s="85"/>
      <c r="M80" s="94"/>
      <c r="N80" s="93"/>
      <c r="O80" s="85"/>
      <c r="Q80" s="94"/>
      <c r="R80" s="93"/>
      <c r="S80" s="85"/>
      <c r="U80" s="94"/>
      <c r="V80" s="93"/>
      <c r="W80" s="85"/>
      <c r="Y80" s="94"/>
      <c r="Z80" s="93"/>
      <c r="AA80" s="85"/>
      <c r="AC80" s="94"/>
      <c r="AD80" s="93"/>
      <c r="AE80" s="85"/>
    </row>
    <row r="81" spans="7:31" x14ac:dyDescent="0.35">
      <c r="G81" s="85"/>
      <c r="H81" s="87"/>
      <c r="I81" s="94"/>
      <c r="J81" s="93"/>
      <c r="K81" s="85"/>
      <c r="M81" s="94"/>
      <c r="N81" s="93"/>
      <c r="O81" s="85"/>
      <c r="Q81" s="94"/>
      <c r="R81" s="93"/>
      <c r="S81" s="85"/>
      <c r="U81" s="94"/>
      <c r="V81" s="93"/>
      <c r="W81" s="85"/>
      <c r="Y81" s="94"/>
      <c r="Z81" s="93"/>
      <c r="AA81" s="85"/>
      <c r="AC81" s="94"/>
      <c r="AD81" s="93"/>
      <c r="AE81" s="85"/>
    </row>
    <row r="82" spans="7:31" x14ac:dyDescent="0.35">
      <c r="G82" s="85"/>
      <c r="H82" s="87"/>
      <c r="I82" s="94"/>
      <c r="J82" s="93"/>
      <c r="K82" s="85"/>
      <c r="M82" s="94"/>
      <c r="N82" s="93"/>
      <c r="O82" s="85"/>
      <c r="Q82" s="94"/>
      <c r="R82" s="93"/>
      <c r="S82" s="85"/>
      <c r="U82" s="94"/>
      <c r="V82" s="93"/>
      <c r="W82" s="85"/>
      <c r="Y82" s="94"/>
      <c r="Z82" s="93"/>
      <c r="AA82" s="85"/>
      <c r="AC82" s="94"/>
      <c r="AD82" s="93"/>
      <c r="AE82" s="85"/>
    </row>
    <row r="83" spans="7:31" x14ac:dyDescent="0.35">
      <c r="G83" s="85"/>
      <c r="H83" s="87"/>
      <c r="I83" s="94"/>
      <c r="J83" s="93"/>
      <c r="K83" s="85"/>
      <c r="M83" s="94"/>
      <c r="N83" s="93"/>
      <c r="O83" s="85"/>
      <c r="Q83" s="94"/>
      <c r="R83" s="93"/>
      <c r="S83" s="85"/>
      <c r="U83" s="94"/>
      <c r="V83" s="93"/>
      <c r="W83" s="85"/>
      <c r="Y83" s="94"/>
      <c r="Z83" s="93"/>
      <c r="AA83" s="85"/>
      <c r="AC83" s="94"/>
      <c r="AD83" s="93"/>
      <c r="AE83" s="85"/>
    </row>
    <row r="84" spans="7:31" x14ac:dyDescent="0.35">
      <c r="G84" s="85"/>
      <c r="H84" s="87"/>
      <c r="I84" s="94"/>
      <c r="J84" s="93"/>
      <c r="K84" s="85"/>
      <c r="M84" s="94"/>
      <c r="N84" s="93"/>
      <c r="O84" s="85"/>
      <c r="Q84" s="94"/>
      <c r="R84" s="93"/>
      <c r="S84" s="85"/>
      <c r="U84" s="94"/>
      <c r="V84" s="93"/>
      <c r="W84" s="85"/>
      <c r="Y84" s="94"/>
      <c r="Z84" s="93"/>
      <c r="AA84" s="85"/>
      <c r="AC84" s="94"/>
      <c r="AD84" s="93"/>
      <c r="AE84" s="85"/>
    </row>
    <row r="85" spans="7:31" x14ac:dyDescent="0.35">
      <c r="G85" s="85"/>
      <c r="H85" s="87"/>
      <c r="I85" s="94"/>
      <c r="J85" s="93"/>
      <c r="K85" s="85"/>
      <c r="M85" s="94"/>
      <c r="N85" s="93"/>
      <c r="O85" s="85"/>
      <c r="Q85" s="94"/>
      <c r="R85" s="93"/>
      <c r="S85" s="85"/>
      <c r="U85" s="94"/>
      <c r="V85" s="93"/>
      <c r="W85" s="85"/>
      <c r="Y85" s="94"/>
      <c r="Z85" s="93"/>
      <c r="AA85" s="85"/>
      <c r="AC85" s="94"/>
      <c r="AD85" s="93"/>
      <c r="AE85" s="85"/>
    </row>
    <row r="86" spans="7:31" x14ac:dyDescent="0.35">
      <c r="G86" s="85"/>
      <c r="H86" s="87"/>
      <c r="I86" s="94"/>
      <c r="J86" s="93"/>
      <c r="K86" s="85"/>
      <c r="M86" s="94"/>
      <c r="N86" s="93"/>
      <c r="O86" s="85"/>
      <c r="Q86" s="94"/>
      <c r="R86" s="93"/>
      <c r="S86" s="85"/>
      <c r="U86" s="94"/>
      <c r="V86" s="93"/>
      <c r="W86" s="85"/>
      <c r="Y86" s="94"/>
      <c r="Z86" s="93"/>
      <c r="AA86" s="85"/>
      <c r="AC86" s="94"/>
      <c r="AD86" s="93"/>
      <c r="AE86" s="85"/>
    </row>
    <row r="87" spans="7:31" x14ac:dyDescent="0.35">
      <c r="G87" s="85"/>
      <c r="H87" s="87"/>
      <c r="I87" s="94"/>
      <c r="J87" s="93"/>
      <c r="K87" s="85"/>
      <c r="M87" s="94"/>
      <c r="N87" s="93"/>
      <c r="O87" s="85"/>
      <c r="Q87" s="94"/>
      <c r="R87" s="93"/>
      <c r="S87" s="85"/>
      <c r="U87" s="94"/>
      <c r="V87" s="93"/>
      <c r="W87" s="85"/>
      <c r="Y87" s="94"/>
      <c r="Z87" s="93"/>
      <c r="AA87" s="85"/>
      <c r="AC87" s="94"/>
      <c r="AD87" s="93"/>
      <c r="AE87" s="85"/>
    </row>
    <row r="88" spans="7:31" x14ac:dyDescent="0.35">
      <c r="G88" s="85"/>
      <c r="H88" s="87"/>
      <c r="I88" s="94"/>
      <c r="J88" s="93"/>
      <c r="K88" s="85"/>
      <c r="M88" s="94"/>
      <c r="N88" s="93"/>
      <c r="O88" s="85"/>
      <c r="Q88" s="94"/>
      <c r="R88" s="93"/>
      <c r="S88" s="85"/>
      <c r="U88" s="94"/>
      <c r="V88" s="93"/>
      <c r="W88" s="85"/>
      <c r="Y88" s="94"/>
      <c r="Z88" s="93"/>
      <c r="AA88" s="85"/>
      <c r="AC88" s="94"/>
      <c r="AD88" s="93"/>
      <c r="AE88" s="85"/>
    </row>
    <row r="89" spans="7:31" x14ac:dyDescent="0.35">
      <c r="G89" s="85"/>
      <c r="H89" s="87"/>
      <c r="I89" s="94"/>
      <c r="J89" s="93"/>
      <c r="K89" s="85"/>
      <c r="M89" s="94"/>
      <c r="N89" s="93"/>
      <c r="O89" s="85"/>
      <c r="Q89" s="94"/>
      <c r="R89" s="93"/>
      <c r="S89" s="85"/>
      <c r="U89" s="94"/>
      <c r="V89" s="93"/>
      <c r="W89" s="85"/>
      <c r="Y89" s="94"/>
      <c r="Z89" s="93"/>
      <c r="AA89" s="85"/>
      <c r="AC89" s="94"/>
      <c r="AD89" s="93"/>
      <c r="AE89" s="85"/>
    </row>
    <row r="90" spans="7:31" x14ac:dyDescent="0.35">
      <c r="G90" s="85"/>
      <c r="H90" s="87"/>
      <c r="I90" s="94"/>
      <c r="J90" s="93"/>
      <c r="K90" s="85"/>
      <c r="M90" s="94"/>
      <c r="N90" s="93"/>
      <c r="O90" s="85"/>
      <c r="Q90" s="94"/>
      <c r="R90" s="93"/>
      <c r="S90" s="85"/>
      <c r="U90" s="94"/>
      <c r="V90" s="93"/>
      <c r="W90" s="85"/>
      <c r="Y90" s="94"/>
      <c r="Z90" s="93"/>
      <c r="AA90" s="85"/>
      <c r="AC90" s="94"/>
      <c r="AD90" s="93"/>
      <c r="AE90" s="85"/>
    </row>
    <row r="91" spans="7:31" x14ac:dyDescent="0.35">
      <c r="G91" s="85"/>
      <c r="H91" s="87"/>
      <c r="I91" s="94"/>
      <c r="J91" s="93"/>
      <c r="K91" s="85"/>
      <c r="M91" s="94"/>
      <c r="N91" s="93"/>
      <c r="O91" s="85"/>
      <c r="Q91" s="94"/>
      <c r="R91" s="93"/>
      <c r="S91" s="85"/>
      <c r="U91" s="94"/>
      <c r="V91" s="93"/>
      <c r="W91" s="85"/>
      <c r="Y91" s="94"/>
      <c r="Z91" s="93"/>
      <c r="AA91" s="85"/>
      <c r="AC91" s="94"/>
      <c r="AD91" s="93"/>
      <c r="AE91" s="85"/>
    </row>
    <row r="92" spans="7:31" x14ac:dyDescent="0.35">
      <c r="G92" s="85"/>
      <c r="H92" s="87"/>
      <c r="I92" s="94"/>
      <c r="J92" s="93"/>
      <c r="K92" s="85"/>
      <c r="M92" s="94"/>
      <c r="N92" s="93"/>
      <c r="O92" s="85"/>
      <c r="Q92" s="94"/>
      <c r="R92" s="93"/>
      <c r="S92" s="85"/>
      <c r="U92" s="94"/>
      <c r="V92" s="93"/>
      <c r="W92" s="85"/>
      <c r="Y92" s="94"/>
      <c r="Z92" s="93"/>
      <c r="AA92" s="85"/>
      <c r="AC92" s="94"/>
      <c r="AD92" s="93"/>
      <c r="AE92" s="85"/>
    </row>
    <row r="93" spans="7:31" x14ac:dyDescent="0.35">
      <c r="G93" s="85"/>
      <c r="H93" s="87"/>
      <c r="I93" s="94"/>
      <c r="J93" s="93"/>
      <c r="K93" s="85"/>
      <c r="M93" s="94"/>
      <c r="N93" s="93"/>
      <c r="O93" s="85"/>
      <c r="Q93" s="94"/>
      <c r="R93" s="93"/>
      <c r="S93" s="85"/>
      <c r="U93" s="94"/>
      <c r="V93" s="93"/>
      <c r="W93" s="85"/>
      <c r="Y93" s="94"/>
      <c r="Z93" s="93"/>
      <c r="AA93" s="85"/>
      <c r="AC93" s="94"/>
      <c r="AD93" s="93"/>
      <c r="AE93" s="85"/>
    </row>
    <row r="94" spans="7:31" x14ac:dyDescent="0.35">
      <c r="G94" s="85"/>
      <c r="H94" s="87"/>
      <c r="I94" s="94"/>
      <c r="J94" s="93"/>
      <c r="K94" s="85"/>
      <c r="M94" s="94"/>
      <c r="N94" s="93"/>
      <c r="O94" s="85"/>
      <c r="Q94" s="94"/>
      <c r="R94" s="93"/>
      <c r="S94" s="85"/>
      <c r="U94" s="94"/>
      <c r="V94" s="93"/>
      <c r="W94" s="85"/>
      <c r="Y94" s="94"/>
      <c r="Z94" s="93"/>
      <c r="AA94" s="85"/>
      <c r="AC94" s="94"/>
      <c r="AD94" s="93"/>
      <c r="AE94" s="85"/>
    </row>
    <row r="95" spans="7:31" x14ac:dyDescent="0.35">
      <c r="G95" s="85"/>
      <c r="H95" s="87"/>
      <c r="I95" s="94"/>
      <c r="J95" s="93"/>
      <c r="K95" s="85"/>
      <c r="M95" s="94"/>
      <c r="N95" s="93"/>
      <c r="O95" s="85"/>
      <c r="Q95" s="94"/>
      <c r="R95" s="93"/>
      <c r="S95" s="85"/>
      <c r="U95" s="94"/>
      <c r="V95" s="93"/>
      <c r="W95" s="85"/>
      <c r="Y95" s="94"/>
      <c r="Z95" s="93"/>
      <c r="AA95" s="85"/>
      <c r="AC95" s="94"/>
      <c r="AD95" s="93"/>
      <c r="AE95" s="85"/>
    </row>
    <row r="96" spans="7:31" x14ac:dyDescent="0.35">
      <c r="G96" s="85"/>
      <c r="H96" s="87"/>
      <c r="I96" s="94"/>
      <c r="J96" s="93"/>
      <c r="K96" s="85"/>
      <c r="M96" s="94"/>
      <c r="N96" s="93"/>
      <c r="O96" s="85"/>
      <c r="Q96" s="94"/>
      <c r="R96" s="93"/>
      <c r="S96" s="85"/>
      <c r="U96" s="94"/>
      <c r="V96" s="93"/>
      <c r="W96" s="85"/>
      <c r="Y96" s="94"/>
      <c r="Z96" s="93"/>
      <c r="AA96" s="85"/>
      <c r="AC96" s="94"/>
      <c r="AD96" s="93"/>
      <c r="AE96" s="85"/>
    </row>
    <row r="97" spans="7:31" x14ac:dyDescent="0.35">
      <c r="G97" s="85"/>
      <c r="H97" s="87"/>
      <c r="I97" s="94"/>
      <c r="J97" s="93"/>
      <c r="K97" s="85"/>
      <c r="M97" s="94"/>
      <c r="N97" s="93"/>
      <c r="O97" s="85"/>
      <c r="Q97" s="94"/>
      <c r="R97" s="93"/>
      <c r="S97" s="85"/>
      <c r="U97" s="94"/>
      <c r="V97" s="93"/>
      <c r="W97" s="85"/>
      <c r="Y97" s="94"/>
      <c r="Z97" s="93"/>
      <c r="AA97" s="85"/>
      <c r="AC97" s="94"/>
      <c r="AD97" s="93"/>
      <c r="AE97" s="85"/>
    </row>
    <row r="98" spans="7:31" x14ac:dyDescent="0.35">
      <c r="G98" s="85"/>
      <c r="H98" s="87"/>
      <c r="I98" s="94"/>
      <c r="J98" s="93"/>
      <c r="K98" s="85"/>
      <c r="M98" s="94"/>
      <c r="N98" s="93"/>
      <c r="O98" s="85"/>
      <c r="Q98" s="94"/>
      <c r="R98" s="93"/>
      <c r="S98" s="85"/>
      <c r="U98" s="94"/>
      <c r="V98" s="93"/>
      <c r="W98" s="85"/>
      <c r="Y98" s="94"/>
      <c r="Z98" s="93"/>
      <c r="AA98" s="85"/>
      <c r="AC98" s="94"/>
      <c r="AD98" s="93"/>
      <c r="AE98" s="85"/>
    </row>
    <row r="99" spans="7:31" x14ac:dyDescent="0.35">
      <c r="G99" s="85"/>
      <c r="H99" s="87"/>
      <c r="I99" s="94"/>
      <c r="J99" s="93"/>
      <c r="K99" s="85"/>
      <c r="M99" s="94"/>
      <c r="N99" s="93"/>
      <c r="O99" s="85"/>
      <c r="Q99" s="94"/>
      <c r="R99" s="93"/>
      <c r="S99" s="85"/>
      <c r="U99" s="94"/>
      <c r="V99" s="93"/>
      <c r="W99" s="85"/>
      <c r="Y99" s="94"/>
      <c r="Z99" s="93"/>
      <c r="AA99" s="85"/>
      <c r="AC99" s="94"/>
      <c r="AD99" s="93"/>
      <c r="AE99" s="85"/>
    </row>
    <row r="100" spans="7:31" x14ac:dyDescent="0.35">
      <c r="G100" s="85"/>
      <c r="H100" s="87"/>
      <c r="I100" s="94"/>
      <c r="J100" s="93"/>
      <c r="K100" s="85"/>
      <c r="M100" s="94"/>
      <c r="N100" s="93"/>
      <c r="O100" s="85"/>
      <c r="Q100" s="94"/>
      <c r="R100" s="93"/>
      <c r="S100" s="85"/>
      <c r="U100" s="94"/>
      <c r="V100" s="93"/>
      <c r="W100" s="85"/>
      <c r="Y100" s="94"/>
      <c r="Z100" s="93"/>
      <c r="AA100" s="85"/>
      <c r="AC100" s="94"/>
      <c r="AD100" s="93"/>
      <c r="AE100" s="85"/>
    </row>
    <row r="101" spans="7:31" x14ac:dyDescent="0.35">
      <c r="G101" s="85"/>
      <c r="H101" s="87"/>
      <c r="I101" s="94"/>
      <c r="J101" s="93"/>
      <c r="K101" s="85"/>
      <c r="M101" s="94"/>
      <c r="N101" s="93"/>
      <c r="O101" s="85"/>
      <c r="Q101" s="94"/>
      <c r="R101" s="93"/>
      <c r="S101" s="85"/>
      <c r="U101" s="94"/>
      <c r="V101" s="93"/>
      <c r="W101" s="85"/>
      <c r="Y101" s="94"/>
      <c r="Z101" s="93"/>
      <c r="AA101" s="85"/>
      <c r="AC101" s="94"/>
      <c r="AD101" s="93"/>
      <c r="AE101" s="85"/>
    </row>
    <row r="102" spans="7:31" x14ac:dyDescent="0.35">
      <c r="G102" s="85"/>
      <c r="H102" s="87"/>
      <c r="I102" s="94"/>
      <c r="J102" s="93"/>
      <c r="K102" s="85"/>
      <c r="M102" s="94"/>
      <c r="N102" s="93"/>
      <c r="O102" s="85"/>
      <c r="Q102" s="94"/>
      <c r="R102" s="93"/>
      <c r="S102" s="85"/>
      <c r="U102" s="94"/>
      <c r="V102" s="93"/>
      <c r="W102" s="85"/>
      <c r="Y102" s="94"/>
      <c r="Z102" s="93"/>
      <c r="AA102" s="85"/>
      <c r="AC102" s="94"/>
      <c r="AD102" s="93"/>
      <c r="AE102" s="85"/>
    </row>
    <row r="103" spans="7:31" x14ac:dyDescent="0.35">
      <c r="G103" s="85"/>
      <c r="H103" s="87"/>
      <c r="I103" s="94"/>
      <c r="J103" s="93"/>
      <c r="K103" s="85"/>
      <c r="M103" s="94"/>
      <c r="N103" s="93"/>
      <c r="O103" s="85"/>
      <c r="Q103" s="94"/>
      <c r="R103" s="93"/>
      <c r="S103" s="85"/>
      <c r="U103" s="94"/>
      <c r="V103" s="93"/>
      <c r="W103" s="85"/>
      <c r="Y103" s="94"/>
      <c r="Z103" s="93"/>
      <c r="AA103" s="85"/>
      <c r="AC103" s="94"/>
      <c r="AD103" s="93"/>
      <c r="AE103" s="85"/>
    </row>
    <row r="104" spans="7:31" x14ac:dyDescent="0.35">
      <c r="G104" s="85"/>
      <c r="H104" s="87"/>
      <c r="I104" s="94"/>
      <c r="J104" s="93"/>
      <c r="K104" s="85"/>
      <c r="M104" s="94"/>
      <c r="N104" s="93"/>
      <c r="O104" s="85"/>
      <c r="Q104" s="94"/>
      <c r="R104" s="93"/>
      <c r="S104" s="85"/>
      <c r="U104" s="94"/>
      <c r="V104" s="93"/>
      <c r="W104" s="85"/>
      <c r="Y104" s="94"/>
      <c r="Z104" s="93"/>
      <c r="AA104" s="85"/>
      <c r="AC104" s="94"/>
      <c r="AD104" s="93"/>
      <c r="AE104" s="85"/>
    </row>
    <row r="105" spans="7:31" x14ac:dyDescent="0.35">
      <c r="G105" s="85"/>
      <c r="H105" s="87"/>
      <c r="I105" s="94"/>
      <c r="J105" s="93"/>
      <c r="K105" s="85"/>
      <c r="M105" s="94"/>
      <c r="N105" s="93"/>
      <c r="O105" s="85"/>
      <c r="Q105" s="94"/>
      <c r="R105" s="93"/>
      <c r="S105" s="85"/>
      <c r="U105" s="94"/>
      <c r="V105" s="93"/>
      <c r="W105" s="85"/>
      <c r="Y105" s="94"/>
      <c r="Z105" s="93"/>
      <c r="AA105" s="85"/>
      <c r="AC105" s="94"/>
      <c r="AD105" s="93"/>
      <c r="AE105" s="85"/>
    </row>
    <row r="106" spans="7:31" x14ac:dyDescent="0.35">
      <c r="G106" s="85"/>
      <c r="H106" s="87"/>
      <c r="I106" s="94"/>
      <c r="J106" s="93"/>
      <c r="K106" s="85"/>
      <c r="M106" s="94"/>
      <c r="N106" s="93"/>
      <c r="O106" s="85"/>
      <c r="Q106" s="94"/>
      <c r="R106" s="93"/>
      <c r="S106" s="85"/>
      <c r="U106" s="94"/>
      <c r="V106" s="93"/>
      <c r="W106" s="85"/>
      <c r="Y106" s="94"/>
      <c r="Z106" s="93"/>
      <c r="AA106" s="85"/>
      <c r="AC106" s="94"/>
      <c r="AD106" s="93"/>
      <c r="AE106" s="85"/>
    </row>
    <row r="107" spans="7:31" x14ac:dyDescent="0.35">
      <c r="G107" s="85"/>
      <c r="H107" s="87"/>
      <c r="I107" s="94"/>
      <c r="J107" s="93"/>
      <c r="K107" s="85"/>
      <c r="M107" s="94"/>
      <c r="N107" s="93"/>
      <c r="O107" s="85"/>
      <c r="Q107" s="94"/>
      <c r="R107" s="93"/>
      <c r="S107" s="85"/>
      <c r="U107" s="94"/>
      <c r="V107" s="93"/>
      <c r="W107" s="85"/>
      <c r="Y107" s="94"/>
      <c r="Z107" s="93"/>
      <c r="AA107" s="85"/>
      <c r="AC107" s="94"/>
      <c r="AD107" s="93"/>
      <c r="AE107" s="85"/>
    </row>
    <row r="108" spans="7:31" x14ac:dyDescent="0.35">
      <c r="G108" s="85"/>
      <c r="H108" s="87"/>
      <c r="I108" s="94"/>
      <c r="J108" s="93"/>
      <c r="K108" s="85"/>
      <c r="M108" s="94"/>
      <c r="N108" s="93"/>
      <c r="O108" s="85"/>
      <c r="Q108" s="94"/>
      <c r="R108" s="93"/>
      <c r="S108" s="85"/>
      <c r="U108" s="94"/>
      <c r="V108" s="93"/>
      <c r="W108" s="85"/>
      <c r="Y108" s="94"/>
      <c r="Z108" s="93"/>
      <c r="AA108" s="85"/>
      <c r="AC108" s="94"/>
      <c r="AD108" s="93"/>
      <c r="AE108" s="85"/>
    </row>
    <row r="109" spans="7:31" x14ac:dyDescent="0.35">
      <c r="G109" s="85"/>
      <c r="H109" s="87"/>
      <c r="I109" s="94"/>
      <c r="J109" s="93"/>
      <c r="K109" s="85"/>
      <c r="M109" s="94"/>
      <c r="N109" s="93"/>
      <c r="O109" s="85"/>
      <c r="Q109" s="94"/>
      <c r="R109" s="93"/>
      <c r="S109" s="85"/>
      <c r="U109" s="94"/>
      <c r="V109" s="93"/>
      <c r="W109" s="85"/>
      <c r="Y109" s="94"/>
      <c r="Z109" s="93"/>
      <c r="AA109" s="85"/>
      <c r="AC109" s="94"/>
      <c r="AD109" s="93"/>
      <c r="AE109" s="85"/>
    </row>
    <row r="110" spans="7:31" x14ac:dyDescent="0.35">
      <c r="G110" s="85"/>
      <c r="H110" s="87"/>
      <c r="I110" s="94"/>
      <c r="J110" s="93"/>
      <c r="K110" s="85"/>
      <c r="M110" s="94"/>
      <c r="N110" s="93"/>
      <c r="O110" s="85"/>
      <c r="Q110" s="94"/>
      <c r="R110" s="93"/>
      <c r="S110" s="85"/>
      <c r="U110" s="94"/>
      <c r="V110" s="93"/>
      <c r="W110" s="85"/>
      <c r="Y110" s="94"/>
      <c r="Z110" s="93"/>
      <c r="AA110" s="85"/>
      <c r="AC110" s="94"/>
      <c r="AD110" s="93"/>
      <c r="AE110" s="85"/>
    </row>
    <row r="111" spans="7:31" x14ac:dyDescent="0.35">
      <c r="G111" s="85"/>
      <c r="H111" s="87"/>
      <c r="I111" s="94"/>
      <c r="J111" s="93"/>
      <c r="K111" s="85"/>
      <c r="M111" s="94"/>
      <c r="N111" s="93"/>
      <c r="O111" s="85"/>
      <c r="Q111" s="94"/>
      <c r="R111" s="93"/>
      <c r="S111" s="85"/>
      <c r="U111" s="94"/>
      <c r="V111" s="93"/>
      <c r="W111" s="85"/>
      <c r="Y111" s="94"/>
      <c r="Z111" s="93"/>
      <c r="AA111" s="85"/>
      <c r="AC111" s="94"/>
      <c r="AD111" s="93"/>
      <c r="AE111" s="85"/>
    </row>
    <row r="112" spans="7:31" x14ac:dyDescent="0.35">
      <c r="G112" s="85"/>
      <c r="H112" s="87"/>
      <c r="I112" s="94"/>
      <c r="J112" s="93"/>
      <c r="K112" s="85"/>
      <c r="M112" s="94"/>
      <c r="N112" s="93"/>
      <c r="O112" s="85"/>
      <c r="Q112" s="94"/>
      <c r="R112" s="93"/>
      <c r="S112" s="85"/>
      <c r="U112" s="94"/>
      <c r="V112" s="93"/>
      <c r="W112" s="85"/>
      <c r="Y112" s="94"/>
      <c r="Z112" s="93"/>
      <c r="AA112" s="85"/>
      <c r="AC112" s="94"/>
      <c r="AD112" s="93"/>
      <c r="AE112" s="85"/>
    </row>
    <row r="113" spans="7:31" x14ac:dyDescent="0.35">
      <c r="G113" s="85"/>
      <c r="H113" s="87"/>
      <c r="I113" s="94"/>
      <c r="J113" s="93"/>
      <c r="K113" s="85"/>
      <c r="M113" s="94"/>
      <c r="N113" s="93"/>
      <c r="O113" s="85"/>
      <c r="Q113" s="94"/>
      <c r="R113" s="93"/>
      <c r="S113" s="85"/>
      <c r="U113" s="94"/>
      <c r="V113" s="93"/>
      <c r="W113" s="85"/>
      <c r="Y113" s="94"/>
      <c r="Z113" s="93"/>
      <c r="AA113" s="85"/>
      <c r="AC113" s="94"/>
      <c r="AD113" s="93"/>
      <c r="AE113" s="85"/>
    </row>
    <row r="114" spans="7:31" x14ac:dyDescent="0.35">
      <c r="G114" s="85"/>
      <c r="H114" s="87"/>
      <c r="I114" s="94"/>
      <c r="J114" s="93"/>
      <c r="K114" s="85"/>
      <c r="M114" s="94"/>
      <c r="N114" s="93"/>
      <c r="O114" s="85"/>
      <c r="Q114" s="94"/>
      <c r="R114" s="93"/>
      <c r="S114" s="85"/>
      <c r="U114" s="94"/>
      <c r="V114" s="93"/>
      <c r="W114" s="85"/>
      <c r="Y114" s="94"/>
      <c r="Z114" s="93"/>
      <c r="AA114" s="85"/>
      <c r="AC114" s="94"/>
      <c r="AD114" s="93"/>
      <c r="AE114" s="85"/>
    </row>
    <row r="115" spans="7:31" x14ac:dyDescent="0.35">
      <c r="G115" s="85"/>
      <c r="H115" s="87"/>
      <c r="I115" s="94"/>
      <c r="J115" s="93"/>
      <c r="K115" s="85"/>
      <c r="M115" s="94"/>
      <c r="N115" s="93"/>
      <c r="O115" s="85"/>
      <c r="Q115" s="94"/>
      <c r="R115" s="93"/>
      <c r="S115" s="85"/>
      <c r="U115" s="94"/>
      <c r="V115" s="93"/>
      <c r="W115" s="85"/>
      <c r="Y115" s="94"/>
      <c r="Z115" s="93"/>
      <c r="AA115" s="85"/>
      <c r="AC115" s="94"/>
      <c r="AD115" s="93"/>
      <c r="AE115" s="85"/>
    </row>
    <row r="116" spans="7:31" x14ac:dyDescent="0.35">
      <c r="G116" s="85"/>
      <c r="H116" s="87"/>
      <c r="I116" s="94"/>
      <c r="J116" s="93"/>
      <c r="K116" s="85"/>
      <c r="M116" s="94"/>
      <c r="N116" s="93"/>
      <c r="O116" s="85"/>
      <c r="Q116" s="94"/>
      <c r="R116" s="93"/>
      <c r="S116" s="85"/>
      <c r="U116" s="94"/>
      <c r="V116" s="93"/>
      <c r="W116" s="85"/>
      <c r="Y116" s="94"/>
      <c r="Z116" s="93"/>
      <c r="AA116" s="85"/>
      <c r="AC116" s="94"/>
      <c r="AD116" s="93"/>
      <c r="AE116" s="85"/>
    </row>
    <row r="117" spans="7:31" x14ac:dyDescent="0.35">
      <c r="G117" s="85"/>
      <c r="H117" s="87"/>
      <c r="I117" s="94"/>
      <c r="J117" s="93"/>
      <c r="K117" s="85"/>
      <c r="M117" s="94"/>
      <c r="N117" s="93"/>
      <c r="O117" s="85"/>
      <c r="Q117" s="94"/>
      <c r="R117" s="93"/>
      <c r="S117" s="85"/>
      <c r="U117" s="94"/>
      <c r="V117" s="93"/>
      <c r="W117" s="85"/>
      <c r="Y117" s="94"/>
      <c r="Z117" s="93"/>
      <c r="AA117" s="85"/>
      <c r="AC117" s="94"/>
      <c r="AD117" s="93"/>
      <c r="AE117" s="85"/>
    </row>
    <row r="118" spans="7:31" x14ac:dyDescent="0.35">
      <c r="G118" s="85"/>
      <c r="H118" s="87"/>
      <c r="I118" s="94"/>
      <c r="J118" s="93"/>
      <c r="K118" s="85"/>
      <c r="M118" s="94"/>
      <c r="N118" s="93"/>
      <c r="O118" s="85"/>
      <c r="Q118" s="94"/>
      <c r="R118" s="93"/>
      <c r="S118" s="85"/>
      <c r="U118" s="94"/>
      <c r="V118" s="93"/>
      <c r="W118" s="85"/>
      <c r="Y118" s="94"/>
      <c r="Z118" s="93"/>
      <c r="AA118" s="85"/>
      <c r="AC118" s="94"/>
      <c r="AD118" s="93"/>
      <c r="AE118" s="85"/>
    </row>
    <row r="119" spans="7:31" x14ac:dyDescent="0.35">
      <c r="G119" s="85"/>
      <c r="H119" s="87"/>
      <c r="I119" s="94"/>
      <c r="J119" s="93"/>
      <c r="K119" s="85"/>
      <c r="M119" s="94"/>
      <c r="N119" s="93"/>
      <c r="O119" s="85"/>
      <c r="Q119" s="94"/>
      <c r="R119" s="93"/>
      <c r="S119" s="85"/>
      <c r="U119" s="94"/>
      <c r="V119" s="93"/>
      <c r="W119" s="85"/>
      <c r="Y119" s="94"/>
      <c r="Z119" s="93"/>
      <c r="AA119" s="85"/>
      <c r="AC119" s="94"/>
      <c r="AD119" s="93"/>
      <c r="AE119" s="85"/>
    </row>
    <row r="120" spans="7:31" x14ac:dyDescent="0.35">
      <c r="G120" s="85"/>
      <c r="H120" s="87"/>
      <c r="I120" s="94"/>
      <c r="J120" s="93"/>
      <c r="K120" s="85"/>
      <c r="M120" s="94"/>
      <c r="N120" s="93"/>
      <c r="O120" s="85"/>
      <c r="Q120" s="94"/>
      <c r="R120" s="93"/>
      <c r="S120" s="85"/>
      <c r="U120" s="94"/>
      <c r="V120" s="93"/>
      <c r="W120" s="85"/>
      <c r="Y120" s="94"/>
      <c r="Z120" s="93"/>
      <c r="AA120" s="85"/>
      <c r="AC120" s="94"/>
      <c r="AD120" s="93"/>
      <c r="AE120" s="85"/>
    </row>
    <row r="121" spans="7:31" x14ac:dyDescent="0.35">
      <c r="G121" s="85"/>
      <c r="H121" s="87"/>
      <c r="I121" s="94"/>
      <c r="J121" s="93"/>
      <c r="K121" s="85"/>
      <c r="M121" s="94"/>
      <c r="N121" s="93"/>
      <c r="O121" s="85"/>
      <c r="Q121" s="94"/>
      <c r="R121" s="93"/>
      <c r="S121" s="85"/>
      <c r="U121" s="94"/>
      <c r="V121" s="93"/>
      <c r="W121" s="85"/>
      <c r="Y121" s="94"/>
      <c r="Z121" s="93"/>
      <c r="AA121" s="85"/>
      <c r="AC121" s="94"/>
      <c r="AD121" s="93"/>
      <c r="AE121" s="85"/>
    </row>
    <row r="122" spans="7:31" x14ac:dyDescent="0.35">
      <c r="G122" s="85"/>
      <c r="H122" s="87"/>
      <c r="I122" s="94"/>
      <c r="J122" s="93"/>
      <c r="K122" s="85"/>
      <c r="M122" s="94"/>
      <c r="N122" s="93"/>
      <c r="O122" s="85"/>
      <c r="Q122" s="94"/>
      <c r="R122" s="93"/>
      <c r="S122" s="85"/>
      <c r="U122" s="94"/>
      <c r="V122" s="93"/>
      <c r="W122" s="85"/>
      <c r="Y122" s="94"/>
      <c r="Z122" s="93"/>
      <c r="AA122" s="85"/>
      <c r="AC122" s="94"/>
      <c r="AD122" s="93"/>
      <c r="AE122" s="85"/>
    </row>
    <row r="123" spans="7:31" x14ac:dyDescent="0.35">
      <c r="G123" s="85"/>
      <c r="H123" s="87"/>
      <c r="I123" s="94"/>
      <c r="J123" s="93"/>
      <c r="K123" s="85"/>
      <c r="M123" s="94"/>
      <c r="N123" s="93"/>
      <c r="O123" s="85"/>
      <c r="Q123" s="94"/>
      <c r="R123" s="93"/>
      <c r="S123" s="85"/>
      <c r="U123" s="94"/>
      <c r="V123" s="93"/>
      <c r="W123" s="85"/>
      <c r="Y123" s="94"/>
      <c r="Z123" s="93"/>
      <c r="AA123" s="85"/>
      <c r="AC123" s="94"/>
      <c r="AD123" s="93"/>
      <c r="AE123" s="85"/>
    </row>
    <row r="124" spans="7:31" x14ac:dyDescent="0.35">
      <c r="G124" s="85"/>
      <c r="H124" s="87"/>
      <c r="I124" s="94"/>
      <c r="J124" s="93"/>
      <c r="K124" s="85"/>
      <c r="M124" s="94"/>
      <c r="N124" s="93"/>
      <c r="O124" s="85"/>
      <c r="Q124" s="94"/>
      <c r="R124" s="93"/>
      <c r="S124" s="85"/>
      <c r="U124" s="94"/>
      <c r="V124" s="93"/>
      <c r="W124" s="85"/>
      <c r="Y124" s="94"/>
      <c r="Z124" s="93"/>
      <c r="AA124" s="85"/>
      <c r="AC124" s="94"/>
      <c r="AD124" s="93"/>
      <c r="AE124" s="85"/>
    </row>
    <row r="125" spans="7:31" x14ac:dyDescent="0.35">
      <c r="G125" s="85"/>
      <c r="H125" s="87"/>
      <c r="I125" s="94"/>
      <c r="J125" s="93"/>
      <c r="K125" s="85"/>
      <c r="M125" s="94"/>
      <c r="N125" s="93"/>
      <c r="O125" s="85"/>
      <c r="Q125" s="94"/>
      <c r="R125" s="93"/>
      <c r="S125" s="85"/>
      <c r="U125" s="94"/>
      <c r="V125" s="93"/>
      <c r="W125" s="85"/>
      <c r="Y125" s="94"/>
      <c r="Z125" s="93"/>
      <c r="AA125" s="85"/>
      <c r="AC125" s="94"/>
      <c r="AD125" s="93"/>
      <c r="AE125" s="85"/>
    </row>
    <row r="126" spans="7:31" x14ac:dyDescent="0.35">
      <c r="G126" s="85"/>
      <c r="H126" s="87"/>
      <c r="I126" s="94"/>
      <c r="J126" s="93"/>
      <c r="K126" s="85"/>
      <c r="M126" s="94"/>
      <c r="N126" s="93"/>
      <c r="O126" s="85"/>
      <c r="Q126" s="94"/>
      <c r="R126" s="93"/>
      <c r="S126" s="85"/>
      <c r="U126" s="94"/>
      <c r="V126" s="93"/>
      <c r="W126" s="85"/>
      <c r="Y126" s="94"/>
      <c r="Z126" s="93"/>
      <c r="AA126" s="85"/>
      <c r="AC126" s="94"/>
      <c r="AD126" s="93"/>
      <c r="AE126" s="85"/>
    </row>
    <row r="127" spans="7:31" x14ac:dyDescent="0.35">
      <c r="G127" s="85"/>
      <c r="H127" s="87"/>
      <c r="I127" s="94"/>
      <c r="J127" s="93"/>
      <c r="K127" s="85"/>
      <c r="M127" s="94"/>
      <c r="N127" s="93"/>
      <c r="O127" s="85"/>
      <c r="Q127" s="94"/>
      <c r="R127" s="93"/>
      <c r="S127" s="85"/>
      <c r="U127" s="94"/>
      <c r="V127" s="93"/>
      <c r="W127" s="85"/>
      <c r="Y127" s="94"/>
      <c r="Z127" s="93"/>
      <c r="AA127" s="85"/>
      <c r="AC127" s="94"/>
      <c r="AD127" s="93"/>
      <c r="AE127" s="85"/>
    </row>
    <row r="128" spans="7:31" x14ac:dyDescent="0.35">
      <c r="G128" s="85"/>
      <c r="H128" s="87"/>
      <c r="I128" s="94"/>
      <c r="J128" s="93"/>
      <c r="K128" s="85"/>
      <c r="M128" s="94"/>
      <c r="N128" s="93"/>
      <c r="O128" s="85"/>
      <c r="Q128" s="94"/>
      <c r="R128" s="93"/>
      <c r="S128" s="85"/>
      <c r="U128" s="94"/>
      <c r="V128" s="93"/>
      <c r="W128" s="85"/>
      <c r="Y128" s="94"/>
      <c r="Z128" s="93"/>
      <c r="AA128" s="85"/>
      <c r="AC128" s="94"/>
      <c r="AD128" s="93"/>
      <c r="AE128" s="85"/>
    </row>
    <row r="129" spans="7:31" x14ac:dyDescent="0.35">
      <c r="G129" s="85"/>
      <c r="H129" s="87"/>
      <c r="I129" s="94"/>
      <c r="J129" s="93"/>
      <c r="K129" s="85"/>
      <c r="M129" s="94"/>
      <c r="N129" s="93"/>
      <c r="O129" s="85"/>
      <c r="Q129" s="94"/>
      <c r="R129" s="93"/>
      <c r="S129" s="85"/>
      <c r="U129" s="94"/>
      <c r="V129" s="93"/>
      <c r="W129" s="85"/>
      <c r="Y129" s="94"/>
      <c r="Z129" s="93"/>
      <c r="AA129" s="85"/>
      <c r="AC129" s="94"/>
      <c r="AD129" s="93"/>
      <c r="AE129" s="85"/>
    </row>
    <row r="130" spans="7:31" x14ac:dyDescent="0.35">
      <c r="G130" s="85"/>
      <c r="H130" s="87"/>
      <c r="I130" s="94"/>
      <c r="J130" s="93"/>
      <c r="K130" s="85"/>
      <c r="M130" s="94"/>
      <c r="N130" s="93"/>
      <c r="O130" s="85"/>
      <c r="Q130" s="94"/>
      <c r="R130" s="93"/>
      <c r="S130" s="85"/>
      <c r="U130" s="94"/>
      <c r="V130" s="93"/>
      <c r="W130" s="85"/>
      <c r="Y130" s="94"/>
      <c r="Z130" s="93"/>
      <c r="AA130" s="85"/>
      <c r="AC130" s="94"/>
      <c r="AD130" s="93"/>
      <c r="AE130" s="85"/>
    </row>
    <row r="131" spans="7:31" x14ac:dyDescent="0.35">
      <c r="G131" s="85"/>
      <c r="H131" s="87"/>
      <c r="I131" s="94"/>
      <c r="J131" s="93"/>
      <c r="K131" s="85"/>
      <c r="M131" s="94"/>
      <c r="N131" s="93"/>
      <c r="O131" s="85"/>
      <c r="Q131" s="94"/>
      <c r="R131" s="93"/>
      <c r="S131" s="85"/>
      <c r="U131" s="94"/>
      <c r="V131" s="93"/>
      <c r="W131" s="85"/>
      <c r="Y131" s="94"/>
      <c r="Z131" s="93"/>
      <c r="AA131" s="85"/>
      <c r="AC131" s="94"/>
      <c r="AD131" s="93"/>
      <c r="AE131" s="85"/>
    </row>
    <row r="132" spans="7:31" x14ac:dyDescent="0.35">
      <c r="G132" s="85"/>
      <c r="H132" s="87"/>
      <c r="I132" s="94"/>
      <c r="J132" s="93"/>
      <c r="K132" s="85"/>
      <c r="M132" s="94"/>
      <c r="N132" s="93"/>
      <c r="O132" s="85"/>
      <c r="Q132" s="94"/>
      <c r="R132" s="93"/>
      <c r="S132" s="85"/>
      <c r="U132" s="94"/>
      <c r="V132" s="93"/>
      <c r="W132" s="85"/>
      <c r="Y132" s="94"/>
      <c r="Z132" s="93"/>
      <c r="AA132" s="85"/>
      <c r="AC132" s="94"/>
      <c r="AD132" s="93"/>
      <c r="AE132" s="85"/>
    </row>
    <row r="133" spans="7:31" x14ac:dyDescent="0.35">
      <c r="G133" s="85"/>
      <c r="H133" s="87"/>
      <c r="I133" s="94"/>
      <c r="J133" s="93"/>
      <c r="K133" s="85"/>
      <c r="M133" s="94"/>
      <c r="N133" s="93"/>
      <c r="O133" s="85"/>
      <c r="Q133" s="94"/>
      <c r="R133" s="93"/>
      <c r="S133" s="85"/>
      <c r="U133" s="94"/>
      <c r="V133" s="93"/>
      <c r="W133" s="85"/>
      <c r="Y133" s="94"/>
      <c r="Z133" s="93"/>
      <c r="AA133" s="85"/>
      <c r="AC133" s="94"/>
      <c r="AD133" s="93"/>
      <c r="AE133" s="85"/>
    </row>
    <row r="134" spans="7:31" x14ac:dyDescent="0.35">
      <c r="G134" s="85"/>
      <c r="H134" s="87"/>
      <c r="I134" s="94"/>
      <c r="J134" s="93"/>
      <c r="K134" s="85"/>
      <c r="M134" s="94"/>
      <c r="N134" s="93"/>
      <c r="O134" s="85"/>
      <c r="Q134" s="94"/>
      <c r="R134" s="93"/>
      <c r="S134" s="85"/>
      <c r="U134" s="94"/>
      <c r="V134" s="93"/>
      <c r="W134" s="85"/>
      <c r="Y134" s="94"/>
      <c r="Z134" s="93"/>
      <c r="AA134" s="85"/>
      <c r="AC134" s="94"/>
      <c r="AD134" s="93"/>
      <c r="AE134" s="85"/>
    </row>
    <row r="135" spans="7:31" x14ac:dyDescent="0.35">
      <c r="G135" s="85"/>
      <c r="H135" s="87"/>
      <c r="I135" s="94"/>
      <c r="J135" s="93"/>
      <c r="K135" s="85"/>
      <c r="M135" s="94"/>
      <c r="N135" s="93"/>
      <c r="O135" s="85"/>
      <c r="Q135" s="94"/>
      <c r="R135" s="93"/>
      <c r="S135" s="85"/>
      <c r="U135" s="94"/>
      <c r="V135" s="93"/>
      <c r="W135" s="85"/>
      <c r="Y135" s="94"/>
      <c r="Z135" s="93"/>
      <c r="AA135" s="85"/>
      <c r="AC135" s="94"/>
      <c r="AD135" s="93"/>
      <c r="AE135" s="85"/>
    </row>
    <row r="136" spans="7:31" x14ac:dyDescent="0.35">
      <c r="G136" s="85"/>
      <c r="H136" s="87"/>
      <c r="I136" s="94"/>
      <c r="J136" s="93"/>
      <c r="K136" s="85"/>
      <c r="M136" s="94"/>
      <c r="N136" s="93"/>
      <c r="O136" s="85"/>
      <c r="Q136" s="94"/>
      <c r="R136" s="93"/>
      <c r="S136" s="85"/>
      <c r="U136" s="94"/>
      <c r="V136" s="93"/>
      <c r="W136" s="85"/>
      <c r="Y136" s="94"/>
      <c r="Z136" s="93"/>
      <c r="AA136" s="85"/>
      <c r="AC136" s="94"/>
      <c r="AD136" s="93"/>
      <c r="AE136" s="85"/>
    </row>
    <row r="137" spans="7:31" x14ac:dyDescent="0.35">
      <c r="G137" s="85"/>
      <c r="H137" s="87"/>
      <c r="I137" s="94"/>
      <c r="J137" s="93"/>
      <c r="K137" s="85"/>
      <c r="M137" s="94"/>
      <c r="N137" s="93"/>
      <c r="O137" s="85"/>
      <c r="Q137" s="94"/>
      <c r="R137" s="93"/>
      <c r="S137" s="85"/>
      <c r="U137" s="94"/>
      <c r="V137" s="93"/>
      <c r="W137" s="85"/>
      <c r="Y137" s="94"/>
      <c r="Z137" s="93"/>
      <c r="AA137" s="85"/>
      <c r="AC137" s="94"/>
      <c r="AD137" s="93"/>
      <c r="AE137" s="85"/>
    </row>
    <row r="138" spans="7:31" x14ac:dyDescent="0.35">
      <c r="G138" s="85"/>
      <c r="H138" s="87"/>
      <c r="I138" s="94"/>
      <c r="J138" s="93"/>
      <c r="K138" s="85"/>
      <c r="M138" s="94"/>
      <c r="N138" s="93"/>
      <c r="O138" s="85"/>
      <c r="Q138" s="94"/>
      <c r="R138" s="93"/>
      <c r="S138" s="85"/>
      <c r="U138" s="94"/>
      <c r="V138" s="93"/>
      <c r="W138" s="85"/>
      <c r="Y138" s="94"/>
      <c r="Z138" s="93"/>
      <c r="AA138" s="85"/>
      <c r="AC138" s="94"/>
      <c r="AD138" s="93"/>
      <c r="AE138" s="85"/>
    </row>
    <row r="139" spans="7:31" x14ac:dyDescent="0.35">
      <c r="G139" s="85"/>
      <c r="H139" s="87"/>
      <c r="I139" s="94"/>
      <c r="J139" s="93"/>
      <c r="K139" s="85"/>
      <c r="M139" s="94"/>
      <c r="N139" s="93"/>
      <c r="O139" s="85"/>
      <c r="Q139" s="94"/>
      <c r="R139" s="93"/>
      <c r="S139" s="85"/>
      <c r="U139" s="94"/>
      <c r="V139" s="93"/>
      <c r="W139" s="85"/>
      <c r="Y139" s="94"/>
      <c r="Z139" s="93"/>
      <c r="AA139" s="85"/>
      <c r="AC139" s="94"/>
      <c r="AD139" s="93"/>
      <c r="AE139" s="85"/>
    </row>
    <row r="140" spans="7:31" x14ac:dyDescent="0.35">
      <c r="G140" s="85"/>
      <c r="H140" s="87"/>
      <c r="I140" s="94"/>
      <c r="J140" s="93"/>
      <c r="K140" s="85"/>
      <c r="M140" s="94"/>
      <c r="N140" s="93"/>
      <c r="O140" s="85"/>
      <c r="Q140" s="94"/>
      <c r="R140" s="93"/>
      <c r="S140" s="85"/>
      <c r="U140" s="94"/>
      <c r="V140" s="93"/>
      <c r="W140" s="85"/>
      <c r="Y140" s="94"/>
      <c r="Z140" s="93"/>
      <c r="AA140" s="85"/>
      <c r="AC140" s="94"/>
      <c r="AD140" s="93"/>
      <c r="AE140" s="85"/>
    </row>
    <row r="141" spans="7:31" x14ac:dyDescent="0.35">
      <c r="G141" s="85"/>
      <c r="H141" s="87"/>
      <c r="I141" s="94"/>
      <c r="J141" s="93"/>
      <c r="K141" s="85"/>
      <c r="M141" s="94"/>
      <c r="N141" s="93"/>
      <c r="O141" s="85"/>
      <c r="Q141" s="94"/>
      <c r="R141" s="93"/>
      <c r="S141" s="85"/>
      <c r="U141" s="94"/>
      <c r="V141" s="93"/>
      <c r="W141" s="85"/>
      <c r="Y141" s="94"/>
      <c r="Z141" s="93"/>
      <c r="AA141" s="85"/>
      <c r="AC141" s="94"/>
      <c r="AD141" s="93"/>
      <c r="AE141" s="85"/>
    </row>
    <row r="142" spans="7:31" x14ac:dyDescent="0.35">
      <c r="G142" s="85"/>
      <c r="H142" s="87"/>
      <c r="I142" s="94"/>
      <c r="J142" s="93"/>
      <c r="K142" s="85"/>
      <c r="M142" s="94"/>
      <c r="N142" s="93"/>
      <c r="O142" s="85"/>
      <c r="Q142" s="94"/>
      <c r="R142" s="93"/>
      <c r="S142" s="85"/>
      <c r="U142" s="94"/>
      <c r="V142" s="93"/>
      <c r="W142" s="85"/>
      <c r="Y142" s="94"/>
      <c r="Z142" s="93"/>
      <c r="AA142" s="85"/>
      <c r="AC142" s="94"/>
      <c r="AD142" s="93"/>
      <c r="AE142" s="85"/>
    </row>
    <row r="143" spans="7:31" x14ac:dyDescent="0.35">
      <c r="G143" s="85"/>
      <c r="H143" s="87"/>
      <c r="I143" s="94"/>
      <c r="J143" s="93"/>
      <c r="K143" s="85"/>
      <c r="M143" s="94"/>
      <c r="N143" s="93"/>
      <c r="O143" s="85"/>
      <c r="Q143" s="94"/>
      <c r="R143" s="93"/>
      <c r="S143" s="85"/>
      <c r="U143" s="94"/>
      <c r="V143" s="93"/>
      <c r="W143" s="85"/>
      <c r="Y143" s="94"/>
      <c r="Z143" s="93"/>
      <c r="AA143" s="85"/>
      <c r="AC143" s="94"/>
      <c r="AD143" s="93"/>
      <c r="AE143" s="85"/>
    </row>
    <row r="144" spans="7:31" x14ac:dyDescent="0.35">
      <c r="G144" s="85"/>
      <c r="H144" s="87"/>
      <c r="I144" s="94"/>
      <c r="J144" s="93"/>
      <c r="K144" s="85"/>
      <c r="M144" s="94"/>
      <c r="N144" s="93"/>
      <c r="O144" s="85"/>
      <c r="Q144" s="94"/>
      <c r="R144" s="93"/>
      <c r="S144" s="85"/>
      <c r="U144" s="94"/>
      <c r="V144" s="93"/>
      <c r="W144" s="85"/>
      <c r="Y144" s="94"/>
      <c r="Z144" s="93"/>
      <c r="AA144" s="85"/>
      <c r="AC144" s="94"/>
      <c r="AD144" s="93"/>
      <c r="AE144" s="85"/>
    </row>
    <row r="145" spans="7:31" x14ac:dyDescent="0.35">
      <c r="G145" s="85"/>
      <c r="H145" s="87"/>
      <c r="I145" s="94"/>
      <c r="J145" s="93"/>
      <c r="K145" s="85"/>
      <c r="M145" s="94"/>
      <c r="N145" s="93"/>
      <c r="O145" s="85"/>
      <c r="Q145" s="94"/>
      <c r="R145" s="93"/>
      <c r="S145" s="85"/>
      <c r="U145" s="94"/>
      <c r="V145" s="93"/>
      <c r="W145" s="85"/>
      <c r="Y145" s="94"/>
      <c r="Z145" s="93"/>
      <c r="AA145" s="85"/>
      <c r="AC145" s="94"/>
      <c r="AD145" s="93"/>
      <c r="AE145" s="85"/>
    </row>
    <row r="146" spans="7:31" x14ac:dyDescent="0.35">
      <c r="G146" s="85"/>
      <c r="H146" s="87"/>
      <c r="I146" s="94"/>
      <c r="J146" s="93"/>
      <c r="K146" s="85"/>
      <c r="M146" s="94"/>
      <c r="N146" s="93"/>
      <c r="O146" s="85"/>
      <c r="Q146" s="94"/>
      <c r="R146" s="93"/>
      <c r="S146" s="85"/>
      <c r="U146" s="94"/>
      <c r="V146" s="93"/>
      <c r="W146" s="85"/>
      <c r="Y146" s="94"/>
      <c r="Z146" s="93"/>
      <c r="AA146" s="85"/>
      <c r="AC146" s="94"/>
      <c r="AD146" s="93"/>
      <c r="AE146" s="85"/>
    </row>
    <row r="147" spans="7:31" x14ac:dyDescent="0.35">
      <c r="G147" s="85"/>
      <c r="H147" s="87"/>
      <c r="I147" s="94"/>
      <c r="J147" s="93"/>
      <c r="K147" s="85"/>
      <c r="M147" s="94"/>
      <c r="N147" s="93"/>
      <c r="O147" s="85"/>
      <c r="Q147" s="94"/>
      <c r="R147" s="93"/>
      <c r="S147" s="85"/>
      <c r="U147" s="94"/>
      <c r="V147" s="93"/>
      <c r="W147" s="85"/>
      <c r="Y147" s="94"/>
      <c r="Z147" s="93"/>
      <c r="AA147" s="85"/>
      <c r="AC147" s="94"/>
      <c r="AD147" s="93"/>
      <c r="AE147" s="85"/>
    </row>
    <row r="148" spans="7:31" x14ac:dyDescent="0.35">
      <c r="G148" s="85"/>
      <c r="H148" s="87"/>
      <c r="I148" s="94"/>
      <c r="J148" s="93"/>
      <c r="K148" s="85"/>
      <c r="M148" s="94"/>
      <c r="N148" s="93"/>
      <c r="O148" s="85"/>
      <c r="Q148" s="94"/>
      <c r="R148" s="93"/>
      <c r="S148" s="85"/>
      <c r="U148" s="94"/>
      <c r="V148" s="93"/>
      <c r="W148" s="85"/>
      <c r="Y148" s="94"/>
      <c r="Z148" s="93"/>
      <c r="AA148" s="85"/>
      <c r="AC148" s="94"/>
      <c r="AD148" s="93"/>
      <c r="AE148" s="85"/>
    </row>
    <row r="149" spans="7:31" x14ac:dyDescent="0.35">
      <c r="G149" s="85"/>
      <c r="H149" s="87"/>
      <c r="I149" s="94"/>
      <c r="J149" s="93"/>
      <c r="K149" s="85"/>
      <c r="M149" s="94"/>
      <c r="N149" s="93"/>
      <c r="O149" s="85"/>
      <c r="Q149" s="94"/>
      <c r="R149" s="93"/>
      <c r="S149" s="85"/>
      <c r="U149" s="94"/>
      <c r="V149" s="93"/>
      <c r="W149" s="85"/>
      <c r="Y149" s="94"/>
      <c r="Z149" s="93"/>
      <c r="AA149" s="85"/>
      <c r="AC149" s="94"/>
      <c r="AD149" s="93"/>
      <c r="AE149" s="85"/>
    </row>
    <row r="150" spans="7:31" x14ac:dyDescent="0.35">
      <c r="G150" s="85"/>
      <c r="H150" s="87"/>
      <c r="I150" s="94"/>
      <c r="J150" s="93"/>
      <c r="K150" s="85"/>
      <c r="M150" s="94"/>
      <c r="N150" s="93"/>
      <c r="O150" s="85"/>
      <c r="Q150" s="94"/>
      <c r="R150" s="93"/>
      <c r="S150" s="85"/>
      <c r="U150" s="94"/>
      <c r="V150" s="93"/>
      <c r="W150" s="85"/>
      <c r="Y150" s="94"/>
      <c r="Z150" s="93"/>
      <c r="AA150" s="85"/>
      <c r="AC150" s="94"/>
      <c r="AD150" s="93"/>
      <c r="AE150" s="85"/>
    </row>
    <row r="151" spans="7:31" x14ac:dyDescent="0.35">
      <c r="G151" s="85"/>
      <c r="H151" s="87"/>
      <c r="I151" s="94"/>
      <c r="J151" s="93"/>
      <c r="K151" s="85"/>
      <c r="M151" s="94"/>
      <c r="N151" s="93"/>
      <c r="O151" s="85"/>
      <c r="Q151" s="94"/>
      <c r="R151" s="93"/>
      <c r="S151" s="85"/>
      <c r="U151" s="94"/>
      <c r="V151" s="93"/>
      <c r="W151" s="85"/>
      <c r="Y151" s="94"/>
      <c r="Z151" s="93"/>
      <c r="AA151" s="85"/>
      <c r="AC151" s="94"/>
      <c r="AD151" s="93"/>
      <c r="AE151" s="85"/>
    </row>
    <row r="152" spans="7:31" x14ac:dyDescent="0.35">
      <c r="G152" s="85"/>
      <c r="H152" s="87"/>
      <c r="I152" s="94"/>
      <c r="J152" s="93"/>
      <c r="K152" s="85"/>
      <c r="M152" s="94"/>
      <c r="N152" s="93"/>
      <c r="O152" s="85"/>
      <c r="Q152" s="94"/>
      <c r="R152" s="93"/>
      <c r="S152" s="85"/>
      <c r="U152" s="94"/>
      <c r="V152" s="93"/>
      <c r="W152" s="85"/>
      <c r="Y152" s="94"/>
      <c r="Z152" s="93"/>
      <c r="AA152" s="85"/>
      <c r="AC152" s="94"/>
      <c r="AD152" s="93"/>
      <c r="AE152" s="85"/>
    </row>
    <row r="153" spans="7:31" x14ac:dyDescent="0.35">
      <c r="G153" s="85"/>
      <c r="H153" s="87"/>
      <c r="I153" s="94"/>
      <c r="J153" s="93"/>
      <c r="K153" s="85"/>
      <c r="M153" s="94"/>
      <c r="N153" s="93"/>
      <c r="O153" s="85"/>
      <c r="Q153" s="94"/>
      <c r="R153" s="93"/>
      <c r="S153" s="85"/>
      <c r="U153" s="94"/>
      <c r="V153" s="93"/>
      <c r="W153" s="85"/>
      <c r="Y153" s="94"/>
      <c r="Z153" s="93"/>
      <c r="AA153" s="85"/>
      <c r="AC153" s="94"/>
      <c r="AD153" s="93"/>
      <c r="AE153" s="85"/>
    </row>
    <row r="154" spans="7:31" x14ac:dyDescent="0.35">
      <c r="G154" s="85"/>
      <c r="H154" s="87"/>
      <c r="I154" s="94"/>
      <c r="J154" s="93"/>
      <c r="K154" s="85"/>
      <c r="M154" s="94"/>
      <c r="N154" s="93"/>
      <c r="O154" s="85"/>
      <c r="Q154" s="94"/>
      <c r="R154" s="93"/>
      <c r="S154" s="85"/>
      <c r="U154" s="94"/>
      <c r="V154" s="93"/>
      <c r="W154" s="85"/>
      <c r="Y154" s="94"/>
      <c r="Z154" s="93"/>
      <c r="AA154" s="85"/>
      <c r="AC154" s="94"/>
      <c r="AD154" s="93"/>
      <c r="AE154" s="85"/>
    </row>
    <row r="155" spans="7:31" x14ac:dyDescent="0.35">
      <c r="G155" s="85"/>
      <c r="H155" s="87"/>
      <c r="I155" s="94"/>
      <c r="J155" s="93"/>
      <c r="K155" s="85"/>
      <c r="M155" s="94"/>
      <c r="N155" s="93"/>
      <c r="O155" s="85"/>
      <c r="Q155" s="94"/>
      <c r="R155" s="93"/>
      <c r="S155" s="85"/>
      <c r="U155" s="94"/>
      <c r="V155" s="93"/>
      <c r="W155" s="85"/>
      <c r="Y155" s="94"/>
      <c r="Z155" s="93"/>
      <c r="AA155" s="85"/>
      <c r="AC155" s="94"/>
      <c r="AD155" s="93"/>
      <c r="AE155" s="85"/>
    </row>
    <row r="156" spans="7:31" x14ac:dyDescent="0.35">
      <c r="G156" s="85"/>
      <c r="H156" s="87"/>
      <c r="I156" s="94"/>
      <c r="J156" s="93"/>
      <c r="K156" s="85"/>
      <c r="M156" s="94"/>
      <c r="N156" s="93"/>
      <c r="O156" s="85"/>
      <c r="Q156" s="94"/>
      <c r="R156" s="93"/>
      <c r="S156" s="85"/>
      <c r="U156" s="94"/>
      <c r="V156" s="93"/>
      <c r="W156" s="85"/>
      <c r="Y156" s="94"/>
      <c r="Z156" s="93"/>
      <c r="AA156" s="85"/>
      <c r="AC156" s="94"/>
      <c r="AD156" s="93"/>
      <c r="AE156" s="85"/>
    </row>
    <row r="157" spans="7:31" x14ac:dyDescent="0.35">
      <c r="G157" s="85"/>
      <c r="H157" s="87"/>
      <c r="I157" s="94"/>
      <c r="J157" s="93"/>
      <c r="K157" s="85"/>
      <c r="M157" s="94"/>
      <c r="N157" s="93"/>
      <c r="O157" s="85"/>
      <c r="Q157" s="94"/>
      <c r="R157" s="93"/>
      <c r="S157" s="85"/>
      <c r="U157" s="94"/>
      <c r="V157" s="93"/>
      <c r="W157" s="85"/>
      <c r="Y157" s="94"/>
      <c r="Z157" s="93"/>
      <c r="AA157" s="85"/>
      <c r="AC157" s="94"/>
      <c r="AD157" s="93"/>
      <c r="AE157" s="85"/>
    </row>
    <row r="158" spans="7:31" x14ac:dyDescent="0.35">
      <c r="G158" s="85"/>
      <c r="H158" s="87"/>
      <c r="I158" s="94"/>
      <c r="J158" s="93"/>
      <c r="K158" s="85"/>
      <c r="M158" s="94"/>
      <c r="N158" s="93"/>
      <c r="O158" s="85"/>
      <c r="Q158" s="94"/>
      <c r="R158" s="93"/>
      <c r="S158" s="85"/>
      <c r="U158" s="94"/>
      <c r="V158" s="93"/>
      <c r="W158" s="85"/>
      <c r="Y158" s="94"/>
      <c r="Z158" s="93"/>
      <c r="AA158" s="85"/>
      <c r="AC158" s="94"/>
      <c r="AD158" s="93"/>
      <c r="AE158" s="85"/>
    </row>
    <row r="159" spans="7:31" x14ac:dyDescent="0.35">
      <c r="G159" s="85"/>
      <c r="H159" s="87"/>
      <c r="I159" s="94"/>
      <c r="J159" s="93"/>
      <c r="K159" s="85"/>
      <c r="M159" s="94"/>
      <c r="N159" s="93"/>
      <c r="O159" s="85"/>
      <c r="Q159" s="94"/>
      <c r="R159" s="93"/>
      <c r="S159" s="85"/>
      <c r="U159" s="94"/>
      <c r="V159" s="93"/>
      <c r="W159" s="85"/>
      <c r="Y159" s="94"/>
      <c r="Z159" s="93"/>
      <c r="AA159" s="85"/>
      <c r="AC159" s="94"/>
      <c r="AD159" s="93"/>
      <c r="AE159" s="85"/>
    </row>
    <row r="160" spans="7:31" x14ac:dyDescent="0.35">
      <c r="G160" s="85"/>
      <c r="H160" s="87"/>
      <c r="I160" s="94"/>
      <c r="J160" s="93"/>
      <c r="K160" s="85"/>
      <c r="M160" s="94"/>
      <c r="N160" s="93"/>
      <c r="O160" s="85"/>
      <c r="Q160" s="94"/>
      <c r="R160" s="93"/>
      <c r="S160" s="85"/>
      <c r="U160" s="94"/>
      <c r="V160" s="93"/>
      <c r="W160" s="85"/>
      <c r="Y160" s="94"/>
      <c r="Z160" s="93"/>
      <c r="AA160" s="85"/>
      <c r="AC160" s="94"/>
      <c r="AD160" s="93"/>
      <c r="AE160" s="85"/>
    </row>
    <row r="161" spans="7:31" x14ac:dyDescent="0.35">
      <c r="G161" s="85"/>
      <c r="H161" s="87"/>
      <c r="I161" s="94"/>
      <c r="J161" s="93"/>
      <c r="K161" s="85"/>
      <c r="M161" s="94"/>
      <c r="N161" s="93"/>
      <c r="O161" s="85"/>
      <c r="Q161" s="94"/>
      <c r="R161" s="93"/>
      <c r="S161" s="85"/>
      <c r="U161" s="94"/>
      <c r="V161" s="93"/>
      <c r="W161" s="85"/>
      <c r="Y161" s="94"/>
      <c r="Z161" s="93"/>
      <c r="AA161" s="85"/>
      <c r="AC161" s="94"/>
      <c r="AD161" s="93"/>
      <c r="AE161" s="85"/>
    </row>
    <row r="162" spans="7:31" x14ac:dyDescent="0.35">
      <c r="G162" s="85"/>
      <c r="H162" s="87"/>
      <c r="I162" s="94"/>
      <c r="J162" s="93"/>
      <c r="K162" s="85"/>
      <c r="M162" s="94"/>
      <c r="N162" s="93"/>
      <c r="O162" s="85"/>
      <c r="Q162" s="94"/>
      <c r="R162" s="93"/>
      <c r="S162" s="85"/>
      <c r="U162" s="94"/>
      <c r="V162" s="93"/>
      <c r="W162" s="85"/>
      <c r="Y162" s="94"/>
      <c r="Z162" s="93"/>
      <c r="AA162" s="85"/>
      <c r="AC162" s="94"/>
      <c r="AD162" s="93"/>
      <c r="AE162" s="85"/>
    </row>
    <row r="163" spans="7:31" x14ac:dyDescent="0.35">
      <c r="G163" s="85"/>
      <c r="H163" s="87"/>
      <c r="I163" s="94"/>
      <c r="J163" s="93"/>
      <c r="K163" s="85"/>
      <c r="M163" s="94"/>
      <c r="N163" s="93"/>
      <c r="O163" s="85"/>
      <c r="Q163" s="94"/>
      <c r="R163" s="93"/>
      <c r="S163" s="85"/>
      <c r="U163" s="94"/>
      <c r="V163" s="93"/>
      <c r="W163" s="85"/>
      <c r="Y163" s="94"/>
      <c r="Z163" s="93"/>
      <c r="AA163" s="85"/>
      <c r="AC163" s="94"/>
      <c r="AD163" s="93"/>
      <c r="AE163" s="85"/>
    </row>
    <row r="164" spans="7:31" x14ac:dyDescent="0.35">
      <c r="G164" s="85"/>
      <c r="H164" s="87"/>
      <c r="I164" s="94"/>
      <c r="J164" s="93"/>
      <c r="K164" s="85"/>
      <c r="M164" s="94"/>
      <c r="N164" s="93"/>
      <c r="O164" s="85"/>
      <c r="Q164" s="94"/>
      <c r="R164" s="93"/>
      <c r="S164" s="85"/>
      <c r="U164" s="94"/>
      <c r="V164" s="93"/>
      <c r="W164" s="85"/>
      <c r="Y164" s="94"/>
      <c r="Z164" s="93"/>
      <c r="AA164" s="85"/>
      <c r="AC164" s="94"/>
      <c r="AD164" s="93"/>
      <c r="AE164" s="85"/>
    </row>
    <row r="165" spans="7:31" x14ac:dyDescent="0.35">
      <c r="G165" s="85"/>
      <c r="H165" s="87"/>
      <c r="I165" s="94"/>
      <c r="J165" s="93"/>
      <c r="K165" s="85"/>
      <c r="M165" s="94"/>
      <c r="N165" s="93"/>
      <c r="O165" s="85"/>
      <c r="Q165" s="94"/>
      <c r="R165" s="93"/>
      <c r="S165" s="85"/>
      <c r="U165" s="94"/>
      <c r="V165" s="93"/>
      <c r="W165" s="85"/>
      <c r="Y165" s="94"/>
      <c r="Z165" s="93"/>
      <c r="AA165" s="85"/>
      <c r="AC165" s="94"/>
      <c r="AD165" s="93"/>
      <c r="AE165" s="85"/>
    </row>
    <row r="166" spans="7:31" x14ac:dyDescent="0.35">
      <c r="G166" s="85"/>
      <c r="H166" s="87"/>
      <c r="I166" s="94"/>
      <c r="J166" s="93"/>
      <c r="K166" s="85"/>
      <c r="M166" s="94"/>
      <c r="N166" s="93"/>
      <c r="O166" s="85"/>
      <c r="Q166" s="94"/>
      <c r="R166" s="93"/>
      <c r="S166" s="85"/>
      <c r="U166" s="94"/>
      <c r="V166" s="93"/>
      <c r="W166" s="85"/>
      <c r="Y166" s="94"/>
      <c r="Z166" s="93"/>
      <c r="AA166" s="85"/>
      <c r="AC166" s="94"/>
      <c r="AD166" s="93"/>
      <c r="AE166" s="85"/>
    </row>
    <row r="167" spans="7:31" x14ac:dyDescent="0.35">
      <c r="G167" s="85"/>
      <c r="H167" s="87"/>
      <c r="I167" s="94"/>
      <c r="J167" s="93"/>
      <c r="K167" s="85"/>
      <c r="M167" s="94"/>
      <c r="N167" s="93"/>
      <c r="O167" s="85"/>
      <c r="Q167" s="94"/>
      <c r="R167" s="93"/>
      <c r="S167" s="85"/>
      <c r="U167" s="94"/>
      <c r="V167" s="93"/>
      <c r="W167" s="85"/>
      <c r="Y167" s="94"/>
      <c r="Z167" s="93"/>
      <c r="AA167" s="85"/>
      <c r="AC167" s="94"/>
      <c r="AD167" s="93"/>
      <c r="AE167" s="85"/>
    </row>
    <row r="168" spans="7:31" x14ac:dyDescent="0.35">
      <c r="G168" s="85"/>
      <c r="H168" s="87"/>
      <c r="I168" s="94"/>
      <c r="J168" s="93"/>
      <c r="K168" s="85"/>
      <c r="M168" s="94"/>
      <c r="N168" s="93"/>
      <c r="O168" s="85"/>
      <c r="Q168" s="94"/>
      <c r="R168" s="93"/>
      <c r="S168" s="85"/>
      <c r="U168" s="94"/>
      <c r="V168" s="93"/>
      <c r="W168" s="85"/>
      <c r="Y168" s="94"/>
      <c r="Z168" s="93"/>
      <c r="AA168" s="85"/>
      <c r="AC168" s="94"/>
      <c r="AD168" s="93"/>
      <c r="AE168" s="85"/>
    </row>
    <row r="169" spans="7:31" x14ac:dyDescent="0.35">
      <c r="G169" s="85"/>
      <c r="H169" s="87"/>
      <c r="I169" s="94"/>
      <c r="J169" s="93"/>
      <c r="K169" s="85"/>
      <c r="M169" s="94"/>
      <c r="N169" s="93"/>
      <c r="O169" s="85"/>
      <c r="Q169" s="94"/>
      <c r="R169" s="93"/>
      <c r="S169" s="85"/>
      <c r="U169" s="94"/>
      <c r="V169" s="93"/>
      <c r="W169" s="85"/>
      <c r="Y169" s="94"/>
      <c r="Z169" s="93"/>
      <c r="AA169" s="85"/>
      <c r="AC169" s="94"/>
      <c r="AD169" s="93"/>
      <c r="AE169" s="85"/>
    </row>
    <row r="170" spans="7:31" x14ac:dyDescent="0.35">
      <c r="G170" s="85"/>
      <c r="H170" s="87"/>
      <c r="I170" s="94"/>
      <c r="J170" s="93"/>
      <c r="K170" s="85"/>
      <c r="M170" s="94"/>
      <c r="N170" s="93"/>
      <c r="O170" s="85"/>
      <c r="Q170" s="94"/>
      <c r="R170" s="93"/>
      <c r="S170" s="85"/>
      <c r="U170" s="94"/>
      <c r="V170" s="93"/>
      <c r="W170" s="85"/>
      <c r="Y170" s="94"/>
      <c r="Z170" s="93"/>
      <c r="AA170" s="85"/>
      <c r="AC170" s="94"/>
      <c r="AD170" s="93"/>
      <c r="AE170" s="85"/>
    </row>
    <row r="171" spans="7:31" x14ac:dyDescent="0.35">
      <c r="G171" s="85"/>
      <c r="H171" s="87"/>
      <c r="I171" s="94"/>
      <c r="J171" s="93"/>
      <c r="K171" s="85"/>
      <c r="M171" s="94"/>
      <c r="N171" s="93"/>
      <c r="O171" s="85"/>
      <c r="Q171" s="94"/>
      <c r="R171" s="93"/>
      <c r="S171" s="85"/>
      <c r="U171" s="94"/>
      <c r="V171" s="93"/>
      <c r="W171" s="85"/>
      <c r="Y171" s="94"/>
      <c r="Z171" s="93"/>
      <c r="AA171" s="85"/>
      <c r="AC171" s="94"/>
      <c r="AD171" s="93"/>
      <c r="AE171" s="85"/>
    </row>
    <row r="172" spans="7:31" x14ac:dyDescent="0.35">
      <c r="G172" s="85"/>
      <c r="H172" s="87"/>
      <c r="I172" s="94"/>
      <c r="J172" s="93"/>
      <c r="K172" s="85"/>
      <c r="M172" s="94"/>
      <c r="N172" s="93"/>
      <c r="O172" s="85"/>
      <c r="Q172" s="94"/>
      <c r="R172" s="93"/>
      <c r="S172" s="85"/>
      <c r="U172" s="94"/>
      <c r="V172" s="93"/>
      <c r="W172" s="85"/>
      <c r="Y172" s="94"/>
      <c r="Z172" s="93"/>
      <c r="AA172" s="85"/>
      <c r="AC172" s="94"/>
      <c r="AD172" s="93"/>
      <c r="AE172" s="85"/>
    </row>
    <row r="173" spans="7:31" x14ac:dyDescent="0.35">
      <c r="G173" s="85"/>
      <c r="H173" s="87"/>
      <c r="I173" s="94"/>
      <c r="J173" s="93"/>
      <c r="K173" s="85"/>
      <c r="M173" s="94"/>
      <c r="N173" s="93"/>
      <c r="O173" s="85"/>
      <c r="Q173" s="94"/>
      <c r="R173" s="93"/>
      <c r="S173" s="85"/>
      <c r="U173" s="94"/>
      <c r="V173" s="93"/>
      <c r="W173" s="85"/>
      <c r="Y173" s="94"/>
      <c r="Z173" s="93"/>
      <c r="AA173" s="85"/>
      <c r="AC173" s="94"/>
      <c r="AD173" s="93"/>
      <c r="AE173" s="85"/>
    </row>
    <row r="174" spans="7:31" x14ac:dyDescent="0.35">
      <c r="G174" s="85"/>
      <c r="H174" s="87"/>
      <c r="I174" s="94"/>
      <c r="J174" s="93"/>
      <c r="K174" s="85"/>
      <c r="M174" s="94"/>
      <c r="N174" s="93"/>
      <c r="O174" s="85"/>
      <c r="Q174" s="94"/>
      <c r="R174" s="93"/>
      <c r="S174" s="85"/>
      <c r="U174" s="94"/>
      <c r="V174" s="93"/>
      <c r="W174" s="85"/>
      <c r="Y174" s="94"/>
      <c r="Z174" s="93"/>
      <c r="AA174" s="85"/>
      <c r="AC174" s="94"/>
      <c r="AD174" s="93"/>
      <c r="AE174" s="85"/>
    </row>
    <row r="175" spans="7:31" x14ac:dyDescent="0.35">
      <c r="G175" s="85"/>
      <c r="H175" s="87"/>
      <c r="I175" s="94"/>
      <c r="J175" s="93"/>
      <c r="K175" s="85"/>
      <c r="M175" s="94"/>
      <c r="N175" s="93"/>
      <c r="O175" s="85"/>
      <c r="Q175" s="94"/>
      <c r="R175" s="93"/>
      <c r="S175" s="85"/>
      <c r="U175" s="94"/>
      <c r="V175" s="93"/>
      <c r="W175" s="85"/>
      <c r="Y175" s="94"/>
      <c r="Z175" s="93"/>
      <c r="AA175" s="85"/>
      <c r="AC175" s="94"/>
      <c r="AD175" s="93"/>
      <c r="AE175" s="85"/>
    </row>
    <row r="176" spans="7:31" x14ac:dyDescent="0.35">
      <c r="G176" s="85"/>
      <c r="H176" s="87"/>
      <c r="I176" s="94"/>
      <c r="J176" s="93"/>
      <c r="K176" s="85"/>
      <c r="M176" s="94"/>
      <c r="N176" s="93"/>
      <c r="O176" s="85"/>
      <c r="Q176" s="94"/>
      <c r="R176" s="93"/>
      <c r="S176" s="85"/>
      <c r="U176" s="94"/>
      <c r="V176" s="93"/>
      <c r="W176" s="85"/>
      <c r="Y176" s="94"/>
      <c r="Z176" s="93"/>
      <c r="AA176" s="85"/>
      <c r="AC176" s="94"/>
      <c r="AD176" s="93"/>
      <c r="AE176" s="85"/>
    </row>
    <row r="177" spans="7:31" x14ac:dyDescent="0.35">
      <c r="G177" s="85"/>
      <c r="H177" s="87"/>
      <c r="I177" s="94"/>
      <c r="J177" s="93"/>
      <c r="K177" s="85"/>
      <c r="M177" s="94"/>
      <c r="N177" s="93"/>
      <c r="O177" s="85"/>
      <c r="Q177" s="94"/>
      <c r="R177" s="93"/>
      <c r="S177" s="85"/>
      <c r="U177" s="94"/>
      <c r="V177" s="93"/>
      <c r="W177" s="85"/>
      <c r="Y177" s="94"/>
      <c r="Z177" s="93"/>
      <c r="AA177" s="85"/>
      <c r="AC177" s="94"/>
      <c r="AD177" s="93"/>
      <c r="AE177" s="85"/>
    </row>
    <row r="178" spans="7:31" x14ac:dyDescent="0.35">
      <c r="G178" s="85"/>
      <c r="H178" s="87"/>
      <c r="I178" s="94"/>
      <c r="J178" s="93"/>
      <c r="K178" s="85"/>
      <c r="M178" s="94"/>
      <c r="N178" s="93"/>
      <c r="O178" s="85"/>
      <c r="Q178" s="94"/>
      <c r="R178" s="93"/>
      <c r="S178" s="85"/>
      <c r="U178" s="94"/>
      <c r="V178" s="93"/>
      <c r="W178" s="85"/>
      <c r="Y178" s="94"/>
      <c r="Z178" s="93"/>
      <c r="AA178" s="85"/>
      <c r="AC178" s="94"/>
      <c r="AD178" s="93"/>
      <c r="AE178" s="85"/>
    </row>
    <row r="179" spans="7:31" x14ac:dyDescent="0.35">
      <c r="G179" s="85"/>
      <c r="H179" s="87"/>
      <c r="I179" s="94"/>
      <c r="J179" s="93"/>
      <c r="K179" s="85"/>
      <c r="M179" s="94"/>
      <c r="N179" s="93"/>
      <c r="O179" s="85"/>
      <c r="Q179" s="94"/>
      <c r="R179" s="93"/>
      <c r="S179" s="85"/>
      <c r="U179" s="94"/>
      <c r="V179" s="93"/>
      <c r="W179" s="85"/>
      <c r="Y179" s="94"/>
      <c r="Z179" s="93"/>
      <c r="AA179" s="85"/>
      <c r="AC179" s="94"/>
      <c r="AD179" s="93"/>
      <c r="AE179" s="85"/>
    </row>
    <row r="180" spans="7:31" x14ac:dyDescent="0.35">
      <c r="G180" s="85"/>
      <c r="H180" s="87"/>
      <c r="I180" s="94"/>
      <c r="J180" s="93"/>
      <c r="K180" s="85"/>
      <c r="M180" s="94"/>
      <c r="N180" s="93"/>
      <c r="O180" s="85"/>
      <c r="Q180" s="94"/>
      <c r="R180" s="93"/>
      <c r="S180" s="85"/>
      <c r="U180" s="94"/>
      <c r="V180" s="93"/>
      <c r="W180" s="85"/>
      <c r="Y180" s="94"/>
      <c r="Z180" s="93"/>
      <c r="AA180" s="85"/>
      <c r="AC180" s="94"/>
      <c r="AD180" s="93"/>
      <c r="AE180" s="85"/>
    </row>
    <row r="181" spans="7:31" x14ac:dyDescent="0.35">
      <c r="G181" s="85"/>
      <c r="H181" s="87"/>
      <c r="I181" s="94"/>
      <c r="J181" s="93"/>
      <c r="K181" s="85"/>
      <c r="M181" s="94"/>
      <c r="N181" s="93"/>
      <c r="O181" s="85"/>
      <c r="Q181" s="94"/>
      <c r="R181" s="93"/>
      <c r="S181" s="85"/>
      <c r="U181" s="94"/>
      <c r="V181" s="93"/>
      <c r="W181" s="85"/>
      <c r="Y181" s="94"/>
      <c r="Z181" s="93"/>
      <c r="AA181" s="85"/>
      <c r="AC181" s="94"/>
      <c r="AD181" s="93"/>
      <c r="AE181" s="85"/>
    </row>
    <row r="182" spans="7:31" x14ac:dyDescent="0.35">
      <c r="G182" s="85"/>
      <c r="H182" s="87"/>
      <c r="I182" s="94"/>
      <c r="J182" s="93"/>
      <c r="K182" s="85"/>
      <c r="M182" s="94"/>
      <c r="N182" s="93"/>
      <c r="O182" s="85"/>
      <c r="Q182" s="94"/>
      <c r="R182" s="93"/>
      <c r="S182" s="85"/>
      <c r="U182" s="94"/>
      <c r="V182" s="93"/>
      <c r="W182" s="85"/>
      <c r="Y182" s="94"/>
      <c r="Z182" s="93"/>
      <c r="AA182" s="85"/>
      <c r="AC182" s="94"/>
      <c r="AD182" s="93"/>
      <c r="AE182" s="85"/>
    </row>
    <row r="183" spans="7:31" x14ac:dyDescent="0.35">
      <c r="G183" s="85"/>
      <c r="H183" s="87"/>
      <c r="I183" s="94"/>
      <c r="J183" s="93"/>
      <c r="K183" s="85"/>
      <c r="M183" s="94"/>
      <c r="N183" s="93"/>
      <c r="O183" s="85"/>
      <c r="Q183" s="94"/>
      <c r="R183" s="93"/>
      <c r="S183" s="85"/>
      <c r="U183" s="94"/>
      <c r="V183" s="93"/>
      <c r="W183" s="85"/>
      <c r="Y183" s="94"/>
      <c r="Z183" s="93"/>
      <c r="AA183" s="85"/>
      <c r="AC183" s="94"/>
      <c r="AD183" s="93"/>
      <c r="AE183" s="85"/>
    </row>
    <row r="184" spans="7:31" x14ac:dyDescent="0.35">
      <c r="G184" s="85"/>
      <c r="H184" s="87"/>
      <c r="I184" s="94"/>
      <c r="J184" s="93"/>
      <c r="K184" s="85"/>
      <c r="M184" s="94"/>
      <c r="N184" s="93"/>
      <c r="O184" s="85"/>
      <c r="Q184" s="94"/>
      <c r="R184" s="93"/>
      <c r="S184" s="85"/>
      <c r="U184" s="94"/>
      <c r="V184" s="93"/>
      <c r="W184" s="85"/>
      <c r="Y184" s="94"/>
      <c r="Z184" s="93"/>
      <c r="AA184" s="85"/>
      <c r="AC184" s="94"/>
      <c r="AD184" s="93"/>
      <c r="AE184" s="85"/>
    </row>
    <row r="185" spans="7:31" x14ac:dyDescent="0.35">
      <c r="G185" s="85"/>
      <c r="H185" s="87"/>
      <c r="I185" s="94"/>
      <c r="J185" s="93"/>
      <c r="K185" s="85"/>
      <c r="M185" s="94"/>
      <c r="N185" s="93"/>
      <c r="O185" s="85"/>
      <c r="Q185" s="94"/>
      <c r="R185" s="93"/>
      <c r="S185" s="85"/>
      <c r="U185" s="94"/>
      <c r="V185" s="93"/>
      <c r="W185" s="85"/>
      <c r="Y185" s="94"/>
      <c r="Z185" s="93"/>
      <c r="AA185" s="85"/>
      <c r="AC185" s="94"/>
      <c r="AD185" s="93"/>
      <c r="AE185" s="85"/>
    </row>
    <row r="186" spans="7:31" x14ac:dyDescent="0.35">
      <c r="G186" s="85"/>
      <c r="H186" s="87"/>
      <c r="I186" s="94"/>
      <c r="J186" s="93"/>
      <c r="K186" s="85"/>
      <c r="M186" s="94"/>
      <c r="N186" s="93"/>
      <c r="O186" s="85"/>
      <c r="Q186" s="94"/>
      <c r="R186" s="93"/>
      <c r="S186" s="85"/>
      <c r="U186" s="94"/>
      <c r="V186" s="93"/>
      <c r="W186" s="85"/>
      <c r="Y186" s="94"/>
      <c r="Z186" s="93"/>
      <c r="AA186" s="85"/>
      <c r="AC186" s="94"/>
      <c r="AD186" s="93"/>
      <c r="AE186" s="85"/>
    </row>
    <row r="187" spans="7:31" x14ac:dyDescent="0.35">
      <c r="G187" s="85"/>
      <c r="H187" s="87"/>
      <c r="I187" s="94"/>
      <c r="J187" s="93"/>
      <c r="K187" s="85"/>
      <c r="M187" s="94"/>
      <c r="N187" s="93"/>
      <c r="O187" s="85"/>
      <c r="Q187" s="94"/>
      <c r="R187" s="93"/>
      <c r="S187" s="85"/>
      <c r="U187" s="94"/>
      <c r="V187" s="93"/>
      <c r="W187" s="85"/>
      <c r="Y187" s="94"/>
      <c r="Z187" s="93"/>
      <c r="AA187" s="85"/>
      <c r="AC187" s="94"/>
      <c r="AD187" s="93"/>
      <c r="AE187" s="85"/>
    </row>
    <row r="188" spans="7:31" x14ac:dyDescent="0.35">
      <c r="G188" s="85"/>
      <c r="H188" s="87"/>
      <c r="I188" s="94"/>
      <c r="J188" s="93"/>
      <c r="K188" s="85"/>
      <c r="M188" s="94"/>
      <c r="N188" s="93"/>
      <c r="O188" s="85"/>
      <c r="Q188" s="94"/>
      <c r="R188" s="93"/>
      <c r="S188" s="85"/>
      <c r="U188" s="94"/>
      <c r="V188" s="93"/>
      <c r="W188" s="85"/>
      <c r="Y188" s="94"/>
      <c r="Z188" s="93"/>
      <c r="AA188" s="85"/>
      <c r="AC188" s="94"/>
      <c r="AD188" s="93"/>
      <c r="AE188" s="85"/>
    </row>
    <row r="189" spans="7:31" x14ac:dyDescent="0.35">
      <c r="G189" s="85"/>
      <c r="H189" s="87"/>
      <c r="I189" s="94"/>
      <c r="J189" s="93"/>
      <c r="K189" s="85"/>
      <c r="M189" s="94"/>
      <c r="N189" s="93"/>
      <c r="O189" s="85"/>
      <c r="Q189" s="94"/>
      <c r="R189" s="93"/>
      <c r="S189" s="85"/>
      <c r="U189" s="94"/>
      <c r="V189" s="93"/>
      <c r="W189" s="85"/>
      <c r="Y189" s="94"/>
      <c r="Z189" s="93"/>
      <c r="AA189" s="85"/>
      <c r="AC189" s="94"/>
      <c r="AD189" s="93"/>
      <c r="AE189" s="85"/>
    </row>
    <row r="190" spans="7:31" x14ac:dyDescent="0.35">
      <c r="G190" s="85"/>
      <c r="H190" s="87"/>
      <c r="I190" s="94"/>
      <c r="J190" s="93"/>
      <c r="K190" s="85"/>
      <c r="M190" s="94"/>
      <c r="N190" s="93"/>
      <c r="O190" s="85"/>
      <c r="Q190" s="94"/>
      <c r="R190" s="93"/>
      <c r="S190" s="85"/>
      <c r="U190" s="94"/>
      <c r="V190" s="93"/>
      <c r="W190" s="85"/>
      <c r="Y190" s="94"/>
      <c r="Z190" s="93"/>
      <c r="AA190" s="85"/>
      <c r="AC190" s="94"/>
      <c r="AD190" s="93"/>
      <c r="AE190" s="85"/>
    </row>
    <row r="191" spans="7:31" x14ac:dyDescent="0.35">
      <c r="G191" s="85"/>
      <c r="H191" s="87"/>
      <c r="I191" s="94"/>
      <c r="J191" s="93"/>
      <c r="K191" s="85"/>
      <c r="M191" s="94"/>
      <c r="N191" s="93"/>
      <c r="O191" s="85"/>
      <c r="Q191" s="94"/>
      <c r="R191" s="93"/>
      <c r="S191" s="85"/>
      <c r="U191" s="94"/>
      <c r="V191" s="93"/>
      <c r="W191" s="85"/>
      <c r="Y191" s="94"/>
      <c r="Z191" s="93"/>
      <c r="AA191" s="85"/>
      <c r="AC191" s="94"/>
      <c r="AD191" s="93"/>
      <c r="AE191" s="85"/>
    </row>
    <row r="192" spans="7:31" x14ac:dyDescent="0.35">
      <c r="G192" s="85"/>
      <c r="H192" s="87"/>
      <c r="I192" s="94"/>
      <c r="J192" s="93"/>
      <c r="K192" s="85"/>
      <c r="M192" s="94"/>
      <c r="N192" s="93"/>
      <c r="O192" s="85"/>
      <c r="Q192" s="94"/>
      <c r="R192" s="93"/>
      <c r="S192" s="85"/>
      <c r="U192" s="94"/>
      <c r="V192" s="93"/>
      <c r="W192" s="85"/>
      <c r="Y192" s="94"/>
      <c r="Z192" s="93"/>
      <c r="AA192" s="85"/>
      <c r="AC192" s="94"/>
      <c r="AD192" s="93"/>
      <c r="AE192" s="85"/>
    </row>
    <row r="193" spans="7:31" x14ac:dyDescent="0.35">
      <c r="G193" s="85"/>
      <c r="H193" s="87"/>
      <c r="I193" s="94"/>
      <c r="J193" s="93"/>
      <c r="K193" s="85"/>
      <c r="M193" s="94"/>
      <c r="N193" s="93"/>
      <c r="O193" s="85"/>
      <c r="Q193" s="94"/>
      <c r="R193" s="93"/>
      <c r="S193" s="85"/>
      <c r="U193" s="94"/>
      <c r="V193" s="93"/>
      <c r="W193" s="85"/>
      <c r="Y193" s="94"/>
      <c r="Z193" s="93"/>
      <c r="AA193" s="85"/>
      <c r="AC193" s="94"/>
      <c r="AD193" s="93"/>
      <c r="AE193" s="85"/>
    </row>
    <row r="194" spans="7:31" x14ac:dyDescent="0.35">
      <c r="G194" s="85"/>
      <c r="H194" s="87"/>
      <c r="I194" s="94"/>
      <c r="J194" s="93"/>
      <c r="K194" s="85"/>
      <c r="M194" s="94"/>
      <c r="N194" s="93"/>
      <c r="O194" s="85"/>
      <c r="Q194" s="94"/>
      <c r="R194" s="93"/>
      <c r="S194" s="85"/>
      <c r="U194" s="94"/>
      <c r="V194" s="93"/>
      <c r="W194" s="85"/>
      <c r="Y194" s="94"/>
      <c r="Z194" s="93"/>
      <c r="AA194" s="85"/>
      <c r="AC194" s="94"/>
      <c r="AD194" s="93"/>
      <c r="AE194" s="85"/>
    </row>
    <row r="195" spans="7:31" x14ac:dyDescent="0.35">
      <c r="G195" s="85"/>
      <c r="H195" s="87"/>
      <c r="I195" s="94"/>
      <c r="J195" s="93"/>
      <c r="K195" s="85"/>
      <c r="M195" s="94"/>
      <c r="N195" s="93"/>
      <c r="O195" s="85"/>
      <c r="Q195" s="94"/>
      <c r="R195" s="93"/>
      <c r="S195" s="85"/>
      <c r="U195" s="94"/>
      <c r="V195" s="93"/>
      <c r="W195" s="85"/>
      <c r="Y195" s="94"/>
      <c r="Z195" s="93"/>
      <c r="AA195" s="85"/>
      <c r="AC195" s="94"/>
      <c r="AD195" s="93"/>
      <c r="AE195" s="85"/>
    </row>
    <row r="196" spans="7:31" x14ac:dyDescent="0.35">
      <c r="G196" s="85"/>
      <c r="H196" s="87"/>
      <c r="I196" s="94"/>
      <c r="J196" s="93"/>
      <c r="K196" s="85"/>
      <c r="M196" s="94"/>
      <c r="N196" s="93"/>
      <c r="O196" s="85"/>
      <c r="Q196" s="94"/>
      <c r="R196" s="93"/>
      <c r="S196" s="85"/>
      <c r="U196" s="94"/>
      <c r="V196" s="93"/>
      <c r="W196" s="85"/>
      <c r="Y196" s="94"/>
      <c r="Z196" s="93"/>
      <c r="AA196" s="85"/>
      <c r="AC196" s="94"/>
      <c r="AD196" s="93"/>
      <c r="AE196" s="85"/>
    </row>
    <row r="197" spans="7:31" x14ac:dyDescent="0.35">
      <c r="G197" s="85"/>
      <c r="H197" s="87"/>
      <c r="I197" s="94"/>
      <c r="J197" s="93"/>
      <c r="K197" s="85"/>
      <c r="M197" s="94"/>
      <c r="N197" s="93"/>
      <c r="O197" s="85"/>
      <c r="Q197" s="94"/>
      <c r="R197" s="93"/>
      <c r="S197" s="85"/>
      <c r="U197" s="94"/>
      <c r="V197" s="93"/>
      <c r="W197" s="85"/>
      <c r="Y197" s="94"/>
      <c r="Z197" s="93"/>
      <c r="AA197" s="85"/>
      <c r="AC197" s="94"/>
      <c r="AD197" s="93"/>
      <c r="AE197" s="85"/>
    </row>
    <row r="198" spans="7:31" x14ac:dyDescent="0.35">
      <c r="G198" s="85"/>
      <c r="H198" s="87"/>
      <c r="I198" s="94"/>
      <c r="J198" s="93"/>
      <c r="K198" s="85"/>
      <c r="M198" s="94"/>
      <c r="N198" s="93"/>
      <c r="O198" s="85"/>
      <c r="Q198" s="94"/>
      <c r="R198" s="93"/>
      <c r="S198" s="85"/>
      <c r="U198" s="94"/>
      <c r="V198" s="93"/>
      <c r="W198" s="85"/>
      <c r="Y198" s="94"/>
      <c r="Z198" s="93"/>
      <c r="AA198" s="85"/>
      <c r="AC198" s="94"/>
      <c r="AD198" s="93"/>
      <c r="AE198" s="85"/>
    </row>
    <row r="199" spans="7:31" x14ac:dyDescent="0.35">
      <c r="G199" s="85"/>
      <c r="H199" s="87"/>
      <c r="I199" s="94"/>
      <c r="J199" s="93"/>
      <c r="K199" s="85"/>
      <c r="M199" s="94"/>
      <c r="N199" s="93"/>
      <c r="O199" s="85"/>
      <c r="Q199" s="94"/>
      <c r="R199" s="93"/>
      <c r="S199" s="85"/>
      <c r="U199" s="94"/>
      <c r="V199" s="93"/>
      <c r="W199" s="85"/>
      <c r="Y199" s="94"/>
      <c r="Z199" s="93"/>
      <c r="AA199" s="85"/>
      <c r="AC199" s="94"/>
      <c r="AD199" s="93"/>
      <c r="AE199" s="85"/>
    </row>
    <row r="200" spans="7:31" x14ac:dyDescent="0.35">
      <c r="G200" s="85"/>
      <c r="H200" s="87"/>
      <c r="I200" s="94"/>
      <c r="J200" s="93"/>
      <c r="K200" s="85"/>
      <c r="M200" s="94"/>
      <c r="N200" s="93"/>
      <c r="O200" s="85"/>
      <c r="Q200" s="94"/>
      <c r="R200" s="93"/>
      <c r="S200" s="85"/>
      <c r="U200" s="94"/>
      <c r="V200" s="93"/>
      <c r="W200" s="85"/>
      <c r="Y200" s="94"/>
      <c r="Z200" s="93"/>
      <c r="AA200" s="85"/>
      <c r="AC200" s="94"/>
      <c r="AD200" s="93"/>
      <c r="AE200" s="85"/>
    </row>
    <row r="201" spans="7:31" x14ac:dyDescent="0.35">
      <c r="G201" s="85"/>
      <c r="H201" s="87"/>
      <c r="I201" s="94"/>
      <c r="J201" s="93"/>
      <c r="K201" s="85"/>
      <c r="M201" s="94"/>
      <c r="N201" s="93"/>
      <c r="O201" s="85"/>
      <c r="Q201" s="94"/>
      <c r="R201" s="93"/>
      <c r="S201" s="85"/>
      <c r="U201" s="94"/>
      <c r="V201" s="93"/>
      <c r="W201" s="85"/>
      <c r="Y201" s="94"/>
      <c r="Z201" s="93"/>
      <c r="AA201" s="85"/>
      <c r="AC201" s="94"/>
      <c r="AD201" s="93"/>
      <c r="AE201" s="85"/>
    </row>
    <row r="202" spans="7:31" x14ac:dyDescent="0.35">
      <c r="G202" s="85"/>
      <c r="H202" s="87"/>
      <c r="I202" s="94"/>
      <c r="J202" s="93"/>
      <c r="K202" s="85"/>
      <c r="M202" s="94"/>
      <c r="N202" s="93"/>
      <c r="O202" s="85"/>
      <c r="Q202" s="94"/>
      <c r="R202" s="93"/>
      <c r="S202" s="85"/>
      <c r="U202" s="94"/>
      <c r="V202" s="93"/>
      <c r="W202" s="85"/>
      <c r="Y202" s="94"/>
      <c r="Z202" s="93"/>
      <c r="AA202" s="85"/>
      <c r="AC202" s="94"/>
      <c r="AD202" s="93"/>
      <c r="AE202" s="85"/>
    </row>
    <row r="203" spans="7:31" x14ac:dyDescent="0.35">
      <c r="G203" s="85"/>
      <c r="H203" s="87"/>
      <c r="I203" s="94"/>
      <c r="J203" s="93"/>
      <c r="K203" s="85"/>
      <c r="M203" s="94"/>
      <c r="N203" s="93"/>
      <c r="O203" s="85"/>
      <c r="Q203" s="94"/>
      <c r="R203" s="93"/>
      <c r="S203" s="85"/>
      <c r="U203" s="94"/>
      <c r="V203" s="93"/>
      <c r="W203" s="85"/>
      <c r="Y203" s="94"/>
      <c r="Z203" s="93"/>
      <c r="AA203" s="85"/>
      <c r="AC203" s="94"/>
      <c r="AD203" s="93"/>
      <c r="AE203" s="85"/>
    </row>
    <row r="204" spans="7:31" x14ac:dyDescent="0.35">
      <c r="G204" s="85"/>
      <c r="H204" s="87"/>
      <c r="I204" s="94"/>
      <c r="J204" s="93"/>
      <c r="K204" s="85"/>
      <c r="M204" s="94"/>
      <c r="N204" s="93"/>
      <c r="O204" s="85"/>
      <c r="Q204" s="94"/>
      <c r="R204" s="93"/>
      <c r="S204" s="85"/>
      <c r="U204" s="94"/>
      <c r="V204" s="93"/>
      <c r="W204" s="85"/>
      <c r="Y204" s="94"/>
      <c r="Z204" s="93"/>
      <c r="AA204" s="85"/>
      <c r="AC204" s="94"/>
      <c r="AD204" s="93"/>
      <c r="AE204" s="85"/>
    </row>
    <row r="205" spans="7:31" x14ac:dyDescent="0.35">
      <c r="G205" s="85"/>
      <c r="H205" s="87"/>
      <c r="I205" s="94"/>
      <c r="J205" s="93"/>
      <c r="K205" s="85"/>
      <c r="M205" s="94"/>
      <c r="N205" s="93"/>
      <c r="O205" s="85"/>
      <c r="Q205" s="94"/>
      <c r="R205" s="93"/>
      <c r="S205" s="85"/>
      <c r="U205" s="94"/>
      <c r="V205" s="93"/>
      <c r="W205" s="85"/>
      <c r="Y205" s="94"/>
      <c r="Z205" s="93"/>
      <c r="AA205" s="85"/>
      <c r="AC205" s="94"/>
      <c r="AD205" s="93"/>
      <c r="AE205" s="85"/>
    </row>
    <row r="206" spans="7:31" x14ac:dyDescent="0.35">
      <c r="G206" s="85"/>
      <c r="H206" s="87"/>
      <c r="I206" s="94"/>
      <c r="J206" s="93"/>
      <c r="K206" s="85"/>
      <c r="M206" s="94"/>
      <c r="N206" s="93"/>
      <c r="O206" s="85"/>
      <c r="Q206" s="94"/>
      <c r="R206" s="93"/>
      <c r="S206" s="85"/>
      <c r="U206" s="94"/>
      <c r="V206" s="93"/>
      <c r="W206" s="85"/>
      <c r="Y206" s="94"/>
      <c r="Z206" s="93"/>
      <c r="AA206" s="85"/>
      <c r="AC206" s="94"/>
      <c r="AD206" s="93"/>
      <c r="AE206" s="85"/>
    </row>
    <row r="207" spans="7:31" x14ac:dyDescent="0.35">
      <c r="G207" s="85"/>
      <c r="H207" s="87"/>
      <c r="I207" s="94"/>
      <c r="J207" s="93"/>
      <c r="K207" s="85"/>
      <c r="M207" s="94"/>
      <c r="N207" s="93"/>
      <c r="O207" s="85"/>
      <c r="Q207" s="94"/>
      <c r="R207" s="93"/>
      <c r="S207" s="85"/>
      <c r="U207" s="94"/>
      <c r="V207" s="93"/>
      <c r="W207" s="85"/>
      <c r="Y207" s="94"/>
      <c r="Z207" s="93"/>
      <c r="AA207" s="85"/>
      <c r="AC207" s="94"/>
      <c r="AD207" s="93"/>
      <c r="AE207" s="85"/>
    </row>
    <row r="208" spans="7:31" x14ac:dyDescent="0.35">
      <c r="G208" s="85"/>
      <c r="H208" s="87"/>
      <c r="I208" s="94"/>
      <c r="J208" s="93"/>
      <c r="K208" s="85"/>
      <c r="M208" s="94"/>
      <c r="N208" s="93"/>
      <c r="O208" s="85"/>
      <c r="Q208" s="94"/>
      <c r="R208" s="93"/>
      <c r="S208" s="85"/>
      <c r="U208" s="94"/>
      <c r="V208" s="93"/>
      <c r="W208" s="85"/>
      <c r="Y208" s="94"/>
      <c r="Z208" s="93"/>
      <c r="AA208" s="85"/>
      <c r="AC208" s="94"/>
      <c r="AD208" s="93"/>
      <c r="AE208" s="85"/>
    </row>
    <row r="209" spans="7:31" x14ac:dyDescent="0.35">
      <c r="G209" s="85"/>
      <c r="H209" s="87"/>
      <c r="I209" s="94"/>
      <c r="J209" s="93"/>
      <c r="K209" s="85"/>
      <c r="M209" s="94"/>
      <c r="N209" s="93"/>
      <c r="O209" s="85"/>
      <c r="Q209" s="94"/>
      <c r="R209" s="93"/>
      <c r="S209" s="85"/>
      <c r="U209" s="94"/>
      <c r="V209" s="93"/>
      <c r="W209" s="85"/>
      <c r="Y209" s="94"/>
      <c r="Z209" s="93"/>
      <c r="AA209" s="85"/>
      <c r="AC209" s="94"/>
      <c r="AD209" s="93"/>
      <c r="AE209" s="85"/>
    </row>
    <row r="210" spans="7:31" x14ac:dyDescent="0.35">
      <c r="G210" s="85"/>
      <c r="H210" s="87"/>
      <c r="I210" s="94"/>
      <c r="J210" s="93"/>
      <c r="K210" s="85"/>
      <c r="M210" s="94"/>
      <c r="N210" s="93"/>
      <c r="O210" s="85"/>
      <c r="Q210" s="94"/>
      <c r="R210" s="93"/>
      <c r="S210" s="85"/>
      <c r="U210" s="94"/>
      <c r="V210" s="93"/>
      <c r="W210" s="85"/>
      <c r="Y210" s="94"/>
      <c r="Z210" s="93"/>
      <c r="AA210" s="85"/>
      <c r="AC210" s="94"/>
      <c r="AD210" s="93"/>
      <c r="AE210" s="85"/>
    </row>
    <row r="211" spans="7:31" x14ac:dyDescent="0.35">
      <c r="G211" s="85"/>
      <c r="H211" s="87"/>
      <c r="I211" s="94"/>
      <c r="J211" s="93"/>
      <c r="K211" s="85"/>
      <c r="M211" s="94"/>
      <c r="N211" s="93"/>
      <c r="O211" s="85"/>
      <c r="Q211" s="94"/>
      <c r="R211" s="93"/>
      <c r="S211" s="85"/>
      <c r="U211" s="94"/>
      <c r="V211" s="93"/>
      <c r="W211" s="85"/>
      <c r="Y211" s="94"/>
      <c r="Z211" s="93"/>
      <c r="AA211" s="85"/>
      <c r="AC211" s="94"/>
      <c r="AD211" s="93"/>
      <c r="AE211" s="85"/>
    </row>
    <row r="212" spans="7:31" x14ac:dyDescent="0.35">
      <c r="G212" s="85"/>
      <c r="H212" s="87"/>
      <c r="I212" s="94"/>
      <c r="J212" s="93"/>
      <c r="K212" s="85"/>
      <c r="M212" s="94"/>
      <c r="N212" s="93"/>
      <c r="O212" s="85"/>
      <c r="Q212" s="94"/>
      <c r="R212" s="93"/>
      <c r="S212" s="85"/>
      <c r="U212" s="94"/>
      <c r="V212" s="93"/>
      <c r="W212" s="85"/>
      <c r="Y212" s="94"/>
      <c r="Z212" s="93"/>
      <c r="AA212" s="85"/>
      <c r="AC212" s="94"/>
      <c r="AD212" s="93"/>
      <c r="AE212" s="85"/>
    </row>
    <row r="213" spans="7:31" x14ac:dyDescent="0.35">
      <c r="G213" s="85"/>
      <c r="H213" s="87"/>
      <c r="I213" s="94"/>
      <c r="J213" s="93"/>
      <c r="K213" s="85"/>
      <c r="M213" s="94"/>
      <c r="N213" s="93"/>
      <c r="O213" s="85"/>
      <c r="Q213" s="94"/>
      <c r="R213" s="93"/>
      <c r="S213" s="85"/>
      <c r="U213" s="94"/>
      <c r="V213" s="93"/>
      <c r="W213" s="85"/>
      <c r="Y213" s="94"/>
      <c r="Z213" s="93"/>
      <c r="AA213" s="85"/>
      <c r="AC213" s="94"/>
      <c r="AD213" s="93"/>
      <c r="AE213" s="85"/>
    </row>
    <row r="214" spans="7:31" x14ac:dyDescent="0.35">
      <c r="G214" s="85"/>
      <c r="H214" s="87"/>
      <c r="I214" s="94"/>
      <c r="J214" s="93"/>
      <c r="K214" s="85"/>
      <c r="M214" s="94"/>
      <c r="N214" s="93"/>
      <c r="O214" s="85"/>
      <c r="Q214" s="94"/>
      <c r="R214" s="93"/>
      <c r="S214" s="85"/>
      <c r="U214" s="94"/>
      <c r="V214" s="93"/>
      <c r="W214" s="85"/>
      <c r="Y214" s="94"/>
      <c r="Z214" s="93"/>
      <c r="AA214" s="85"/>
      <c r="AC214" s="94"/>
      <c r="AD214" s="93"/>
      <c r="AE214" s="85"/>
    </row>
    <row r="215" spans="7:31" x14ac:dyDescent="0.35">
      <c r="G215" s="85"/>
      <c r="H215" s="87"/>
      <c r="I215" s="94"/>
      <c r="J215" s="93"/>
      <c r="K215" s="85"/>
      <c r="M215" s="94"/>
      <c r="N215" s="93"/>
      <c r="O215" s="85"/>
      <c r="Q215" s="94"/>
      <c r="R215" s="93"/>
      <c r="S215" s="85"/>
      <c r="U215" s="94"/>
      <c r="V215" s="93"/>
      <c r="W215" s="85"/>
      <c r="Y215" s="94"/>
      <c r="Z215" s="93"/>
      <c r="AA215" s="85"/>
      <c r="AC215" s="94"/>
      <c r="AD215" s="93"/>
      <c r="AE215" s="85"/>
    </row>
    <row r="216" spans="7:31" x14ac:dyDescent="0.35">
      <c r="G216" s="85"/>
      <c r="H216" s="87"/>
      <c r="I216" s="94"/>
      <c r="J216" s="93"/>
      <c r="K216" s="85"/>
      <c r="M216" s="94"/>
      <c r="N216" s="93"/>
      <c r="O216" s="85"/>
      <c r="Q216" s="94"/>
      <c r="R216" s="93"/>
      <c r="S216" s="85"/>
      <c r="U216" s="94"/>
      <c r="V216" s="93"/>
      <c r="W216" s="85"/>
      <c r="Y216" s="94"/>
      <c r="Z216" s="93"/>
      <c r="AA216" s="85"/>
      <c r="AC216" s="94"/>
      <c r="AD216" s="93"/>
      <c r="AE216" s="85"/>
    </row>
    <row r="217" spans="7:31" x14ac:dyDescent="0.35">
      <c r="G217" s="85"/>
      <c r="H217" s="87"/>
      <c r="I217" s="94"/>
      <c r="J217" s="93"/>
      <c r="K217" s="85"/>
      <c r="M217" s="94"/>
      <c r="N217" s="93"/>
      <c r="O217" s="85"/>
      <c r="Q217" s="94"/>
      <c r="R217" s="93"/>
      <c r="S217" s="85"/>
      <c r="U217" s="94"/>
      <c r="V217" s="93"/>
      <c r="W217" s="85"/>
      <c r="Y217" s="94"/>
      <c r="Z217" s="93"/>
      <c r="AA217" s="85"/>
      <c r="AC217" s="94"/>
      <c r="AD217" s="93"/>
      <c r="AE217" s="85"/>
    </row>
    <row r="218" spans="7:31" x14ac:dyDescent="0.35">
      <c r="G218" s="85"/>
      <c r="H218" s="87"/>
      <c r="I218" s="94"/>
      <c r="J218" s="93"/>
      <c r="K218" s="85"/>
      <c r="M218" s="94"/>
      <c r="N218" s="93"/>
      <c r="O218" s="85"/>
      <c r="Q218" s="94"/>
      <c r="R218" s="93"/>
      <c r="S218" s="85"/>
      <c r="U218" s="94"/>
      <c r="V218" s="93"/>
      <c r="W218" s="85"/>
      <c r="Y218" s="94"/>
      <c r="Z218" s="93"/>
      <c r="AA218" s="85"/>
      <c r="AC218" s="94"/>
      <c r="AD218" s="93"/>
      <c r="AE218" s="85"/>
    </row>
    <row r="219" spans="7:31" x14ac:dyDescent="0.35">
      <c r="G219" s="85"/>
      <c r="H219" s="87"/>
      <c r="I219" s="94"/>
      <c r="J219" s="93"/>
      <c r="K219" s="85"/>
      <c r="M219" s="94"/>
      <c r="N219" s="93"/>
      <c r="O219" s="85"/>
      <c r="Q219" s="94"/>
      <c r="R219" s="93"/>
      <c r="S219" s="85"/>
      <c r="U219" s="94"/>
      <c r="V219" s="93"/>
      <c r="W219" s="85"/>
      <c r="Y219" s="94"/>
      <c r="Z219" s="93"/>
      <c r="AA219" s="85"/>
      <c r="AC219" s="94"/>
      <c r="AD219" s="93"/>
      <c r="AE219" s="85"/>
    </row>
    <row r="220" spans="7:31" x14ac:dyDescent="0.35">
      <c r="G220" s="85"/>
      <c r="H220" s="87"/>
      <c r="I220" s="94"/>
      <c r="J220" s="93"/>
      <c r="K220" s="85"/>
      <c r="M220" s="94"/>
      <c r="N220" s="93"/>
      <c r="O220" s="85"/>
      <c r="Q220" s="94"/>
      <c r="R220" s="93"/>
      <c r="S220" s="85"/>
      <c r="U220" s="94"/>
      <c r="V220" s="93"/>
      <c r="W220" s="85"/>
      <c r="Y220" s="94"/>
      <c r="Z220" s="93"/>
      <c r="AA220" s="85"/>
      <c r="AC220" s="94"/>
      <c r="AD220" s="93"/>
      <c r="AE220" s="85"/>
    </row>
    <row r="221" spans="7:31" x14ac:dyDescent="0.35">
      <c r="G221" s="85"/>
      <c r="H221" s="87"/>
      <c r="I221" s="94"/>
      <c r="J221" s="93"/>
      <c r="K221" s="85"/>
      <c r="M221" s="94"/>
      <c r="N221" s="93"/>
      <c r="O221" s="85"/>
      <c r="Q221" s="94"/>
      <c r="R221" s="93"/>
      <c r="S221" s="85"/>
      <c r="U221" s="94"/>
      <c r="V221" s="93"/>
      <c r="W221" s="85"/>
      <c r="Y221" s="94"/>
      <c r="Z221" s="93"/>
      <c r="AA221" s="85"/>
      <c r="AC221" s="94"/>
      <c r="AD221" s="93"/>
      <c r="AE221" s="85"/>
    </row>
    <row r="222" spans="7:31" x14ac:dyDescent="0.35">
      <c r="G222" s="85"/>
      <c r="H222" s="87"/>
      <c r="I222" s="94"/>
      <c r="J222" s="93"/>
      <c r="K222" s="85"/>
      <c r="M222" s="94"/>
      <c r="N222" s="93"/>
      <c r="O222" s="85"/>
      <c r="Q222" s="94"/>
      <c r="R222" s="93"/>
      <c r="S222" s="85"/>
      <c r="U222" s="94"/>
      <c r="V222" s="93"/>
      <c r="W222" s="85"/>
      <c r="Y222" s="94"/>
      <c r="Z222" s="93"/>
      <c r="AA222" s="85"/>
      <c r="AC222" s="94"/>
      <c r="AD222" s="93"/>
      <c r="AE222" s="85"/>
    </row>
    <row r="223" spans="7:31" x14ac:dyDescent="0.35">
      <c r="G223" s="85"/>
      <c r="H223" s="87"/>
      <c r="I223" s="94"/>
      <c r="J223" s="93"/>
      <c r="K223" s="85"/>
      <c r="M223" s="94"/>
      <c r="N223" s="93"/>
      <c r="O223" s="85"/>
      <c r="Q223" s="94"/>
      <c r="R223" s="93"/>
      <c r="S223" s="85"/>
      <c r="U223" s="94"/>
      <c r="V223" s="93"/>
      <c r="W223" s="85"/>
      <c r="Y223" s="94"/>
      <c r="Z223" s="93"/>
      <c r="AA223" s="85"/>
      <c r="AC223" s="94"/>
      <c r="AD223" s="93"/>
      <c r="AE223" s="85"/>
    </row>
    <row r="224" spans="7:31" x14ac:dyDescent="0.35">
      <c r="G224" s="85"/>
      <c r="H224" s="87"/>
      <c r="I224" s="94"/>
      <c r="J224" s="93"/>
      <c r="K224" s="85"/>
      <c r="M224" s="94"/>
      <c r="N224" s="93"/>
      <c r="O224" s="85"/>
      <c r="Q224" s="94"/>
      <c r="R224" s="93"/>
      <c r="S224" s="85"/>
      <c r="U224" s="94"/>
      <c r="V224" s="93"/>
      <c r="W224" s="85"/>
      <c r="Y224" s="94"/>
      <c r="Z224" s="93"/>
      <c r="AA224" s="85"/>
      <c r="AC224" s="94"/>
      <c r="AD224" s="93"/>
      <c r="AE224" s="85"/>
    </row>
    <row r="225" spans="7:31" x14ac:dyDescent="0.35">
      <c r="G225" s="85"/>
      <c r="H225" s="87"/>
      <c r="I225" s="94"/>
      <c r="J225" s="93"/>
      <c r="K225" s="85"/>
      <c r="M225" s="94"/>
      <c r="N225" s="93"/>
      <c r="O225" s="85"/>
      <c r="Q225" s="94"/>
      <c r="R225" s="93"/>
      <c r="S225" s="85"/>
      <c r="U225" s="94"/>
      <c r="V225" s="93"/>
      <c r="W225" s="85"/>
      <c r="Y225" s="94"/>
      <c r="Z225" s="93"/>
      <c r="AA225" s="85"/>
      <c r="AC225" s="94"/>
      <c r="AD225" s="93"/>
      <c r="AE225" s="85"/>
    </row>
    <row r="226" spans="7:31" x14ac:dyDescent="0.35">
      <c r="G226" s="85"/>
      <c r="H226" s="87"/>
      <c r="I226" s="94"/>
      <c r="J226" s="93"/>
      <c r="K226" s="85"/>
      <c r="M226" s="94"/>
      <c r="N226" s="93"/>
      <c r="O226" s="85"/>
      <c r="Q226" s="94"/>
      <c r="R226" s="93"/>
      <c r="S226" s="85"/>
      <c r="U226" s="94"/>
      <c r="V226" s="93"/>
      <c r="W226" s="85"/>
      <c r="Y226" s="94"/>
      <c r="Z226" s="93"/>
      <c r="AA226" s="85"/>
      <c r="AC226" s="94"/>
      <c r="AD226" s="93"/>
      <c r="AE226" s="85"/>
    </row>
    <row r="227" spans="7:31" x14ac:dyDescent="0.35">
      <c r="G227" s="85"/>
      <c r="H227" s="87"/>
      <c r="I227" s="94"/>
      <c r="J227" s="93"/>
      <c r="K227" s="85"/>
      <c r="M227" s="94"/>
      <c r="N227" s="93"/>
      <c r="O227" s="85"/>
      <c r="Q227" s="94"/>
      <c r="R227" s="93"/>
      <c r="S227" s="85"/>
      <c r="U227" s="94"/>
      <c r="V227" s="93"/>
      <c r="W227" s="85"/>
      <c r="Y227" s="94"/>
      <c r="Z227" s="93"/>
      <c r="AA227" s="85"/>
      <c r="AC227" s="94"/>
      <c r="AD227" s="93"/>
      <c r="AE227" s="85"/>
    </row>
    <row r="228" spans="7:31" x14ac:dyDescent="0.35">
      <c r="G228" s="85"/>
      <c r="H228" s="87"/>
      <c r="I228" s="94"/>
      <c r="J228" s="93"/>
      <c r="K228" s="85"/>
      <c r="M228" s="94"/>
      <c r="N228" s="93"/>
      <c r="O228" s="85"/>
      <c r="Q228" s="94"/>
      <c r="R228" s="93"/>
      <c r="S228" s="85"/>
      <c r="U228" s="94"/>
      <c r="V228" s="93"/>
      <c r="W228" s="85"/>
      <c r="Y228" s="94"/>
      <c r="Z228" s="93"/>
      <c r="AA228" s="85"/>
      <c r="AC228" s="94"/>
      <c r="AD228" s="93"/>
      <c r="AE228" s="85"/>
    </row>
    <row r="229" spans="7:31" x14ac:dyDescent="0.35">
      <c r="G229" s="85"/>
      <c r="H229" s="87"/>
      <c r="I229" s="94"/>
      <c r="J229" s="93"/>
      <c r="K229" s="85"/>
      <c r="M229" s="94"/>
      <c r="N229" s="93"/>
      <c r="O229" s="85"/>
      <c r="Q229" s="94"/>
      <c r="R229" s="93"/>
      <c r="S229" s="85"/>
      <c r="U229" s="94"/>
      <c r="V229" s="93"/>
      <c r="W229" s="85"/>
      <c r="Y229" s="94"/>
      <c r="Z229" s="93"/>
      <c r="AA229" s="85"/>
      <c r="AC229" s="94"/>
      <c r="AD229" s="93"/>
      <c r="AE229" s="85"/>
    </row>
    <row r="230" spans="7:31" x14ac:dyDescent="0.35">
      <c r="G230" s="85"/>
      <c r="H230" s="87"/>
      <c r="I230" s="94"/>
      <c r="J230" s="93"/>
      <c r="K230" s="85"/>
      <c r="M230" s="94"/>
      <c r="N230" s="93"/>
      <c r="O230" s="85"/>
      <c r="Q230" s="94"/>
      <c r="R230" s="93"/>
      <c r="S230" s="85"/>
      <c r="U230" s="94"/>
      <c r="V230" s="93"/>
      <c r="W230" s="85"/>
      <c r="Y230" s="94"/>
      <c r="Z230" s="93"/>
      <c r="AA230" s="85"/>
      <c r="AC230" s="94"/>
      <c r="AD230" s="93"/>
      <c r="AE230" s="85"/>
    </row>
    <row r="231" spans="7:31" x14ac:dyDescent="0.35">
      <c r="G231" s="85"/>
      <c r="H231" s="87"/>
      <c r="I231" s="94"/>
      <c r="J231" s="93"/>
      <c r="K231" s="85"/>
      <c r="M231" s="94"/>
      <c r="N231" s="93"/>
      <c r="O231" s="85"/>
      <c r="Q231" s="94"/>
      <c r="R231" s="93"/>
      <c r="S231" s="85"/>
      <c r="U231" s="94"/>
      <c r="V231" s="93"/>
      <c r="W231" s="85"/>
      <c r="Y231" s="94"/>
      <c r="Z231" s="93"/>
      <c r="AA231" s="85"/>
      <c r="AC231" s="94"/>
      <c r="AD231" s="93"/>
      <c r="AE231" s="85"/>
    </row>
    <row r="232" spans="7:31" x14ac:dyDescent="0.35">
      <c r="G232" s="85"/>
      <c r="H232" s="87"/>
      <c r="I232" s="94"/>
      <c r="J232" s="93"/>
      <c r="K232" s="85"/>
      <c r="M232" s="94"/>
      <c r="N232" s="93"/>
      <c r="O232" s="85"/>
      <c r="Q232" s="94"/>
      <c r="R232" s="93"/>
      <c r="S232" s="85"/>
      <c r="U232" s="94"/>
      <c r="V232" s="93"/>
      <c r="W232" s="85"/>
      <c r="Y232" s="94"/>
      <c r="Z232" s="93"/>
      <c r="AA232" s="85"/>
      <c r="AC232" s="94"/>
      <c r="AD232" s="93"/>
      <c r="AE232" s="85"/>
    </row>
    <row r="233" spans="7:31" x14ac:dyDescent="0.35">
      <c r="G233" s="85"/>
      <c r="H233" s="87"/>
      <c r="I233" s="94"/>
      <c r="J233" s="93"/>
      <c r="K233" s="85"/>
      <c r="M233" s="94"/>
      <c r="N233" s="93"/>
      <c r="O233" s="85"/>
      <c r="Q233" s="94"/>
      <c r="R233" s="93"/>
      <c r="S233" s="85"/>
      <c r="U233" s="94"/>
      <c r="V233" s="93"/>
      <c r="W233" s="85"/>
      <c r="Y233" s="94"/>
      <c r="Z233" s="93"/>
      <c r="AA233" s="85"/>
      <c r="AC233" s="94"/>
      <c r="AD233" s="93"/>
      <c r="AE233" s="85"/>
    </row>
    <row r="234" spans="7:31" x14ac:dyDescent="0.35">
      <c r="G234" s="85"/>
      <c r="H234" s="87"/>
      <c r="I234" s="94"/>
      <c r="J234" s="93"/>
      <c r="K234" s="85"/>
      <c r="M234" s="94"/>
      <c r="N234" s="93"/>
      <c r="O234" s="85"/>
      <c r="Q234" s="94"/>
      <c r="R234" s="93"/>
      <c r="S234" s="85"/>
      <c r="U234" s="94"/>
      <c r="V234" s="93"/>
      <c r="W234" s="85"/>
      <c r="Y234" s="94"/>
      <c r="Z234" s="93"/>
      <c r="AA234" s="85"/>
      <c r="AC234" s="94"/>
      <c r="AD234" s="93"/>
      <c r="AE234" s="85"/>
    </row>
    <row r="235" spans="7:31" x14ac:dyDescent="0.35">
      <c r="G235" s="85"/>
      <c r="H235" s="87"/>
      <c r="I235" s="94"/>
      <c r="J235" s="93"/>
      <c r="K235" s="85"/>
      <c r="M235" s="94"/>
      <c r="N235" s="93"/>
      <c r="O235" s="85"/>
      <c r="Q235" s="94"/>
      <c r="R235" s="93"/>
      <c r="S235" s="85"/>
      <c r="U235" s="94"/>
      <c r="V235" s="93"/>
      <c r="W235" s="85"/>
      <c r="Y235" s="94"/>
      <c r="Z235" s="93"/>
      <c r="AA235" s="85"/>
      <c r="AC235" s="94"/>
      <c r="AD235" s="93"/>
      <c r="AE235" s="85"/>
    </row>
    <row r="236" spans="7:31" x14ac:dyDescent="0.35">
      <c r="G236" s="85"/>
      <c r="H236" s="87"/>
      <c r="I236" s="94"/>
      <c r="J236" s="93"/>
      <c r="K236" s="85"/>
      <c r="M236" s="94"/>
      <c r="N236" s="93"/>
      <c r="O236" s="85"/>
      <c r="Q236" s="94"/>
      <c r="R236" s="93"/>
      <c r="S236" s="85"/>
      <c r="U236" s="94"/>
      <c r="V236" s="93"/>
      <c r="W236" s="85"/>
      <c r="Y236" s="94"/>
      <c r="Z236" s="93"/>
      <c r="AA236" s="85"/>
      <c r="AC236" s="94"/>
      <c r="AD236" s="93"/>
      <c r="AE236" s="85"/>
    </row>
    <row r="237" spans="7:31" x14ac:dyDescent="0.35">
      <c r="G237" s="85"/>
      <c r="H237" s="87"/>
      <c r="I237" s="94"/>
      <c r="J237" s="93"/>
      <c r="K237" s="85"/>
      <c r="M237" s="94"/>
      <c r="N237" s="93"/>
      <c r="O237" s="85"/>
      <c r="Q237" s="94"/>
      <c r="R237" s="93"/>
      <c r="S237" s="85"/>
      <c r="U237" s="94"/>
      <c r="V237" s="93"/>
      <c r="W237" s="85"/>
      <c r="Y237" s="94"/>
      <c r="Z237" s="93"/>
      <c r="AA237" s="85"/>
      <c r="AC237" s="94"/>
      <c r="AD237" s="93"/>
      <c r="AE237" s="85"/>
    </row>
    <row r="238" spans="7:31" x14ac:dyDescent="0.35">
      <c r="G238" s="85"/>
      <c r="H238" s="87"/>
      <c r="I238" s="94"/>
      <c r="J238" s="93"/>
      <c r="K238" s="85"/>
      <c r="M238" s="94"/>
      <c r="N238" s="93"/>
      <c r="O238" s="85"/>
      <c r="Q238" s="94"/>
      <c r="R238" s="93"/>
      <c r="S238" s="85"/>
      <c r="U238" s="94"/>
      <c r="V238" s="93"/>
      <c r="W238" s="85"/>
      <c r="Y238" s="94"/>
      <c r="Z238" s="93"/>
      <c r="AA238" s="85"/>
      <c r="AC238" s="94"/>
      <c r="AD238" s="93"/>
      <c r="AE238" s="85"/>
    </row>
    <row r="239" spans="7:31" x14ac:dyDescent="0.35">
      <c r="G239" s="85"/>
      <c r="H239" s="87"/>
      <c r="I239" s="94"/>
      <c r="J239" s="93"/>
      <c r="K239" s="85"/>
      <c r="M239" s="94"/>
      <c r="N239" s="93"/>
      <c r="O239" s="85"/>
      <c r="Q239" s="94"/>
      <c r="R239" s="93"/>
      <c r="S239" s="85"/>
      <c r="U239" s="94"/>
      <c r="V239" s="93"/>
      <c r="W239" s="85"/>
      <c r="Y239" s="94"/>
      <c r="Z239" s="93"/>
      <c r="AA239" s="85"/>
      <c r="AC239" s="94"/>
      <c r="AD239" s="93"/>
      <c r="AE239" s="85"/>
    </row>
    <row r="240" spans="7:31" x14ac:dyDescent="0.35">
      <c r="G240" s="85"/>
      <c r="H240" s="87"/>
      <c r="I240" s="94"/>
      <c r="J240" s="93"/>
      <c r="K240" s="85"/>
      <c r="M240" s="94"/>
      <c r="N240" s="93"/>
      <c r="O240" s="85"/>
      <c r="Q240" s="94"/>
      <c r="R240" s="93"/>
      <c r="S240" s="85"/>
      <c r="U240" s="94"/>
      <c r="V240" s="93"/>
      <c r="W240" s="85"/>
      <c r="Y240" s="94"/>
      <c r="Z240" s="93"/>
      <c r="AA240" s="85"/>
      <c r="AC240" s="94"/>
      <c r="AD240" s="93"/>
      <c r="AE240" s="85"/>
    </row>
    <row r="241" spans="7:31" x14ac:dyDescent="0.35">
      <c r="G241" s="85"/>
      <c r="H241" s="87"/>
      <c r="I241" s="94"/>
      <c r="J241" s="93"/>
      <c r="K241" s="85"/>
      <c r="M241" s="94"/>
      <c r="N241" s="93"/>
      <c r="O241" s="85"/>
      <c r="Q241" s="94"/>
      <c r="R241" s="93"/>
      <c r="S241" s="85"/>
      <c r="U241" s="94"/>
      <c r="V241" s="93"/>
      <c r="W241" s="85"/>
      <c r="Y241" s="94"/>
      <c r="Z241" s="93"/>
      <c r="AA241" s="85"/>
      <c r="AC241" s="94"/>
      <c r="AD241" s="93"/>
      <c r="AE241" s="85"/>
    </row>
    <row r="242" spans="7:31" x14ac:dyDescent="0.35">
      <c r="G242" s="85"/>
      <c r="H242" s="87"/>
      <c r="I242" s="94"/>
      <c r="J242" s="93"/>
      <c r="K242" s="85"/>
      <c r="M242" s="94"/>
      <c r="N242" s="93"/>
      <c r="O242" s="85"/>
      <c r="Q242" s="94"/>
      <c r="R242" s="93"/>
      <c r="S242" s="85"/>
      <c r="U242" s="94"/>
      <c r="V242" s="93"/>
      <c r="W242" s="85"/>
      <c r="Y242" s="94"/>
      <c r="Z242" s="93"/>
      <c r="AA242" s="85"/>
      <c r="AC242" s="94"/>
      <c r="AD242" s="93"/>
      <c r="AE242" s="85"/>
    </row>
    <row r="243" spans="7:31" x14ac:dyDescent="0.35">
      <c r="G243" s="85"/>
      <c r="H243" s="87"/>
      <c r="I243" s="94"/>
      <c r="J243" s="93"/>
      <c r="K243" s="85"/>
      <c r="M243" s="94"/>
      <c r="N243" s="93"/>
      <c r="O243" s="85"/>
      <c r="Q243" s="94"/>
      <c r="R243" s="93"/>
      <c r="S243" s="85"/>
      <c r="U243" s="94"/>
      <c r="V243" s="93"/>
      <c r="W243" s="85"/>
      <c r="Y243" s="94"/>
      <c r="Z243" s="93"/>
      <c r="AA243" s="85"/>
      <c r="AC243" s="94"/>
      <c r="AD243" s="93"/>
      <c r="AE243" s="85"/>
    </row>
    <row r="244" spans="7:31" x14ac:dyDescent="0.35">
      <c r="G244" s="85"/>
      <c r="H244" s="87"/>
      <c r="I244" s="94"/>
      <c r="J244" s="93"/>
      <c r="K244" s="85"/>
      <c r="M244" s="94"/>
      <c r="N244" s="93"/>
      <c r="O244" s="85"/>
      <c r="Q244" s="94"/>
      <c r="R244" s="93"/>
      <c r="S244" s="85"/>
      <c r="U244" s="94"/>
      <c r="V244" s="93"/>
      <c r="W244" s="85"/>
      <c r="Y244" s="94"/>
      <c r="Z244" s="93"/>
      <c r="AA244" s="85"/>
      <c r="AC244" s="94"/>
      <c r="AD244" s="93"/>
      <c r="AE244" s="85"/>
    </row>
    <row r="245" spans="7:31" x14ac:dyDescent="0.35">
      <c r="G245" s="85"/>
      <c r="H245" s="87"/>
      <c r="I245" s="94"/>
      <c r="J245" s="93"/>
      <c r="K245" s="85"/>
      <c r="M245" s="94"/>
      <c r="N245" s="93"/>
      <c r="O245" s="85"/>
      <c r="Q245" s="94"/>
      <c r="R245" s="93"/>
      <c r="S245" s="85"/>
      <c r="U245" s="94"/>
      <c r="V245" s="93"/>
      <c r="W245" s="85"/>
      <c r="Y245" s="94"/>
      <c r="Z245" s="93"/>
      <c r="AA245" s="85"/>
      <c r="AC245" s="94"/>
      <c r="AD245" s="93"/>
      <c r="AE245" s="85"/>
    </row>
    <row r="246" spans="7:31" x14ac:dyDescent="0.35">
      <c r="G246" s="85"/>
      <c r="H246" s="87"/>
      <c r="I246" s="94"/>
      <c r="J246" s="93"/>
      <c r="K246" s="85"/>
      <c r="M246" s="94"/>
      <c r="N246" s="93"/>
      <c r="O246" s="85"/>
      <c r="Q246" s="94"/>
      <c r="R246" s="93"/>
      <c r="S246" s="85"/>
      <c r="U246" s="94"/>
      <c r="V246" s="93"/>
      <c r="W246" s="85"/>
      <c r="Y246" s="94"/>
      <c r="Z246" s="93"/>
      <c r="AA246" s="85"/>
      <c r="AC246" s="94"/>
      <c r="AD246" s="93"/>
      <c r="AE246" s="85"/>
    </row>
    <row r="247" spans="7:31" x14ac:dyDescent="0.35">
      <c r="G247" s="85"/>
      <c r="H247" s="87"/>
      <c r="I247" s="94"/>
      <c r="J247" s="93"/>
      <c r="K247" s="85"/>
      <c r="M247" s="94"/>
      <c r="N247" s="93"/>
      <c r="O247" s="85"/>
      <c r="Q247" s="94"/>
      <c r="R247" s="93"/>
      <c r="S247" s="85"/>
      <c r="U247" s="94"/>
      <c r="V247" s="93"/>
      <c r="W247" s="85"/>
      <c r="Y247" s="94"/>
      <c r="Z247" s="93"/>
      <c r="AA247" s="85"/>
      <c r="AC247" s="94"/>
      <c r="AD247" s="93"/>
      <c r="AE247" s="85"/>
    </row>
    <row r="248" spans="7:31" x14ac:dyDescent="0.35">
      <c r="G248" s="85"/>
      <c r="H248" s="87"/>
      <c r="I248" s="94"/>
      <c r="J248" s="93"/>
      <c r="K248" s="85"/>
      <c r="M248" s="94"/>
      <c r="N248" s="93"/>
      <c r="O248" s="85"/>
      <c r="Q248" s="94"/>
      <c r="R248" s="93"/>
      <c r="S248" s="85"/>
      <c r="U248" s="94"/>
      <c r="V248" s="93"/>
      <c r="W248" s="85"/>
      <c r="Y248" s="94"/>
      <c r="Z248" s="93"/>
      <c r="AA248" s="85"/>
      <c r="AC248" s="94"/>
      <c r="AD248" s="93"/>
      <c r="AE248" s="85"/>
    </row>
    <row r="249" spans="7:31" x14ac:dyDescent="0.35">
      <c r="G249" s="85"/>
      <c r="H249" s="87"/>
      <c r="I249" s="94"/>
      <c r="J249" s="93"/>
      <c r="K249" s="85"/>
      <c r="M249" s="94"/>
      <c r="N249" s="93"/>
      <c r="O249" s="85"/>
      <c r="Q249" s="94"/>
      <c r="R249" s="93"/>
      <c r="S249" s="85"/>
      <c r="U249" s="94"/>
      <c r="V249" s="93"/>
      <c r="W249" s="85"/>
      <c r="Y249" s="94"/>
      <c r="Z249" s="93"/>
      <c r="AA249" s="85"/>
      <c r="AC249" s="94"/>
      <c r="AD249" s="93"/>
      <c r="AE249" s="85"/>
    </row>
    <row r="250" spans="7:31" x14ac:dyDescent="0.35">
      <c r="G250" s="85"/>
      <c r="H250" s="87"/>
      <c r="I250" s="94"/>
      <c r="J250" s="93"/>
      <c r="K250" s="85"/>
      <c r="M250" s="94"/>
      <c r="N250" s="93"/>
      <c r="O250" s="85"/>
      <c r="Q250" s="94"/>
      <c r="R250" s="93"/>
      <c r="S250" s="85"/>
      <c r="U250" s="94"/>
      <c r="V250" s="93"/>
      <c r="W250" s="85"/>
      <c r="Y250" s="94"/>
      <c r="Z250" s="93"/>
      <c r="AA250" s="85"/>
      <c r="AC250" s="94"/>
      <c r="AD250" s="93"/>
      <c r="AE250" s="85"/>
    </row>
    <row r="251" spans="7:31" x14ac:dyDescent="0.35">
      <c r="G251" s="85"/>
      <c r="H251" s="87"/>
      <c r="I251" s="94"/>
      <c r="J251" s="93"/>
      <c r="K251" s="85"/>
      <c r="M251" s="94"/>
      <c r="N251" s="93"/>
      <c r="O251" s="85"/>
      <c r="Q251" s="94"/>
      <c r="R251" s="93"/>
      <c r="S251" s="85"/>
      <c r="U251" s="94"/>
      <c r="V251" s="93"/>
      <c r="W251" s="85"/>
      <c r="Y251" s="94"/>
      <c r="Z251" s="93"/>
      <c r="AA251" s="85"/>
      <c r="AC251" s="94"/>
      <c r="AD251" s="93"/>
      <c r="AE251" s="85"/>
    </row>
    <row r="252" spans="7:31" x14ac:dyDescent="0.35">
      <c r="G252" s="85"/>
      <c r="H252" s="87"/>
      <c r="I252" s="94"/>
      <c r="J252" s="93"/>
      <c r="K252" s="85"/>
      <c r="M252" s="94"/>
      <c r="N252" s="93"/>
      <c r="O252" s="85"/>
      <c r="Q252" s="94"/>
      <c r="R252" s="93"/>
      <c r="S252" s="85"/>
      <c r="U252" s="94"/>
      <c r="V252" s="93"/>
      <c r="W252" s="85"/>
      <c r="Y252" s="94"/>
      <c r="Z252" s="93"/>
      <c r="AA252" s="85"/>
      <c r="AC252" s="94"/>
      <c r="AD252" s="93"/>
      <c r="AE252" s="85"/>
    </row>
    <row r="253" spans="7:31" x14ac:dyDescent="0.35">
      <c r="G253" s="85"/>
      <c r="H253" s="87"/>
      <c r="I253" s="94"/>
      <c r="J253" s="93"/>
      <c r="K253" s="85"/>
      <c r="M253" s="94"/>
      <c r="N253" s="93"/>
      <c r="O253" s="85"/>
      <c r="Q253" s="94"/>
      <c r="R253" s="93"/>
      <c r="S253" s="85"/>
      <c r="U253" s="94"/>
      <c r="V253" s="93"/>
      <c r="W253" s="85"/>
      <c r="Y253" s="94"/>
      <c r="Z253" s="93"/>
      <c r="AA253" s="85"/>
      <c r="AC253" s="94"/>
      <c r="AD253" s="93"/>
      <c r="AE253" s="85"/>
    </row>
    <row r="254" spans="7:31" x14ac:dyDescent="0.35">
      <c r="G254" s="85"/>
      <c r="H254" s="87"/>
      <c r="I254" s="94"/>
      <c r="J254" s="93"/>
      <c r="K254" s="85"/>
      <c r="M254" s="94"/>
      <c r="N254" s="93"/>
      <c r="O254" s="85"/>
      <c r="Q254" s="94"/>
      <c r="R254" s="93"/>
      <c r="S254" s="85"/>
      <c r="U254" s="94"/>
      <c r="V254" s="93"/>
      <c r="W254" s="85"/>
      <c r="Y254" s="94"/>
      <c r="Z254" s="93"/>
      <c r="AA254" s="85"/>
      <c r="AC254" s="94"/>
      <c r="AD254" s="93"/>
      <c r="AE254" s="85"/>
    </row>
    <row r="255" spans="7:31" x14ac:dyDescent="0.35">
      <c r="G255" s="85"/>
      <c r="H255" s="87"/>
      <c r="I255" s="94"/>
      <c r="J255" s="93"/>
      <c r="K255" s="85"/>
      <c r="M255" s="94"/>
      <c r="N255" s="93"/>
      <c r="O255" s="85"/>
      <c r="Q255" s="94"/>
      <c r="R255" s="93"/>
      <c r="S255" s="85"/>
      <c r="U255" s="94"/>
      <c r="V255" s="93"/>
      <c r="W255" s="85"/>
      <c r="Y255" s="94"/>
      <c r="Z255" s="93"/>
      <c r="AA255" s="85"/>
      <c r="AC255" s="94"/>
      <c r="AD255" s="93"/>
      <c r="AE255" s="85"/>
    </row>
    <row r="256" spans="7:31" x14ac:dyDescent="0.35">
      <c r="G256" s="85"/>
      <c r="H256" s="87"/>
      <c r="I256" s="94"/>
      <c r="J256" s="93"/>
      <c r="K256" s="85"/>
      <c r="M256" s="94"/>
      <c r="N256" s="93"/>
      <c r="O256" s="85"/>
      <c r="Q256" s="94"/>
      <c r="R256" s="93"/>
      <c r="S256" s="85"/>
      <c r="U256" s="94"/>
      <c r="V256" s="93"/>
      <c r="W256" s="85"/>
      <c r="Y256" s="94"/>
      <c r="Z256" s="93"/>
      <c r="AA256" s="85"/>
      <c r="AC256" s="94"/>
      <c r="AD256" s="93"/>
      <c r="AE256" s="85"/>
    </row>
    <row r="257" spans="7:31" x14ac:dyDescent="0.35">
      <c r="G257" s="85"/>
      <c r="H257" s="87"/>
      <c r="I257" s="94"/>
      <c r="J257" s="93"/>
      <c r="K257" s="85"/>
      <c r="M257" s="94"/>
      <c r="N257" s="93"/>
      <c r="O257" s="85"/>
      <c r="Q257" s="94"/>
      <c r="R257" s="93"/>
      <c r="S257" s="85"/>
      <c r="U257" s="94"/>
      <c r="V257" s="93"/>
      <c r="W257" s="85"/>
      <c r="Y257" s="94"/>
      <c r="Z257" s="93"/>
      <c r="AA257" s="85"/>
      <c r="AC257" s="94"/>
      <c r="AD257" s="93"/>
      <c r="AE257" s="85"/>
    </row>
    <row r="258" spans="7:31" x14ac:dyDescent="0.35">
      <c r="G258" s="85"/>
      <c r="H258" s="87"/>
      <c r="I258" s="94"/>
      <c r="J258" s="93"/>
      <c r="K258" s="85"/>
      <c r="M258" s="94"/>
      <c r="N258" s="93"/>
      <c r="O258" s="85"/>
      <c r="Q258" s="94"/>
      <c r="R258" s="93"/>
      <c r="S258" s="85"/>
      <c r="U258" s="94"/>
      <c r="V258" s="93"/>
      <c r="W258" s="85"/>
      <c r="Y258" s="94"/>
      <c r="Z258" s="93"/>
      <c r="AA258" s="85"/>
      <c r="AC258" s="94"/>
      <c r="AD258" s="93"/>
      <c r="AE258" s="85"/>
    </row>
    <row r="259" spans="7:31" x14ac:dyDescent="0.35">
      <c r="G259" s="85"/>
      <c r="H259" s="87"/>
      <c r="I259" s="94"/>
      <c r="J259" s="93"/>
      <c r="K259" s="85"/>
      <c r="M259" s="94"/>
      <c r="N259" s="93"/>
      <c r="O259" s="85"/>
      <c r="Q259" s="94"/>
      <c r="R259" s="93"/>
      <c r="S259" s="85"/>
      <c r="U259" s="94"/>
      <c r="V259" s="93"/>
      <c r="W259" s="85"/>
      <c r="Y259" s="94"/>
      <c r="Z259" s="93"/>
      <c r="AA259" s="85"/>
      <c r="AC259" s="94"/>
      <c r="AD259" s="93"/>
      <c r="AE259" s="85"/>
    </row>
    <row r="260" spans="7:31" x14ac:dyDescent="0.35">
      <c r="G260" s="85"/>
      <c r="H260" s="87"/>
      <c r="I260" s="94"/>
      <c r="J260" s="93"/>
      <c r="K260" s="85"/>
      <c r="M260" s="94"/>
      <c r="N260" s="93"/>
      <c r="O260" s="85"/>
      <c r="Q260" s="94"/>
      <c r="R260" s="93"/>
      <c r="S260" s="85"/>
      <c r="U260" s="94"/>
      <c r="V260" s="93"/>
      <c r="W260" s="85"/>
      <c r="Y260" s="94"/>
      <c r="Z260" s="93"/>
      <c r="AA260" s="85"/>
      <c r="AC260" s="94"/>
      <c r="AD260" s="93"/>
      <c r="AE260" s="85"/>
    </row>
    <row r="261" spans="7:31" x14ac:dyDescent="0.35">
      <c r="G261" s="85"/>
      <c r="H261" s="87"/>
      <c r="I261" s="94"/>
      <c r="J261" s="93"/>
      <c r="K261" s="85"/>
      <c r="M261" s="94"/>
      <c r="N261" s="93"/>
      <c r="O261" s="85"/>
      <c r="Q261" s="94"/>
      <c r="R261" s="93"/>
      <c r="S261" s="85"/>
      <c r="U261" s="94"/>
      <c r="V261" s="93"/>
      <c r="W261" s="85"/>
      <c r="Y261" s="94"/>
      <c r="Z261" s="93"/>
      <c r="AA261" s="85"/>
      <c r="AC261" s="94"/>
      <c r="AD261" s="93"/>
      <c r="AE261" s="85"/>
    </row>
    <row r="262" spans="7:31" x14ac:dyDescent="0.35">
      <c r="G262" s="85"/>
      <c r="H262" s="87"/>
      <c r="I262" s="94"/>
      <c r="J262" s="93"/>
      <c r="K262" s="85"/>
      <c r="M262" s="94"/>
      <c r="N262" s="93"/>
      <c r="O262" s="85"/>
      <c r="Q262" s="94"/>
      <c r="R262" s="93"/>
      <c r="S262" s="85"/>
      <c r="U262" s="94"/>
      <c r="V262" s="93"/>
      <c r="W262" s="85"/>
      <c r="Y262" s="94"/>
      <c r="Z262" s="93"/>
      <c r="AA262" s="85"/>
      <c r="AC262" s="94"/>
      <c r="AD262" s="93"/>
      <c r="AE262" s="85"/>
    </row>
    <row r="263" spans="7:31" x14ac:dyDescent="0.35">
      <c r="G263" s="85"/>
      <c r="H263" s="87"/>
      <c r="I263" s="94"/>
      <c r="J263" s="93"/>
      <c r="K263" s="85"/>
      <c r="M263" s="94"/>
      <c r="N263" s="93"/>
      <c r="O263" s="85"/>
      <c r="Q263" s="94"/>
      <c r="R263" s="93"/>
      <c r="S263" s="85"/>
      <c r="U263" s="94"/>
      <c r="V263" s="93"/>
      <c r="W263" s="85"/>
      <c r="Y263" s="94"/>
      <c r="Z263" s="93"/>
      <c r="AA263" s="85"/>
      <c r="AC263" s="94"/>
      <c r="AD263" s="93"/>
      <c r="AE263" s="85"/>
    </row>
    <row r="264" spans="7:31" x14ac:dyDescent="0.35">
      <c r="G264" s="85"/>
      <c r="H264" s="87"/>
      <c r="I264" s="94"/>
      <c r="J264" s="93"/>
      <c r="K264" s="85"/>
      <c r="M264" s="94"/>
      <c r="N264" s="93"/>
      <c r="O264" s="85"/>
      <c r="Q264" s="94"/>
      <c r="R264" s="93"/>
      <c r="S264" s="85"/>
      <c r="U264" s="94"/>
      <c r="V264" s="93"/>
      <c r="W264" s="85"/>
      <c r="Y264" s="94"/>
      <c r="Z264" s="93"/>
      <c r="AA264" s="85"/>
      <c r="AC264" s="94"/>
      <c r="AD264" s="93"/>
      <c r="AE264" s="85"/>
    </row>
    <row r="265" spans="7:31" x14ac:dyDescent="0.35">
      <c r="G265" s="85"/>
      <c r="H265" s="87"/>
      <c r="I265" s="94"/>
      <c r="J265" s="93"/>
      <c r="K265" s="85"/>
      <c r="M265" s="94"/>
      <c r="N265" s="93"/>
      <c r="O265" s="85"/>
      <c r="Q265" s="94"/>
      <c r="R265" s="93"/>
      <c r="S265" s="85"/>
      <c r="U265" s="94"/>
      <c r="V265" s="93"/>
      <c r="W265" s="85"/>
      <c r="Y265" s="94"/>
      <c r="Z265" s="93"/>
      <c r="AA265" s="85"/>
      <c r="AC265" s="94"/>
      <c r="AD265" s="93"/>
      <c r="AE265" s="85"/>
    </row>
    <row r="266" spans="7:31" x14ac:dyDescent="0.35">
      <c r="G266" s="85"/>
      <c r="H266" s="87"/>
      <c r="I266" s="94"/>
      <c r="J266" s="93"/>
      <c r="K266" s="85"/>
      <c r="M266" s="94"/>
      <c r="N266" s="93"/>
      <c r="O266" s="85"/>
      <c r="Q266" s="94"/>
      <c r="R266" s="93"/>
      <c r="S266" s="85"/>
      <c r="U266" s="94"/>
      <c r="V266" s="93"/>
      <c r="W266" s="85"/>
      <c r="Y266" s="94"/>
      <c r="Z266" s="93"/>
      <c r="AA266" s="85"/>
      <c r="AC266" s="94"/>
      <c r="AD266" s="93"/>
      <c r="AE266" s="85"/>
    </row>
    <row r="267" spans="7:31" x14ac:dyDescent="0.35">
      <c r="G267" s="85"/>
      <c r="H267" s="87"/>
      <c r="I267" s="94"/>
      <c r="J267" s="93"/>
      <c r="K267" s="85"/>
      <c r="M267" s="94"/>
      <c r="N267" s="93"/>
      <c r="O267" s="85"/>
      <c r="Q267" s="94"/>
      <c r="R267" s="93"/>
      <c r="S267" s="85"/>
      <c r="U267" s="94"/>
      <c r="V267" s="93"/>
      <c r="W267" s="85"/>
      <c r="Y267" s="94"/>
      <c r="Z267" s="93"/>
      <c r="AA267" s="85"/>
      <c r="AC267" s="94"/>
      <c r="AD267" s="93"/>
      <c r="AE267" s="85"/>
    </row>
    <row r="268" spans="7:31" x14ac:dyDescent="0.35">
      <c r="G268" s="85"/>
      <c r="H268" s="87"/>
      <c r="I268" s="94"/>
      <c r="J268" s="93"/>
      <c r="K268" s="85"/>
      <c r="M268" s="94"/>
      <c r="N268" s="93"/>
      <c r="O268" s="85"/>
      <c r="Q268" s="94"/>
      <c r="R268" s="93"/>
      <c r="S268" s="85"/>
      <c r="U268" s="94"/>
      <c r="V268" s="93"/>
      <c r="W268" s="85"/>
      <c r="Y268" s="94"/>
      <c r="Z268" s="93"/>
      <c r="AA268" s="85"/>
      <c r="AC268" s="94"/>
      <c r="AD268" s="93"/>
      <c r="AE268" s="85"/>
    </row>
    <row r="269" spans="7:31" x14ac:dyDescent="0.35">
      <c r="G269" s="85"/>
      <c r="H269" s="87"/>
      <c r="I269" s="94"/>
      <c r="J269" s="93"/>
      <c r="K269" s="85"/>
      <c r="M269" s="94"/>
      <c r="N269" s="93"/>
      <c r="O269" s="85"/>
      <c r="Q269" s="94"/>
      <c r="R269" s="93"/>
      <c r="S269" s="85"/>
      <c r="U269" s="94"/>
      <c r="V269" s="93"/>
      <c r="W269" s="85"/>
      <c r="Y269" s="94"/>
      <c r="Z269" s="93"/>
      <c r="AA269" s="85"/>
      <c r="AC269" s="94"/>
      <c r="AD269" s="93"/>
      <c r="AE269" s="85"/>
    </row>
    <row r="270" spans="7:31" x14ac:dyDescent="0.35">
      <c r="G270" s="85"/>
      <c r="H270" s="87"/>
      <c r="I270" s="94"/>
      <c r="J270" s="93"/>
      <c r="K270" s="85"/>
      <c r="M270" s="94"/>
      <c r="N270" s="93"/>
      <c r="O270" s="85"/>
      <c r="Q270" s="94"/>
      <c r="R270" s="93"/>
      <c r="S270" s="85"/>
      <c r="U270" s="94"/>
      <c r="V270" s="93"/>
      <c r="W270" s="85"/>
      <c r="Y270" s="94"/>
      <c r="Z270" s="93"/>
      <c r="AA270" s="85"/>
      <c r="AC270" s="94"/>
      <c r="AD270" s="93"/>
      <c r="AE270" s="85"/>
    </row>
    <row r="271" spans="7:31" x14ac:dyDescent="0.35">
      <c r="G271" s="85"/>
      <c r="H271" s="87"/>
      <c r="I271" s="94"/>
      <c r="J271" s="93"/>
      <c r="K271" s="85"/>
      <c r="M271" s="94"/>
      <c r="N271" s="93"/>
      <c r="O271" s="85"/>
      <c r="Q271" s="94"/>
      <c r="R271" s="93"/>
      <c r="S271" s="85"/>
      <c r="U271" s="94"/>
      <c r="V271" s="93"/>
      <c r="W271" s="85"/>
      <c r="Y271" s="94"/>
      <c r="Z271" s="93"/>
      <c r="AA271" s="85"/>
      <c r="AC271" s="94"/>
      <c r="AD271" s="93"/>
      <c r="AE271" s="85"/>
    </row>
    <row r="272" spans="7:31" x14ac:dyDescent="0.35">
      <c r="G272" s="85"/>
      <c r="H272" s="87"/>
      <c r="I272" s="94"/>
      <c r="J272" s="93"/>
      <c r="K272" s="85"/>
      <c r="M272" s="94"/>
      <c r="N272" s="93"/>
      <c r="O272" s="85"/>
      <c r="Q272" s="94"/>
      <c r="R272" s="93"/>
      <c r="S272" s="85"/>
      <c r="U272" s="94"/>
      <c r="V272" s="93"/>
      <c r="W272" s="85"/>
      <c r="Y272" s="94"/>
      <c r="Z272" s="93"/>
      <c r="AA272" s="85"/>
      <c r="AC272" s="94"/>
      <c r="AD272" s="93"/>
      <c r="AE272" s="85"/>
    </row>
    <row r="273" spans="7:31" x14ac:dyDescent="0.35">
      <c r="G273" s="85"/>
      <c r="H273" s="87"/>
      <c r="I273" s="94"/>
      <c r="J273" s="93"/>
      <c r="K273" s="85"/>
      <c r="M273" s="94"/>
      <c r="N273" s="93"/>
      <c r="O273" s="85"/>
      <c r="Q273" s="94"/>
      <c r="R273" s="93"/>
      <c r="S273" s="85"/>
      <c r="U273" s="94"/>
      <c r="V273" s="93"/>
      <c r="W273" s="85"/>
      <c r="Y273" s="94"/>
      <c r="Z273" s="93"/>
      <c r="AA273" s="85"/>
      <c r="AC273" s="94"/>
      <c r="AD273" s="93"/>
      <c r="AE273" s="85"/>
    </row>
    <row r="274" spans="7:31" x14ac:dyDescent="0.35">
      <c r="G274" s="85"/>
      <c r="H274" s="87"/>
      <c r="I274" s="94"/>
      <c r="J274" s="93"/>
      <c r="K274" s="85"/>
      <c r="M274" s="94"/>
      <c r="N274" s="93"/>
      <c r="O274" s="85"/>
      <c r="Q274" s="94"/>
      <c r="R274" s="93"/>
      <c r="S274" s="85"/>
      <c r="U274" s="94"/>
      <c r="V274" s="93"/>
      <c r="W274" s="85"/>
      <c r="Y274" s="94"/>
      <c r="Z274" s="93"/>
      <c r="AA274" s="85"/>
      <c r="AC274" s="94"/>
      <c r="AD274" s="93"/>
      <c r="AE274" s="85"/>
    </row>
    <row r="275" spans="7:31" x14ac:dyDescent="0.35">
      <c r="G275" s="85"/>
      <c r="H275" s="87"/>
      <c r="I275" s="94"/>
      <c r="J275" s="93"/>
      <c r="K275" s="85"/>
      <c r="M275" s="94"/>
      <c r="N275" s="93"/>
      <c r="O275" s="85"/>
      <c r="Q275" s="94"/>
      <c r="R275" s="93"/>
      <c r="S275" s="85"/>
      <c r="U275" s="94"/>
      <c r="V275" s="93"/>
      <c r="W275" s="85"/>
      <c r="Y275" s="94"/>
      <c r="Z275" s="93"/>
      <c r="AA275" s="85"/>
      <c r="AC275" s="94"/>
      <c r="AD275" s="93"/>
      <c r="AE275" s="85"/>
    </row>
    <row r="276" spans="7:31" x14ac:dyDescent="0.35">
      <c r="G276" s="85"/>
      <c r="H276" s="87"/>
      <c r="I276" s="94"/>
      <c r="J276" s="93"/>
      <c r="K276" s="85"/>
      <c r="M276" s="94"/>
      <c r="N276" s="93"/>
      <c r="O276" s="85"/>
      <c r="Q276" s="94"/>
      <c r="R276" s="93"/>
      <c r="S276" s="85"/>
      <c r="U276" s="94"/>
      <c r="V276" s="93"/>
      <c r="W276" s="85"/>
      <c r="Y276" s="94"/>
      <c r="Z276" s="93"/>
      <c r="AA276" s="85"/>
      <c r="AC276" s="94"/>
      <c r="AD276" s="93"/>
      <c r="AE276" s="85"/>
    </row>
    <row r="277" spans="7:31" x14ac:dyDescent="0.35">
      <c r="G277" s="85"/>
      <c r="H277" s="87"/>
      <c r="I277" s="94"/>
      <c r="J277" s="93"/>
      <c r="K277" s="85"/>
      <c r="M277" s="94"/>
      <c r="N277" s="93"/>
      <c r="O277" s="85"/>
      <c r="Q277" s="94"/>
      <c r="R277" s="93"/>
      <c r="S277" s="85"/>
      <c r="U277" s="94"/>
      <c r="V277" s="93"/>
      <c r="W277" s="85"/>
      <c r="Y277" s="94"/>
      <c r="Z277" s="93"/>
      <c r="AA277" s="85"/>
      <c r="AC277" s="94"/>
      <c r="AD277" s="93"/>
      <c r="AE277" s="85"/>
    </row>
    <row r="278" spans="7:31" x14ac:dyDescent="0.35">
      <c r="G278" s="85"/>
      <c r="H278" s="87"/>
      <c r="I278" s="94"/>
      <c r="J278" s="93"/>
      <c r="K278" s="85"/>
      <c r="M278" s="94"/>
      <c r="N278" s="93"/>
      <c r="O278" s="85"/>
      <c r="Q278" s="94"/>
      <c r="R278" s="93"/>
      <c r="S278" s="85"/>
      <c r="U278" s="94"/>
      <c r="V278" s="93"/>
      <c r="W278" s="85"/>
      <c r="Y278" s="94"/>
      <c r="Z278" s="93"/>
      <c r="AA278" s="85"/>
      <c r="AC278" s="94"/>
      <c r="AD278" s="93"/>
      <c r="AE278" s="85"/>
    </row>
    <row r="279" spans="7:31" x14ac:dyDescent="0.35">
      <c r="G279" s="85"/>
      <c r="H279" s="87"/>
      <c r="I279" s="94"/>
      <c r="J279" s="93"/>
      <c r="K279" s="85"/>
      <c r="M279" s="94"/>
      <c r="N279" s="93"/>
      <c r="O279" s="85"/>
      <c r="Q279" s="94"/>
      <c r="R279" s="93"/>
      <c r="S279" s="85"/>
      <c r="U279" s="94"/>
      <c r="V279" s="93"/>
      <c r="W279" s="85"/>
      <c r="Y279" s="94"/>
      <c r="Z279" s="93"/>
      <c r="AA279" s="85"/>
      <c r="AC279" s="94"/>
      <c r="AD279" s="93"/>
      <c r="AE279" s="85"/>
    </row>
    <row r="280" spans="7:31" x14ac:dyDescent="0.35">
      <c r="G280" s="85"/>
      <c r="H280" s="87"/>
      <c r="I280" s="94"/>
      <c r="J280" s="93"/>
      <c r="K280" s="85"/>
      <c r="M280" s="94"/>
      <c r="N280" s="93"/>
      <c r="O280" s="85"/>
      <c r="Q280" s="94"/>
      <c r="R280" s="93"/>
      <c r="S280" s="85"/>
      <c r="U280" s="94"/>
      <c r="V280" s="93"/>
      <c r="W280" s="85"/>
      <c r="Y280" s="94"/>
      <c r="Z280" s="93"/>
      <c r="AA280" s="85"/>
      <c r="AC280" s="94"/>
      <c r="AD280" s="93"/>
      <c r="AE280" s="85"/>
    </row>
    <row r="281" spans="7:31" x14ac:dyDescent="0.35">
      <c r="G281" s="85"/>
      <c r="H281" s="87"/>
      <c r="I281" s="94"/>
      <c r="J281" s="93"/>
      <c r="K281" s="85"/>
      <c r="M281" s="94"/>
      <c r="N281" s="93"/>
      <c r="O281" s="85"/>
      <c r="Q281" s="94"/>
      <c r="R281" s="93"/>
      <c r="S281" s="85"/>
      <c r="U281" s="94"/>
      <c r="V281" s="93"/>
      <c r="W281" s="85"/>
      <c r="Y281" s="94"/>
      <c r="Z281" s="93"/>
      <c r="AA281" s="85"/>
      <c r="AC281" s="94"/>
      <c r="AD281" s="93"/>
      <c r="AE281" s="85"/>
    </row>
    <row r="282" spans="7:31" x14ac:dyDescent="0.35">
      <c r="G282" s="85"/>
      <c r="H282" s="87"/>
      <c r="I282" s="94"/>
      <c r="J282" s="93"/>
      <c r="K282" s="85"/>
      <c r="M282" s="94"/>
      <c r="N282" s="93"/>
      <c r="O282" s="85"/>
      <c r="Q282" s="94"/>
      <c r="R282" s="93"/>
      <c r="S282" s="85"/>
      <c r="U282" s="94"/>
      <c r="V282" s="93"/>
      <c r="W282" s="85"/>
      <c r="Y282" s="94"/>
      <c r="Z282" s="93"/>
      <c r="AA282" s="85"/>
      <c r="AC282" s="94"/>
      <c r="AD282" s="93"/>
      <c r="AE282" s="85"/>
    </row>
    <row r="283" spans="7:31" x14ac:dyDescent="0.35">
      <c r="G283" s="85"/>
      <c r="H283" s="87"/>
      <c r="I283" s="94"/>
      <c r="J283" s="93"/>
      <c r="K283" s="85"/>
      <c r="M283" s="94"/>
      <c r="N283" s="93"/>
      <c r="O283" s="85"/>
      <c r="Q283" s="94"/>
      <c r="R283" s="93"/>
      <c r="S283" s="85"/>
      <c r="U283" s="94"/>
      <c r="V283" s="93"/>
      <c r="W283" s="85"/>
      <c r="Y283" s="94"/>
      <c r="Z283" s="93"/>
      <c r="AA283" s="85"/>
      <c r="AC283" s="94"/>
      <c r="AD283" s="93"/>
      <c r="AE283" s="85"/>
    </row>
    <row r="284" spans="7:31" x14ac:dyDescent="0.35">
      <c r="G284" s="85"/>
      <c r="H284" s="87"/>
      <c r="I284" s="94"/>
      <c r="J284" s="93"/>
      <c r="K284" s="85"/>
      <c r="M284" s="94"/>
      <c r="N284" s="93"/>
      <c r="O284" s="85"/>
      <c r="Q284" s="94"/>
      <c r="R284" s="93"/>
      <c r="S284" s="85"/>
      <c r="U284" s="94"/>
      <c r="V284" s="93"/>
      <c r="W284" s="85"/>
      <c r="Y284" s="94"/>
      <c r="Z284" s="93"/>
      <c r="AA284" s="85"/>
      <c r="AC284" s="94"/>
      <c r="AD284" s="93"/>
      <c r="AE284" s="85"/>
    </row>
    <row r="285" spans="7:31" x14ac:dyDescent="0.35">
      <c r="G285" s="85"/>
      <c r="H285" s="87"/>
      <c r="I285" s="94"/>
      <c r="J285" s="93"/>
      <c r="K285" s="85"/>
      <c r="M285" s="94"/>
      <c r="N285" s="93"/>
      <c r="O285" s="85"/>
      <c r="Q285" s="94"/>
      <c r="R285" s="93"/>
      <c r="S285" s="85"/>
      <c r="U285" s="94"/>
      <c r="V285" s="93"/>
      <c r="W285" s="85"/>
      <c r="Y285" s="94"/>
      <c r="Z285" s="93"/>
      <c r="AA285" s="85"/>
      <c r="AC285" s="94"/>
      <c r="AD285" s="93"/>
      <c r="AE285" s="85"/>
    </row>
    <row r="286" spans="7:31" x14ac:dyDescent="0.35">
      <c r="G286" s="85"/>
      <c r="H286" s="87"/>
      <c r="I286" s="94"/>
      <c r="J286" s="93"/>
      <c r="K286" s="85"/>
      <c r="M286" s="94"/>
      <c r="N286" s="93"/>
      <c r="O286" s="85"/>
      <c r="Q286" s="94"/>
      <c r="R286" s="93"/>
      <c r="S286" s="85"/>
      <c r="U286" s="94"/>
      <c r="V286" s="93"/>
      <c r="W286" s="85"/>
      <c r="Y286" s="94"/>
      <c r="Z286" s="93"/>
      <c r="AA286" s="85"/>
      <c r="AC286" s="94"/>
      <c r="AD286" s="93"/>
      <c r="AE286" s="85"/>
    </row>
    <row r="287" spans="7:31" x14ac:dyDescent="0.35">
      <c r="G287" s="85"/>
      <c r="H287" s="87"/>
      <c r="I287" s="94"/>
      <c r="J287" s="93"/>
      <c r="K287" s="85"/>
      <c r="M287" s="94"/>
      <c r="N287" s="93"/>
      <c r="O287" s="85"/>
      <c r="Q287" s="94"/>
      <c r="R287" s="93"/>
      <c r="S287" s="85"/>
      <c r="U287" s="94"/>
      <c r="V287" s="93"/>
      <c r="W287" s="85"/>
      <c r="Y287" s="94"/>
      <c r="Z287" s="93"/>
      <c r="AA287" s="85"/>
      <c r="AC287" s="94"/>
      <c r="AD287" s="93"/>
      <c r="AE287" s="85"/>
    </row>
    <row r="288" spans="7:31" x14ac:dyDescent="0.35">
      <c r="G288" s="85"/>
      <c r="H288" s="87"/>
      <c r="I288" s="94"/>
      <c r="J288" s="93"/>
      <c r="K288" s="85"/>
      <c r="M288" s="94"/>
      <c r="N288" s="93"/>
      <c r="O288" s="85"/>
      <c r="Q288" s="94"/>
      <c r="R288" s="93"/>
      <c r="S288" s="85"/>
      <c r="U288" s="94"/>
      <c r="V288" s="93"/>
      <c r="W288" s="85"/>
      <c r="Y288" s="94"/>
      <c r="Z288" s="93"/>
      <c r="AA288" s="85"/>
      <c r="AC288" s="94"/>
      <c r="AD288" s="93"/>
      <c r="AE288" s="85"/>
    </row>
    <row r="289" spans="7:31" x14ac:dyDescent="0.35">
      <c r="G289" s="85"/>
      <c r="H289" s="87"/>
      <c r="I289" s="94"/>
      <c r="J289" s="93"/>
      <c r="K289" s="85"/>
      <c r="M289" s="94"/>
      <c r="N289" s="93"/>
      <c r="O289" s="85"/>
      <c r="Q289" s="94"/>
      <c r="R289" s="93"/>
      <c r="S289" s="85"/>
      <c r="U289" s="94"/>
      <c r="V289" s="93"/>
      <c r="W289" s="85"/>
      <c r="Y289" s="94"/>
      <c r="Z289" s="93"/>
      <c r="AA289" s="85"/>
      <c r="AC289" s="94"/>
      <c r="AD289" s="93"/>
      <c r="AE289" s="85"/>
    </row>
    <row r="290" spans="7:31" x14ac:dyDescent="0.35">
      <c r="G290" s="85"/>
      <c r="H290" s="87"/>
      <c r="I290" s="94"/>
      <c r="J290" s="93"/>
      <c r="K290" s="85"/>
      <c r="M290" s="94"/>
      <c r="N290" s="93"/>
      <c r="O290" s="85"/>
      <c r="Q290" s="94"/>
      <c r="R290" s="93"/>
      <c r="S290" s="85"/>
      <c r="U290" s="94"/>
      <c r="V290" s="93"/>
      <c r="W290" s="85"/>
      <c r="Y290" s="94"/>
      <c r="Z290" s="93"/>
      <c r="AA290" s="85"/>
      <c r="AC290" s="94"/>
      <c r="AD290" s="93"/>
      <c r="AE290" s="85"/>
    </row>
    <row r="291" spans="7:31" x14ac:dyDescent="0.35">
      <c r="G291" s="85"/>
      <c r="H291" s="87"/>
      <c r="I291" s="94"/>
      <c r="J291" s="93"/>
      <c r="K291" s="85"/>
      <c r="M291" s="94"/>
      <c r="N291" s="93"/>
      <c r="O291" s="85"/>
      <c r="Q291" s="94"/>
      <c r="R291" s="93"/>
      <c r="S291" s="85"/>
      <c r="U291" s="94"/>
      <c r="V291" s="93"/>
      <c r="W291" s="85"/>
      <c r="Y291" s="94"/>
      <c r="Z291" s="93"/>
      <c r="AA291" s="85"/>
      <c r="AC291" s="94"/>
      <c r="AD291" s="93"/>
      <c r="AE291" s="85"/>
    </row>
    <row r="292" spans="7:31" x14ac:dyDescent="0.35">
      <c r="G292" s="85"/>
      <c r="H292" s="87"/>
      <c r="I292" s="94"/>
      <c r="J292" s="93"/>
      <c r="K292" s="85"/>
      <c r="M292" s="94"/>
      <c r="N292" s="93"/>
      <c r="O292" s="85"/>
      <c r="Q292" s="94"/>
      <c r="R292" s="93"/>
      <c r="S292" s="85"/>
      <c r="U292" s="94"/>
      <c r="V292" s="93"/>
      <c r="W292" s="85"/>
      <c r="Y292" s="94"/>
      <c r="Z292" s="93"/>
      <c r="AA292" s="85"/>
      <c r="AC292" s="94"/>
      <c r="AD292" s="93"/>
      <c r="AE292" s="85"/>
    </row>
    <row r="293" spans="7:31" x14ac:dyDescent="0.35">
      <c r="G293" s="85"/>
      <c r="H293" s="87"/>
      <c r="I293" s="94"/>
      <c r="J293" s="93"/>
      <c r="K293" s="85"/>
      <c r="M293" s="94"/>
      <c r="N293" s="93"/>
      <c r="O293" s="85"/>
      <c r="Q293" s="94"/>
      <c r="R293" s="93"/>
      <c r="S293" s="85"/>
      <c r="U293" s="94"/>
      <c r="V293" s="93"/>
      <c r="W293" s="85"/>
      <c r="Y293" s="94"/>
      <c r="Z293" s="93"/>
      <c r="AA293" s="85"/>
      <c r="AC293" s="94"/>
      <c r="AD293" s="93"/>
      <c r="AE293" s="85"/>
    </row>
    <row r="294" spans="7:31" x14ac:dyDescent="0.35">
      <c r="G294" s="85"/>
      <c r="H294" s="87"/>
      <c r="I294" s="94"/>
      <c r="J294" s="93"/>
      <c r="K294" s="85"/>
      <c r="M294" s="94"/>
      <c r="N294" s="93"/>
      <c r="O294" s="85"/>
      <c r="Q294" s="94"/>
      <c r="R294" s="93"/>
      <c r="S294" s="85"/>
      <c r="U294" s="94"/>
      <c r="V294" s="93"/>
      <c r="W294" s="85"/>
      <c r="Y294" s="94"/>
      <c r="Z294" s="93"/>
      <c r="AA294" s="85"/>
      <c r="AC294" s="94"/>
      <c r="AD294" s="93"/>
      <c r="AE294" s="85"/>
    </row>
    <row r="295" spans="7:31" x14ac:dyDescent="0.35">
      <c r="G295" s="85"/>
      <c r="H295" s="87"/>
      <c r="I295" s="94"/>
      <c r="J295" s="93"/>
      <c r="K295" s="85"/>
      <c r="M295" s="94"/>
      <c r="N295" s="93"/>
      <c r="O295" s="85"/>
      <c r="Q295" s="94"/>
      <c r="R295" s="93"/>
      <c r="S295" s="85"/>
      <c r="U295" s="94"/>
      <c r="V295" s="93"/>
      <c r="W295" s="85"/>
      <c r="Y295" s="94"/>
      <c r="Z295" s="93"/>
      <c r="AA295" s="85"/>
      <c r="AC295" s="94"/>
      <c r="AD295" s="93"/>
      <c r="AE295" s="85"/>
    </row>
    <row r="296" spans="7:31" x14ac:dyDescent="0.35">
      <c r="G296" s="85"/>
      <c r="H296" s="87"/>
      <c r="I296" s="94"/>
      <c r="J296" s="93"/>
      <c r="K296" s="85"/>
      <c r="M296" s="94"/>
      <c r="N296" s="93"/>
      <c r="O296" s="85"/>
      <c r="Q296" s="94"/>
      <c r="R296" s="93"/>
      <c r="S296" s="85"/>
      <c r="U296" s="94"/>
      <c r="V296" s="93"/>
      <c r="W296" s="85"/>
      <c r="Y296" s="94"/>
      <c r="Z296" s="93"/>
      <c r="AA296" s="85"/>
      <c r="AC296" s="94"/>
      <c r="AD296" s="93"/>
      <c r="AE296" s="85"/>
    </row>
    <row r="297" spans="7:31" x14ac:dyDescent="0.35">
      <c r="G297" s="85"/>
      <c r="H297" s="87"/>
      <c r="I297" s="94"/>
      <c r="J297" s="93"/>
      <c r="K297" s="85"/>
      <c r="M297" s="94"/>
      <c r="N297" s="93"/>
      <c r="O297" s="85"/>
      <c r="Q297" s="94"/>
      <c r="R297" s="93"/>
      <c r="S297" s="85"/>
      <c r="U297" s="94"/>
      <c r="V297" s="93"/>
      <c r="W297" s="85"/>
      <c r="Y297" s="94"/>
      <c r="Z297" s="93"/>
      <c r="AA297" s="85"/>
      <c r="AC297" s="94"/>
      <c r="AD297" s="93"/>
      <c r="AE297" s="85"/>
    </row>
    <row r="298" spans="7:31" x14ac:dyDescent="0.35">
      <c r="G298" s="85"/>
      <c r="H298" s="87"/>
      <c r="I298" s="94"/>
      <c r="J298" s="93"/>
      <c r="K298" s="85"/>
      <c r="M298" s="94"/>
      <c r="N298" s="93"/>
      <c r="O298" s="85"/>
      <c r="Q298" s="94"/>
      <c r="R298" s="93"/>
      <c r="S298" s="85"/>
      <c r="U298" s="94"/>
      <c r="V298" s="93"/>
      <c r="W298" s="85"/>
      <c r="Y298" s="94"/>
      <c r="Z298" s="93"/>
      <c r="AA298" s="85"/>
      <c r="AC298" s="94"/>
      <c r="AD298" s="93"/>
      <c r="AE298" s="85"/>
    </row>
    <row r="299" spans="7:31" x14ac:dyDescent="0.35">
      <c r="G299" s="85"/>
      <c r="H299" s="87"/>
      <c r="I299" s="94"/>
      <c r="J299" s="93"/>
      <c r="K299" s="85"/>
      <c r="M299" s="94"/>
      <c r="N299" s="93"/>
      <c r="O299" s="85"/>
      <c r="Q299" s="94"/>
      <c r="R299" s="93"/>
      <c r="S299" s="85"/>
      <c r="U299" s="94"/>
      <c r="V299" s="93"/>
      <c r="W299" s="85"/>
      <c r="Y299" s="94"/>
      <c r="Z299" s="93"/>
      <c r="AA299" s="85"/>
      <c r="AC299" s="94"/>
      <c r="AD299" s="93"/>
      <c r="AE299" s="85"/>
    </row>
    <row r="300" spans="7:31" x14ac:dyDescent="0.35">
      <c r="G300" s="85"/>
      <c r="H300" s="87"/>
      <c r="I300" s="94"/>
      <c r="J300" s="93"/>
      <c r="K300" s="85"/>
      <c r="M300" s="94"/>
      <c r="N300" s="93"/>
      <c r="O300" s="85"/>
      <c r="Q300" s="94"/>
      <c r="R300" s="93"/>
      <c r="S300" s="85"/>
      <c r="U300" s="94"/>
      <c r="V300" s="93"/>
      <c r="W300" s="85"/>
      <c r="Y300" s="94"/>
      <c r="Z300" s="93"/>
      <c r="AA300" s="85"/>
      <c r="AC300" s="94"/>
      <c r="AD300" s="93"/>
      <c r="AE300" s="85"/>
    </row>
    <row r="301" spans="7:31" x14ac:dyDescent="0.35">
      <c r="G301" s="85"/>
      <c r="H301" s="87"/>
      <c r="I301" s="94"/>
      <c r="J301" s="93"/>
      <c r="K301" s="85"/>
      <c r="M301" s="94"/>
      <c r="N301" s="93"/>
      <c r="O301" s="85"/>
      <c r="Q301" s="94"/>
      <c r="R301" s="93"/>
      <c r="S301" s="85"/>
      <c r="U301" s="94"/>
      <c r="V301" s="93"/>
      <c r="W301" s="85"/>
      <c r="Y301" s="94"/>
      <c r="Z301" s="93"/>
      <c r="AA301" s="85"/>
      <c r="AC301" s="94"/>
      <c r="AD301" s="93"/>
      <c r="AE301" s="85"/>
    </row>
    <row r="302" spans="7:31" x14ac:dyDescent="0.35">
      <c r="G302" s="85"/>
      <c r="H302" s="87"/>
      <c r="I302" s="94"/>
      <c r="J302" s="93"/>
      <c r="K302" s="85"/>
      <c r="M302" s="94"/>
      <c r="N302" s="93"/>
      <c r="O302" s="85"/>
      <c r="Q302" s="94"/>
      <c r="R302" s="93"/>
      <c r="S302" s="85"/>
      <c r="U302" s="94"/>
      <c r="V302" s="93"/>
      <c r="W302" s="85"/>
      <c r="Y302" s="94"/>
      <c r="Z302" s="93"/>
      <c r="AA302" s="85"/>
      <c r="AC302" s="94"/>
      <c r="AD302" s="93"/>
      <c r="AE302" s="85"/>
    </row>
    <row r="303" spans="7:31" x14ac:dyDescent="0.35">
      <c r="G303" s="85"/>
      <c r="H303" s="87"/>
      <c r="I303" s="94"/>
      <c r="J303" s="93"/>
      <c r="K303" s="85"/>
      <c r="M303" s="94"/>
      <c r="N303" s="93"/>
      <c r="O303" s="85"/>
      <c r="Q303" s="94"/>
      <c r="R303" s="93"/>
      <c r="S303" s="85"/>
      <c r="U303" s="94"/>
      <c r="V303" s="93"/>
      <c r="W303" s="85"/>
      <c r="Y303" s="94"/>
      <c r="Z303" s="93"/>
      <c r="AA303" s="85"/>
      <c r="AC303" s="94"/>
      <c r="AD303" s="93"/>
      <c r="AE303" s="85"/>
    </row>
    <row r="304" spans="7:31" x14ac:dyDescent="0.35">
      <c r="G304" s="85"/>
      <c r="H304" s="87"/>
      <c r="I304" s="94"/>
      <c r="J304" s="93"/>
      <c r="K304" s="85"/>
      <c r="M304" s="94"/>
      <c r="N304" s="93"/>
      <c r="O304" s="85"/>
      <c r="Q304" s="94"/>
      <c r="R304" s="93"/>
      <c r="S304" s="85"/>
      <c r="U304" s="94"/>
      <c r="V304" s="93"/>
      <c r="W304" s="85"/>
      <c r="Y304" s="94"/>
      <c r="Z304" s="93"/>
      <c r="AA304" s="85"/>
      <c r="AC304" s="94"/>
      <c r="AD304" s="93"/>
      <c r="AE304" s="85"/>
    </row>
    <row r="305" spans="7:31" x14ac:dyDescent="0.35">
      <c r="G305" s="85"/>
      <c r="H305" s="87"/>
      <c r="I305" s="94"/>
      <c r="J305" s="93"/>
      <c r="K305" s="85"/>
      <c r="M305" s="94"/>
      <c r="N305" s="93"/>
      <c r="O305" s="85"/>
      <c r="Q305" s="94"/>
      <c r="R305" s="93"/>
      <c r="S305" s="85"/>
      <c r="U305" s="94"/>
      <c r="V305" s="93"/>
      <c r="W305" s="85"/>
      <c r="Y305" s="94"/>
      <c r="Z305" s="93"/>
      <c r="AA305" s="85"/>
      <c r="AC305" s="94"/>
      <c r="AD305" s="93"/>
      <c r="AE305" s="85"/>
    </row>
    <row r="306" spans="7:31" x14ac:dyDescent="0.35">
      <c r="G306" s="85"/>
      <c r="H306" s="87"/>
      <c r="I306" s="94"/>
      <c r="J306" s="93"/>
      <c r="K306" s="85"/>
      <c r="M306" s="94"/>
      <c r="N306" s="93"/>
      <c r="O306" s="85"/>
      <c r="Q306" s="94"/>
      <c r="R306" s="93"/>
      <c r="S306" s="85"/>
      <c r="U306" s="94"/>
      <c r="V306" s="93"/>
      <c r="W306" s="85"/>
      <c r="Y306" s="94"/>
      <c r="Z306" s="93"/>
      <c r="AA306" s="85"/>
      <c r="AC306" s="94"/>
      <c r="AD306" s="93"/>
      <c r="AE306" s="85"/>
    </row>
    <row r="307" spans="7:31" x14ac:dyDescent="0.35">
      <c r="G307" s="85"/>
      <c r="H307" s="87"/>
      <c r="I307" s="94"/>
      <c r="J307" s="93"/>
      <c r="K307" s="85"/>
      <c r="M307" s="94"/>
      <c r="N307" s="93"/>
      <c r="O307" s="85"/>
      <c r="Q307" s="94"/>
      <c r="R307" s="93"/>
      <c r="S307" s="85"/>
      <c r="U307" s="94"/>
      <c r="V307" s="93"/>
      <c r="W307" s="85"/>
      <c r="Y307" s="94"/>
      <c r="Z307" s="93"/>
      <c r="AA307" s="85"/>
      <c r="AC307" s="94"/>
      <c r="AD307" s="93"/>
      <c r="AE307" s="85"/>
    </row>
    <row r="308" spans="7:31" x14ac:dyDescent="0.35">
      <c r="G308" s="85"/>
      <c r="H308" s="87"/>
      <c r="I308" s="94"/>
      <c r="J308" s="93"/>
      <c r="K308" s="85"/>
      <c r="M308" s="94"/>
      <c r="N308" s="93"/>
      <c r="O308" s="85"/>
      <c r="Q308" s="94"/>
      <c r="R308" s="93"/>
      <c r="S308" s="85"/>
      <c r="U308" s="94"/>
      <c r="V308" s="93"/>
      <c r="W308" s="85"/>
      <c r="Y308" s="94"/>
      <c r="Z308" s="93"/>
      <c r="AA308" s="85"/>
      <c r="AC308" s="94"/>
      <c r="AD308" s="93"/>
      <c r="AE308" s="85"/>
    </row>
    <row r="309" spans="7:31" x14ac:dyDescent="0.35">
      <c r="G309" s="85"/>
      <c r="H309" s="87"/>
      <c r="I309" s="94"/>
      <c r="J309" s="93"/>
      <c r="K309" s="85"/>
      <c r="M309" s="94"/>
      <c r="N309" s="93"/>
      <c r="O309" s="85"/>
      <c r="Q309" s="94"/>
      <c r="R309" s="93"/>
      <c r="S309" s="85"/>
      <c r="U309" s="94"/>
      <c r="V309" s="93"/>
      <c r="W309" s="85"/>
      <c r="Y309" s="94"/>
      <c r="Z309" s="93"/>
      <c r="AA309" s="85"/>
      <c r="AC309" s="94"/>
      <c r="AD309" s="93"/>
      <c r="AE309" s="85"/>
    </row>
    <row r="310" spans="7:31" x14ac:dyDescent="0.35">
      <c r="G310" s="85"/>
      <c r="H310" s="87"/>
      <c r="I310" s="94"/>
      <c r="J310" s="93"/>
      <c r="K310" s="85"/>
      <c r="M310" s="94"/>
      <c r="N310" s="93"/>
      <c r="O310" s="85"/>
      <c r="Q310" s="94"/>
      <c r="R310" s="93"/>
      <c r="S310" s="85"/>
      <c r="U310" s="94"/>
      <c r="V310" s="93"/>
      <c r="W310" s="85"/>
      <c r="Y310" s="94"/>
      <c r="Z310" s="93"/>
      <c r="AA310" s="85"/>
      <c r="AC310" s="94"/>
      <c r="AD310" s="93"/>
      <c r="AE310" s="85"/>
    </row>
    <row r="311" spans="7:31" x14ac:dyDescent="0.35">
      <c r="G311" s="85"/>
      <c r="H311" s="87"/>
      <c r="I311" s="94"/>
      <c r="J311" s="93"/>
      <c r="K311" s="85"/>
      <c r="M311" s="94"/>
      <c r="N311" s="93"/>
      <c r="O311" s="85"/>
      <c r="Q311" s="94"/>
      <c r="R311" s="93"/>
      <c r="S311" s="85"/>
      <c r="U311" s="94"/>
      <c r="V311" s="93"/>
      <c r="W311" s="85"/>
      <c r="Y311" s="94"/>
      <c r="Z311" s="93"/>
      <c r="AA311" s="85"/>
      <c r="AC311" s="94"/>
      <c r="AD311" s="93"/>
      <c r="AE311" s="85"/>
    </row>
    <row r="312" spans="7:31" x14ac:dyDescent="0.35">
      <c r="G312" s="85"/>
      <c r="H312" s="87"/>
      <c r="I312" s="94"/>
      <c r="J312" s="93"/>
      <c r="K312" s="85"/>
      <c r="M312" s="94"/>
      <c r="N312" s="93"/>
      <c r="O312" s="85"/>
      <c r="Q312" s="94"/>
      <c r="R312" s="93"/>
      <c r="S312" s="85"/>
      <c r="U312" s="94"/>
      <c r="V312" s="93"/>
      <c r="W312" s="85"/>
      <c r="Y312" s="94"/>
      <c r="Z312" s="93"/>
      <c r="AA312" s="85"/>
      <c r="AC312" s="94"/>
      <c r="AD312" s="93"/>
      <c r="AE312" s="85"/>
    </row>
    <row r="313" spans="7:31" x14ac:dyDescent="0.35">
      <c r="G313" s="85"/>
      <c r="H313" s="87"/>
      <c r="I313" s="94"/>
      <c r="J313" s="93"/>
      <c r="K313" s="85"/>
      <c r="M313" s="94"/>
      <c r="N313" s="93"/>
      <c r="O313" s="85"/>
      <c r="Q313" s="94"/>
      <c r="R313" s="93"/>
      <c r="S313" s="85"/>
      <c r="U313" s="94"/>
      <c r="V313" s="93"/>
      <c r="W313" s="85"/>
      <c r="Y313" s="94"/>
      <c r="Z313" s="93"/>
      <c r="AA313" s="85"/>
      <c r="AC313" s="94"/>
      <c r="AD313" s="93"/>
      <c r="AE313" s="85"/>
    </row>
    <row r="314" spans="7:31" x14ac:dyDescent="0.35">
      <c r="G314" s="85"/>
      <c r="H314" s="87"/>
      <c r="I314" s="94"/>
      <c r="J314" s="93"/>
      <c r="K314" s="85"/>
      <c r="M314" s="94"/>
      <c r="N314" s="93"/>
      <c r="O314" s="85"/>
      <c r="Q314" s="94"/>
      <c r="R314" s="93"/>
      <c r="S314" s="85"/>
      <c r="U314" s="94"/>
      <c r="V314" s="93"/>
      <c r="W314" s="85"/>
      <c r="Y314" s="94"/>
      <c r="Z314" s="93"/>
      <c r="AA314" s="85"/>
      <c r="AC314" s="94"/>
      <c r="AD314" s="93"/>
      <c r="AE314" s="85"/>
    </row>
    <row r="315" spans="7:31" x14ac:dyDescent="0.35">
      <c r="G315" s="85"/>
      <c r="H315" s="87"/>
      <c r="I315" s="94"/>
      <c r="J315" s="93"/>
      <c r="K315" s="85"/>
      <c r="M315" s="94"/>
      <c r="N315" s="93"/>
      <c r="O315" s="85"/>
      <c r="Q315" s="94"/>
      <c r="R315" s="93"/>
      <c r="S315" s="85"/>
      <c r="U315" s="94"/>
      <c r="V315" s="93"/>
      <c r="W315" s="85"/>
      <c r="Y315" s="94"/>
      <c r="Z315" s="93"/>
      <c r="AA315" s="85"/>
      <c r="AC315" s="94"/>
      <c r="AD315" s="93"/>
      <c r="AE315" s="85"/>
    </row>
    <row r="316" spans="7:31" x14ac:dyDescent="0.35">
      <c r="G316" s="85"/>
      <c r="H316" s="87"/>
      <c r="I316" s="94"/>
      <c r="J316" s="93"/>
      <c r="K316" s="85"/>
      <c r="M316" s="94"/>
      <c r="N316" s="93"/>
      <c r="O316" s="85"/>
      <c r="Q316" s="94"/>
      <c r="R316" s="93"/>
      <c r="S316" s="85"/>
      <c r="U316" s="94"/>
      <c r="V316" s="93"/>
      <c r="W316" s="85"/>
      <c r="Y316" s="94"/>
      <c r="Z316" s="93"/>
      <c r="AA316" s="85"/>
      <c r="AC316" s="94"/>
      <c r="AD316" s="93"/>
      <c r="AE316" s="85"/>
    </row>
    <row r="317" spans="7:31" x14ac:dyDescent="0.35">
      <c r="G317" s="85"/>
      <c r="H317" s="87"/>
      <c r="I317" s="94"/>
      <c r="J317" s="93"/>
      <c r="K317" s="85"/>
      <c r="M317" s="94"/>
      <c r="N317" s="93"/>
      <c r="O317" s="85"/>
      <c r="Q317" s="94"/>
      <c r="R317" s="93"/>
      <c r="S317" s="85"/>
      <c r="U317" s="94"/>
      <c r="V317" s="93"/>
      <c r="W317" s="85"/>
      <c r="Y317" s="94"/>
      <c r="Z317" s="93"/>
      <c r="AA317" s="85"/>
      <c r="AC317" s="94"/>
      <c r="AD317" s="93"/>
      <c r="AE317" s="85"/>
    </row>
    <row r="318" spans="7:31" x14ac:dyDescent="0.35">
      <c r="G318" s="85"/>
      <c r="H318" s="87"/>
      <c r="I318" s="94"/>
      <c r="J318" s="93"/>
      <c r="K318" s="85"/>
      <c r="M318" s="94"/>
      <c r="N318" s="93"/>
      <c r="O318" s="85"/>
      <c r="Q318" s="94"/>
      <c r="R318" s="93"/>
      <c r="S318" s="85"/>
      <c r="U318" s="94"/>
      <c r="V318" s="93"/>
      <c r="W318" s="85"/>
      <c r="Y318" s="94"/>
      <c r="Z318" s="93"/>
      <c r="AA318" s="85"/>
      <c r="AC318" s="94"/>
      <c r="AD318" s="93"/>
      <c r="AE318" s="85"/>
    </row>
    <row r="319" spans="7:31" x14ac:dyDescent="0.35">
      <c r="G319" s="85"/>
      <c r="H319" s="87"/>
      <c r="I319" s="94"/>
      <c r="J319" s="93"/>
      <c r="K319" s="85"/>
      <c r="M319" s="94"/>
      <c r="N319" s="93"/>
      <c r="O319" s="85"/>
      <c r="Q319" s="94"/>
      <c r="R319" s="93"/>
      <c r="S319" s="85"/>
      <c r="U319" s="94"/>
      <c r="V319" s="93"/>
      <c r="W319" s="85"/>
      <c r="Y319" s="94"/>
      <c r="Z319" s="93"/>
      <c r="AA319" s="85"/>
      <c r="AC319" s="94"/>
      <c r="AD319" s="93"/>
      <c r="AE319" s="85"/>
    </row>
    <row r="320" spans="7:31" x14ac:dyDescent="0.35">
      <c r="G320" s="85"/>
      <c r="H320" s="87"/>
      <c r="I320" s="94"/>
      <c r="J320" s="93"/>
      <c r="K320" s="85"/>
      <c r="M320" s="94"/>
      <c r="N320" s="93"/>
      <c r="O320" s="85"/>
      <c r="Q320" s="94"/>
      <c r="R320" s="93"/>
      <c r="S320" s="85"/>
      <c r="U320" s="94"/>
      <c r="V320" s="93"/>
      <c r="W320" s="85"/>
      <c r="Y320" s="94"/>
      <c r="Z320" s="93"/>
      <c r="AA320" s="85"/>
      <c r="AC320" s="94"/>
      <c r="AD320" s="93"/>
      <c r="AE320" s="85"/>
    </row>
    <row r="321" spans="7:31" x14ac:dyDescent="0.35">
      <c r="G321" s="85"/>
      <c r="H321" s="87"/>
      <c r="I321" s="94"/>
      <c r="J321" s="93"/>
      <c r="K321" s="85"/>
      <c r="M321" s="94"/>
      <c r="N321" s="93"/>
      <c r="O321" s="85"/>
      <c r="Q321" s="94"/>
      <c r="R321" s="93"/>
      <c r="S321" s="85"/>
      <c r="U321" s="94"/>
      <c r="V321" s="93"/>
      <c r="W321" s="85"/>
      <c r="Y321" s="94"/>
      <c r="Z321" s="93"/>
      <c r="AA321" s="85"/>
      <c r="AC321" s="94"/>
      <c r="AD321" s="93"/>
      <c r="AE321" s="85"/>
    </row>
    <row r="322" spans="7:31" x14ac:dyDescent="0.35">
      <c r="G322" s="85"/>
      <c r="H322" s="87"/>
      <c r="I322" s="94"/>
      <c r="J322" s="93"/>
      <c r="K322" s="85"/>
      <c r="M322" s="94"/>
      <c r="N322" s="93"/>
      <c r="O322" s="85"/>
      <c r="Q322" s="94"/>
      <c r="R322" s="93"/>
      <c r="S322" s="85"/>
      <c r="U322" s="94"/>
      <c r="V322" s="93"/>
      <c r="W322" s="85"/>
      <c r="Y322" s="94"/>
      <c r="Z322" s="93"/>
      <c r="AA322" s="85"/>
      <c r="AC322" s="94"/>
      <c r="AD322" s="93"/>
      <c r="AE322" s="85"/>
    </row>
    <row r="323" spans="7:31" x14ac:dyDescent="0.35">
      <c r="G323" s="85"/>
      <c r="H323" s="87"/>
      <c r="I323" s="94"/>
      <c r="J323" s="93"/>
      <c r="K323" s="85"/>
      <c r="M323" s="94"/>
      <c r="N323" s="93"/>
      <c r="O323" s="85"/>
      <c r="Q323" s="94"/>
      <c r="R323" s="93"/>
      <c r="S323" s="85"/>
      <c r="U323" s="94"/>
      <c r="V323" s="93"/>
      <c r="W323" s="85"/>
      <c r="Y323" s="94"/>
      <c r="Z323" s="93"/>
      <c r="AA323" s="85"/>
      <c r="AC323" s="94"/>
      <c r="AD323" s="93"/>
      <c r="AE323" s="85"/>
    </row>
    <row r="324" spans="7:31" x14ac:dyDescent="0.35">
      <c r="G324" s="85"/>
      <c r="H324" s="87"/>
      <c r="I324" s="94"/>
      <c r="J324" s="93"/>
      <c r="K324" s="85"/>
      <c r="M324" s="94"/>
      <c r="N324" s="93"/>
      <c r="O324" s="85"/>
      <c r="Q324" s="94"/>
      <c r="R324" s="93"/>
      <c r="S324" s="85"/>
      <c r="U324" s="94"/>
      <c r="V324" s="93"/>
      <c r="W324" s="85"/>
      <c r="Y324" s="94"/>
      <c r="Z324" s="93"/>
      <c r="AA324" s="85"/>
      <c r="AC324" s="94"/>
      <c r="AD324" s="93"/>
      <c r="AE324" s="85"/>
    </row>
    <row r="325" spans="7:31" x14ac:dyDescent="0.35">
      <c r="G325" s="85"/>
      <c r="H325" s="87"/>
      <c r="I325" s="94"/>
      <c r="J325" s="93"/>
      <c r="K325" s="85"/>
      <c r="M325" s="94"/>
      <c r="N325" s="93"/>
      <c r="O325" s="85"/>
      <c r="Q325" s="94"/>
      <c r="R325" s="93"/>
      <c r="S325" s="85"/>
      <c r="U325" s="94"/>
      <c r="V325" s="93"/>
      <c r="W325" s="85"/>
      <c r="Y325" s="94"/>
      <c r="Z325" s="93"/>
      <c r="AA325" s="85"/>
      <c r="AC325" s="94"/>
      <c r="AD325" s="93"/>
      <c r="AE325" s="85"/>
    </row>
    <row r="326" spans="7:31" x14ac:dyDescent="0.35">
      <c r="G326" s="85"/>
      <c r="H326" s="87"/>
      <c r="I326" s="94"/>
      <c r="J326" s="93"/>
      <c r="K326" s="85"/>
      <c r="M326" s="94"/>
      <c r="N326" s="93"/>
      <c r="O326" s="85"/>
      <c r="Q326" s="94"/>
      <c r="R326" s="93"/>
      <c r="S326" s="85"/>
      <c r="U326" s="94"/>
      <c r="V326" s="93"/>
      <c r="W326" s="85"/>
      <c r="Y326" s="94"/>
      <c r="Z326" s="93"/>
      <c r="AA326" s="85"/>
      <c r="AC326" s="94"/>
      <c r="AD326" s="93"/>
      <c r="AE326" s="85"/>
    </row>
    <row r="327" spans="7:31" x14ac:dyDescent="0.35">
      <c r="G327" s="85"/>
      <c r="H327" s="87"/>
      <c r="I327" s="94"/>
      <c r="J327" s="93"/>
      <c r="K327" s="85"/>
      <c r="M327" s="94"/>
      <c r="N327" s="93"/>
      <c r="O327" s="85"/>
      <c r="Q327" s="94"/>
      <c r="R327" s="93"/>
      <c r="S327" s="85"/>
      <c r="U327" s="94"/>
      <c r="V327" s="93"/>
      <c r="W327" s="85"/>
      <c r="Y327" s="94"/>
      <c r="Z327" s="93"/>
      <c r="AA327" s="85"/>
      <c r="AC327" s="94"/>
      <c r="AD327" s="93"/>
      <c r="AE327" s="85"/>
    </row>
    <row r="328" spans="7:31" x14ac:dyDescent="0.35">
      <c r="G328" s="85"/>
      <c r="H328" s="87"/>
      <c r="I328" s="94"/>
      <c r="J328" s="93"/>
      <c r="K328" s="85"/>
      <c r="M328" s="94"/>
      <c r="N328" s="93"/>
      <c r="O328" s="85"/>
      <c r="Q328" s="94"/>
      <c r="R328" s="93"/>
      <c r="S328" s="85"/>
      <c r="U328" s="94"/>
      <c r="V328" s="93"/>
      <c r="W328" s="85"/>
      <c r="Y328" s="94"/>
      <c r="Z328" s="93"/>
      <c r="AA328" s="85"/>
      <c r="AC328" s="94"/>
      <c r="AD328" s="93"/>
      <c r="AE328" s="85"/>
    </row>
    <row r="329" spans="7:31" x14ac:dyDescent="0.35">
      <c r="G329" s="85"/>
      <c r="H329" s="87"/>
      <c r="I329" s="94"/>
      <c r="J329" s="93"/>
      <c r="K329" s="85"/>
      <c r="M329" s="94"/>
      <c r="N329" s="93"/>
      <c r="O329" s="85"/>
      <c r="Q329" s="94"/>
      <c r="R329" s="93"/>
      <c r="S329" s="85"/>
      <c r="U329" s="94"/>
      <c r="V329" s="93"/>
      <c r="W329" s="85"/>
      <c r="Y329" s="94"/>
      <c r="Z329" s="93"/>
      <c r="AA329" s="85"/>
      <c r="AC329" s="94"/>
      <c r="AD329" s="93"/>
      <c r="AE329" s="85"/>
    </row>
    <row r="330" spans="7:31" x14ac:dyDescent="0.35">
      <c r="G330" s="85"/>
      <c r="H330" s="87"/>
      <c r="I330" s="94"/>
      <c r="J330" s="93"/>
      <c r="K330" s="85"/>
      <c r="M330" s="94"/>
      <c r="N330" s="93"/>
      <c r="O330" s="85"/>
      <c r="Q330" s="94"/>
      <c r="R330" s="93"/>
      <c r="S330" s="85"/>
      <c r="U330" s="94"/>
      <c r="V330" s="93"/>
      <c r="W330" s="85"/>
      <c r="Y330" s="94"/>
      <c r="Z330" s="93"/>
      <c r="AA330" s="85"/>
      <c r="AC330" s="94"/>
      <c r="AD330" s="93"/>
      <c r="AE330" s="85"/>
    </row>
    <row r="331" spans="7:31" x14ac:dyDescent="0.35">
      <c r="G331" s="85"/>
      <c r="H331" s="87"/>
      <c r="I331" s="94"/>
      <c r="J331" s="93"/>
      <c r="K331" s="85"/>
      <c r="M331" s="94"/>
      <c r="N331" s="93"/>
      <c r="O331" s="85"/>
      <c r="Q331" s="94"/>
      <c r="R331" s="93"/>
      <c r="S331" s="85"/>
      <c r="U331" s="94"/>
      <c r="V331" s="93"/>
      <c r="W331" s="85"/>
      <c r="Y331" s="94"/>
      <c r="Z331" s="93"/>
      <c r="AA331" s="85"/>
      <c r="AC331" s="94"/>
      <c r="AD331" s="93"/>
      <c r="AE331" s="85"/>
    </row>
    <row r="332" spans="7:31" x14ac:dyDescent="0.35">
      <c r="G332" s="85"/>
      <c r="H332" s="87"/>
      <c r="I332" s="94"/>
      <c r="J332" s="93"/>
      <c r="K332" s="85"/>
      <c r="M332" s="94"/>
      <c r="N332" s="93"/>
      <c r="O332" s="85"/>
      <c r="Q332" s="94"/>
      <c r="R332" s="93"/>
      <c r="S332" s="85"/>
      <c r="U332" s="94"/>
      <c r="V332" s="93"/>
      <c r="W332" s="85"/>
      <c r="Y332" s="94"/>
      <c r="Z332" s="93"/>
      <c r="AA332" s="85"/>
      <c r="AC332" s="94"/>
      <c r="AD332" s="93"/>
      <c r="AE332" s="85"/>
    </row>
    <row r="333" spans="7:31" x14ac:dyDescent="0.35">
      <c r="G333" s="85"/>
      <c r="H333" s="87"/>
      <c r="I333" s="94"/>
      <c r="J333" s="93"/>
      <c r="K333" s="85"/>
      <c r="M333" s="94"/>
      <c r="N333" s="93"/>
      <c r="O333" s="85"/>
      <c r="Q333" s="94"/>
      <c r="R333" s="93"/>
      <c r="S333" s="85"/>
      <c r="U333" s="94"/>
      <c r="V333" s="93"/>
      <c r="W333" s="85"/>
      <c r="Y333" s="94"/>
      <c r="Z333" s="93"/>
      <c r="AA333" s="85"/>
      <c r="AC333" s="94"/>
      <c r="AD333" s="93"/>
      <c r="AE333" s="85"/>
    </row>
    <row r="334" spans="7:31" x14ac:dyDescent="0.35">
      <c r="G334" s="85"/>
      <c r="H334" s="87"/>
      <c r="I334" s="94"/>
      <c r="J334" s="93"/>
      <c r="K334" s="85"/>
      <c r="M334" s="94"/>
      <c r="N334" s="93"/>
      <c r="O334" s="85"/>
      <c r="Q334" s="94"/>
      <c r="R334" s="93"/>
      <c r="S334" s="85"/>
      <c r="U334" s="94"/>
      <c r="V334" s="93"/>
      <c r="W334" s="85"/>
      <c r="Y334" s="94"/>
      <c r="Z334" s="93"/>
      <c r="AA334" s="85"/>
      <c r="AC334" s="94"/>
      <c r="AD334" s="93"/>
      <c r="AE334" s="85"/>
    </row>
    <row r="335" spans="7:31" x14ac:dyDescent="0.35">
      <c r="G335" s="85"/>
      <c r="H335" s="87"/>
      <c r="I335" s="94"/>
      <c r="J335" s="93"/>
      <c r="K335" s="85"/>
      <c r="M335" s="94"/>
      <c r="N335" s="93"/>
      <c r="O335" s="85"/>
      <c r="Q335" s="94"/>
      <c r="R335" s="93"/>
      <c r="S335" s="85"/>
      <c r="U335" s="94"/>
      <c r="V335" s="93"/>
      <c r="W335" s="85"/>
      <c r="Y335" s="94"/>
      <c r="Z335" s="93"/>
      <c r="AA335" s="85"/>
      <c r="AC335" s="94"/>
      <c r="AD335" s="93"/>
      <c r="AE335" s="85"/>
    </row>
    <row r="336" spans="7:31" x14ac:dyDescent="0.35">
      <c r="G336" s="85"/>
      <c r="H336" s="87"/>
      <c r="I336" s="94"/>
      <c r="J336" s="93"/>
      <c r="K336" s="85"/>
      <c r="M336" s="94"/>
      <c r="N336" s="93"/>
      <c r="O336" s="85"/>
      <c r="Q336" s="94"/>
      <c r="R336" s="93"/>
      <c r="S336" s="85"/>
      <c r="U336" s="94"/>
      <c r="V336" s="93"/>
      <c r="W336" s="85"/>
      <c r="Y336" s="94"/>
      <c r="Z336" s="93"/>
      <c r="AA336" s="85"/>
      <c r="AC336" s="94"/>
      <c r="AD336" s="93"/>
      <c r="AE336" s="85"/>
    </row>
    <row r="337" spans="7:31" x14ac:dyDescent="0.35">
      <c r="G337" s="85"/>
      <c r="H337" s="87"/>
      <c r="I337" s="94"/>
      <c r="J337" s="93"/>
      <c r="K337" s="85"/>
      <c r="M337" s="94"/>
      <c r="N337" s="93"/>
      <c r="O337" s="85"/>
      <c r="Q337" s="94"/>
      <c r="R337" s="93"/>
      <c r="S337" s="85"/>
      <c r="U337" s="94"/>
      <c r="V337" s="93"/>
      <c r="W337" s="85"/>
      <c r="Y337" s="94"/>
      <c r="Z337" s="93"/>
      <c r="AA337" s="85"/>
      <c r="AC337" s="94"/>
      <c r="AD337" s="93"/>
      <c r="AE337" s="85"/>
    </row>
    <row r="338" spans="7:31" x14ac:dyDescent="0.35">
      <c r="G338" s="85"/>
      <c r="H338" s="87"/>
      <c r="I338" s="94"/>
      <c r="J338" s="93"/>
      <c r="K338" s="85"/>
      <c r="M338" s="94"/>
      <c r="N338" s="93"/>
      <c r="O338" s="85"/>
      <c r="Q338" s="94"/>
      <c r="R338" s="93"/>
      <c r="S338" s="85"/>
      <c r="U338" s="94"/>
      <c r="V338" s="93"/>
      <c r="W338" s="85"/>
      <c r="Y338" s="94"/>
      <c r="Z338" s="93"/>
      <c r="AA338" s="85"/>
      <c r="AC338" s="94"/>
      <c r="AD338" s="93"/>
      <c r="AE338" s="85"/>
    </row>
    <row r="339" spans="7:31" x14ac:dyDescent="0.35">
      <c r="G339" s="85"/>
      <c r="H339" s="87"/>
      <c r="I339" s="94"/>
      <c r="J339" s="93"/>
      <c r="K339" s="85"/>
      <c r="M339" s="94"/>
      <c r="N339" s="93"/>
      <c r="O339" s="85"/>
      <c r="Q339" s="94"/>
      <c r="R339" s="93"/>
      <c r="S339" s="85"/>
      <c r="U339" s="94"/>
      <c r="V339" s="93"/>
      <c r="W339" s="85"/>
      <c r="Y339" s="94"/>
      <c r="Z339" s="93"/>
      <c r="AA339" s="85"/>
      <c r="AC339" s="94"/>
      <c r="AD339" s="93"/>
      <c r="AE339" s="85"/>
    </row>
    <row r="340" spans="7:31" x14ac:dyDescent="0.35">
      <c r="G340" s="85"/>
      <c r="H340" s="87"/>
      <c r="I340" s="94"/>
      <c r="J340" s="93"/>
      <c r="K340" s="85"/>
      <c r="M340" s="94"/>
      <c r="N340" s="93"/>
      <c r="O340" s="85"/>
      <c r="Q340" s="94"/>
      <c r="R340" s="93"/>
      <c r="S340" s="85"/>
      <c r="U340" s="94"/>
      <c r="V340" s="93"/>
      <c r="W340" s="85"/>
      <c r="Y340" s="94"/>
      <c r="Z340" s="93"/>
      <c r="AA340" s="85"/>
      <c r="AC340" s="94"/>
      <c r="AD340" s="93"/>
      <c r="AE340" s="85"/>
    </row>
    <row r="341" spans="7:31" x14ac:dyDescent="0.35">
      <c r="G341" s="85"/>
      <c r="H341" s="87"/>
      <c r="I341" s="94"/>
      <c r="J341" s="93"/>
      <c r="K341" s="85"/>
      <c r="M341" s="94"/>
      <c r="N341" s="93"/>
      <c r="O341" s="85"/>
      <c r="Q341" s="94"/>
      <c r="R341" s="93"/>
      <c r="S341" s="85"/>
      <c r="U341" s="94"/>
      <c r="V341" s="93"/>
      <c r="W341" s="85"/>
      <c r="Y341" s="94"/>
      <c r="Z341" s="93"/>
      <c r="AA341" s="85"/>
      <c r="AC341" s="94"/>
      <c r="AD341" s="93"/>
      <c r="AE341" s="85"/>
    </row>
    <row r="342" spans="7:31" x14ac:dyDescent="0.35">
      <c r="G342" s="85"/>
      <c r="H342" s="87"/>
      <c r="I342" s="94"/>
      <c r="J342" s="93"/>
      <c r="K342" s="85"/>
      <c r="M342" s="94"/>
      <c r="N342" s="93"/>
      <c r="O342" s="85"/>
      <c r="Q342" s="94"/>
      <c r="R342" s="93"/>
      <c r="S342" s="85"/>
      <c r="U342" s="94"/>
      <c r="V342" s="93"/>
      <c r="W342" s="85"/>
      <c r="Y342" s="94"/>
      <c r="Z342" s="93"/>
      <c r="AA342" s="85"/>
      <c r="AC342" s="94"/>
      <c r="AD342" s="93"/>
      <c r="AE342" s="85"/>
    </row>
    <row r="343" spans="7:31" x14ac:dyDescent="0.35">
      <c r="G343" s="85"/>
      <c r="H343" s="87"/>
      <c r="I343" s="94"/>
      <c r="J343" s="93"/>
      <c r="K343" s="85"/>
      <c r="M343" s="94"/>
      <c r="N343" s="93"/>
      <c r="O343" s="85"/>
      <c r="Q343" s="94"/>
      <c r="R343" s="93"/>
      <c r="S343" s="85"/>
      <c r="U343" s="94"/>
      <c r="V343" s="93"/>
      <c r="W343" s="85"/>
      <c r="Y343" s="94"/>
      <c r="Z343" s="93"/>
      <c r="AA343" s="85"/>
      <c r="AC343" s="94"/>
      <c r="AD343" s="93"/>
      <c r="AE343" s="85"/>
    </row>
    <row r="344" spans="7:31" x14ac:dyDescent="0.35">
      <c r="G344" s="85"/>
      <c r="H344" s="87"/>
      <c r="I344" s="94"/>
      <c r="J344" s="93"/>
      <c r="K344" s="85"/>
      <c r="M344" s="94"/>
      <c r="N344" s="93"/>
      <c r="O344" s="85"/>
      <c r="Q344" s="94"/>
      <c r="R344" s="93"/>
      <c r="S344" s="85"/>
      <c r="U344" s="94"/>
      <c r="V344" s="93"/>
      <c r="W344" s="85"/>
      <c r="Y344" s="94"/>
      <c r="Z344" s="93"/>
      <c r="AA344" s="85"/>
      <c r="AC344" s="94"/>
      <c r="AD344" s="93"/>
      <c r="AE344" s="85"/>
    </row>
    <row r="345" spans="7:31" x14ac:dyDescent="0.35">
      <c r="G345" s="85"/>
      <c r="H345" s="87"/>
      <c r="I345" s="94"/>
      <c r="J345" s="93"/>
      <c r="K345" s="85"/>
      <c r="M345" s="94"/>
      <c r="N345" s="93"/>
      <c r="O345" s="85"/>
      <c r="Q345" s="94"/>
      <c r="R345" s="93"/>
      <c r="S345" s="85"/>
      <c r="U345" s="94"/>
      <c r="V345" s="93"/>
      <c r="W345" s="85"/>
      <c r="Y345" s="94"/>
      <c r="Z345" s="93"/>
      <c r="AA345" s="85"/>
      <c r="AC345" s="94"/>
      <c r="AD345" s="93"/>
      <c r="AE345" s="85"/>
    </row>
    <row r="346" spans="7:31" x14ac:dyDescent="0.35">
      <c r="G346" s="85"/>
      <c r="H346" s="87"/>
      <c r="I346" s="94"/>
      <c r="J346" s="93"/>
      <c r="K346" s="85"/>
      <c r="M346" s="94"/>
      <c r="N346" s="93"/>
      <c r="O346" s="85"/>
      <c r="Q346" s="94"/>
      <c r="R346" s="93"/>
      <c r="S346" s="85"/>
      <c r="U346" s="94"/>
      <c r="V346" s="93"/>
      <c r="W346" s="85"/>
      <c r="Y346" s="94"/>
      <c r="Z346" s="93"/>
      <c r="AA346" s="85"/>
      <c r="AC346" s="94"/>
      <c r="AD346" s="93"/>
      <c r="AE346" s="85"/>
    </row>
    <row r="347" spans="7:31" x14ac:dyDescent="0.35">
      <c r="G347" s="85"/>
      <c r="H347" s="87"/>
      <c r="I347" s="94"/>
      <c r="J347" s="93"/>
      <c r="K347" s="85"/>
      <c r="M347" s="94"/>
      <c r="N347" s="93"/>
      <c r="O347" s="85"/>
      <c r="Q347" s="94"/>
      <c r="R347" s="93"/>
      <c r="S347" s="85"/>
      <c r="U347" s="94"/>
      <c r="V347" s="93"/>
      <c r="W347" s="85"/>
      <c r="Y347" s="94"/>
      <c r="Z347" s="93"/>
      <c r="AA347" s="85"/>
      <c r="AC347" s="94"/>
      <c r="AD347" s="93"/>
      <c r="AE347" s="85"/>
    </row>
    <row r="348" spans="7:31" x14ac:dyDescent="0.35">
      <c r="G348" s="85"/>
      <c r="H348" s="87"/>
      <c r="I348" s="94"/>
      <c r="J348" s="93"/>
      <c r="K348" s="85"/>
      <c r="M348" s="94"/>
      <c r="N348" s="93"/>
      <c r="O348" s="85"/>
      <c r="Q348" s="94"/>
      <c r="R348" s="93"/>
      <c r="S348" s="85"/>
      <c r="U348" s="94"/>
      <c r="V348" s="93"/>
      <c r="W348" s="85"/>
      <c r="Y348" s="94"/>
      <c r="Z348" s="93"/>
      <c r="AA348" s="85"/>
      <c r="AC348" s="94"/>
      <c r="AD348" s="93"/>
      <c r="AE348" s="85"/>
    </row>
    <row r="349" spans="7:31" x14ac:dyDescent="0.35">
      <c r="G349" s="85"/>
      <c r="H349" s="87"/>
      <c r="I349" s="94"/>
      <c r="J349" s="93"/>
      <c r="K349" s="85"/>
      <c r="M349" s="94"/>
      <c r="N349" s="93"/>
      <c r="O349" s="85"/>
      <c r="Q349" s="94"/>
      <c r="R349" s="93"/>
      <c r="S349" s="85"/>
      <c r="U349" s="94"/>
      <c r="V349" s="93"/>
      <c r="W349" s="85"/>
      <c r="Y349" s="94"/>
      <c r="Z349" s="93"/>
      <c r="AA349" s="85"/>
      <c r="AC349" s="94"/>
      <c r="AD349" s="93"/>
      <c r="AE349" s="85"/>
    </row>
    <row r="350" spans="7:31" x14ac:dyDescent="0.35">
      <c r="G350" s="85"/>
      <c r="H350" s="87"/>
      <c r="I350" s="94"/>
      <c r="J350" s="93"/>
      <c r="K350" s="85"/>
      <c r="M350" s="94"/>
      <c r="N350" s="93"/>
      <c r="O350" s="85"/>
      <c r="Q350" s="94"/>
      <c r="R350" s="93"/>
      <c r="S350" s="85"/>
      <c r="U350" s="94"/>
      <c r="V350" s="93"/>
      <c r="W350" s="85"/>
      <c r="Y350" s="94"/>
      <c r="Z350" s="93"/>
      <c r="AA350" s="85"/>
      <c r="AC350" s="94"/>
      <c r="AD350" s="93"/>
      <c r="AE350" s="85"/>
    </row>
    <row r="351" spans="7:31" x14ac:dyDescent="0.35">
      <c r="G351" s="85"/>
      <c r="H351" s="87"/>
      <c r="I351" s="94"/>
      <c r="J351" s="93"/>
      <c r="K351" s="85"/>
      <c r="M351" s="94"/>
      <c r="N351" s="93"/>
      <c r="O351" s="85"/>
      <c r="Q351" s="94"/>
      <c r="R351" s="93"/>
      <c r="S351" s="85"/>
      <c r="U351" s="94"/>
      <c r="V351" s="93"/>
      <c r="W351" s="85"/>
      <c r="Y351" s="94"/>
      <c r="Z351" s="93"/>
      <c r="AA351" s="85"/>
      <c r="AC351" s="94"/>
      <c r="AD351" s="93"/>
      <c r="AE351" s="85"/>
    </row>
    <row r="352" spans="7:31" x14ac:dyDescent="0.35">
      <c r="G352" s="85"/>
      <c r="H352" s="87"/>
      <c r="I352" s="94"/>
      <c r="J352" s="93"/>
      <c r="K352" s="85"/>
      <c r="M352" s="94"/>
      <c r="N352" s="93"/>
      <c r="O352" s="85"/>
      <c r="Q352" s="94"/>
      <c r="R352" s="93"/>
      <c r="S352" s="85"/>
      <c r="U352" s="94"/>
      <c r="V352" s="93"/>
      <c r="W352" s="85"/>
      <c r="Y352" s="94"/>
      <c r="Z352" s="93"/>
      <c r="AA352" s="85"/>
      <c r="AC352" s="94"/>
      <c r="AD352" s="93"/>
      <c r="AE352" s="85"/>
    </row>
    <row r="353" spans="7:31" x14ac:dyDescent="0.35">
      <c r="G353" s="85"/>
      <c r="H353" s="87"/>
      <c r="I353" s="94"/>
      <c r="J353" s="93"/>
      <c r="K353" s="85"/>
      <c r="M353" s="94"/>
      <c r="N353" s="93"/>
      <c r="O353" s="85"/>
      <c r="Q353" s="94"/>
      <c r="R353" s="93"/>
      <c r="S353" s="85"/>
      <c r="U353" s="94"/>
      <c r="V353" s="93"/>
      <c r="W353" s="85"/>
      <c r="Y353" s="94"/>
      <c r="Z353" s="93"/>
      <c r="AA353" s="85"/>
      <c r="AC353" s="94"/>
      <c r="AD353" s="93"/>
      <c r="AE353" s="85"/>
    </row>
    <row r="354" spans="7:31" x14ac:dyDescent="0.35">
      <c r="G354" s="85"/>
      <c r="H354" s="87"/>
      <c r="I354" s="94"/>
      <c r="J354" s="93"/>
      <c r="K354" s="85"/>
      <c r="M354" s="94"/>
      <c r="N354" s="93"/>
      <c r="O354" s="85"/>
      <c r="Q354" s="94"/>
      <c r="R354" s="93"/>
      <c r="S354" s="85"/>
      <c r="U354" s="94"/>
      <c r="V354" s="93"/>
      <c r="W354" s="85"/>
      <c r="Y354" s="94"/>
      <c r="Z354" s="93"/>
      <c r="AA354" s="85"/>
      <c r="AC354" s="94"/>
      <c r="AD354" s="93"/>
      <c r="AE354" s="85"/>
    </row>
    <row r="355" spans="7:31" x14ac:dyDescent="0.35">
      <c r="G355" s="85"/>
      <c r="H355" s="87"/>
      <c r="I355" s="94"/>
      <c r="J355" s="93"/>
      <c r="K355" s="85"/>
      <c r="M355" s="94"/>
      <c r="N355" s="93"/>
      <c r="O355" s="85"/>
      <c r="Q355" s="94"/>
      <c r="R355" s="93"/>
      <c r="S355" s="85"/>
      <c r="U355" s="94"/>
      <c r="V355" s="93"/>
      <c r="W355" s="85"/>
      <c r="Y355" s="94"/>
      <c r="Z355" s="93"/>
      <c r="AA355" s="85"/>
      <c r="AC355" s="94"/>
      <c r="AD355" s="93"/>
      <c r="AE355" s="85"/>
    </row>
    <row r="356" spans="7:31" x14ac:dyDescent="0.35">
      <c r="G356" s="85"/>
      <c r="H356" s="87"/>
      <c r="I356" s="94"/>
      <c r="J356" s="93"/>
      <c r="K356" s="85"/>
      <c r="M356" s="94"/>
      <c r="N356" s="93"/>
      <c r="O356" s="85"/>
      <c r="Q356" s="94"/>
      <c r="R356" s="93"/>
      <c r="S356" s="85"/>
      <c r="U356" s="94"/>
      <c r="V356" s="93"/>
      <c r="W356" s="85"/>
      <c r="Y356" s="94"/>
      <c r="Z356" s="93"/>
      <c r="AA356" s="85"/>
      <c r="AC356" s="94"/>
      <c r="AD356" s="93"/>
      <c r="AE356" s="85"/>
    </row>
    <row r="357" spans="7:31" x14ac:dyDescent="0.35">
      <c r="G357" s="85"/>
      <c r="H357" s="87"/>
      <c r="I357" s="94"/>
      <c r="J357" s="93"/>
      <c r="K357" s="85"/>
      <c r="M357" s="94"/>
      <c r="N357" s="93"/>
      <c r="O357" s="85"/>
      <c r="Q357" s="94"/>
      <c r="R357" s="93"/>
      <c r="S357" s="85"/>
      <c r="U357" s="94"/>
      <c r="V357" s="93"/>
      <c r="W357" s="85"/>
      <c r="Y357" s="94"/>
      <c r="Z357" s="93"/>
      <c r="AA357" s="85"/>
      <c r="AC357" s="94"/>
      <c r="AD357" s="93"/>
      <c r="AE357" s="85"/>
    </row>
    <row r="358" spans="7:31" x14ac:dyDescent="0.35">
      <c r="G358" s="85"/>
      <c r="H358" s="87"/>
      <c r="I358" s="94"/>
      <c r="J358" s="93"/>
      <c r="K358" s="85"/>
      <c r="M358" s="94"/>
      <c r="N358" s="93"/>
      <c r="O358" s="85"/>
      <c r="Q358" s="94"/>
      <c r="R358" s="93"/>
      <c r="S358" s="85"/>
      <c r="U358" s="94"/>
      <c r="V358" s="93"/>
      <c r="W358" s="85"/>
      <c r="Y358" s="94"/>
      <c r="Z358" s="93"/>
      <c r="AA358" s="85"/>
      <c r="AC358" s="94"/>
      <c r="AD358" s="93"/>
      <c r="AE358" s="85"/>
    </row>
    <row r="359" spans="7:31" x14ac:dyDescent="0.35">
      <c r="G359" s="85"/>
      <c r="H359" s="87"/>
      <c r="I359" s="94"/>
      <c r="J359" s="93"/>
      <c r="K359" s="85"/>
      <c r="M359" s="94"/>
      <c r="N359" s="93"/>
      <c r="O359" s="85"/>
      <c r="Q359" s="94"/>
      <c r="R359" s="93"/>
      <c r="S359" s="85"/>
      <c r="U359" s="94"/>
      <c r="V359" s="93"/>
      <c r="W359" s="85"/>
      <c r="Y359" s="94"/>
      <c r="Z359" s="93"/>
      <c r="AA359" s="85"/>
      <c r="AC359" s="94"/>
      <c r="AD359" s="93"/>
      <c r="AE359" s="85"/>
    </row>
    <row r="360" spans="7:31" x14ac:dyDescent="0.35">
      <c r="G360" s="85"/>
      <c r="H360" s="87"/>
      <c r="I360" s="94"/>
      <c r="J360" s="93"/>
      <c r="K360" s="85"/>
      <c r="M360" s="94"/>
      <c r="N360" s="93"/>
      <c r="O360" s="85"/>
      <c r="Q360" s="94"/>
      <c r="R360" s="93"/>
      <c r="S360" s="85"/>
      <c r="U360" s="94"/>
      <c r="V360" s="93"/>
      <c r="W360" s="85"/>
      <c r="Y360" s="94"/>
      <c r="Z360" s="93"/>
      <c r="AA360" s="85"/>
      <c r="AC360" s="94"/>
      <c r="AD360" s="93"/>
      <c r="AE360" s="85"/>
    </row>
    <row r="361" spans="7:31" x14ac:dyDescent="0.35">
      <c r="G361" s="85"/>
      <c r="H361" s="87"/>
      <c r="I361" s="94"/>
      <c r="J361" s="93"/>
      <c r="K361" s="85"/>
      <c r="M361" s="94"/>
      <c r="N361" s="93"/>
      <c r="O361" s="85"/>
      <c r="Q361" s="94"/>
      <c r="R361" s="93"/>
      <c r="S361" s="85"/>
      <c r="U361" s="94"/>
      <c r="V361" s="93"/>
      <c r="W361" s="85"/>
      <c r="Y361" s="94"/>
      <c r="Z361" s="93"/>
      <c r="AA361" s="85"/>
      <c r="AC361" s="94"/>
      <c r="AD361" s="93"/>
      <c r="AE361" s="85"/>
    </row>
    <row r="362" spans="7:31" x14ac:dyDescent="0.35">
      <c r="G362" s="85"/>
      <c r="H362" s="87"/>
      <c r="I362" s="94"/>
      <c r="J362" s="93"/>
      <c r="K362" s="85"/>
      <c r="M362" s="94"/>
      <c r="N362" s="93"/>
      <c r="O362" s="85"/>
      <c r="Q362" s="94"/>
      <c r="R362" s="93"/>
      <c r="S362" s="85"/>
      <c r="U362" s="94"/>
      <c r="V362" s="93"/>
      <c r="W362" s="85"/>
      <c r="Y362" s="94"/>
      <c r="Z362" s="93"/>
      <c r="AA362" s="85"/>
      <c r="AC362" s="94"/>
      <c r="AD362" s="93"/>
      <c r="AE362" s="85"/>
    </row>
    <row r="363" spans="7:31" x14ac:dyDescent="0.35">
      <c r="G363" s="85"/>
      <c r="H363" s="87"/>
      <c r="I363" s="94"/>
      <c r="J363" s="93"/>
      <c r="K363" s="85"/>
      <c r="M363" s="94"/>
      <c r="N363" s="93"/>
      <c r="O363" s="85"/>
      <c r="Q363" s="94"/>
      <c r="R363" s="93"/>
      <c r="S363" s="85"/>
      <c r="U363" s="94"/>
      <c r="V363" s="93"/>
      <c r="W363" s="85"/>
      <c r="Y363" s="94"/>
      <c r="Z363" s="93"/>
      <c r="AA363" s="85"/>
      <c r="AC363" s="94"/>
      <c r="AD363" s="93"/>
      <c r="AE363" s="85"/>
    </row>
    <row r="364" spans="7:31" x14ac:dyDescent="0.35">
      <c r="G364" s="85"/>
      <c r="H364" s="87"/>
      <c r="I364" s="94"/>
      <c r="J364" s="93"/>
      <c r="K364" s="85"/>
      <c r="M364" s="94"/>
      <c r="N364" s="93"/>
      <c r="O364" s="85"/>
      <c r="Q364" s="94"/>
      <c r="R364" s="93"/>
      <c r="S364" s="85"/>
      <c r="U364" s="94"/>
      <c r="V364" s="93"/>
      <c r="W364" s="85"/>
      <c r="Y364" s="94"/>
      <c r="Z364" s="93"/>
      <c r="AA364" s="85"/>
      <c r="AC364" s="94"/>
      <c r="AD364" s="93"/>
      <c r="AE364" s="85"/>
    </row>
    <row r="365" spans="7:31" x14ac:dyDescent="0.35">
      <c r="G365" s="85"/>
      <c r="H365" s="87"/>
      <c r="I365" s="94"/>
      <c r="J365" s="93"/>
      <c r="K365" s="85"/>
      <c r="M365" s="94"/>
      <c r="N365" s="93"/>
      <c r="O365" s="85"/>
      <c r="Q365" s="94"/>
      <c r="R365" s="93"/>
      <c r="S365" s="85"/>
      <c r="U365" s="94"/>
      <c r="V365" s="93"/>
      <c r="W365" s="85"/>
      <c r="Y365" s="94"/>
      <c r="Z365" s="93"/>
      <c r="AA365" s="85"/>
      <c r="AC365" s="94"/>
      <c r="AD365" s="93"/>
      <c r="AE365" s="85"/>
    </row>
    <row r="366" spans="7:31" x14ac:dyDescent="0.35">
      <c r="G366" s="85"/>
      <c r="H366" s="87"/>
      <c r="I366" s="94"/>
      <c r="J366" s="93"/>
      <c r="K366" s="85"/>
      <c r="M366" s="94"/>
      <c r="N366" s="93"/>
      <c r="O366" s="85"/>
      <c r="Q366" s="94"/>
      <c r="R366" s="93"/>
      <c r="S366" s="85"/>
      <c r="U366" s="94"/>
      <c r="V366" s="93"/>
      <c r="W366" s="85"/>
      <c r="Y366" s="94"/>
      <c r="Z366" s="93"/>
      <c r="AA366" s="85"/>
      <c r="AC366" s="94"/>
      <c r="AD366" s="93"/>
      <c r="AE366" s="85"/>
    </row>
    <row r="367" spans="7:31" x14ac:dyDescent="0.35">
      <c r="G367" s="85"/>
      <c r="H367" s="87"/>
      <c r="I367" s="94"/>
      <c r="J367" s="93"/>
      <c r="K367" s="85"/>
      <c r="M367" s="94"/>
      <c r="N367" s="93"/>
      <c r="O367" s="85"/>
      <c r="Q367" s="94"/>
      <c r="R367" s="93"/>
      <c r="S367" s="85"/>
      <c r="U367" s="94"/>
      <c r="V367" s="93"/>
      <c r="W367" s="85"/>
      <c r="Y367" s="94"/>
      <c r="Z367" s="93"/>
      <c r="AA367" s="85"/>
      <c r="AC367" s="94"/>
      <c r="AD367" s="93"/>
      <c r="AE367" s="85"/>
    </row>
    <row r="368" spans="7:31" x14ac:dyDescent="0.35">
      <c r="G368" s="85"/>
      <c r="H368" s="87"/>
      <c r="I368" s="94"/>
      <c r="J368" s="93"/>
      <c r="K368" s="85"/>
      <c r="M368" s="94"/>
      <c r="N368" s="93"/>
      <c r="O368" s="85"/>
      <c r="Q368" s="94"/>
      <c r="R368" s="93"/>
      <c r="S368" s="85"/>
      <c r="U368" s="94"/>
      <c r="V368" s="93"/>
      <c r="W368" s="85"/>
      <c r="Y368" s="94"/>
      <c r="Z368" s="93"/>
      <c r="AA368" s="85"/>
      <c r="AC368" s="94"/>
      <c r="AD368" s="93"/>
      <c r="AE368" s="85"/>
    </row>
    <row r="369" spans="7:31" x14ac:dyDescent="0.35">
      <c r="G369" s="85"/>
      <c r="H369" s="87"/>
      <c r="I369" s="94"/>
      <c r="J369" s="93"/>
      <c r="K369" s="85"/>
      <c r="M369" s="94"/>
      <c r="N369" s="93"/>
      <c r="O369" s="85"/>
      <c r="Q369" s="94"/>
      <c r="R369" s="93"/>
      <c r="S369" s="85"/>
      <c r="U369" s="94"/>
      <c r="V369" s="93"/>
      <c r="W369" s="85"/>
      <c r="Y369" s="94"/>
      <c r="Z369" s="93"/>
      <c r="AA369" s="85"/>
      <c r="AC369" s="94"/>
      <c r="AD369" s="93"/>
      <c r="AE369" s="85"/>
    </row>
    <row r="370" spans="7:31" x14ac:dyDescent="0.35">
      <c r="G370" s="85"/>
      <c r="H370" s="87"/>
      <c r="I370" s="94"/>
      <c r="J370" s="93"/>
      <c r="K370" s="85"/>
      <c r="M370" s="94"/>
      <c r="N370" s="93"/>
      <c r="O370" s="85"/>
      <c r="Q370" s="94"/>
      <c r="R370" s="93"/>
      <c r="S370" s="85"/>
      <c r="U370" s="94"/>
      <c r="V370" s="93"/>
      <c r="W370" s="85"/>
      <c r="Y370" s="94"/>
      <c r="Z370" s="93"/>
      <c r="AA370" s="85"/>
      <c r="AC370" s="94"/>
      <c r="AD370" s="93"/>
      <c r="AE370" s="85"/>
    </row>
    <row r="371" spans="7:31" x14ac:dyDescent="0.35">
      <c r="G371" s="85"/>
      <c r="H371" s="87"/>
      <c r="I371" s="94"/>
      <c r="J371" s="93"/>
      <c r="K371" s="85"/>
      <c r="M371" s="94"/>
      <c r="N371" s="93"/>
      <c r="O371" s="85"/>
      <c r="Q371" s="94"/>
      <c r="R371" s="93"/>
      <c r="S371" s="85"/>
      <c r="U371" s="94"/>
      <c r="V371" s="93"/>
      <c r="W371" s="85"/>
      <c r="Y371" s="94"/>
      <c r="Z371" s="93"/>
      <c r="AA371" s="85"/>
      <c r="AC371" s="94"/>
      <c r="AD371" s="93"/>
      <c r="AE371" s="85"/>
    </row>
    <row r="372" spans="7:31" x14ac:dyDescent="0.35">
      <c r="G372" s="85"/>
      <c r="H372" s="87"/>
      <c r="I372" s="94"/>
      <c r="J372" s="93"/>
      <c r="K372" s="85"/>
      <c r="M372" s="94"/>
      <c r="N372" s="93"/>
      <c r="O372" s="85"/>
      <c r="Q372" s="94"/>
      <c r="R372" s="93"/>
      <c r="S372" s="85"/>
      <c r="U372" s="94"/>
      <c r="V372" s="93"/>
      <c r="W372" s="85"/>
      <c r="Y372" s="94"/>
      <c r="Z372" s="93"/>
      <c r="AA372" s="85"/>
      <c r="AC372" s="94"/>
      <c r="AD372" s="93"/>
      <c r="AE372" s="85"/>
    </row>
    <row r="373" spans="7:31" x14ac:dyDescent="0.35">
      <c r="G373" s="85"/>
      <c r="H373" s="87"/>
      <c r="I373" s="94"/>
      <c r="J373" s="93"/>
      <c r="K373" s="85"/>
      <c r="M373" s="94"/>
      <c r="N373" s="93"/>
      <c r="O373" s="85"/>
      <c r="Q373" s="94"/>
      <c r="R373" s="93"/>
      <c r="S373" s="85"/>
      <c r="U373" s="94"/>
      <c r="V373" s="93"/>
      <c r="W373" s="85"/>
      <c r="Y373" s="94"/>
      <c r="Z373" s="93"/>
      <c r="AA373" s="85"/>
      <c r="AC373" s="94"/>
      <c r="AD373" s="93"/>
      <c r="AE373" s="85"/>
    </row>
    <row r="374" spans="7:31" x14ac:dyDescent="0.35">
      <c r="G374" s="85"/>
      <c r="H374" s="87"/>
      <c r="I374" s="94"/>
      <c r="J374" s="93"/>
      <c r="K374" s="85"/>
      <c r="M374" s="94"/>
      <c r="N374" s="93"/>
      <c r="O374" s="85"/>
      <c r="Q374" s="94"/>
      <c r="R374" s="93"/>
      <c r="S374" s="85"/>
      <c r="U374" s="94"/>
      <c r="V374" s="93"/>
      <c r="W374" s="85"/>
      <c r="Y374" s="94"/>
      <c r="Z374" s="93"/>
      <c r="AA374" s="85"/>
      <c r="AC374" s="94"/>
      <c r="AD374" s="93"/>
      <c r="AE374" s="85"/>
    </row>
    <row r="375" spans="7:31" x14ac:dyDescent="0.35">
      <c r="G375" s="85"/>
      <c r="H375" s="87"/>
      <c r="I375" s="94"/>
      <c r="J375" s="93"/>
      <c r="K375" s="85"/>
      <c r="M375" s="94"/>
      <c r="N375" s="93"/>
      <c r="O375" s="85"/>
      <c r="Q375" s="94"/>
      <c r="R375" s="93"/>
      <c r="S375" s="85"/>
      <c r="U375" s="94"/>
      <c r="V375" s="93"/>
      <c r="W375" s="85"/>
      <c r="Y375" s="94"/>
      <c r="Z375" s="93"/>
      <c r="AA375" s="85"/>
      <c r="AC375" s="94"/>
      <c r="AD375" s="93"/>
      <c r="AE375" s="85"/>
    </row>
    <row r="376" spans="7:31" x14ac:dyDescent="0.35">
      <c r="G376" s="85"/>
      <c r="H376" s="87"/>
      <c r="I376" s="94"/>
      <c r="J376" s="93"/>
      <c r="K376" s="85"/>
      <c r="M376" s="94"/>
      <c r="N376" s="93"/>
      <c r="O376" s="85"/>
      <c r="Q376" s="94"/>
      <c r="R376" s="93"/>
      <c r="S376" s="85"/>
      <c r="U376" s="94"/>
      <c r="V376" s="93"/>
      <c r="W376" s="85"/>
      <c r="Y376" s="94"/>
      <c r="Z376" s="93"/>
      <c r="AA376" s="85"/>
      <c r="AC376" s="94"/>
      <c r="AD376" s="93"/>
      <c r="AE376" s="85"/>
    </row>
    <row r="377" spans="7:31" x14ac:dyDescent="0.35">
      <c r="G377" s="85"/>
      <c r="H377" s="87"/>
      <c r="I377" s="94"/>
      <c r="J377" s="93"/>
      <c r="K377" s="85"/>
      <c r="M377" s="94"/>
      <c r="N377" s="93"/>
      <c r="O377" s="85"/>
      <c r="Q377" s="94"/>
      <c r="R377" s="93"/>
      <c r="S377" s="85"/>
      <c r="U377" s="94"/>
      <c r="V377" s="93"/>
      <c r="W377" s="85"/>
      <c r="Y377" s="94"/>
      <c r="Z377" s="93"/>
      <c r="AA377" s="85"/>
      <c r="AC377" s="94"/>
      <c r="AD377" s="93"/>
      <c r="AE377" s="85"/>
    </row>
    <row r="378" spans="7:31" x14ac:dyDescent="0.35">
      <c r="G378" s="85"/>
      <c r="H378" s="87"/>
      <c r="I378" s="94"/>
      <c r="J378" s="93"/>
      <c r="K378" s="85"/>
      <c r="M378" s="94"/>
      <c r="N378" s="93"/>
      <c r="O378" s="85"/>
      <c r="Q378" s="94"/>
      <c r="R378" s="93"/>
      <c r="S378" s="85"/>
      <c r="U378" s="94"/>
      <c r="V378" s="93"/>
      <c r="W378" s="85"/>
      <c r="Y378" s="94"/>
      <c r="Z378" s="93"/>
      <c r="AA378" s="85"/>
      <c r="AC378" s="94"/>
      <c r="AD378" s="93"/>
      <c r="AE378" s="85"/>
    </row>
    <row r="379" spans="7:31" x14ac:dyDescent="0.35">
      <c r="G379" s="85"/>
      <c r="H379" s="87"/>
      <c r="I379" s="94"/>
      <c r="J379" s="93"/>
      <c r="K379" s="85"/>
      <c r="M379" s="94"/>
      <c r="N379" s="93"/>
      <c r="O379" s="85"/>
      <c r="Q379" s="94"/>
      <c r="R379" s="93"/>
      <c r="S379" s="85"/>
      <c r="U379" s="94"/>
      <c r="V379" s="93"/>
      <c r="W379" s="85"/>
      <c r="Y379" s="94"/>
      <c r="Z379" s="93"/>
      <c r="AA379" s="85"/>
      <c r="AC379" s="94"/>
      <c r="AD379" s="93"/>
      <c r="AE379" s="85"/>
    </row>
    <row r="380" spans="7:31" x14ac:dyDescent="0.35">
      <c r="G380" s="85"/>
      <c r="H380" s="87"/>
      <c r="I380" s="94"/>
      <c r="J380" s="93"/>
      <c r="K380" s="85"/>
      <c r="M380" s="94"/>
      <c r="N380" s="93"/>
      <c r="O380" s="85"/>
      <c r="Q380" s="94"/>
      <c r="R380" s="93"/>
      <c r="S380" s="85"/>
      <c r="U380" s="94"/>
      <c r="V380" s="93"/>
      <c r="W380" s="85"/>
      <c r="Y380" s="94"/>
      <c r="Z380" s="93"/>
      <c r="AA380" s="85"/>
      <c r="AC380" s="94"/>
      <c r="AD380" s="93"/>
      <c r="AE380" s="85"/>
    </row>
    <row r="381" spans="7:31" x14ac:dyDescent="0.35">
      <c r="G381" s="85"/>
      <c r="H381" s="87"/>
      <c r="I381" s="94"/>
      <c r="J381" s="93"/>
      <c r="K381" s="85"/>
      <c r="M381" s="94"/>
      <c r="N381" s="93"/>
      <c r="O381" s="85"/>
      <c r="Q381" s="94"/>
      <c r="R381" s="93"/>
      <c r="S381" s="85"/>
      <c r="U381" s="94"/>
      <c r="V381" s="93"/>
      <c r="W381" s="85"/>
      <c r="Y381" s="94"/>
      <c r="Z381" s="93"/>
      <c r="AA381" s="85"/>
      <c r="AC381" s="94"/>
      <c r="AD381" s="93"/>
      <c r="AE381" s="85"/>
    </row>
    <row r="382" spans="7:31" x14ac:dyDescent="0.35">
      <c r="G382" s="85"/>
      <c r="H382" s="87"/>
      <c r="I382" s="94"/>
      <c r="J382" s="93"/>
      <c r="K382" s="85"/>
      <c r="M382" s="94"/>
      <c r="N382" s="93"/>
      <c r="O382" s="85"/>
      <c r="Q382" s="94"/>
      <c r="R382" s="93"/>
      <c r="S382" s="85"/>
      <c r="U382" s="94"/>
      <c r="V382" s="93"/>
      <c r="W382" s="85"/>
      <c r="Y382" s="94"/>
      <c r="Z382" s="93"/>
      <c r="AA382" s="85"/>
      <c r="AC382" s="94"/>
      <c r="AD382" s="93"/>
      <c r="AE382" s="85"/>
    </row>
    <row r="383" spans="7:31" x14ac:dyDescent="0.35">
      <c r="G383" s="85"/>
      <c r="H383" s="87"/>
      <c r="I383" s="94"/>
      <c r="J383" s="93"/>
      <c r="K383" s="85"/>
      <c r="M383" s="94"/>
      <c r="N383" s="93"/>
      <c r="O383" s="85"/>
      <c r="Q383" s="94"/>
      <c r="R383" s="93"/>
      <c r="S383" s="85"/>
      <c r="U383" s="94"/>
      <c r="V383" s="93"/>
      <c r="W383" s="85"/>
      <c r="Y383" s="94"/>
      <c r="Z383" s="93"/>
      <c r="AA383" s="85"/>
      <c r="AC383" s="94"/>
      <c r="AD383" s="93"/>
      <c r="AE383" s="85"/>
    </row>
    <row r="384" spans="7:31" x14ac:dyDescent="0.35">
      <c r="G384" s="85"/>
      <c r="H384" s="87"/>
      <c r="I384" s="94"/>
      <c r="J384" s="93"/>
      <c r="K384" s="85"/>
      <c r="M384" s="94"/>
      <c r="N384" s="93"/>
      <c r="O384" s="85"/>
      <c r="Q384" s="94"/>
      <c r="R384" s="93"/>
      <c r="S384" s="85"/>
      <c r="U384" s="94"/>
      <c r="V384" s="93"/>
      <c r="W384" s="85"/>
      <c r="Y384" s="94"/>
      <c r="Z384" s="93"/>
      <c r="AA384" s="85"/>
      <c r="AC384" s="94"/>
      <c r="AD384" s="93"/>
      <c r="AE384" s="85"/>
    </row>
    <row r="385" spans="7:31" x14ac:dyDescent="0.35">
      <c r="G385" s="85"/>
      <c r="H385" s="87"/>
      <c r="I385" s="94"/>
      <c r="J385" s="93"/>
      <c r="K385" s="85"/>
      <c r="M385" s="94"/>
      <c r="N385" s="93"/>
      <c r="O385" s="85"/>
      <c r="Q385" s="94"/>
      <c r="R385" s="93"/>
      <c r="S385" s="85"/>
      <c r="U385" s="94"/>
      <c r="V385" s="93"/>
      <c r="W385" s="85"/>
      <c r="Y385" s="94"/>
      <c r="Z385" s="93"/>
      <c r="AA385" s="85"/>
      <c r="AC385" s="94"/>
      <c r="AD385" s="93"/>
      <c r="AE385" s="85"/>
    </row>
    <row r="386" spans="7:31" x14ac:dyDescent="0.35">
      <c r="G386" s="85"/>
      <c r="H386" s="87"/>
      <c r="I386" s="94"/>
      <c r="J386" s="93"/>
      <c r="K386" s="85"/>
      <c r="M386" s="94"/>
      <c r="N386" s="93"/>
      <c r="O386" s="85"/>
      <c r="Q386" s="94"/>
      <c r="R386" s="93"/>
      <c r="S386" s="85"/>
      <c r="U386" s="94"/>
      <c r="V386" s="93"/>
      <c r="W386" s="85"/>
      <c r="Y386" s="94"/>
      <c r="Z386" s="93"/>
      <c r="AA386" s="85"/>
      <c r="AC386" s="94"/>
      <c r="AD386" s="93"/>
      <c r="AE386" s="85"/>
    </row>
    <row r="387" spans="7:31" x14ac:dyDescent="0.35">
      <c r="G387" s="85"/>
      <c r="H387" s="87"/>
      <c r="I387" s="94"/>
      <c r="J387" s="93"/>
      <c r="K387" s="85"/>
      <c r="M387" s="94"/>
      <c r="N387" s="93"/>
      <c r="O387" s="85"/>
      <c r="Q387" s="94"/>
      <c r="R387" s="93"/>
      <c r="S387" s="85"/>
      <c r="U387" s="94"/>
      <c r="V387" s="93"/>
      <c r="W387" s="85"/>
      <c r="Y387" s="94"/>
      <c r="Z387" s="93"/>
      <c r="AA387" s="85"/>
      <c r="AC387" s="94"/>
      <c r="AD387" s="93"/>
      <c r="AE387" s="85"/>
    </row>
    <row r="388" spans="7:31" x14ac:dyDescent="0.35">
      <c r="G388" s="85"/>
      <c r="H388" s="87"/>
      <c r="I388" s="94"/>
      <c r="J388" s="93"/>
      <c r="K388" s="85"/>
      <c r="M388" s="94"/>
      <c r="N388" s="93"/>
      <c r="O388" s="85"/>
      <c r="Q388" s="94"/>
      <c r="R388" s="93"/>
      <c r="S388" s="85"/>
      <c r="U388" s="94"/>
      <c r="V388" s="93"/>
      <c r="W388" s="85"/>
      <c r="Y388" s="94"/>
      <c r="Z388" s="93"/>
      <c r="AA388" s="85"/>
      <c r="AC388" s="94"/>
      <c r="AD388" s="93"/>
      <c r="AE388" s="85"/>
    </row>
    <row r="389" spans="7:31" x14ac:dyDescent="0.35">
      <c r="G389" s="85"/>
      <c r="H389" s="87"/>
      <c r="I389" s="94"/>
      <c r="J389" s="93"/>
      <c r="K389" s="85"/>
      <c r="M389" s="94"/>
      <c r="N389" s="93"/>
      <c r="O389" s="85"/>
      <c r="Q389" s="94"/>
      <c r="R389" s="93"/>
      <c r="S389" s="85"/>
      <c r="U389" s="94"/>
      <c r="V389" s="93"/>
      <c r="W389" s="85"/>
      <c r="Y389" s="94"/>
      <c r="Z389" s="93"/>
      <c r="AA389" s="85"/>
      <c r="AC389" s="94"/>
      <c r="AD389" s="93"/>
      <c r="AE389" s="85"/>
    </row>
    <row r="390" spans="7:31" x14ac:dyDescent="0.35">
      <c r="G390" s="85"/>
      <c r="H390" s="87"/>
      <c r="I390" s="94"/>
      <c r="J390" s="93"/>
      <c r="K390" s="85"/>
      <c r="M390" s="94"/>
      <c r="N390" s="93"/>
      <c r="O390" s="85"/>
      <c r="Q390" s="94"/>
      <c r="R390" s="93"/>
      <c r="S390" s="85"/>
      <c r="U390" s="94"/>
      <c r="V390" s="93"/>
      <c r="W390" s="85"/>
      <c r="Y390" s="94"/>
      <c r="Z390" s="93"/>
      <c r="AA390" s="85"/>
      <c r="AC390" s="94"/>
      <c r="AD390" s="93"/>
      <c r="AE390" s="85"/>
    </row>
    <row r="391" spans="7:31" x14ac:dyDescent="0.35">
      <c r="G391" s="85"/>
      <c r="H391" s="87"/>
      <c r="I391" s="94"/>
      <c r="J391" s="93"/>
      <c r="K391" s="85"/>
      <c r="M391" s="94"/>
      <c r="N391" s="93"/>
      <c r="O391" s="85"/>
      <c r="Q391" s="94"/>
      <c r="R391" s="93"/>
      <c r="S391" s="85"/>
      <c r="U391" s="94"/>
      <c r="V391" s="93"/>
      <c r="W391" s="85"/>
      <c r="Y391" s="94"/>
      <c r="Z391" s="93"/>
      <c r="AA391" s="85"/>
      <c r="AC391" s="94"/>
      <c r="AD391" s="93"/>
      <c r="AE391" s="85"/>
    </row>
    <row r="392" spans="7:31" x14ac:dyDescent="0.35">
      <c r="G392" s="85"/>
      <c r="H392" s="87"/>
      <c r="I392" s="94"/>
      <c r="J392" s="93"/>
      <c r="K392" s="85"/>
      <c r="M392" s="94"/>
      <c r="N392" s="93"/>
      <c r="O392" s="85"/>
      <c r="Q392" s="94"/>
      <c r="R392" s="93"/>
      <c r="S392" s="85"/>
      <c r="U392" s="94"/>
      <c r="V392" s="93"/>
      <c r="W392" s="85"/>
      <c r="Y392" s="94"/>
      <c r="Z392" s="93"/>
      <c r="AA392" s="85"/>
      <c r="AC392" s="94"/>
      <c r="AD392" s="93"/>
      <c r="AE392" s="85"/>
    </row>
    <row r="393" spans="7:31" x14ac:dyDescent="0.35">
      <c r="G393" s="85"/>
      <c r="H393" s="87"/>
      <c r="I393" s="94"/>
      <c r="J393" s="93"/>
      <c r="K393" s="85"/>
      <c r="M393" s="94"/>
      <c r="N393" s="93"/>
      <c r="O393" s="85"/>
      <c r="Q393" s="94"/>
      <c r="R393" s="93"/>
      <c r="S393" s="85"/>
      <c r="U393" s="94"/>
      <c r="V393" s="93"/>
      <c r="W393" s="85"/>
      <c r="Y393" s="94"/>
      <c r="Z393" s="93"/>
      <c r="AA393" s="85"/>
      <c r="AC393" s="94"/>
      <c r="AD393" s="93"/>
      <c r="AE393" s="85"/>
    </row>
    <row r="394" spans="7:31" x14ac:dyDescent="0.35">
      <c r="G394" s="85"/>
      <c r="H394" s="87"/>
      <c r="I394" s="94"/>
      <c r="J394" s="93"/>
      <c r="K394" s="85"/>
      <c r="M394" s="94"/>
      <c r="N394" s="93"/>
      <c r="O394" s="85"/>
      <c r="Q394" s="94"/>
      <c r="R394" s="93"/>
      <c r="S394" s="85"/>
      <c r="U394" s="94"/>
      <c r="V394" s="93"/>
      <c r="W394" s="85"/>
      <c r="Y394" s="94"/>
      <c r="Z394" s="93"/>
      <c r="AA394" s="85"/>
      <c r="AC394" s="94"/>
      <c r="AD394" s="93"/>
      <c r="AE394" s="85"/>
    </row>
    <row r="395" spans="7:31" x14ac:dyDescent="0.35">
      <c r="G395" s="85"/>
      <c r="H395" s="87"/>
      <c r="I395" s="94"/>
      <c r="J395" s="93"/>
      <c r="K395" s="85"/>
      <c r="M395" s="94"/>
      <c r="N395" s="93"/>
      <c r="O395" s="85"/>
      <c r="Q395" s="94"/>
      <c r="R395" s="93"/>
      <c r="S395" s="85"/>
      <c r="U395" s="94"/>
      <c r="V395" s="93"/>
      <c r="W395" s="85"/>
      <c r="Y395" s="94"/>
      <c r="Z395" s="93"/>
      <c r="AA395" s="85"/>
      <c r="AC395" s="94"/>
      <c r="AD395" s="93"/>
      <c r="AE395" s="85"/>
    </row>
    <row r="396" spans="7:31" x14ac:dyDescent="0.35">
      <c r="G396" s="85"/>
      <c r="H396" s="87"/>
      <c r="I396" s="94"/>
      <c r="J396" s="93"/>
      <c r="K396" s="85"/>
      <c r="M396" s="94"/>
      <c r="N396" s="93"/>
      <c r="O396" s="85"/>
      <c r="Q396" s="94"/>
      <c r="R396" s="93"/>
      <c r="S396" s="85"/>
      <c r="U396" s="94"/>
      <c r="V396" s="93"/>
      <c r="W396" s="85"/>
      <c r="Y396" s="94"/>
      <c r="Z396" s="93"/>
      <c r="AA396" s="85"/>
      <c r="AC396" s="94"/>
      <c r="AD396" s="93"/>
      <c r="AE396" s="85"/>
    </row>
    <row r="397" spans="7:31" x14ac:dyDescent="0.35">
      <c r="G397" s="85"/>
      <c r="H397" s="87"/>
      <c r="I397" s="94"/>
      <c r="J397" s="93"/>
      <c r="K397" s="85"/>
      <c r="M397" s="94"/>
      <c r="N397" s="93"/>
      <c r="O397" s="85"/>
      <c r="Q397" s="94"/>
      <c r="R397" s="93"/>
      <c r="S397" s="85"/>
      <c r="U397" s="94"/>
      <c r="V397" s="93"/>
      <c r="W397" s="85"/>
      <c r="Y397" s="94"/>
      <c r="Z397" s="93"/>
      <c r="AA397" s="85"/>
      <c r="AC397" s="94"/>
      <c r="AD397" s="93"/>
      <c r="AE397" s="85"/>
    </row>
    <row r="398" spans="7:31" x14ac:dyDescent="0.35">
      <c r="G398" s="85"/>
      <c r="H398" s="87"/>
      <c r="I398" s="94"/>
      <c r="J398" s="93"/>
      <c r="K398" s="85"/>
      <c r="M398" s="94"/>
      <c r="N398" s="93"/>
      <c r="O398" s="85"/>
      <c r="Q398" s="94"/>
      <c r="R398" s="93"/>
      <c r="S398" s="85"/>
      <c r="U398" s="94"/>
      <c r="V398" s="93"/>
      <c r="W398" s="85"/>
      <c r="Y398" s="94"/>
      <c r="Z398" s="93"/>
      <c r="AA398" s="85"/>
      <c r="AC398" s="94"/>
      <c r="AD398" s="93"/>
      <c r="AE398" s="85"/>
    </row>
    <row r="399" spans="7:31" x14ac:dyDescent="0.35">
      <c r="G399" s="85"/>
      <c r="H399" s="87"/>
      <c r="I399" s="94"/>
      <c r="J399" s="93"/>
      <c r="K399" s="85"/>
      <c r="M399" s="94"/>
      <c r="N399" s="93"/>
      <c r="O399" s="85"/>
      <c r="Q399" s="94"/>
      <c r="R399" s="93"/>
      <c r="S399" s="85"/>
      <c r="U399" s="94"/>
      <c r="V399" s="93"/>
      <c r="W399" s="85"/>
      <c r="Y399" s="94"/>
      <c r="Z399" s="93"/>
      <c r="AA399" s="85"/>
      <c r="AC399" s="94"/>
      <c r="AD399" s="93"/>
      <c r="AE399" s="85"/>
    </row>
    <row r="400" spans="7:31" x14ac:dyDescent="0.35">
      <c r="G400" s="85"/>
      <c r="H400" s="87"/>
      <c r="I400" s="94"/>
      <c r="J400" s="93"/>
      <c r="K400" s="85"/>
      <c r="M400" s="94"/>
      <c r="N400" s="93"/>
      <c r="O400" s="85"/>
      <c r="Q400" s="94"/>
      <c r="R400" s="93"/>
      <c r="S400" s="85"/>
      <c r="U400" s="94"/>
      <c r="V400" s="93"/>
      <c r="W400" s="85"/>
      <c r="Y400" s="94"/>
      <c r="Z400" s="93"/>
      <c r="AA400" s="85"/>
      <c r="AC400" s="94"/>
      <c r="AD400" s="93"/>
      <c r="AE400" s="85"/>
    </row>
    <row r="401" spans="7:31" x14ac:dyDescent="0.35">
      <c r="G401" s="85"/>
      <c r="H401" s="87"/>
      <c r="I401" s="94"/>
      <c r="J401" s="93"/>
      <c r="K401" s="85"/>
      <c r="M401" s="94"/>
      <c r="N401" s="93"/>
      <c r="O401" s="85"/>
      <c r="Q401" s="94"/>
      <c r="R401" s="93"/>
      <c r="S401" s="85"/>
      <c r="U401" s="94"/>
      <c r="V401" s="93"/>
      <c r="W401" s="85"/>
      <c r="Y401" s="94"/>
      <c r="Z401" s="93"/>
      <c r="AA401" s="85"/>
      <c r="AC401" s="94"/>
      <c r="AD401" s="93"/>
      <c r="AE401" s="85"/>
    </row>
    <row r="402" spans="7:31" x14ac:dyDescent="0.35">
      <c r="G402" s="85"/>
      <c r="H402" s="87"/>
      <c r="I402" s="94"/>
      <c r="J402" s="93"/>
      <c r="K402" s="85"/>
      <c r="M402" s="94"/>
      <c r="N402" s="93"/>
      <c r="O402" s="85"/>
      <c r="Q402" s="94"/>
      <c r="R402" s="93"/>
      <c r="S402" s="85"/>
      <c r="U402" s="94"/>
      <c r="V402" s="93"/>
      <c r="W402" s="85"/>
      <c r="Y402" s="94"/>
      <c r="Z402" s="93"/>
      <c r="AA402" s="85"/>
      <c r="AC402" s="94"/>
      <c r="AD402" s="93"/>
      <c r="AE402" s="85"/>
    </row>
    <row r="403" spans="7:31" x14ac:dyDescent="0.35">
      <c r="G403" s="85"/>
      <c r="H403" s="87"/>
      <c r="I403" s="94"/>
      <c r="J403" s="93"/>
      <c r="K403" s="85"/>
      <c r="M403" s="94"/>
      <c r="N403" s="93"/>
      <c r="O403" s="85"/>
      <c r="Q403" s="94"/>
      <c r="R403" s="93"/>
      <c r="S403" s="85"/>
      <c r="U403" s="94"/>
      <c r="V403" s="93"/>
      <c r="W403" s="85"/>
      <c r="Y403" s="94"/>
      <c r="Z403" s="93"/>
      <c r="AA403" s="85"/>
      <c r="AC403" s="94"/>
      <c r="AD403" s="93"/>
      <c r="AE403" s="85"/>
    </row>
    <row r="404" spans="7:31" x14ac:dyDescent="0.35">
      <c r="G404" s="85"/>
      <c r="H404" s="87"/>
      <c r="I404" s="94"/>
      <c r="J404" s="93"/>
      <c r="K404" s="85"/>
      <c r="M404" s="94"/>
      <c r="N404" s="93"/>
      <c r="O404" s="85"/>
      <c r="Q404" s="94"/>
      <c r="R404" s="93"/>
      <c r="S404" s="85"/>
      <c r="U404" s="94"/>
      <c r="V404" s="93"/>
      <c r="W404" s="85"/>
      <c r="Y404" s="94"/>
      <c r="Z404" s="93"/>
      <c r="AA404" s="85"/>
      <c r="AC404" s="94"/>
      <c r="AD404" s="93"/>
      <c r="AE404" s="85"/>
    </row>
    <row r="405" spans="7:31" x14ac:dyDescent="0.35">
      <c r="G405" s="85"/>
      <c r="H405" s="87"/>
      <c r="I405" s="94"/>
      <c r="J405" s="93"/>
      <c r="K405" s="85"/>
      <c r="M405" s="94"/>
      <c r="N405" s="93"/>
      <c r="O405" s="85"/>
      <c r="Q405" s="94"/>
      <c r="R405" s="93"/>
      <c r="S405" s="85"/>
      <c r="U405" s="94"/>
      <c r="V405" s="93"/>
      <c r="W405" s="85"/>
      <c r="Y405" s="94"/>
      <c r="Z405" s="93"/>
      <c r="AA405" s="85"/>
      <c r="AC405" s="94"/>
      <c r="AD405" s="93"/>
      <c r="AE405" s="85"/>
    </row>
    <row r="406" spans="7:31" x14ac:dyDescent="0.35">
      <c r="G406" s="85"/>
      <c r="H406" s="87"/>
      <c r="I406" s="94"/>
      <c r="J406" s="93"/>
      <c r="K406" s="85"/>
      <c r="M406" s="94"/>
      <c r="N406" s="93"/>
      <c r="O406" s="85"/>
      <c r="Q406" s="94"/>
      <c r="R406" s="93"/>
      <c r="S406" s="85"/>
      <c r="U406" s="94"/>
      <c r="V406" s="93"/>
      <c r="W406" s="85"/>
      <c r="Y406" s="94"/>
      <c r="Z406" s="93"/>
      <c r="AA406" s="85"/>
      <c r="AC406" s="94"/>
      <c r="AD406" s="93"/>
      <c r="AE406" s="85"/>
    </row>
    <row r="407" spans="7:31" x14ac:dyDescent="0.35">
      <c r="G407" s="85"/>
      <c r="H407" s="87"/>
      <c r="I407" s="94"/>
      <c r="J407" s="93"/>
      <c r="K407" s="85"/>
      <c r="M407" s="94"/>
      <c r="N407" s="93"/>
      <c r="O407" s="85"/>
      <c r="Q407" s="94"/>
      <c r="R407" s="93"/>
      <c r="S407" s="85"/>
      <c r="U407" s="94"/>
      <c r="V407" s="93"/>
      <c r="W407" s="85"/>
      <c r="Y407" s="94"/>
      <c r="Z407" s="93"/>
      <c r="AA407" s="85"/>
      <c r="AC407" s="94"/>
      <c r="AD407" s="93"/>
      <c r="AE407" s="85"/>
    </row>
    <row r="408" spans="7:31" x14ac:dyDescent="0.35">
      <c r="G408" s="85"/>
      <c r="H408" s="87"/>
      <c r="I408" s="94"/>
      <c r="J408" s="93"/>
      <c r="K408" s="85"/>
      <c r="M408" s="94"/>
      <c r="N408" s="93"/>
      <c r="O408" s="85"/>
      <c r="Q408" s="94"/>
      <c r="R408" s="93"/>
      <c r="S408" s="85"/>
      <c r="U408" s="94"/>
      <c r="V408" s="93"/>
      <c r="W408" s="85"/>
      <c r="Y408" s="94"/>
      <c r="Z408" s="93"/>
      <c r="AA408" s="85"/>
      <c r="AC408" s="94"/>
      <c r="AD408" s="93"/>
      <c r="AE408" s="85"/>
    </row>
    <row r="409" spans="7:31" x14ac:dyDescent="0.35">
      <c r="G409" s="85"/>
      <c r="H409" s="87"/>
      <c r="I409" s="94"/>
      <c r="J409" s="93"/>
      <c r="K409" s="85"/>
      <c r="M409" s="94"/>
      <c r="N409" s="93"/>
      <c r="O409" s="85"/>
      <c r="Q409" s="94"/>
      <c r="R409" s="93"/>
      <c r="S409" s="85"/>
      <c r="U409" s="94"/>
      <c r="V409" s="93"/>
      <c r="W409" s="85"/>
      <c r="Y409" s="94"/>
      <c r="Z409" s="93"/>
      <c r="AA409" s="85"/>
      <c r="AC409" s="94"/>
      <c r="AD409" s="93"/>
      <c r="AE409" s="85"/>
    </row>
    <row r="410" spans="7:31" x14ac:dyDescent="0.35">
      <c r="G410" s="85"/>
      <c r="H410" s="87"/>
      <c r="I410" s="94"/>
      <c r="J410" s="93"/>
      <c r="K410" s="85"/>
      <c r="M410" s="94"/>
      <c r="N410" s="93"/>
      <c r="O410" s="85"/>
      <c r="Q410" s="94"/>
      <c r="R410" s="93"/>
      <c r="S410" s="85"/>
      <c r="U410" s="94"/>
      <c r="V410" s="93"/>
      <c r="W410" s="85"/>
      <c r="Y410" s="94"/>
      <c r="Z410" s="93"/>
      <c r="AA410" s="85"/>
      <c r="AC410" s="94"/>
      <c r="AD410" s="93"/>
      <c r="AE410" s="85"/>
    </row>
    <row r="411" spans="7:31" x14ac:dyDescent="0.35">
      <c r="G411" s="85"/>
      <c r="H411" s="87"/>
      <c r="I411" s="94"/>
      <c r="J411" s="93"/>
      <c r="K411" s="85"/>
      <c r="M411" s="94"/>
      <c r="N411" s="93"/>
      <c r="O411" s="85"/>
      <c r="Q411" s="94"/>
      <c r="R411" s="93"/>
      <c r="S411" s="85"/>
      <c r="U411" s="94"/>
      <c r="V411" s="93"/>
      <c r="W411" s="85"/>
      <c r="Y411" s="94"/>
      <c r="Z411" s="93"/>
      <c r="AA411" s="85"/>
      <c r="AC411" s="94"/>
      <c r="AD411" s="93"/>
      <c r="AE411" s="85"/>
    </row>
    <row r="412" spans="7:31" x14ac:dyDescent="0.35">
      <c r="G412" s="85"/>
      <c r="H412" s="87"/>
      <c r="I412" s="94"/>
      <c r="J412" s="93"/>
      <c r="K412" s="85"/>
      <c r="M412" s="94"/>
      <c r="N412" s="93"/>
      <c r="O412" s="85"/>
      <c r="Q412" s="94"/>
      <c r="R412" s="93"/>
      <c r="S412" s="85"/>
      <c r="U412" s="94"/>
      <c r="V412" s="93"/>
      <c r="W412" s="85"/>
      <c r="Y412" s="94"/>
      <c r="Z412" s="93"/>
      <c r="AA412" s="85"/>
      <c r="AC412" s="94"/>
      <c r="AD412" s="93"/>
      <c r="AE412" s="85"/>
    </row>
    <row r="413" spans="7:31" x14ac:dyDescent="0.35">
      <c r="G413" s="85"/>
      <c r="H413" s="87"/>
      <c r="I413" s="94"/>
      <c r="J413" s="93"/>
      <c r="K413" s="85"/>
      <c r="M413" s="94"/>
      <c r="N413" s="93"/>
      <c r="O413" s="85"/>
      <c r="Q413" s="94"/>
      <c r="R413" s="93"/>
      <c r="S413" s="85"/>
      <c r="U413" s="94"/>
      <c r="V413" s="93"/>
      <c r="W413" s="85"/>
      <c r="Y413" s="94"/>
      <c r="Z413" s="93"/>
      <c r="AA413" s="85"/>
      <c r="AC413" s="94"/>
      <c r="AD413" s="93"/>
      <c r="AE413" s="85"/>
    </row>
    <row r="414" spans="7:31" x14ac:dyDescent="0.35">
      <c r="G414" s="85"/>
      <c r="H414" s="87"/>
      <c r="I414" s="94"/>
      <c r="J414" s="93"/>
      <c r="K414" s="85"/>
      <c r="M414" s="94"/>
      <c r="N414" s="93"/>
      <c r="O414" s="85"/>
      <c r="Q414" s="94"/>
      <c r="R414" s="93"/>
      <c r="S414" s="85"/>
      <c r="U414" s="94"/>
      <c r="V414" s="93"/>
      <c r="W414" s="85"/>
      <c r="Y414" s="94"/>
      <c r="Z414" s="93"/>
      <c r="AA414" s="85"/>
      <c r="AC414" s="94"/>
      <c r="AD414" s="93"/>
      <c r="AE414" s="85"/>
    </row>
    <row r="415" spans="7:31" x14ac:dyDescent="0.35">
      <c r="G415" s="85"/>
      <c r="H415" s="87"/>
      <c r="I415" s="94"/>
      <c r="J415" s="93"/>
      <c r="K415" s="85"/>
      <c r="M415" s="94"/>
      <c r="N415" s="93"/>
      <c r="O415" s="85"/>
      <c r="Q415" s="94"/>
      <c r="R415" s="93"/>
      <c r="S415" s="85"/>
      <c r="U415" s="94"/>
      <c r="V415" s="93"/>
      <c r="W415" s="85"/>
      <c r="Y415" s="94"/>
      <c r="Z415" s="93"/>
      <c r="AA415" s="85"/>
      <c r="AC415" s="94"/>
      <c r="AD415" s="93"/>
      <c r="AE415" s="85"/>
    </row>
    <row r="416" spans="7:31" x14ac:dyDescent="0.35">
      <c r="G416" s="85"/>
      <c r="H416" s="87"/>
      <c r="I416" s="94"/>
      <c r="J416" s="93"/>
      <c r="K416" s="85"/>
      <c r="M416" s="94"/>
      <c r="N416" s="93"/>
      <c r="O416" s="85"/>
      <c r="Q416" s="94"/>
      <c r="R416" s="93"/>
      <c r="S416" s="85"/>
      <c r="U416" s="94"/>
      <c r="V416" s="93"/>
      <c r="W416" s="85"/>
      <c r="Y416" s="94"/>
      <c r="Z416" s="93"/>
      <c r="AA416" s="85"/>
      <c r="AC416" s="94"/>
      <c r="AD416" s="93"/>
      <c r="AE416" s="85"/>
    </row>
    <row r="417" spans="7:31" x14ac:dyDescent="0.35">
      <c r="G417" s="85"/>
      <c r="H417" s="87"/>
      <c r="I417" s="94"/>
      <c r="J417" s="93"/>
      <c r="K417" s="85"/>
      <c r="M417" s="94"/>
      <c r="N417" s="93"/>
      <c r="O417" s="85"/>
      <c r="Q417" s="94"/>
      <c r="R417" s="93"/>
      <c r="S417" s="85"/>
      <c r="U417" s="94"/>
      <c r="V417" s="93"/>
      <c r="W417" s="85"/>
      <c r="Y417" s="94"/>
      <c r="Z417" s="93"/>
      <c r="AA417" s="85"/>
      <c r="AC417" s="94"/>
      <c r="AD417" s="93"/>
      <c r="AE417" s="85"/>
    </row>
    <row r="418" spans="7:31" x14ac:dyDescent="0.35">
      <c r="G418" s="85"/>
      <c r="H418" s="87"/>
      <c r="I418" s="94"/>
      <c r="J418" s="93"/>
      <c r="K418" s="85"/>
      <c r="M418" s="94"/>
      <c r="N418" s="93"/>
      <c r="O418" s="85"/>
      <c r="Q418" s="94"/>
      <c r="R418" s="93"/>
      <c r="S418" s="85"/>
      <c r="U418" s="94"/>
      <c r="V418" s="93"/>
      <c r="W418" s="85"/>
      <c r="Y418" s="94"/>
      <c r="Z418" s="93"/>
      <c r="AA418" s="85"/>
      <c r="AC418" s="94"/>
      <c r="AD418" s="93"/>
      <c r="AE418" s="85"/>
    </row>
    <row r="419" spans="7:31" x14ac:dyDescent="0.35">
      <c r="G419" s="85"/>
      <c r="H419" s="87"/>
      <c r="I419" s="94"/>
      <c r="J419" s="93"/>
      <c r="K419" s="85"/>
      <c r="M419" s="94"/>
      <c r="N419" s="93"/>
      <c r="O419" s="85"/>
      <c r="Q419" s="94"/>
      <c r="R419" s="93"/>
      <c r="S419" s="85"/>
      <c r="U419" s="94"/>
      <c r="V419" s="93"/>
      <c r="W419" s="85"/>
      <c r="Y419" s="94"/>
      <c r="Z419" s="93"/>
      <c r="AA419" s="85"/>
      <c r="AC419" s="94"/>
      <c r="AD419" s="93"/>
      <c r="AE419" s="85"/>
    </row>
    <row r="420" spans="7:31" x14ac:dyDescent="0.35">
      <c r="G420" s="85"/>
      <c r="H420" s="87"/>
      <c r="I420" s="94"/>
      <c r="J420" s="93"/>
      <c r="K420" s="85"/>
      <c r="M420" s="94"/>
      <c r="N420" s="93"/>
      <c r="O420" s="85"/>
      <c r="Q420" s="94"/>
      <c r="R420" s="93"/>
      <c r="S420" s="85"/>
      <c r="U420" s="94"/>
      <c r="V420" s="93"/>
      <c r="W420" s="85"/>
      <c r="Y420" s="94"/>
      <c r="Z420" s="93"/>
      <c r="AA420" s="85"/>
      <c r="AC420" s="94"/>
      <c r="AD420" s="93"/>
      <c r="AE420" s="85"/>
    </row>
    <row r="421" spans="7:31" x14ac:dyDescent="0.35">
      <c r="G421" s="85"/>
      <c r="H421" s="87"/>
      <c r="I421" s="94"/>
      <c r="J421" s="93"/>
      <c r="K421" s="85"/>
      <c r="M421" s="94"/>
      <c r="N421" s="93"/>
      <c r="O421" s="85"/>
      <c r="Q421" s="94"/>
      <c r="R421" s="93"/>
      <c r="S421" s="85"/>
      <c r="U421" s="94"/>
      <c r="V421" s="93"/>
      <c r="W421" s="85"/>
      <c r="Y421" s="94"/>
      <c r="Z421" s="93"/>
      <c r="AA421" s="85"/>
      <c r="AC421" s="94"/>
      <c r="AD421" s="93"/>
      <c r="AE421" s="85"/>
    </row>
    <row r="422" spans="7:31" x14ac:dyDescent="0.35">
      <c r="G422" s="85"/>
      <c r="H422" s="87"/>
      <c r="I422" s="94"/>
      <c r="J422" s="93"/>
      <c r="K422" s="85"/>
      <c r="M422" s="94"/>
      <c r="N422" s="93"/>
      <c r="O422" s="85"/>
      <c r="Q422" s="94"/>
      <c r="R422" s="93"/>
      <c r="S422" s="85"/>
      <c r="U422" s="94"/>
      <c r="V422" s="93"/>
      <c r="W422" s="85"/>
      <c r="Y422" s="94"/>
      <c r="Z422" s="93"/>
      <c r="AA422" s="85"/>
      <c r="AC422" s="94"/>
      <c r="AD422" s="93"/>
      <c r="AE422" s="85"/>
    </row>
    <row r="423" spans="7:31" x14ac:dyDescent="0.35">
      <c r="G423" s="85"/>
      <c r="H423" s="87"/>
      <c r="I423" s="94"/>
      <c r="J423" s="93"/>
      <c r="K423" s="85"/>
      <c r="M423" s="94"/>
      <c r="N423" s="93"/>
      <c r="O423" s="85"/>
      <c r="Q423" s="94"/>
      <c r="R423" s="93"/>
      <c r="S423" s="85"/>
      <c r="U423" s="94"/>
      <c r="V423" s="93"/>
      <c r="W423" s="85"/>
      <c r="Y423" s="94"/>
      <c r="Z423" s="93"/>
      <c r="AA423" s="85"/>
      <c r="AC423" s="94"/>
      <c r="AD423" s="93"/>
      <c r="AE423" s="85"/>
    </row>
    <row r="424" spans="7:31" x14ac:dyDescent="0.35">
      <c r="G424" s="85"/>
      <c r="H424" s="87"/>
      <c r="I424" s="94"/>
      <c r="J424" s="93"/>
      <c r="K424" s="85"/>
      <c r="M424" s="94"/>
      <c r="N424" s="93"/>
      <c r="O424" s="85"/>
      <c r="Q424" s="94"/>
      <c r="R424" s="93"/>
      <c r="S424" s="85"/>
      <c r="U424" s="94"/>
      <c r="V424" s="93"/>
      <c r="W424" s="85"/>
      <c r="Y424" s="94"/>
      <c r="Z424" s="93"/>
      <c r="AA424" s="85"/>
      <c r="AC424" s="94"/>
      <c r="AD424" s="93"/>
      <c r="AE424" s="85"/>
    </row>
    <row r="425" spans="7:31" x14ac:dyDescent="0.35">
      <c r="G425" s="85"/>
      <c r="H425" s="87"/>
      <c r="I425" s="94"/>
      <c r="J425" s="93"/>
      <c r="K425" s="85"/>
      <c r="M425" s="94"/>
      <c r="N425" s="93"/>
      <c r="O425" s="85"/>
      <c r="Q425" s="94"/>
      <c r="R425" s="93"/>
      <c r="S425" s="85"/>
      <c r="U425" s="94"/>
      <c r="V425" s="93"/>
      <c r="W425" s="85"/>
      <c r="Y425" s="94"/>
      <c r="Z425" s="93"/>
      <c r="AA425" s="85"/>
      <c r="AC425" s="94"/>
      <c r="AD425" s="93"/>
      <c r="AE425" s="85"/>
    </row>
    <row r="426" spans="7:31" x14ac:dyDescent="0.35">
      <c r="G426" s="85"/>
      <c r="H426" s="87"/>
      <c r="I426" s="94"/>
      <c r="J426" s="93"/>
      <c r="K426" s="85"/>
      <c r="M426" s="94"/>
      <c r="N426" s="93"/>
      <c r="O426" s="85"/>
      <c r="Q426" s="94"/>
      <c r="R426" s="93"/>
      <c r="S426" s="85"/>
      <c r="U426" s="94"/>
      <c r="V426" s="93"/>
      <c r="W426" s="85"/>
      <c r="Y426" s="94"/>
      <c r="Z426" s="93"/>
      <c r="AA426" s="85"/>
      <c r="AC426" s="94"/>
      <c r="AD426" s="93"/>
      <c r="AE426" s="85"/>
    </row>
    <row r="427" spans="7:31" x14ac:dyDescent="0.35">
      <c r="G427" s="85"/>
      <c r="H427" s="87"/>
      <c r="I427" s="94"/>
      <c r="J427" s="93"/>
      <c r="K427" s="85"/>
      <c r="M427" s="94"/>
      <c r="N427" s="93"/>
      <c r="O427" s="85"/>
      <c r="Q427" s="94"/>
      <c r="R427" s="93"/>
      <c r="S427" s="85"/>
      <c r="U427" s="94"/>
      <c r="V427" s="93"/>
      <c r="W427" s="85"/>
      <c r="Y427" s="94"/>
      <c r="Z427" s="93"/>
      <c r="AA427" s="85"/>
      <c r="AC427" s="94"/>
      <c r="AD427" s="93"/>
      <c r="AE427" s="85"/>
    </row>
    <row r="428" spans="7:31" x14ac:dyDescent="0.35">
      <c r="G428" s="85"/>
      <c r="H428" s="87"/>
      <c r="I428" s="94"/>
      <c r="J428" s="93"/>
      <c r="K428" s="85"/>
      <c r="M428" s="94"/>
      <c r="N428" s="93"/>
      <c r="O428" s="85"/>
      <c r="Q428" s="94"/>
      <c r="R428" s="93"/>
      <c r="S428" s="85"/>
      <c r="U428" s="94"/>
      <c r="V428" s="93"/>
      <c r="W428" s="85"/>
      <c r="Y428" s="94"/>
      <c r="Z428" s="93"/>
      <c r="AA428" s="85"/>
      <c r="AC428" s="94"/>
      <c r="AD428" s="93"/>
      <c r="AE428" s="85"/>
    </row>
    <row r="429" spans="7:31" x14ac:dyDescent="0.35">
      <c r="G429" s="85"/>
      <c r="H429" s="87"/>
      <c r="I429" s="94"/>
      <c r="J429" s="93"/>
      <c r="K429" s="85"/>
      <c r="M429" s="94"/>
      <c r="N429" s="93"/>
      <c r="O429" s="85"/>
      <c r="Q429" s="94"/>
      <c r="R429" s="93"/>
      <c r="S429" s="85"/>
      <c r="U429" s="94"/>
      <c r="V429" s="93"/>
      <c r="W429" s="85"/>
      <c r="Y429" s="94"/>
      <c r="Z429" s="93"/>
      <c r="AA429" s="85"/>
      <c r="AC429" s="94"/>
      <c r="AD429" s="93"/>
      <c r="AE429" s="85"/>
    </row>
    <row r="430" spans="7:31" x14ac:dyDescent="0.35">
      <c r="G430" s="85"/>
      <c r="H430" s="87"/>
      <c r="I430" s="94"/>
      <c r="J430" s="93"/>
      <c r="K430" s="85"/>
      <c r="M430" s="94"/>
      <c r="N430" s="93"/>
      <c r="O430" s="85"/>
      <c r="Q430" s="94"/>
      <c r="R430" s="93"/>
      <c r="S430" s="85"/>
      <c r="U430" s="94"/>
      <c r="V430" s="93"/>
      <c r="W430" s="85"/>
      <c r="Y430" s="94"/>
      <c r="Z430" s="93"/>
      <c r="AA430" s="85"/>
      <c r="AC430" s="94"/>
      <c r="AD430" s="93"/>
      <c r="AE430" s="85"/>
    </row>
    <row r="431" spans="7:31" x14ac:dyDescent="0.35">
      <c r="G431" s="85"/>
      <c r="H431" s="87"/>
      <c r="I431" s="94"/>
      <c r="J431" s="93"/>
      <c r="K431" s="85"/>
      <c r="M431" s="94"/>
      <c r="N431" s="93"/>
      <c r="O431" s="85"/>
      <c r="Q431" s="94"/>
      <c r="R431" s="93"/>
      <c r="S431" s="85"/>
      <c r="U431" s="94"/>
      <c r="V431" s="93"/>
      <c r="W431" s="85"/>
      <c r="Y431" s="94"/>
      <c r="Z431" s="93"/>
      <c r="AA431" s="85"/>
      <c r="AC431" s="94"/>
      <c r="AD431" s="93"/>
      <c r="AE431" s="85"/>
    </row>
    <row r="432" spans="7:31" x14ac:dyDescent="0.35">
      <c r="G432" s="85"/>
      <c r="H432" s="87"/>
      <c r="I432" s="94"/>
      <c r="J432" s="93"/>
      <c r="K432" s="85"/>
      <c r="M432" s="94"/>
      <c r="N432" s="93"/>
      <c r="O432" s="85"/>
      <c r="Q432" s="94"/>
      <c r="R432" s="93"/>
      <c r="S432" s="85"/>
      <c r="U432" s="94"/>
      <c r="V432" s="93"/>
      <c r="W432" s="85"/>
      <c r="Y432" s="94"/>
      <c r="Z432" s="93"/>
      <c r="AA432" s="85"/>
      <c r="AC432" s="94"/>
      <c r="AD432" s="93"/>
      <c r="AE432" s="85"/>
    </row>
    <row r="433" spans="7:31" x14ac:dyDescent="0.35">
      <c r="G433" s="85"/>
      <c r="H433" s="87"/>
      <c r="I433" s="94"/>
      <c r="J433" s="93"/>
      <c r="K433" s="85"/>
      <c r="M433" s="94"/>
      <c r="N433" s="93"/>
      <c r="O433" s="85"/>
      <c r="Q433" s="94"/>
      <c r="R433" s="93"/>
      <c r="S433" s="85"/>
      <c r="U433" s="94"/>
      <c r="V433" s="93"/>
      <c r="W433" s="85"/>
      <c r="Y433" s="94"/>
      <c r="Z433" s="93"/>
      <c r="AA433" s="85"/>
      <c r="AC433" s="94"/>
      <c r="AD433" s="93"/>
      <c r="AE433" s="85"/>
    </row>
    <row r="434" spans="7:31" x14ac:dyDescent="0.35">
      <c r="G434" s="85"/>
      <c r="H434" s="87"/>
      <c r="I434" s="94"/>
      <c r="J434" s="93"/>
      <c r="K434" s="85"/>
      <c r="M434" s="94"/>
      <c r="N434" s="93"/>
      <c r="O434" s="85"/>
      <c r="Q434" s="94"/>
      <c r="R434" s="93"/>
      <c r="S434" s="85"/>
      <c r="U434" s="94"/>
      <c r="V434" s="93"/>
      <c r="W434" s="85"/>
      <c r="Y434" s="94"/>
      <c r="Z434" s="93"/>
      <c r="AA434" s="85"/>
      <c r="AC434" s="94"/>
      <c r="AD434" s="93"/>
      <c r="AE434" s="85"/>
    </row>
    <row r="435" spans="7:31" x14ac:dyDescent="0.35">
      <c r="G435" s="85"/>
      <c r="H435" s="87"/>
      <c r="I435" s="94"/>
      <c r="J435" s="93"/>
      <c r="K435" s="85"/>
      <c r="M435" s="94"/>
      <c r="N435" s="93"/>
      <c r="O435" s="85"/>
      <c r="Q435" s="94"/>
      <c r="R435" s="93"/>
      <c r="S435" s="85"/>
      <c r="U435" s="94"/>
      <c r="V435" s="93"/>
      <c r="W435" s="85"/>
      <c r="Y435" s="94"/>
      <c r="Z435" s="93"/>
      <c r="AA435" s="85"/>
      <c r="AC435" s="94"/>
      <c r="AD435" s="93"/>
      <c r="AE435" s="85"/>
    </row>
    <row r="436" spans="7:31" x14ac:dyDescent="0.35">
      <c r="G436" s="85"/>
      <c r="H436" s="87"/>
      <c r="I436" s="94"/>
      <c r="J436" s="93"/>
      <c r="K436" s="85"/>
      <c r="M436" s="94"/>
      <c r="N436" s="93"/>
      <c r="O436" s="85"/>
      <c r="Q436" s="94"/>
      <c r="R436" s="93"/>
      <c r="S436" s="85"/>
      <c r="U436" s="94"/>
      <c r="V436" s="93"/>
      <c r="W436" s="85"/>
      <c r="Y436" s="94"/>
      <c r="Z436" s="93"/>
      <c r="AA436" s="85"/>
      <c r="AC436" s="94"/>
      <c r="AD436" s="93"/>
      <c r="AE436" s="85"/>
    </row>
    <row r="437" spans="7:31" x14ac:dyDescent="0.35">
      <c r="G437" s="85"/>
      <c r="H437" s="87"/>
      <c r="I437" s="94"/>
      <c r="J437" s="93"/>
      <c r="K437" s="85"/>
      <c r="M437" s="94"/>
      <c r="N437" s="93"/>
      <c r="O437" s="85"/>
      <c r="Q437" s="94"/>
      <c r="R437" s="93"/>
      <c r="S437" s="85"/>
      <c r="U437" s="94"/>
      <c r="V437" s="93"/>
      <c r="W437" s="85"/>
      <c r="Y437" s="94"/>
      <c r="Z437" s="93"/>
      <c r="AA437" s="85"/>
      <c r="AC437" s="94"/>
      <c r="AD437" s="93"/>
      <c r="AE437" s="85"/>
    </row>
    <row r="438" spans="7:31" x14ac:dyDescent="0.35">
      <c r="G438" s="85"/>
      <c r="H438" s="87"/>
      <c r="I438" s="94"/>
      <c r="J438" s="93"/>
      <c r="K438" s="85"/>
      <c r="M438" s="94"/>
      <c r="N438" s="93"/>
      <c r="O438" s="85"/>
      <c r="Q438" s="94"/>
      <c r="R438" s="93"/>
      <c r="S438" s="85"/>
      <c r="U438" s="94"/>
      <c r="V438" s="93"/>
      <c r="W438" s="85"/>
      <c r="Y438" s="94"/>
      <c r="Z438" s="93"/>
      <c r="AA438" s="85"/>
      <c r="AC438" s="94"/>
      <c r="AD438" s="93"/>
      <c r="AE438" s="85"/>
    </row>
    <row r="439" spans="7:31" x14ac:dyDescent="0.35">
      <c r="G439" s="85"/>
      <c r="H439" s="87"/>
      <c r="I439" s="94"/>
      <c r="J439" s="93"/>
      <c r="K439" s="85"/>
      <c r="M439" s="94"/>
      <c r="N439" s="93"/>
      <c r="O439" s="85"/>
      <c r="Q439" s="94"/>
      <c r="R439" s="93"/>
      <c r="S439" s="85"/>
      <c r="U439" s="94"/>
      <c r="V439" s="93"/>
      <c r="W439" s="85"/>
      <c r="Y439" s="94"/>
      <c r="Z439" s="93"/>
      <c r="AA439" s="85"/>
      <c r="AC439" s="94"/>
      <c r="AD439" s="93"/>
      <c r="AE439" s="85"/>
    </row>
    <row r="440" spans="7:31" x14ac:dyDescent="0.35">
      <c r="G440" s="85"/>
      <c r="H440" s="87"/>
      <c r="I440" s="94"/>
      <c r="J440" s="93"/>
      <c r="K440" s="85"/>
      <c r="M440" s="94"/>
      <c r="N440" s="93"/>
      <c r="O440" s="85"/>
      <c r="Q440" s="94"/>
      <c r="R440" s="93"/>
      <c r="S440" s="85"/>
      <c r="U440" s="94"/>
      <c r="V440" s="93"/>
      <c r="W440" s="85"/>
      <c r="Y440" s="94"/>
      <c r="Z440" s="93"/>
      <c r="AA440" s="85"/>
      <c r="AC440" s="94"/>
      <c r="AD440" s="93"/>
      <c r="AE440" s="85"/>
    </row>
    <row r="441" spans="7:31" x14ac:dyDescent="0.35">
      <c r="G441" s="85"/>
      <c r="H441" s="87"/>
      <c r="I441" s="94"/>
      <c r="J441" s="93"/>
      <c r="K441" s="85"/>
      <c r="M441" s="94"/>
      <c r="N441" s="93"/>
      <c r="O441" s="85"/>
      <c r="Q441" s="94"/>
      <c r="R441" s="93"/>
      <c r="S441" s="85"/>
      <c r="U441" s="94"/>
      <c r="V441" s="93"/>
      <c r="W441" s="85"/>
      <c r="Y441" s="94"/>
      <c r="Z441" s="93"/>
      <c r="AA441" s="85"/>
      <c r="AC441" s="94"/>
      <c r="AD441" s="93"/>
      <c r="AE441" s="85"/>
    </row>
    <row r="442" spans="7:31" x14ac:dyDescent="0.35">
      <c r="G442" s="85"/>
      <c r="H442" s="87"/>
      <c r="I442" s="94"/>
      <c r="J442" s="93"/>
      <c r="K442" s="85"/>
      <c r="M442" s="94"/>
      <c r="N442" s="93"/>
      <c r="O442" s="85"/>
      <c r="Q442" s="94"/>
      <c r="R442" s="93"/>
      <c r="S442" s="85"/>
      <c r="U442" s="94"/>
      <c r="V442" s="93"/>
      <c r="W442" s="85"/>
      <c r="Y442" s="94"/>
      <c r="Z442" s="93"/>
      <c r="AA442" s="85"/>
      <c r="AC442" s="94"/>
      <c r="AD442" s="93"/>
      <c r="AE442" s="85"/>
    </row>
    <row r="443" spans="7:31" x14ac:dyDescent="0.35">
      <c r="G443" s="85"/>
      <c r="H443" s="87"/>
      <c r="I443" s="94"/>
      <c r="J443" s="93"/>
      <c r="K443" s="85"/>
      <c r="M443" s="94"/>
      <c r="N443" s="93"/>
      <c r="O443" s="85"/>
      <c r="Q443" s="94"/>
      <c r="R443" s="93"/>
      <c r="S443" s="85"/>
      <c r="U443" s="94"/>
      <c r="V443" s="93"/>
      <c r="W443" s="85"/>
      <c r="Y443" s="94"/>
      <c r="Z443" s="93"/>
      <c r="AA443" s="85"/>
      <c r="AC443" s="94"/>
      <c r="AD443" s="93"/>
      <c r="AE443" s="85"/>
    </row>
    <row r="444" spans="7:31" x14ac:dyDescent="0.35">
      <c r="G444" s="85"/>
      <c r="H444" s="87"/>
      <c r="I444" s="94"/>
      <c r="J444" s="93"/>
      <c r="K444" s="85"/>
      <c r="M444" s="94"/>
      <c r="N444" s="93"/>
      <c r="O444" s="85"/>
      <c r="Q444" s="94"/>
      <c r="R444" s="93"/>
      <c r="S444" s="85"/>
      <c r="U444" s="94"/>
      <c r="V444" s="93"/>
      <c r="W444" s="85"/>
      <c r="Y444" s="94"/>
      <c r="Z444" s="93"/>
      <c r="AA444" s="85"/>
      <c r="AC444" s="94"/>
      <c r="AD444" s="93"/>
      <c r="AE444" s="85"/>
    </row>
    <row r="445" spans="7:31" x14ac:dyDescent="0.35">
      <c r="G445" s="85"/>
      <c r="H445" s="87"/>
      <c r="I445" s="94"/>
      <c r="J445" s="93"/>
      <c r="K445" s="85"/>
      <c r="M445" s="94"/>
      <c r="N445" s="93"/>
      <c r="O445" s="85"/>
      <c r="Q445" s="94"/>
      <c r="R445" s="93"/>
      <c r="S445" s="85"/>
      <c r="U445" s="94"/>
      <c r="V445" s="93"/>
      <c r="W445" s="85"/>
      <c r="Y445" s="94"/>
      <c r="Z445" s="93"/>
      <c r="AA445" s="85"/>
      <c r="AC445" s="94"/>
      <c r="AD445" s="93"/>
      <c r="AE445" s="85"/>
    </row>
    <row r="446" spans="7:31" x14ac:dyDescent="0.35">
      <c r="G446" s="85"/>
      <c r="H446" s="87"/>
      <c r="I446" s="94"/>
      <c r="J446" s="93"/>
      <c r="K446" s="85"/>
      <c r="M446" s="94"/>
      <c r="N446" s="93"/>
      <c r="O446" s="85"/>
      <c r="Q446" s="94"/>
      <c r="R446" s="93"/>
      <c r="S446" s="85"/>
      <c r="U446" s="94"/>
      <c r="V446" s="93"/>
      <c r="W446" s="85"/>
      <c r="Y446" s="94"/>
      <c r="Z446" s="93"/>
      <c r="AA446" s="85"/>
      <c r="AC446" s="94"/>
      <c r="AD446" s="93"/>
      <c r="AE446" s="85"/>
    </row>
    <row r="447" spans="7:31" x14ac:dyDescent="0.35">
      <c r="G447" s="85"/>
      <c r="H447" s="87"/>
      <c r="I447" s="94"/>
      <c r="J447" s="93"/>
      <c r="K447" s="85"/>
      <c r="M447" s="94"/>
      <c r="N447" s="93"/>
      <c r="O447" s="85"/>
      <c r="Q447" s="94"/>
      <c r="R447" s="93"/>
      <c r="S447" s="85"/>
      <c r="U447" s="94"/>
      <c r="V447" s="93"/>
      <c r="W447" s="85"/>
      <c r="Y447" s="94"/>
      <c r="Z447" s="93"/>
      <c r="AA447" s="85"/>
      <c r="AC447" s="94"/>
      <c r="AD447" s="93"/>
      <c r="AE447" s="85"/>
    </row>
    <row r="448" spans="7:31" x14ac:dyDescent="0.35">
      <c r="G448" s="85"/>
      <c r="H448" s="87"/>
      <c r="I448" s="94"/>
      <c r="J448" s="93"/>
      <c r="K448" s="85"/>
      <c r="M448" s="94"/>
      <c r="N448" s="93"/>
      <c r="O448" s="85"/>
      <c r="Q448" s="94"/>
      <c r="R448" s="93"/>
      <c r="S448" s="85"/>
      <c r="U448" s="94"/>
      <c r="V448" s="93"/>
      <c r="W448" s="85"/>
      <c r="Y448" s="94"/>
      <c r="Z448" s="93"/>
      <c r="AA448" s="85"/>
      <c r="AC448" s="94"/>
      <c r="AD448" s="93"/>
      <c r="AE448" s="85"/>
    </row>
    <row r="449" spans="7:31" x14ac:dyDescent="0.35">
      <c r="G449" s="85"/>
      <c r="H449" s="87"/>
      <c r="I449" s="94"/>
      <c r="J449" s="93"/>
      <c r="K449" s="85"/>
      <c r="M449" s="94"/>
      <c r="N449" s="93"/>
      <c r="O449" s="85"/>
      <c r="Q449" s="94"/>
      <c r="R449" s="93"/>
      <c r="S449" s="85"/>
      <c r="U449" s="94"/>
      <c r="V449" s="93"/>
      <c r="W449" s="85"/>
      <c r="Y449" s="94"/>
      <c r="Z449" s="93"/>
      <c r="AA449" s="85"/>
      <c r="AC449" s="94"/>
      <c r="AD449" s="93"/>
      <c r="AE449" s="85"/>
    </row>
    <row r="450" spans="7:31" x14ac:dyDescent="0.35">
      <c r="G450" s="85"/>
      <c r="H450" s="87"/>
      <c r="I450" s="94"/>
      <c r="J450" s="93"/>
      <c r="K450" s="85"/>
      <c r="M450" s="94"/>
      <c r="N450" s="93"/>
      <c r="O450" s="85"/>
      <c r="Q450" s="94"/>
      <c r="R450" s="93"/>
      <c r="S450" s="85"/>
      <c r="U450" s="94"/>
      <c r="V450" s="93"/>
      <c r="W450" s="85"/>
      <c r="Y450" s="94"/>
      <c r="Z450" s="93"/>
      <c r="AA450" s="85"/>
      <c r="AC450" s="94"/>
      <c r="AD450" s="93"/>
      <c r="AE450" s="85"/>
    </row>
    <row r="451" spans="7:31" x14ac:dyDescent="0.35">
      <c r="G451" s="85"/>
      <c r="H451" s="87"/>
      <c r="I451" s="94"/>
      <c r="J451" s="93"/>
      <c r="K451" s="85"/>
      <c r="M451" s="94"/>
      <c r="N451" s="93"/>
      <c r="O451" s="85"/>
      <c r="Q451" s="94"/>
      <c r="R451" s="93"/>
      <c r="S451" s="85"/>
      <c r="U451" s="94"/>
      <c r="V451" s="93"/>
      <c r="W451" s="85"/>
      <c r="Y451" s="94"/>
      <c r="Z451" s="93"/>
      <c r="AA451" s="85"/>
      <c r="AC451" s="94"/>
      <c r="AD451" s="93"/>
      <c r="AE451" s="85"/>
    </row>
    <row r="452" spans="7:31" x14ac:dyDescent="0.35">
      <c r="G452" s="85"/>
      <c r="H452" s="87"/>
      <c r="I452" s="94"/>
      <c r="J452" s="93"/>
      <c r="K452" s="85"/>
      <c r="M452" s="94"/>
      <c r="N452" s="93"/>
      <c r="O452" s="85"/>
      <c r="Q452" s="94"/>
      <c r="R452" s="93"/>
      <c r="S452" s="85"/>
      <c r="U452" s="94"/>
      <c r="V452" s="93"/>
      <c r="W452" s="85"/>
      <c r="Y452" s="94"/>
      <c r="Z452" s="93"/>
      <c r="AA452" s="85"/>
      <c r="AC452" s="94"/>
      <c r="AD452" s="93"/>
      <c r="AE452" s="85"/>
    </row>
    <row r="453" spans="7:31" x14ac:dyDescent="0.35">
      <c r="G453" s="85"/>
      <c r="H453" s="87"/>
      <c r="I453" s="94"/>
      <c r="J453" s="93"/>
      <c r="K453" s="85"/>
      <c r="M453" s="94"/>
      <c r="N453" s="93"/>
      <c r="O453" s="85"/>
      <c r="Q453" s="94"/>
      <c r="R453" s="93"/>
      <c r="S453" s="85"/>
      <c r="U453" s="94"/>
      <c r="V453" s="93"/>
      <c r="W453" s="85"/>
      <c r="Y453" s="94"/>
      <c r="Z453" s="93"/>
      <c r="AA453" s="85"/>
      <c r="AC453" s="94"/>
      <c r="AD453" s="93"/>
      <c r="AE453" s="85"/>
    </row>
    <row r="454" spans="7:31" x14ac:dyDescent="0.35">
      <c r="G454" s="85"/>
      <c r="H454" s="87"/>
      <c r="I454" s="94"/>
      <c r="J454" s="93"/>
      <c r="K454" s="85"/>
      <c r="M454" s="94"/>
      <c r="N454" s="93"/>
      <c r="O454" s="85"/>
      <c r="Q454" s="94"/>
      <c r="R454" s="93"/>
      <c r="S454" s="85"/>
      <c r="U454" s="94"/>
      <c r="V454" s="93"/>
      <c r="W454" s="85"/>
      <c r="Y454" s="94"/>
      <c r="Z454" s="93"/>
      <c r="AA454" s="85"/>
      <c r="AC454" s="94"/>
      <c r="AD454" s="93"/>
      <c r="AE454" s="85"/>
    </row>
    <row r="455" spans="7:31" x14ac:dyDescent="0.35">
      <c r="G455" s="85"/>
      <c r="H455" s="87"/>
      <c r="I455" s="94"/>
      <c r="J455" s="93"/>
      <c r="K455" s="85"/>
      <c r="M455" s="94"/>
      <c r="N455" s="93"/>
      <c r="O455" s="85"/>
      <c r="Q455" s="94"/>
      <c r="R455" s="93"/>
      <c r="S455" s="85"/>
      <c r="U455" s="94"/>
      <c r="V455" s="93"/>
      <c r="W455" s="85"/>
      <c r="Y455" s="94"/>
      <c r="Z455" s="93"/>
      <c r="AA455" s="85"/>
      <c r="AC455" s="94"/>
      <c r="AD455" s="93"/>
      <c r="AE455" s="85"/>
    </row>
    <row r="456" spans="7:31" x14ac:dyDescent="0.35">
      <c r="G456" s="85"/>
      <c r="H456" s="87"/>
      <c r="I456" s="94"/>
      <c r="J456" s="93"/>
      <c r="K456" s="85"/>
      <c r="M456" s="94"/>
      <c r="N456" s="93"/>
      <c r="O456" s="85"/>
      <c r="Q456" s="94"/>
      <c r="R456" s="93"/>
      <c r="S456" s="85"/>
      <c r="U456" s="94"/>
      <c r="V456" s="93"/>
      <c r="W456" s="85"/>
      <c r="Y456" s="94"/>
      <c r="Z456" s="93"/>
      <c r="AA456" s="85"/>
      <c r="AC456" s="94"/>
      <c r="AD456" s="93"/>
      <c r="AE456" s="85"/>
    </row>
    <row r="457" spans="7:31" x14ac:dyDescent="0.35">
      <c r="G457" s="85"/>
      <c r="H457" s="87"/>
      <c r="I457" s="94"/>
      <c r="J457" s="93"/>
      <c r="K457" s="85"/>
      <c r="M457" s="94"/>
      <c r="N457" s="93"/>
      <c r="O457" s="85"/>
      <c r="Q457" s="94"/>
      <c r="R457" s="93"/>
      <c r="S457" s="85"/>
      <c r="U457" s="94"/>
      <c r="V457" s="93"/>
      <c r="W457" s="85"/>
      <c r="Y457" s="94"/>
      <c r="Z457" s="93"/>
      <c r="AA457" s="85"/>
      <c r="AC457" s="94"/>
      <c r="AD457" s="93"/>
      <c r="AE457" s="85"/>
    </row>
    <row r="458" spans="7:31" x14ac:dyDescent="0.35">
      <c r="G458" s="85"/>
      <c r="H458" s="87"/>
      <c r="I458" s="94"/>
      <c r="J458" s="93"/>
      <c r="K458" s="85"/>
      <c r="M458" s="94"/>
      <c r="N458" s="93"/>
      <c r="O458" s="85"/>
      <c r="Q458" s="94"/>
      <c r="R458" s="93"/>
      <c r="S458" s="85"/>
      <c r="U458" s="94"/>
      <c r="V458" s="93"/>
      <c r="W458" s="85"/>
      <c r="Y458" s="94"/>
      <c r="Z458" s="93"/>
      <c r="AA458" s="85"/>
      <c r="AC458" s="94"/>
      <c r="AD458" s="93"/>
      <c r="AE458" s="85"/>
    </row>
    <row r="459" spans="7:31" x14ac:dyDescent="0.35">
      <c r="G459" s="85"/>
      <c r="H459" s="87"/>
      <c r="I459" s="94"/>
      <c r="J459" s="93"/>
      <c r="K459" s="85"/>
      <c r="M459" s="94"/>
      <c r="N459" s="93"/>
      <c r="O459" s="85"/>
      <c r="Q459" s="94"/>
      <c r="R459" s="93"/>
      <c r="S459" s="85"/>
      <c r="U459" s="94"/>
      <c r="V459" s="93"/>
      <c r="W459" s="85"/>
      <c r="Y459" s="94"/>
      <c r="Z459" s="93"/>
      <c r="AA459" s="85"/>
      <c r="AC459" s="94"/>
      <c r="AD459" s="93"/>
      <c r="AE459" s="85"/>
    </row>
    <row r="460" spans="7:31" x14ac:dyDescent="0.35">
      <c r="G460" s="85"/>
      <c r="H460" s="87"/>
      <c r="I460" s="94"/>
      <c r="J460" s="93"/>
      <c r="K460" s="85"/>
      <c r="M460" s="94"/>
      <c r="N460" s="93"/>
      <c r="O460" s="85"/>
      <c r="Q460" s="94"/>
      <c r="R460" s="93"/>
      <c r="S460" s="85"/>
      <c r="U460" s="94"/>
      <c r="V460" s="93"/>
      <c r="W460" s="85"/>
      <c r="Y460" s="94"/>
      <c r="Z460" s="93"/>
      <c r="AA460" s="85"/>
      <c r="AC460" s="94"/>
      <c r="AD460" s="93"/>
      <c r="AE460" s="85"/>
    </row>
    <row r="461" spans="7:31" x14ac:dyDescent="0.35">
      <c r="G461" s="85"/>
      <c r="H461" s="87"/>
      <c r="I461" s="94"/>
      <c r="J461" s="93"/>
      <c r="K461" s="85"/>
      <c r="M461" s="94"/>
      <c r="N461" s="93"/>
      <c r="O461" s="85"/>
      <c r="Q461" s="94"/>
      <c r="R461" s="93"/>
      <c r="S461" s="85"/>
      <c r="U461" s="94"/>
      <c r="V461" s="93"/>
      <c r="W461" s="85"/>
      <c r="Y461" s="94"/>
      <c r="Z461" s="93"/>
      <c r="AA461" s="85"/>
      <c r="AC461" s="94"/>
      <c r="AD461" s="93"/>
      <c r="AE461" s="85"/>
    </row>
    <row r="462" spans="7:31" x14ac:dyDescent="0.35">
      <c r="G462" s="85"/>
      <c r="H462" s="87"/>
      <c r="I462" s="94"/>
      <c r="J462" s="93"/>
      <c r="K462" s="85"/>
      <c r="M462" s="94"/>
      <c r="N462" s="93"/>
      <c r="O462" s="85"/>
      <c r="Q462" s="94"/>
      <c r="R462" s="93"/>
      <c r="S462" s="85"/>
      <c r="U462" s="94"/>
      <c r="V462" s="93"/>
      <c r="W462" s="85"/>
      <c r="Y462" s="94"/>
      <c r="Z462" s="93"/>
      <c r="AA462" s="85"/>
      <c r="AC462" s="94"/>
      <c r="AD462" s="93"/>
      <c r="AE462" s="85"/>
    </row>
    <row r="463" spans="7:31" x14ac:dyDescent="0.35">
      <c r="G463" s="85"/>
      <c r="H463" s="87"/>
      <c r="I463" s="94"/>
      <c r="J463" s="93"/>
      <c r="K463" s="85"/>
      <c r="M463" s="94"/>
      <c r="N463" s="93"/>
      <c r="O463" s="85"/>
      <c r="Q463" s="94"/>
      <c r="R463" s="93"/>
      <c r="S463" s="85"/>
      <c r="U463" s="94"/>
      <c r="V463" s="93"/>
      <c r="W463" s="85"/>
      <c r="Y463" s="94"/>
      <c r="Z463" s="93"/>
      <c r="AA463" s="85"/>
      <c r="AC463" s="94"/>
      <c r="AD463" s="93"/>
      <c r="AE463" s="85"/>
    </row>
    <row r="464" spans="7:31" x14ac:dyDescent="0.35">
      <c r="G464" s="85"/>
      <c r="H464" s="87"/>
      <c r="I464" s="94"/>
      <c r="J464" s="93"/>
      <c r="K464" s="85"/>
      <c r="M464" s="94"/>
      <c r="N464" s="93"/>
      <c r="O464" s="85"/>
      <c r="Q464" s="94"/>
      <c r="R464" s="93"/>
      <c r="S464" s="85"/>
      <c r="U464" s="94"/>
      <c r="V464" s="93"/>
      <c r="W464" s="85"/>
      <c r="Y464" s="94"/>
      <c r="Z464" s="93"/>
      <c r="AA464" s="85"/>
      <c r="AC464" s="94"/>
      <c r="AD464" s="93"/>
      <c r="AE464" s="85"/>
    </row>
    <row r="465" spans="7:31" x14ac:dyDescent="0.35">
      <c r="G465" s="85"/>
      <c r="H465" s="87"/>
      <c r="I465" s="94"/>
      <c r="J465" s="93"/>
      <c r="K465" s="85"/>
      <c r="M465" s="94"/>
      <c r="N465" s="93"/>
      <c r="O465" s="85"/>
      <c r="Q465" s="94"/>
      <c r="R465" s="93"/>
      <c r="S465" s="85"/>
      <c r="U465" s="94"/>
      <c r="V465" s="93"/>
      <c r="W465" s="85"/>
      <c r="Y465" s="94"/>
      <c r="Z465" s="93"/>
      <c r="AA465" s="85"/>
      <c r="AC465" s="94"/>
      <c r="AD465" s="93"/>
      <c r="AE465" s="85"/>
    </row>
    <row r="466" spans="7:31" x14ac:dyDescent="0.35">
      <c r="G466" s="85"/>
      <c r="H466" s="87"/>
      <c r="I466" s="94"/>
      <c r="J466" s="93"/>
      <c r="K466" s="85"/>
      <c r="M466" s="94"/>
      <c r="N466" s="93"/>
      <c r="O466" s="85"/>
      <c r="Q466" s="94"/>
      <c r="R466" s="93"/>
      <c r="S466" s="85"/>
      <c r="U466" s="94"/>
      <c r="V466" s="93"/>
      <c r="W466" s="85"/>
      <c r="Y466" s="94"/>
      <c r="Z466" s="93"/>
      <c r="AA466" s="85"/>
      <c r="AC466" s="94"/>
      <c r="AD466" s="93"/>
      <c r="AE466" s="85"/>
    </row>
    <row r="467" spans="7:31" x14ac:dyDescent="0.35">
      <c r="G467" s="85"/>
      <c r="H467" s="87"/>
      <c r="I467" s="94"/>
      <c r="J467" s="93"/>
      <c r="K467" s="85"/>
      <c r="M467" s="94"/>
      <c r="N467" s="93"/>
      <c r="O467" s="85"/>
      <c r="Q467" s="94"/>
      <c r="R467" s="93"/>
      <c r="S467" s="85"/>
      <c r="U467" s="94"/>
      <c r="V467" s="93"/>
      <c r="W467" s="85"/>
      <c r="Y467" s="94"/>
      <c r="Z467" s="93"/>
      <c r="AA467" s="85"/>
      <c r="AC467" s="94"/>
      <c r="AD467" s="93"/>
      <c r="AE467" s="85"/>
    </row>
    <row r="468" spans="7:31" x14ac:dyDescent="0.35">
      <c r="G468" s="85"/>
      <c r="H468" s="87"/>
      <c r="I468" s="94"/>
      <c r="J468" s="93"/>
      <c r="K468" s="85"/>
      <c r="M468" s="94"/>
      <c r="N468" s="93"/>
      <c r="O468" s="85"/>
      <c r="Q468" s="94"/>
      <c r="R468" s="93"/>
      <c r="S468" s="85"/>
      <c r="U468" s="94"/>
      <c r="V468" s="93"/>
      <c r="W468" s="85"/>
      <c r="Y468" s="94"/>
      <c r="Z468" s="93"/>
      <c r="AA468" s="85"/>
      <c r="AC468" s="94"/>
      <c r="AD468" s="93"/>
      <c r="AE468" s="85"/>
    </row>
    <row r="469" spans="7:31" x14ac:dyDescent="0.35">
      <c r="G469" s="85"/>
      <c r="H469" s="87"/>
      <c r="I469" s="94"/>
      <c r="J469" s="93"/>
      <c r="K469" s="85"/>
      <c r="M469" s="94"/>
      <c r="N469" s="93"/>
      <c r="O469" s="85"/>
      <c r="Q469" s="94"/>
      <c r="R469" s="93"/>
      <c r="S469" s="85"/>
      <c r="U469" s="94"/>
      <c r="V469" s="93"/>
      <c r="W469" s="85"/>
      <c r="Y469" s="94"/>
      <c r="Z469" s="93"/>
      <c r="AA469" s="85"/>
      <c r="AC469" s="94"/>
      <c r="AD469" s="93"/>
      <c r="AE469" s="85"/>
    </row>
    <row r="470" spans="7:31" x14ac:dyDescent="0.35">
      <c r="G470" s="85"/>
      <c r="H470" s="87"/>
      <c r="I470" s="94"/>
      <c r="J470" s="93"/>
      <c r="K470" s="85"/>
      <c r="M470" s="94"/>
      <c r="N470" s="93"/>
      <c r="O470" s="85"/>
      <c r="Q470" s="94"/>
      <c r="R470" s="93"/>
      <c r="S470" s="85"/>
      <c r="U470" s="94"/>
      <c r="V470" s="93"/>
      <c r="W470" s="85"/>
      <c r="Y470" s="94"/>
      <c r="Z470" s="93"/>
      <c r="AA470" s="85"/>
      <c r="AC470" s="94"/>
      <c r="AD470" s="93"/>
      <c r="AE470" s="85"/>
    </row>
    <row r="471" spans="7:31" x14ac:dyDescent="0.35">
      <c r="G471" s="85"/>
      <c r="H471" s="87"/>
      <c r="I471" s="94"/>
      <c r="J471" s="93"/>
      <c r="K471" s="85"/>
      <c r="M471" s="94"/>
      <c r="N471" s="93"/>
      <c r="O471" s="85"/>
      <c r="Q471" s="94"/>
      <c r="R471" s="93"/>
      <c r="S471" s="85"/>
      <c r="U471" s="94"/>
      <c r="V471" s="93"/>
      <c r="W471" s="85"/>
      <c r="Y471" s="94"/>
      <c r="Z471" s="93"/>
      <c r="AA471" s="85"/>
      <c r="AC471" s="94"/>
      <c r="AD471" s="93"/>
      <c r="AE471" s="85"/>
    </row>
    <row r="472" spans="7:31" x14ac:dyDescent="0.35">
      <c r="G472" s="85"/>
      <c r="H472" s="87"/>
      <c r="I472" s="94"/>
      <c r="J472" s="93"/>
      <c r="K472" s="85"/>
      <c r="M472" s="94"/>
      <c r="N472" s="93"/>
      <c r="O472" s="85"/>
      <c r="Q472" s="94"/>
      <c r="R472" s="93"/>
      <c r="S472" s="85"/>
      <c r="U472" s="94"/>
      <c r="V472" s="93"/>
      <c r="W472" s="85"/>
      <c r="Y472" s="94"/>
      <c r="Z472" s="93"/>
      <c r="AA472" s="85"/>
      <c r="AC472" s="94"/>
      <c r="AD472" s="93"/>
      <c r="AE472" s="85"/>
    </row>
    <row r="473" spans="7:31" x14ac:dyDescent="0.35">
      <c r="G473" s="85"/>
      <c r="H473" s="87"/>
      <c r="I473" s="94"/>
      <c r="J473" s="93"/>
      <c r="K473" s="85"/>
      <c r="M473" s="94"/>
      <c r="N473" s="93"/>
      <c r="O473" s="85"/>
      <c r="Q473" s="94"/>
      <c r="R473" s="93"/>
      <c r="S473" s="85"/>
      <c r="U473" s="94"/>
      <c r="V473" s="93"/>
      <c r="W473" s="85"/>
      <c r="Y473" s="94"/>
      <c r="Z473" s="93"/>
      <c r="AA473" s="85"/>
      <c r="AC473" s="94"/>
      <c r="AD473" s="93"/>
      <c r="AE473" s="85"/>
    </row>
    <row r="474" spans="7:31" x14ac:dyDescent="0.35">
      <c r="G474" s="85"/>
      <c r="H474" s="87"/>
      <c r="I474" s="94"/>
      <c r="J474" s="93"/>
      <c r="K474" s="85"/>
      <c r="M474" s="94"/>
      <c r="N474" s="93"/>
      <c r="O474" s="85"/>
      <c r="Q474" s="94"/>
      <c r="R474" s="93"/>
      <c r="S474" s="85"/>
      <c r="U474" s="94"/>
      <c r="V474" s="93"/>
      <c r="W474" s="85"/>
      <c r="Y474" s="94"/>
      <c r="Z474" s="93"/>
      <c r="AA474" s="85"/>
      <c r="AC474" s="94"/>
      <c r="AD474" s="93"/>
      <c r="AE474" s="85"/>
    </row>
    <row r="475" spans="7:31" x14ac:dyDescent="0.35">
      <c r="G475" s="85"/>
      <c r="H475" s="87"/>
      <c r="I475" s="94"/>
      <c r="J475" s="93"/>
      <c r="K475" s="85"/>
      <c r="M475" s="94"/>
      <c r="N475" s="93"/>
      <c r="O475" s="85"/>
      <c r="Q475" s="94"/>
      <c r="R475" s="93"/>
      <c r="S475" s="85"/>
      <c r="U475" s="94"/>
      <c r="V475" s="93"/>
      <c r="W475" s="85"/>
      <c r="Y475" s="94"/>
      <c r="Z475" s="93"/>
      <c r="AA475" s="85"/>
      <c r="AC475" s="94"/>
      <c r="AD475" s="93"/>
      <c r="AE475" s="85"/>
    </row>
    <row r="476" spans="7:31" x14ac:dyDescent="0.35">
      <c r="G476" s="85"/>
      <c r="H476" s="87"/>
      <c r="I476" s="94"/>
      <c r="J476" s="93"/>
      <c r="K476" s="85"/>
      <c r="M476" s="94"/>
      <c r="N476" s="93"/>
      <c r="O476" s="85"/>
      <c r="Q476" s="94"/>
      <c r="R476" s="93"/>
      <c r="S476" s="85"/>
      <c r="U476" s="94"/>
      <c r="V476" s="93"/>
      <c r="W476" s="85"/>
      <c r="Y476" s="94"/>
      <c r="Z476" s="93"/>
      <c r="AA476" s="85"/>
      <c r="AC476" s="94"/>
      <c r="AD476" s="93"/>
      <c r="AE476" s="85"/>
    </row>
    <row r="477" spans="7:31" x14ac:dyDescent="0.35">
      <c r="G477" s="85"/>
      <c r="H477" s="87"/>
      <c r="I477" s="94"/>
      <c r="J477" s="93"/>
      <c r="K477" s="85"/>
      <c r="M477" s="94"/>
      <c r="N477" s="93"/>
      <c r="O477" s="85"/>
      <c r="Q477" s="94"/>
      <c r="R477" s="93"/>
      <c r="S477" s="85"/>
      <c r="U477" s="94"/>
      <c r="V477" s="93"/>
      <c r="W477" s="85"/>
      <c r="Y477" s="94"/>
      <c r="Z477" s="93"/>
      <c r="AA477" s="85"/>
      <c r="AC477" s="94"/>
      <c r="AD477" s="93"/>
      <c r="AE477" s="85"/>
    </row>
    <row r="478" spans="7:31" x14ac:dyDescent="0.35">
      <c r="G478" s="85"/>
      <c r="H478" s="87"/>
      <c r="I478" s="94"/>
      <c r="J478" s="93"/>
      <c r="K478" s="85"/>
      <c r="M478" s="94"/>
      <c r="N478" s="93"/>
      <c r="O478" s="85"/>
      <c r="Q478" s="94"/>
      <c r="R478" s="93"/>
      <c r="S478" s="85"/>
      <c r="U478" s="94"/>
      <c r="V478" s="93"/>
      <c r="W478" s="85"/>
      <c r="Y478" s="94"/>
      <c r="Z478" s="93"/>
      <c r="AA478" s="85"/>
      <c r="AC478" s="94"/>
      <c r="AD478" s="93"/>
      <c r="AE478" s="85"/>
    </row>
    <row r="479" spans="7:31" x14ac:dyDescent="0.35">
      <c r="G479" s="85"/>
      <c r="H479" s="87"/>
      <c r="I479" s="94"/>
      <c r="J479" s="93"/>
      <c r="K479" s="85"/>
      <c r="M479" s="94"/>
      <c r="N479" s="93"/>
      <c r="O479" s="85"/>
      <c r="Q479" s="94"/>
      <c r="R479" s="93"/>
      <c r="S479" s="85"/>
      <c r="U479" s="94"/>
      <c r="V479" s="93"/>
      <c r="W479" s="85"/>
      <c r="Y479" s="94"/>
      <c r="Z479" s="93"/>
      <c r="AA479" s="85"/>
      <c r="AC479" s="94"/>
      <c r="AD479" s="93"/>
      <c r="AE479" s="85"/>
    </row>
    <row r="480" spans="7:31" x14ac:dyDescent="0.35">
      <c r="G480" s="85"/>
      <c r="H480" s="87"/>
      <c r="I480" s="94"/>
      <c r="J480" s="93"/>
      <c r="K480" s="85"/>
      <c r="M480" s="94"/>
      <c r="N480" s="93"/>
      <c r="O480" s="85"/>
      <c r="Q480" s="94"/>
      <c r="R480" s="93"/>
      <c r="S480" s="85"/>
      <c r="U480" s="94"/>
      <c r="V480" s="93"/>
      <c r="W480" s="85"/>
      <c r="Y480" s="94"/>
      <c r="Z480" s="93"/>
      <c r="AA480" s="85"/>
      <c r="AC480" s="94"/>
      <c r="AD480" s="93"/>
      <c r="AE480" s="85"/>
    </row>
    <row r="481" spans="7:31" x14ac:dyDescent="0.35">
      <c r="G481" s="85"/>
      <c r="H481" s="87"/>
      <c r="I481" s="94"/>
      <c r="J481" s="93"/>
      <c r="K481" s="85"/>
      <c r="M481" s="94"/>
      <c r="N481" s="93"/>
      <c r="O481" s="85"/>
      <c r="Q481" s="94"/>
      <c r="R481" s="93"/>
      <c r="S481" s="85"/>
      <c r="U481" s="94"/>
      <c r="V481" s="93"/>
      <c r="W481" s="85"/>
      <c r="Y481" s="94"/>
      <c r="Z481" s="93"/>
      <c r="AA481" s="85"/>
      <c r="AC481" s="94"/>
      <c r="AD481" s="93"/>
      <c r="AE481" s="85"/>
    </row>
    <row r="482" spans="7:31" x14ac:dyDescent="0.35">
      <c r="G482" s="85"/>
      <c r="H482" s="87"/>
      <c r="I482" s="94"/>
      <c r="J482" s="93"/>
      <c r="K482" s="85"/>
      <c r="M482" s="94"/>
      <c r="N482" s="93"/>
      <c r="O482" s="85"/>
      <c r="Q482" s="94"/>
      <c r="R482" s="93"/>
      <c r="S482" s="85"/>
      <c r="U482" s="94"/>
      <c r="V482" s="93"/>
      <c r="W482" s="85"/>
      <c r="Y482" s="94"/>
      <c r="Z482" s="93"/>
      <c r="AA482" s="85"/>
      <c r="AC482" s="94"/>
      <c r="AD482" s="93"/>
      <c r="AE482" s="85"/>
    </row>
    <row r="483" spans="7:31" x14ac:dyDescent="0.35">
      <c r="G483" s="85"/>
      <c r="H483" s="87"/>
      <c r="I483" s="94"/>
      <c r="J483" s="93"/>
      <c r="K483" s="85"/>
      <c r="M483" s="94"/>
      <c r="N483" s="93"/>
      <c r="O483" s="85"/>
      <c r="Q483" s="94"/>
      <c r="R483" s="93"/>
      <c r="S483" s="85"/>
      <c r="U483" s="94"/>
      <c r="V483" s="93"/>
      <c r="W483" s="85"/>
      <c r="Y483" s="94"/>
      <c r="Z483" s="93"/>
      <c r="AA483" s="85"/>
      <c r="AC483" s="94"/>
      <c r="AD483" s="93"/>
      <c r="AE483" s="85"/>
    </row>
    <row r="484" spans="7:31" x14ac:dyDescent="0.35">
      <c r="G484" s="85"/>
      <c r="H484" s="87"/>
      <c r="I484" s="94"/>
      <c r="J484" s="93"/>
      <c r="K484" s="85"/>
      <c r="M484" s="94"/>
      <c r="N484" s="93"/>
      <c r="O484" s="85"/>
      <c r="Q484" s="94"/>
      <c r="R484" s="93"/>
      <c r="S484" s="85"/>
      <c r="U484" s="94"/>
      <c r="V484" s="93"/>
      <c r="W484" s="85"/>
      <c r="Y484" s="94"/>
      <c r="Z484" s="93"/>
      <c r="AA484" s="85"/>
      <c r="AC484" s="94"/>
      <c r="AD484" s="93"/>
      <c r="AE484" s="85"/>
    </row>
    <row r="485" spans="7:31" x14ac:dyDescent="0.35">
      <c r="G485" s="85"/>
      <c r="H485" s="87"/>
      <c r="I485" s="94"/>
      <c r="J485" s="93"/>
      <c r="K485" s="85"/>
      <c r="M485" s="94"/>
      <c r="N485" s="93"/>
      <c r="O485" s="85"/>
      <c r="Q485" s="94"/>
      <c r="R485" s="93"/>
      <c r="S485" s="85"/>
      <c r="U485" s="94"/>
      <c r="V485" s="93"/>
      <c r="W485" s="85"/>
      <c r="Y485" s="94"/>
      <c r="Z485" s="93"/>
      <c r="AA485" s="85"/>
      <c r="AC485" s="94"/>
      <c r="AD485" s="93"/>
      <c r="AE485" s="85"/>
    </row>
    <row r="486" spans="7:31" x14ac:dyDescent="0.35">
      <c r="G486" s="85"/>
      <c r="H486" s="87"/>
      <c r="I486" s="94"/>
      <c r="J486" s="93"/>
      <c r="K486" s="85"/>
      <c r="M486" s="94"/>
      <c r="N486" s="93"/>
      <c r="O486" s="85"/>
      <c r="Q486" s="94"/>
      <c r="R486" s="93"/>
      <c r="S486" s="85"/>
      <c r="U486" s="94"/>
      <c r="V486" s="93"/>
      <c r="W486" s="85"/>
      <c r="Y486" s="94"/>
      <c r="Z486" s="93"/>
      <c r="AA486" s="85"/>
      <c r="AC486" s="94"/>
      <c r="AD486" s="93"/>
      <c r="AE486" s="85"/>
    </row>
    <row r="487" spans="7:31" x14ac:dyDescent="0.35">
      <c r="G487" s="85"/>
      <c r="H487" s="87"/>
      <c r="I487" s="94"/>
      <c r="J487" s="93"/>
      <c r="K487" s="85"/>
      <c r="M487" s="94"/>
      <c r="N487" s="93"/>
      <c r="O487" s="85"/>
      <c r="Q487" s="94"/>
      <c r="R487" s="93"/>
      <c r="S487" s="85"/>
      <c r="U487" s="94"/>
      <c r="V487" s="93"/>
      <c r="W487" s="85"/>
      <c r="Y487" s="94"/>
      <c r="Z487" s="93"/>
      <c r="AA487" s="85"/>
      <c r="AC487" s="94"/>
      <c r="AD487" s="93"/>
      <c r="AE487" s="85"/>
    </row>
    <row r="488" spans="7:31" x14ac:dyDescent="0.35">
      <c r="G488" s="85"/>
      <c r="H488" s="87"/>
      <c r="I488" s="94"/>
      <c r="J488" s="93"/>
      <c r="K488" s="85"/>
      <c r="M488" s="94"/>
      <c r="N488" s="93"/>
      <c r="O488" s="85"/>
      <c r="Q488" s="94"/>
      <c r="R488" s="93"/>
      <c r="S488" s="85"/>
      <c r="U488" s="94"/>
      <c r="V488" s="93"/>
      <c r="W488" s="85"/>
      <c r="Y488" s="94"/>
      <c r="Z488" s="93"/>
      <c r="AA488" s="85"/>
      <c r="AC488" s="94"/>
      <c r="AD488" s="93"/>
      <c r="AE488" s="85"/>
    </row>
    <row r="489" spans="7:31" x14ac:dyDescent="0.35">
      <c r="G489" s="85"/>
      <c r="H489" s="87"/>
      <c r="I489" s="94"/>
      <c r="J489" s="93"/>
      <c r="K489" s="85"/>
      <c r="M489" s="94"/>
      <c r="N489" s="93"/>
      <c r="O489" s="85"/>
      <c r="Q489" s="94"/>
      <c r="R489" s="93"/>
      <c r="S489" s="85"/>
      <c r="U489" s="94"/>
      <c r="V489" s="93"/>
      <c r="W489" s="85"/>
      <c r="Y489" s="94"/>
      <c r="Z489" s="93"/>
      <c r="AA489" s="85"/>
      <c r="AC489" s="94"/>
      <c r="AD489" s="93"/>
      <c r="AE489" s="85"/>
    </row>
    <row r="490" spans="7:31" x14ac:dyDescent="0.35">
      <c r="G490" s="85"/>
      <c r="H490" s="87"/>
      <c r="I490" s="94"/>
      <c r="J490" s="93"/>
      <c r="K490" s="85"/>
      <c r="M490" s="94"/>
      <c r="N490" s="93"/>
      <c r="O490" s="85"/>
      <c r="Q490" s="94"/>
      <c r="R490" s="93"/>
      <c r="S490" s="85"/>
      <c r="U490" s="94"/>
      <c r="V490" s="93"/>
      <c r="W490" s="85"/>
      <c r="Y490" s="94"/>
      <c r="Z490" s="93"/>
      <c r="AA490" s="85"/>
      <c r="AC490" s="94"/>
      <c r="AD490" s="93"/>
      <c r="AE490" s="85"/>
    </row>
    <row r="491" spans="7:31" x14ac:dyDescent="0.35">
      <c r="G491" s="85"/>
      <c r="H491" s="87"/>
      <c r="I491" s="94"/>
      <c r="J491" s="93"/>
      <c r="K491" s="85"/>
      <c r="M491" s="94"/>
      <c r="N491" s="93"/>
      <c r="O491" s="85"/>
      <c r="Q491" s="94"/>
      <c r="R491" s="93"/>
      <c r="S491" s="85"/>
      <c r="U491" s="94"/>
      <c r="V491" s="93"/>
      <c r="W491" s="85"/>
      <c r="Y491" s="94"/>
      <c r="Z491" s="93"/>
      <c r="AA491" s="85"/>
      <c r="AC491" s="94"/>
      <c r="AD491" s="93"/>
      <c r="AE491" s="85"/>
    </row>
    <row r="492" spans="7:31" x14ac:dyDescent="0.35">
      <c r="G492" s="85"/>
      <c r="H492" s="87"/>
      <c r="I492" s="94"/>
      <c r="J492" s="93"/>
      <c r="K492" s="85"/>
      <c r="M492" s="94"/>
      <c r="N492" s="93"/>
      <c r="O492" s="85"/>
      <c r="Q492" s="94"/>
      <c r="R492" s="93"/>
      <c r="S492" s="85"/>
      <c r="U492" s="94"/>
      <c r="V492" s="93"/>
      <c r="W492" s="85"/>
      <c r="Y492" s="94"/>
      <c r="Z492" s="93"/>
      <c r="AA492" s="85"/>
      <c r="AC492" s="94"/>
      <c r="AD492" s="93"/>
      <c r="AE492" s="85"/>
    </row>
    <row r="493" spans="7:31" x14ac:dyDescent="0.35">
      <c r="G493" s="85"/>
      <c r="H493" s="87"/>
      <c r="I493" s="94"/>
      <c r="J493" s="93"/>
      <c r="K493" s="85"/>
      <c r="M493" s="94"/>
      <c r="N493" s="93"/>
      <c r="O493" s="85"/>
      <c r="Q493" s="94"/>
      <c r="R493" s="93"/>
      <c r="S493" s="85"/>
      <c r="U493" s="94"/>
      <c r="V493" s="93"/>
      <c r="W493" s="85"/>
      <c r="Y493" s="94"/>
      <c r="Z493" s="93"/>
      <c r="AA493" s="85"/>
      <c r="AC493" s="94"/>
      <c r="AD493" s="93"/>
      <c r="AE493" s="85"/>
    </row>
    <row r="494" spans="7:31" x14ac:dyDescent="0.35">
      <c r="G494" s="85"/>
      <c r="H494" s="87"/>
      <c r="I494" s="94"/>
      <c r="J494" s="93"/>
      <c r="K494" s="85"/>
      <c r="M494" s="94"/>
      <c r="N494" s="93"/>
      <c r="O494" s="85"/>
      <c r="Q494" s="94"/>
      <c r="R494" s="93"/>
      <c r="S494" s="85"/>
      <c r="U494" s="94"/>
      <c r="V494" s="93"/>
      <c r="W494" s="85"/>
      <c r="Y494" s="94"/>
      <c r="Z494" s="93"/>
      <c r="AA494" s="85"/>
      <c r="AC494" s="94"/>
      <c r="AD494" s="93"/>
      <c r="AE494" s="85"/>
    </row>
    <row r="495" spans="7:31" x14ac:dyDescent="0.35">
      <c r="G495" s="85"/>
      <c r="H495" s="87"/>
      <c r="I495" s="94"/>
      <c r="J495" s="93"/>
      <c r="K495" s="85"/>
      <c r="M495" s="94"/>
      <c r="N495" s="93"/>
      <c r="O495" s="85"/>
      <c r="Q495" s="94"/>
      <c r="R495" s="93"/>
      <c r="S495" s="85"/>
      <c r="U495" s="94"/>
      <c r="V495" s="93"/>
      <c r="W495" s="85"/>
      <c r="Y495" s="94"/>
      <c r="Z495" s="93"/>
      <c r="AA495" s="85"/>
      <c r="AC495" s="94"/>
      <c r="AD495" s="93"/>
      <c r="AE495" s="85"/>
    </row>
    <row r="496" spans="7:31" x14ac:dyDescent="0.35">
      <c r="G496" s="85"/>
      <c r="H496" s="87"/>
      <c r="I496" s="94"/>
      <c r="J496" s="93"/>
      <c r="K496" s="85"/>
      <c r="M496" s="94"/>
      <c r="N496" s="93"/>
      <c r="O496" s="85"/>
      <c r="Q496" s="94"/>
      <c r="R496" s="93"/>
      <c r="S496" s="85"/>
      <c r="U496" s="94"/>
      <c r="V496" s="93"/>
      <c r="W496" s="85"/>
      <c r="Y496" s="94"/>
      <c r="Z496" s="93"/>
      <c r="AA496" s="85"/>
      <c r="AC496" s="94"/>
      <c r="AD496" s="93"/>
      <c r="AE496" s="85"/>
    </row>
    <row r="497" spans="7:31" x14ac:dyDescent="0.35">
      <c r="G497" s="85"/>
      <c r="H497" s="87"/>
      <c r="I497" s="94"/>
      <c r="J497" s="93"/>
      <c r="K497" s="85"/>
      <c r="M497" s="94"/>
      <c r="N497" s="93"/>
      <c r="O497" s="85"/>
      <c r="Q497" s="94"/>
      <c r="R497" s="93"/>
      <c r="S497" s="85"/>
      <c r="U497" s="94"/>
      <c r="V497" s="93"/>
      <c r="W497" s="85"/>
      <c r="Y497" s="94"/>
      <c r="Z497" s="93"/>
      <c r="AA497" s="85"/>
      <c r="AC497" s="94"/>
      <c r="AD497" s="93"/>
      <c r="AE497" s="85"/>
    </row>
    <row r="498" spans="7:31" x14ac:dyDescent="0.35">
      <c r="G498" s="85"/>
      <c r="H498" s="87"/>
      <c r="I498" s="94"/>
      <c r="J498" s="93"/>
      <c r="K498" s="85"/>
      <c r="M498" s="94"/>
      <c r="N498" s="93"/>
      <c r="O498" s="85"/>
      <c r="Q498" s="94"/>
      <c r="R498" s="93"/>
      <c r="S498" s="85"/>
      <c r="U498" s="94"/>
      <c r="V498" s="93"/>
      <c r="W498" s="85"/>
      <c r="Y498" s="94"/>
      <c r="Z498" s="93"/>
      <c r="AA498" s="85"/>
      <c r="AC498" s="94"/>
      <c r="AD498" s="93"/>
      <c r="AE498" s="85"/>
    </row>
    <row r="499" spans="7:31" x14ac:dyDescent="0.35">
      <c r="G499" s="85"/>
      <c r="H499" s="87"/>
      <c r="I499" s="94"/>
      <c r="J499" s="93"/>
      <c r="K499" s="85"/>
      <c r="M499" s="94"/>
      <c r="N499" s="93"/>
      <c r="O499" s="85"/>
      <c r="Q499" s="94"/>
      <c r="R499" s="93"/>
      <c r="S499" s="85"/>
      <c r="U499" s="94"/>
      <c r="V499" s="93"/>
      <c r="W499" s="85"/>
      <c r="Y499" s="94"/>
      <c r="Z499" s="93"/>
      <c r="AA499" s="85"/>
      <c r="AC499" s="94"/>
      <c r="AD499" s="93"/>
      <c r="AE499" s="85"/>
    </row>
    <row r="500" spans="7:31" x14ac:dyDescent="0.35">
      <c r="G500" s="85"/>
      <c r="H500" s="87"/>
      <c r="I500" s="94"/>
      <c r="J500" s="93"/>
      <c r="K500" s="85"/>
      <c r="M500" s="94"/>
      <c r="N500" s="93"/>
      <c r="O500" s="85"/>
      <c r="Q500" s="94"/>
      <c r="R500" s="93"/>
      <c r="S500" s="85"/>
      <c r="U500" s="94"/>
      <c r="V500" s="93"/>
      <c r="W500" s="85"/>
      <c r="Y500" s="94"/>
      <c r="Z500" s="93"/>
      <c r="AA500" s="85"/>
      <c r="AC500" s="94"/>
      <c r="AD500" s="93"/>
      <c r="AE500" s="85"/>
    </row>
    <row r="501" spans="7:31" x14ac:dyDescent="0.35">
      <c r="G501" s="85"/>
      <c r="H501" s="87"/>
      <c r="I501" s="94"/>
      <c r="J501" s="93"/>
      <c r="K501" s="85"/>
      <c r="M501" s="94"/>
      <c r="N501" s="93"/>
      <c r="O501" s="85"/>
      <c r="Q501" s="94"/>
      <c r="R501" s="93"/>
      <c r="S501" s="85"/>
      <c r="U501" s="94"/>
      <c r="V501" s="93"/>
      <c r="W501" s="85"/>
      <c r="Y501" s="94"/>
      <c r="Z501" s="93"/>
      <c r="AA501" s="85"/>
      <c r="AC501" s="94"/>
      <c r="AD501" s="93"/>
      <c r="AE501" s="85"/>
    </row>
    <row r="502" spans="7:31" x14ac:dyDescent="0.35">
      <c r="G502" s="85"/>
      <c r="H502" s="87"/>
      <c r="I502" s="94"/>
      <c r="J502" s="93"/>
      <c r="K502" s="85"/>
      <c r="M502" s="94"/>
      <c r="N502" s="93"/>
      <c r="O502" s="85"/>
      <c r="Q502" s="94"/>
      <c r="R502" s="93"/>
      <c r="S502" s="85"/>
      <c r="U502" s="94"/>
      <c r="V502" s="93"/>
      <c r="W502" s="85"/>
      <c r="Y502" s="94"/>
      <c r="Z502" s="93"/>
      <c r="AA502" s="85"/>
      <c r="AC502" s="94"/>
      <c r="AD502" s="93"/>
      <c r="AE502" s="85"/>
    </row>
    <row r="503" spans="7:31" x14ac:dyDescent="0.35">
      <c r="G503" s="85"/>
      <c r="H503" s="87"/>
      <c r="I503" s="94"/>
      <c r="J503" s="93"/>
      <c r="K503" s="85"/>
      <c r="M503" s="94"/>
      <c r="N503" s="93"/>
      <c r="O503" s="85"/>
      <c r="Q503" s="94"/>
      <c r="R503" s="93"/>
      <c r="S503" s="85"/>
      <c r="U503" s="94"/>
      <c r="V503" s="93"/>
      <c r="W503" s="85"/>
      <c r="Y503" s="94"/>
      <c r="Z503" s="93"/>
      <c r="AA503" s="85"/>
      <c r="AC503" s="94"/>
      <c r="AD503" s="93"/>
      <c r="AE503" s="85"/>
    </row>
    <row r="504" spans="7:31" x14ac:dyDescent="0.35">
      <c r="G504" s="85"/>
      <c r="H504" s="87"/>
      <c r="I504" s="94"/>
      <c r="J504" s="93"/>
      <c r="K504" s="85"/>
      <c r="M504" s="94"/>
      <c r="N504" s="93"/>
      <c r="O504" s="85"/>
      <c r="Q504" s="94"/>
      <c r="R504" s="93"/>
      <c r="S504" s="85"/>
      <c r="U504" s="94"/>
      <c r="V504" s="93"/>
      <c r="W504" s="85"/>
      <c r="Y504" s="94"/>
      <c r="Z504" s="93"/>
      <c r="AA504" s="85"/>
      <c r="AC504" s="94"/>
      <c r="AD504" s="93"/>
      <c r="AE504" s="85"/>
    </row>
    <row r="505" spans="7:31" x14ac:dyDescent="0.35">
      <c r="G505" s="85"/>
      <c r="H505" s="87"/>
      <c r="I505" s="94"/>
      <c r="J505" s="93"/>
      <c r="K505" s="85"/>
      <c r="M505" s="94"/>
      <c r="N505" s="93"/>
      <c r="O505" s="85"/>
      <c r="Q505" s="94"/>
      <c r="R505" s="93"/>
      <c r="S505" s="85"/>
      <c r="U505" s="94"/>
      <c r="V505" s="93"/>
      <c r="W505" s="85"/>
      <c r="Y505" s="94"/>
      <c r="Z505" s="93"/>
      <c r="AA505" s="85"/>
      <c r="AC505" s="94"/>
      <c r="AD505" s="93"/>
      <c r="AE505" s="85"/>
    </row>
    <row r="506" spans="7:31" x14ac:dyDescent="0.35">
      <c r="G506" s="85"/>
      <c r="H506" s="87"/>
      <c r="I506" s="94"/>
      <c r="J506" s="93"/>
      <c r="K506" s="85"/>
      <c r="M506" s="94"/>
      <c r="N506" s="93"/>
      <c r="O506" s="85"/>
      <c r="Q506" s="94"/>
      <c r="R506" s="93"/>
      <c r="S506" s="85"/>
      <c r="U506" s="94"/>
      <c r="V506" s="93"/>
      <c r="W506" s="85"/>
      <c r="Y506" s="94"/>
      <c r="Z506" s="93"/>
      <c r="AA506" s="85"/>
      <c r="AC506" s="94"/>
      <c r="AD506" s="93"/>
      <c r="AE506" s="85"/>
    </row>
    <row r="507" spans="7:31" x14ac:dyDescent="0.35">
      <c r="G507" s="85"/>
      <c r="H507" s="87"/>
      <c r="I507" s="94"/>
      <c r="J507" s="93"/>
      <c r="K507" s="85"/>
      <c r="M507" s="94"/>
      <c r="N507" s="93"/>
      <c r="O507" s="85"/>
      <c r="Q507" s="94"/>
      <c r="R507" s="93"/>
      <c r="S507" s="85"/>
      <c r="U507" s="94"/>
      <c r="V507" s="93"/>
      <c r="W507" s="85"/>
      <c r="Y507" s="94"/>
      <c r="Z507" s="93"/>
      <c r="AA507" s="85"/>
      <c r="AC507" s="94"/>
      <c r="AD507" s="93"/>
      <c r="AE507" s="85"/>
    </row>
    <row r="508" spans="7:31" x14ac:dyDescent="0.35">
      <c r="G508" s="85"/>
      <c r="H508" s="87"/>
      <c r="I508" s="94"/>
      <c r="J508" s="93"/>
      <c r="K508" s="85"/>
      <c r="M508" s="94"/>
      <c r="N508" s="93"/>
      <c r="O508" s="85"/>
      <c r="Q508" s="94"/>
      <c r="R508" s="93"/>
      <c r="S508" s="85"/>
      <c r="U508" s="94"/>
      <c r="V508" s="93"/>
      <c r="W508" s="85"/>
      <c r="Y508" s="94"/>
      <c r="Z508" s="93"/>
      <c r="AA508" s="85"/>
      <c r="AC508" s="94"/>
      <c r="AD508" s="93"/>
      <c r="AE508" s="85"/>
    </row>
    <row r="509" spans="7:31" x14ac:dyDescent="0.35">
      <c r="G509" s="85"/>
      <c r="H509" s="87"/>
      <c r="I509" s="94"/>
      <c r="J509" s="93"/>
      <c r="K509" s="85"/>
      <c r="M509" s="94"/>
      <c r="N509" s="93"/>
      <c r="O509" s="85"/>
      <c r="Q509" s="94"/>
      <c r="R509" s="93"/>
      <c r="S509" s="85"/>
      <c r="U509" s="94"/>
      <c r="V509" s="93"/>
      <c r="W509" s="85"/>
      <c r="Y509" s="94"/>
      <c r="Z509" s="93"/>
      <c r="AA509" s="85"/>
      <c r="AC509" s="94"/>
      <c r="AD509" s="93"/>
      <c r="AE509" s="85"/>
    </row>
    <row r="510" spans="7:31" x14ac:dyDescent="0.35">
      <c r="G510" s="85"/>
      <c r="H510" s="87"/>
      <c r="I510" s="94"/>
      <c r="J510" s="93"/>
      <c r="K510" s="85"/>
      <c r="M510" s="94"/>
      <c r="N510" s="93"/>
      <c r="O510" s="85"/>
      <c r="Q510" s="94"/>
      <c r="R510" s="93"/>
      <c r="S510" s="85"/>
      <c r="U510" s="94"/>
      <c r="V510" s="93"/>
      <c r="W510" s="85"/>
      <c r="Y510" s="94"/>
      <c r="Z510" s="93"/>
      <c r="AA510" s="85"/>
      <c r="AC510" s="94"/>
      <c r="AD510" s="93"/>
      <c r="AE510" s="85"/>
    </row>
    <row r="511" spans="7:31" x14ac:dyDescent="0.35">
      <c r="G511" s="85"/>
      <c r="H511" s="87"/>
      <c r="I511" s="94"/>
      <c r="J511" s="93"/>
      <c r="K511" s="85"/>
      <c r="M511" s="94"/>
      <c r="N511" s="93"/>
      <c r="O511" s="85"/>
      <c r="Q511" s="94"/>
      <c r="R511" s="93"/>
      <c r="S511" s="85"/>
      <c r="U511" s="94"/>
      <c r="V511" s="93"/>
      <c r="W511" s="85"/>
      <c r="Y511" s="94"/>
      <c r="Z511" s="93"/>
      <c r="AA511" s="85"/>
      <c r="AC511" s="94"/>
      <c r="AD511" s="93"/>
      <c r="AE511" s="85"/>
    </row>
    <row r="512" spans="7:31" x14ac:dyDescent="0.35">
      <c r="G512" s="85"/>
      <c r="H512" s="87"/>
      <c r="I512" s="94"/>
      <c r="J512" s="93"/>
      <c r="K512" s="85"/>
      <c r="M512" s="94"/>
      <c r="N512" s="93"/>
      <c r="O512" s="85"/>
      <c r="Q512" s="94"/>
      <c r="R512" s="93"/>
      <c r="S512" s="85"/>
      <c r="U512" s="94"/>
      <c r="V512" s="93"/>
      <c r="W512" s="85"/>
      <c r="Y512" s="94"/>
      <c r="Z512" s="93"/>
      <c r="AA512" s="85"/>
      <c r="AC512" s="94"/>
      <c r="AD512" s="93"/>
      <c r="AE512" s="85"/>
    </row>
    <row r="513" spans="7:31" x14ac:dyDescent="0.35">
      <c r="G513" s="85"/>
      <c r="H513" s="87"/>
      <c r="I513" s="94"/>
      <c r="J513" s="93"/>
      <c r="K513" s="85"/>
      <c r="M513" s="94"/>
      <c r="N513" s="93"/>
      <c r="O513" s="85"/>
      <c r="Q513" s="94"/>
      <c r="R513" s="93"/>
      <c r="S513" s="85"/>
      <c r="U513" s="94"/>
      <c r="V513" s="93"/>
      <c r="W513" s="85"/>
      <c r="Y513" s="94"/>
      <c r="Z513" s="93"/>
      <c r="AA513" s="85"/>
      <c r="AC513" s="94"/>
      <c r="AD513" s="93"/>
      <c r="AE513" s="85"/>
    </row>
    <row r="514" spans="7:31" x14ac:dyDescent="0.35">
      <c r="G514" s="85"/>
      <c r="H514" s="87"/>
      <c r="I514" s="94"/>
      <c r="J514" s="93"/>
      <c r="K514" s="85"/>
      <c r="M514" s="94"/>
      <c r="N514" s="93"/>
      <c r="O514" s="85"/>
      <c r="Q514" s="94"/>
      <c r="R514" s="93"/>
      <c r="S514" s="85"/>
      <c r="U514" s="94"/>
      <c r="V514" s="93"/>
      <c r="W514" s="85"/>
      <c r="Y514" s="94"/>
      <c r="Z514" s="93"/>
      <c r="AA514" s="85"/>
      <c r="AC514" s="94"/>
      <c r="AD514" s="93"/>
      <c r="AE514" s="85"/>
    </row>
    <row r="515" spans="7:31" x14ac:dyDescent="0.35">
      <c r="G515" s="85"/>
      <c r="H515" s="87"/>
      <c r="I515" s="94"/>
      <c r="J515" s="93"/>
      <c r="K515" s="85"/>
      <c r="M515" s="94"/>
      <c r="N515" s="93"/>
      <c r="O515" s="85"/>
      <c r="Q515" s="94"/>
      <c r="R515" s="93"/>
      <c r="S515" s="85"/>
      <c r="U515" s="94"/>
      <c r="V515" s="93"/>
      <c r="W515" s="85"/>
      <c r="Y515" s="94"/>
      <c r="Z515" s="93"/>
      <c r="AA515" s="85"/>
      <c r="AC515" s="94"/>
      <c r="AD515" s="93"/>
      <c r="AE515" s="85"/>
    </row>
    <row r="516" spans="7:31" x14ac:dyDescent="0.35">
      <c r="G516" s="85"/>
      <c r="H516" s="87"/>
      <c r="I516" s="94"/>
      <c r="J516" s="93"/>
      <c r="K516" s="85"/>
      <c r="M516" s="94"/>
      <c r="N516" s="93"/>
      <c r="O516" s="85"/>
      <c r="Q516" s="94"/>
      <c r="R516" s="93"/>
      <c r="S516" s="85"/>
      <c r="U516" s="94"/>
      <c r="V516" s="93"/>
      <c r="W516" s="85"/>
      <c r="Y516" s="94"/>
      <c r="Z516" s="93"/>
      <c r="AA516" s="85"/>
      <c r="AC516" s="94"/>
      <c r="AD516" s="93"/>
      <c r="AE516" s="85"/>
    </row>
    <row r="517" spans="7:31" x14ac:dyDescent="0.35">
      <c r="G517" s="85"/>
      <c r="H517" s="87"/>
      <c r="I517" s="94"/>
      <c r="J517" s="93"/>
      <c r="K517" s="85"/>
      <c r="M517" s="94"/>
      <c r="N517" s="93"/>
      <c r="O517" s="85"/>
      <c r="Q517" s="94"/>
      <c r="R517" s="93"/>
      <c r="S517" s="85"/>
      <c r="U517" s="94"/>
      <c r="V517" s="93"/>
      <c r="W517" s="85"/>
      <c r="Y517" s="94"/>
      <c r="Z517" s="93"/>
      <c r="AA517" s="85"/>
      <c r="AC517" s="94"/>
      <c r="AD517" s="93"/>
      <c r="AE517" s="85"/>
    </row>
    <row r="518" spans="7:31" x14ac:dyDescent="0.35">
      <c r="G518" s="85"/>
      <c r="H518" s="87"/>
      <c r="I518" s="94"/>
      <c r="J518" s="93"/>
      <c r="K518" s="85"/>
      <c r="M518" s="94"/>
      <c r="N518" s="93"/>
      <c r="O518" s="85"/>
      <c r="Q518" s="94"/>
      <c r="R518" s="93"/>
      <c r="S518" s="85"/>
      <c r="U518" s="94"/>
      <c r="V518" s="93"/>
      <c r="W518" s="85"/>
      <c r="Y518" s="94"/>
      <c r="Z518" s="93"/>
      <c r="AA518" s="85"/>
      <c r="AC518" s="94"/>
      <c r="AD518" s="93"/>
      <c r="AE518" s="85"/>
    </row>
    <row r="519" spans="7:31" x14ac:dyDescent="0.35">
      <c r="G519" s="85"/>
      <c r="H519" s="87"/>
      <c r="I519" s="94"/>
      <c r="J519" s="93"/>
      <c r="K519" s="85"/>
      <c r="M519" s="94"/>
      <c r="N519" s="93"/>
      <c r="O519" s="85"/>
      <c r="Q519" s="94"/>
      <c r="R519" s="93"/>
      <c r="S519" s="85"/>
      <c r="U519" s="94"/>
      <c r="V519" s="93"/>
      <c r="W519" s="85"/>
      <c r="Y519" s="94"/>
      <c r="Z519" s="93"/>
      <c r="AA519" s="85"/>
      <c r="AC519" s="94"/>
      <c r="AD519" s="93"/>
      <c r="AE519" s="85"/>
    </row>
    <row r="520" spans="7:31" x14ac:dyDescent="0.35">
      <c r="G520" s="85"/>
      <c r="H520" s="87"/>
      <c r="I520" s="94"/>
      <c r="J520" s="93"/>
      <c r="K520" s="85"/>
      <c r="M520" s="94"/>
      <c r="N520" s="93"/>
      <c r="O520" s="85"/>
      <c r="Q520" s="94"/>
      <c r="R520" s="93"/>
      <c r="S520" s="85"/>
      <c r="U520" s="94"/>
      <c r="V520" s="93"/>
      <c r="W520" s="85"/>
      <c r="Y520" s="94"/>
      <c r="Z520" s="93"/>
      <c r="AA520" s="85"/>
      <c r="AC520" s="94"/>
      <c r="AD520" s="93"/>
      <c r="AE520" s="85"/>
    </row>
    <row r="521" spans="7:31" x14ac:dyDescent="0.35">
      <c r="G521" s="85"/>
      <c r="H521" s="87"/>
      <c r="I521" s="94"/>
      <c r="J521" s="93"/>
      <c r="K521" s="85"/>
      <c r="M521" s="94"/>
      <c r="N521" s="93"/>
      <c r="O521" s="85"/>
      <c r="Q521" s="94"/>
      <c r="R521" s="93"/>
      <c r="S521" s="85"/>
      <c r="U521" s="94"/>
      <c r="V521" s="93"/>
      <c r="W521" s="85"/>
      <c r="Y521" s="94"/>
      <c r="Z521" s="93"/>
      <c r="AA521" s="85"/>
      <c r="AC521" s="94"/>
      <c r="AD521" s="93"/>
      <c r="AE521" s="85"/>
    </row>
    <row r="522" spans="7:31" x14ac:dyDescent="0.35">
      <c r="G522" s="85"/>
      <c r="H522" s="87"/>
      <c r="I522" s="94"/>
      <c r="J522" s="93"/>
      <c r="K522" s="85"/>
      <c r="M522" s="94"/>
      <c r="N522" s="93"/>
      <c r="O522" s="85"/>
      <c r="Q522" s="94"/>
      <c r="R522" s="93"/>
      <c r="S522" s="85"/>
      <c r="U522" s="94"/>
      <c r="V522" s="93"/>
      <c r="W522" s="85"/>
      <c r="Y522" s="94"/>
      <c r="Z522" s="93"/>
      <c r="AA522" s="85"/>
      <c r="AC522" s="94"/>
      <c r="AD522" s="93"/>
      <c r="AE522" s="85"/>
    </row>
    <row r="523" spans="7:31" x14ac:dyDescent="0.35">
      <c r="G523" s="85"/>
      <c r="H523" s="87"/>
      <c r="I523" s="94"/>
      <c r="J523" s="93"/>
      <c r="K523" s="85"/>
      <c r="M523" s="94"/>
      <c r="N523" s="93"/>
      <c r="O523" s="85"/>
      <c r="Q523" s="94"/>
      <c r="R523" s="93"/>
      <c r="S523" s="85"/>
      <c r="U523" s="94"/>
      <c r="V523" s="93"/>
      <c r="W523" s="85"/>
      <c r="Y523" s="94"/>
      <c r="Z523" s="93"/>
      <c r="AA523" s="85"/>
      <c r="AC523" s="94"/>
      <c r="AD523" s="93"/>
      <c r="AE523" s="85"/>
    </row>
    <row r="524" spans="7:31" x14ac:dyDescent="0.35">
      <c r="G524" s="85"/>
      <c r="H524" s="87"/>
      <c r="I524" s="94"/>
      <c r="J524" s="93"/>
      <c r="K524" s="85"/>
      <c r="M524" s="94"/>
      <c r="N524" s="93"/>
      <c r="O524" s="85"/>
      <c r="Q524" s="94"/>
      <c r="R524" s="93"/>
      <c r="S524" s="85"/>
      <c r="U524" s="94"/>
      <c r="V524" s="93"/>
      <c r="W524" s="85"/>
      <c r="Y524" s="94"/>
      <c r="Z524" s="93"/>
      <c r="AA524" s="85"/>
      <c r="AC524" s="94"/>
      <c r="AD524" s="93"/>
      <c r="AE524" s="85"/>
    </row>
    <row r="525" spans="7:31" x14ac:dyDescent="0.35">
      <c r="G525" s="85"/>
      <c r="H525" s="87"/>
      <c r="I525" s="94"/>
      <c r="J525" s="93"/>
      <c r="K525" s="85"/>
      <c r="M525" s="94"/>
      <c r="N525" s="93"/>
      <c r="O525" s="85"/>
      <c r="Q525" s="94"/>
      <c r="R525" s="93"/>
      <c r="S525" s="85"/>
      <c r="U525" s="94"/>
      <c r="V525" s="93"/>
      <c r="W525" s="85"/>
      <c r="Y525" s="94"/>
      <c r="Z525" s="93"/>
      <c r="AA525" s="85"/>
      <c r="AC525" s="94"/>
      <c r="AD525" s="93"/>
      <c r="AE525" s="85"/>
    </row>
    <row r="526" spans="7:31" x14ac:dyDescent="0.35">
      <c r="G526" s="85"/>
      <c r="H526" s="87"/>
      <c r="I526" s="94"/>
      <c r="J526" s="93"/>
      <c r="K526" s="85"/>
      <c r="M526" s="94"/>
      <c r="N526" s="93"/>
      <c r="O526" s="85"/>
      <c r="Q526" s="94"/>
      <c r="R526" s="93"/>
      <c r="S526" s="85"/>
      <c r="U526" s="94"/>
      <c r="V526" s="93"/>
      <c r="W526" s="85"/>
      <c r="Y526" s="94"/>
      <c r="Z526" s="93"/>
      <c r="AA526" s="85"/>
      <c r="AC526" s="94"/>
      <c r="AD526" s="93"/>
      <c r="AE526" s="85"/>
    </row>
    <row r="527" spans="7:31" x14ac:dyDescent="0.35">
      <c r="G527" s="85"/>
      <c r="H527" s="87"/>
      <c r="I527" s="94"/>
      <c r="J527" s="93"/>
      <c r="K527" s="85"/>
      <c r="M527" s="94"/>
      <c r="N527" s="93"/>
      <c r="O527" s="85"/>
      <c r="Q527" s="94"/>
      <c r="R527" s="93"/>
      <c r="S527" s="85"/>
      <c r="U527" s="94"/>
      <c r="V527" s="93"/>
      <c r="W527" s="85"/>
      <c r="Y527" s="94"/>
      <c r="Z527" s="93"/>
      <c r="AA527" s="85"/>
      <c r="AC527" s="94"/>
      <c r="AD527" s="93"/>
      <c r="AE527" s="85"/>
    </row>
    <row r="528" spans="7:31" x14ac:dyDescent="0.35">
      <c r="G528" s="85"/>
      <c r="H528" s="87"/>
      <c r="I528" s="94"/>
      <c r="J528" s="93"/>
      <c r="K528" s="85"/>
      <c r="M528" s="94"/>
      <c r="N528" s="93"/>
      <c r="O528" s="85"/>
      <c r="Q528" s="94"/>
      <c r="R528" s="93"/>
      <c r="S528" s="85"/>
      <c r="U528" s="94"/>
      <c r="V528" s="93"/>
      <c r="W528" s="85"/>
      <c r="Y528" s="94"/>
      <c r="Z528" s="93"/>
      <c r="AA528" s="85"/>
      <c r="AC528" s="94"/>
      <c r="AD528" s="93"/>
      <c r="AE528" s="85"/>
    </row>
    <row r="529" spans="7:31" x14ac:dyDescent="0.35">
      <c r="G529" s="85"/>
      <c r="H529" s="87"/>
      <c r="I529" s="94"/>
      <c r="J529" s="93"/>
      <c r="K529" s="85"/>
      <c r="M529" s="94"/>
      <c r="N529" s="93"/>
      <c r="O529" s="85"/>
      <c r="Q529" s="94"/>
      <c r="R529" s="93"/>
      <c r="S529" s="85"/>
      <c r="U529" s="94"/>
      <c r="V529" s="93"/>
      <c r="W529" s="85"/>
      <c r="Y529" s="94"/>
      <c r="Z529" s="93"/>
      <c r="AA529" s="85"/>
      <c r="AC529" s="94"/>
      <c r="AD529" s="93"/>
      <c r="AE529" s="85"/>
    </row>
    <row r="530" spans="7:31" x14ac:dyDescent="0.35">
      <c r="G530" s="85"/>
      <c r="H530" s="87"/>
      <c r="I530" s="94"/>
      <c r="J530" s="93"/>
      <c r="K530" s="85"/>
      <c r="M530" s="94"/>
      <c r="N530" s="93"/>
      <c r="O530" s="85"/>
      <c r="Q530" s="94"/>
      <c r="R530" s="93"/>
      <c r="S530" s="85"/>
      <c r="U530" s="94"/>
      <c r="V530" s="93"/>
      <c r="W530" s="85"/>
      <c r="Y530" s="94"/>
      <c r="Z530" s="93"/>
      <c r="AA530" s="85"/>
      <c r="AC530" s="94"/>
      <c r="AD530" s="93"/>
      <c r="AE530" s="85"/>
    </row>
    <row r="531" spans="7:31" x14ac:dyDescent="0.35">
      <c r="G531" s="85"/>
      <c r="H531" s="87"/>
      <c r="I531" s="94"/>
      <c r="J531" s="93"/>
      <c r="K531" s="85"/>
      <c r="M531" s="94"/>
      <c r="N531" s="93"/>
      <c r="O531" s="85"/>
      <c r="Q531" s="94"/>
      <c r="R531" s="93"/>
      <c r="S531" s="85"/>
      <c r="U531" s="94"/>
      <c r="V531" s="93"/>
      <c r="W531" s="85"/>
      <c r="Y531" s="94"/>
      <c r="Z531" s="93"/>
      <c r="AA531" s="85"/>
      <c r="AC531" s="94"/>
      <c r="AD531" s="93"/>
      <c r="AE531" s="85"/>
    </row>
    <row r="532" spans="7:31" x14ac:dyDescent="0.35">
      <c r="G532" s="85"/>
      <c r="H532" s="87"/>
      <c r="I532" s="94"/>
      <c r="J532" s="93"/>
      <c r="K532" s="85"/>
      <c r="M532" s="94"/>
      <c r="N532" s="93"/>
      <c r="O532" s="85"/>
      <c r="Q532" s="94"/>
      <c r="R532" s="93"/>
      <c r="S532" s="85"/>
      <c r="U532" s="94"/>
      <c r="V532" s="93"/>
      <c r="W532" s="85"/>
      <c r="Y532" s="94"/>
      <c r="Z532" s="93"/>
      <c r="AA532" s="85"/>
      <c r="AC532" s="94"/>
      <c r="AD532" s="93"/>
      <c r="AE532" s="85"/>
    </row>
    <row r="533" spans="7:31" x14ac:dyDescent="0.35">
      <c r="G533" s="85"/>
      <c r="H533" s="87"/>
      <c r="I533" s="94"/>
      <c r="J533" s="93"/>
      <c r="K533" s="85"/>
      <c r="M533" s="94"/>
      <c r="N533" s="93"/>
      <c r="O533" s="85"/>
      <c r="Q533" s="94"/>
      <c r="R533" s="93"/>
      <c r="S533" s="85"/>
      <c r="U533" s="94"/>
      <c r="V533" s="93"/>
      <c r="W533" s="85"/>
      <c r="Y533" s="94"/>
      <c r="Z533" s="93"/>
      <c r="AA533" s="85"/>
      <c r="AC533" s="94"/>
      <c r="AD533" s="93"/>
      <c r="AE533" s="85"/>
    </row>
    <row r="534" spans="7:31" x14ac:dyDescent="0.35">
      <c r="G534" s="85"/>
      <c r="H534" s="87"/>
      <c r="I534" s="94"/>
      <c r="J534" s="93"/>
      <c r="K534" s="85"/>
      <c r="M534" s="94"/>
      <c r="N534" s="93"/>
      <c r="O534" s="85"/>
      <c r="Q534" s="94"/>
      <c r="R534" s="93"/>
      <c r="S534" s="85"/>
      <c r="U534" s="94"/>
      <c r="V534" s="93"/>
      <c r="W534" s="85"/>
      <c r="Y534" s="94"/>
      <c r="Z534" s="93"/>
      <c r="AA534" s="85"/>
      <c r="AC534" s="94"/>
      <c r="AD534" s="93"/>
      <c r="AE534" s="85"/>
    </row>
    <row r="535" spans="7:31" x14ac:dyDescent="0.35">
      <c r="G535" s="85"/>
      <c r="H535" s="87"/>
      <c r="I535" s="94"/>
      <c r="J535" s="93"/>
      <c r="K535" s="85"/>
      <c r="M535" s="94"/>
      <c r="N535" s="93"/>
      <c r="O535" s="85"/>
      <c r="Q535" s="94"/>
      <c r="R535" s="93"/>
      <c r="S535" s="85"/>
      <c r="U535" s="94"/>
      <c r="V535" s="93"/>
      <c r="W535" s="85"/>
      <c r="Y535" s="94"/>
      <c r="Z535" s="93"/>
      <c r="AA535" s="85"/>
      <c r="AC535" s="94"/>
      <c r="AD535" s="93"/>
      <c r="AE535" s="85"/>
    </row>
    <row r="536" spans="7:31" x14ac:dyDescent="0.35">
      <c r="G536" s="85"/>
      <c r="H536" s="87"/>
      <c r="I536" s="94"/>
      <c r="J536" s="93"/>
      <c r="K536" s="85"/>
      <c r="M536" s="94"/>
      <c r="N536" s="93"/>
      <c r="O536" s="85"/>
      <c r="Q536" s="94"/>
      <c r="R536" s="93"/>
      <c r="S536" s="85"/>
      <c r="U536" s="94"/>
      <c r="V536" s="93"/>
      <c r="W536" s="85"/>
      <c r="Y536" s="94"/>
      <c r="Z536" s="93"/>
      <c r="AA536" s="85"/>
      <c r="AC536" s="94"/>
      <c r="AD536" s="93"/>
      <c r="AE536" s="85"/>
    </row>
    <row r="537" spans="7:31" x14ac:dyDescent="0.35">
      <c r="G537" s="85"/>
      <c r="H537" s="87"/>
      <c r="I537" s="94"/>
      <c r="J537" s="93"/>
      <c r="K537" s="85"/>
      <c r="M537" s="94"/>
      <c r="N537" s="93"/>
      <c r="O537" s="85"/>
      <c r="Q537" s="94"/>
      <c r="R537" s="93"/>
      <c r="S537" s="85"/>
      <c r="U537" s="94"/>
      <c r="V537" s="93"/>
      <c r="W537" s="85"/>
      <c r="Y537" s="94"/>
      <c r="Z537" s="93"/>
      <c r="AA537" s="85"/>
      <c r="AC537" s="94"/>
      <c r="AD537" s="93"/>
      <c r="AE537" s="85"/>
    </row>
    <row r="538" spans="7:31" x14ac:dyDescent="0.35">
      <c r="G538" s="85"/>
      <c r="H538" s="87"/>
      <c r="I538" s="94"/>
      <c r="J538" s="93"/>
      <c r="K538" s="85"/>
      <c r="M538" s="94"/>
      <c r="N538" s="93"/>
      <c r="O538" s="85"/>
      <c r="Q538" s="94"/>
      <c r="R538" s="93"/>
      <c r="S538" s="85"/>
      <c r="U538" s="94"/>
      <c r="V538" s="93"/>
      <c r="W538" s="85"/>
      <c r="Y538" s="94"/>
      <c r="Z538" s="93"/>
      <c r="AA538" s="85"/>
      <c r="AC538" s="94"/>
      <c r="AD538" s="93"/>
      <c r="AE538" s="85"/>
    </row>
    <row r="539" spans="7:31" x14ac:dyDescent="0.35">
      <c r="G539" s="85"/>
      <c r="H539" s="87"/>
      <c r="I539" s="94"/>
      <c r="J539" s="93"/>
      <c r="K539" s="85"/>
      <c r="M539" s="94"/>
      <c r="N539" s="93"/>
      <c r="O539" s="85"/>
      <c r="Q539" s="94"/>
      <c r="R539" s="93"/>
      <c r="S539" s="85"/>
      <c r="U539" s="94"/>
      <c r="V539" s="93"/>
      <c r="W539" s="85"/>
      <c r="Y539" s="94"/>
      <c r="Z539" s="93"/>
      <c r="AA539" s="85"/>
      <c r="AC539" s="94"/>
      <c r="AD539" s="93"/>
      <c r="AE539" s="85"/>
    </row>
    <row r="540" spans="7:31" x14ac:dyDescent="0.35">
      <c r="G540" s="85"/>
      <c r="H540" s="87"/>
      <c r="I540" s="94"/>
      <c r="J540" s="93"/>
      <c r="K540" s="85"/>
      <c r="M540" s="94"/>
      <c r="N540" s="93"/>
      <c r="O540" s="85"/>
      <c r="Q540" s="94"/>
      <c r="R540" s="93"/>
      <c r="S540" s="85"/>
      <c r="U540" s="94"/>
      <c r="V540" s="93"/>
      <c r="W540" s="85"/>
      <c r="Y540" s="94"/>
      <c r="Z540" s="93"/>
      <c r="AA540" s="85"/>
      <c r="AC540" s="94"/>
      <c r="AD540" s="93"/>
      <c r="AE540" s="85"/>
    </row>
    <row r="541" spans="7:31" x14ac:dyDescent="0.35">
      <c r="G541" s="85"/>
      <c r="H541" s="87"/>
      <c r="I541" s="94"/>
      <c r="J541" s="93"/>
      <c r="K541" s="85"/>
      <c r="M541" s="94"/>
      <c r="N541" s="93"/>
      <c r="O541" s="85"/>
      <c r="Q541" s="94"/>
      <c r="R541" s="93"/>
      <c r="S541" s="85"/>
      <c r="U541" s="94"/>
      <c r="V541" s="93"/>
      <c r="W541" s="85"/>
      <c r="Y541" s="94"/>
      <c r="Z541" s="93"/>
      <c r="AA541" s="85"/>
      <c r="AC541" s="94"/>
      <c r="AD541" s="93"/>
      <c r="AE541" s="85"/>
    </row>
    <row r="542" spans="7:31" x14ac:dyDescent="0.35">
      <c r="G542" s="85"/>
      <c r="H542" s="87"/>
      <c r="I542" s="94"/>
      <c r="J542" s="93"/>
      <c r="K542" s="85"/>
      <c r="M542" s="94"/>
      <c r="N542" s="93"/>
      <c r="O542" s="85"/>
      <c r="Q542" s="94"/>
      <c r="R542" s="93"/>
      <c r="S542" s="85"/>
      <c r="U542" s="94"/>
      <c r="V542" s="93"/>
      <c r="W542" s="85"/>
      <c r="Y542" s="94"/>
      <c r="Z542" s="93"/>
      <c r="AA542" s="85"/>
      <c r="AC542" s="94"/>
      <c r="AD542" s="93"/>
      <c r="AE542" s="85"/>
    </row>
    <row r="543" spans="7:31" x14ac:dyDescent="0.35">
      <c r="G543" s="85"/>
      <c r="H543" s="87"/>
      <c r="I543" s="94"/>
      <c r="J543" s="93"/>
      <c r="K543" s="85"/>
      <c r="M543" s="94"/>
      <c r="N543" s="93"/>
      <c r="O543" s="85"/>
      <c r="Q543" s="94"/>
      <c r="R543" s="93"/>
      <c r="S543" s="85"/>
      <c r="U543" s="94"/>
      <c r="V543" s="93"/>
      <c r="W543" s="85"/>
      <c r="Y543" s="94"/>
      <c r="Z543" s="93"/>
      <c r="AA543" s="85"/>
      <c r="AC543" s="94"/>
      <c r="AD543" s="93"/>
      <c r="AE543" s="85"/>
    </row>
    <row r="544" spans="7:31" x14ac:dyDescent="0.35">
      <c r="G544" s="85"/>
      <c r="H544" s="87"/>
      <c r="I544" s="94"/>
      <c r="J544" s="93"/>
      <c r="K544" s="85"/>
      <c r="M544" s="94"/>
      <c r="N544" s="93"/>
      <c r="O544" s="85"/>
      <c r="Q544" s="94"/>
      <c r="R544" s="93"/>
      <c r="S544" s="85"/>
      <c r="U544" s="94"/>
      <c r="V544" s="93"/>
      <c r="W544" s="85"/>
      <c r="Y544" s="94"/>
      <c r="Z544" s="93"/>
      <c r="AA544" s="85"/>
      <c r="AC544" s="94"/>
      <c r="AD544" s="93"/>
      <c r="AE544" s="85"/>
    </row>
    <row r="545" spans="7:31" x14ac:dyDescent="0.35">
      <c r="G545" s="85"/>
      <c r="H545" s="87"/>
      <c r="I545" s="94"/>
      <c r="J545" s="93"/>
      <c r="K545" s="85"/>
      <c r="M545" s="94"/>
      <c r="N545" s="93"/>
      <c r="O545" s="85"/>
      <c r="Q545" s="94"/>
      <c r="R545" s="93"/>
      <c r="S545" s="85"/>
      <c r="U545" s="94"/>
      <c r="V545" s="93"/>
      <c r="W545" s="85"/>
      <c r="Y545" s="94"/>
      <c r="Z545" s="93"/>
      <c r="AA545" s="85"/>
      <c r="AC545" s="94"/>
      <c r="AD545" s="93"/>
      <c r="AE545" s="85"/>
    </row>
    <row r="546" spans="7:31" x14ac:dyDescent="0.35">
      <c r="G546" s="85"/>
      <c r="H546" s="87"/>
      <c r="I546" s="94"/>
      <c r="J546" s="93"/>
      <c r="K546" s="85"/>
      <c r="M546" s="94"/>
      <c r="N546" s="93"/>
      <c r="O546" s="85"/>
      <c r="Q546" s="94"/>
      <c r="R546" s="93"/>
      <c r="S546" s="85"/>
      <c r="U546" s="94"/>
      <c r="V546" s="93"/>
      <c r="W546" s="85"/>
      <c r="Y546" s="94"/>
      <c r="Z546" s="93"/>
      <c r="AA546" s="85"/>
      <c r="AC546" s="94"/>
      <c r="AD546" s="93"/>
      <c r="AE546" s="85"/>
    </row>
    <row r="547" spans="7:31" x14ac:dyDescent="0.35">
      <c r="G547" s="85"/>
      <c r="H547" s="87"/>
      <c r="I547" s="94"/>
      <c r="J547" s="93"/>
      <c r="K547" s="85"/>
      <c r="M547" s="94"/>
      <c r="N547" s="93"/>
      <c r="O547" s="85"/>
      <c r="Q547" s="94"/>
      <c r="R547" s="93"/>
      <c r="S547" s="85"/>
      <c r="U547" s="94"/>
      <c r="V547" s="93"/>
      <c r="W547" s="85"/>
      <c r="Y547" s="94"/>
      <c r="Z547" s="93"/>
      <c r="AA547" s="85"/>
      <c r="AC547" s="94"/>
      <c r="AD547" s="93"/>
      <c r="AE547" s="85"/>
    </row>
    <row r="548" spans="7:31" x14ac:dyDescent="0.35">
      <c r="G548" s="85"/>
      <c r="H548" s="87"/>
      <c r="I548" s="94"/>
      <c r="J548" s="93"/>
      <c r="K548" s="85"/>
      <c r="M548" s="94"/>
      <c r="N548" s="93"/>
      <c r="O548" s="85"/>
      <c r="Q548" s="94"/>
      <c r="R548" s="93"/>
      <c r="S548" s="85"/>
      <c r="U548" s="94"/>
      <c r="V548" s="93"/>
      <c r="W548" s="85"/>
      <c r="Y548" s="94"/>
      <c r="Z548" s="93"/>
      <c r="AA548" s="85"/>
      <c r="AC548" s="94"/>
      <c r="AD548" s="93"/>
      <c r="AE548" s="85"/>
    </row>
    <row r="549" spans="7:31" x14ac:dyDescent="0.35">
      <c r="G549" s="85"/>
      <c r="H549" s="87"/>
      <c r="I549" s="94"/>
      <c r="J549" s="93"/>
      <c r="K549" s="85"/>
      <c r="M549" s="94"/>
      <c r="N549" s="93"/>
      <c r="O549" s="85"/>
      <c r="Q549" s="94"/>
      <c r="R549" s="93"/>
      <c r="S549" s="85"/>
      <c r="U549" s="94"/>
      <c r="V549" s="93"/>
      <c r="W549" s="85"/>
      <c r="Y549" s="94"/>
      <c r="Z549" s="93"/>
      <c r="AA549" s="85"/>
      <c r="AC549" s="94"/>
      <c r="AD549" s="93"/>
      <c r="AE549" s="85"/>
    </row>
    <row r="550" spans="7:31" x14ac:dyDescent="0.35">
      <c r="G550" s="85"/>
      <c r="H550" s="87"/>
      <c r="I550" s="94"/>
      <c r="J550" s="93"/>
      <c r="K550" s="85"/>
      <c r="M550" s="94"/>
      <c r="N550" s="93"/>
      <c r="O550" s="85"/>
      <c r="Q550" s="94"/>
      <c r="R550" s="93"/>
      <c r="S550" s="85"/>
      <c r="U550" s="94"/>
      <c r="V550" s="93"/>
      <c r="W550" s="85"/>
      <c r="Y550" s="94"/>
      <c r="Z550" s="93"/>
      <c r="AA550" s="85"/>
      <c r="AC550" s="94"/>
      <c r="AD550" s="93"/>
      <c r="AE550" s="85"/>
    </row>
    <row r="551" spans="7:31" x14ac:dyDescent="0.35">
      <c r="G551" s="85"/>
      <c r="H551" s="87"/>
      <c r="I551" s="94"/>
      <c r="J551" s="93"/>
      <c r="K551" s="85"/>
      <c r="M551" s="94"/>
      <c r="N551" s="93"/>
      <c r="O551" s="85"/>
      <c r="Q551" s="94"/>
      <c r="R551" s="93"/>
      <c r="S551" s="85"/>
      <c r="U551" s="94"/>
      <c r="V551" s="93"/>
      <c r="W551" s="85"/>
      <c r="Y551" s="94"/>
      <c r="Z551" s="93"/>
      <c r="AA551" s="85"/>
      <c r="AC551" s="94"/>
      <c r="AD551" s="93"/>
      <c r="AE551" s="85"/>
    </row>
    <row r="552" spans="7:31" x14ac:dyDescent="0.35">
      <c r="G552" s="85"/>
      <c r="H552" s="87"/>
      <c r="I552" s="94"/>
      <c r="J552" s="93"/>
      <c r="K552" s="85"/>
      <c r="M552" s="94"/>
      <c r="N552" s="93"/>
      <c r="O552" s="85"/>
      <c r="Q552" s="94"/>
      <c r="R552" s="93"/>
      <c r="S552" s="85"/>
      <c r="U552" s="94"/>
      <c r="V552" s="93"/>
      <c r="W552" s="85"/>
      <c r="Y552" s="94"/>
      <c r="Z552" s="93"/>
      <c r="AA552" s="85"/>
      <c r="AC552" s="94"/>
      <c r="AD552" s="93"/>
      <c r="AE552" s="85"/>
    </row>
    <row r="553" spans="7:31" x14ac:dyDescent="0.35">
      <c r="G553" s="85"/>
      <c r="H553" s="87"/>
      <c r="I553" s="94"/>
      <c r="J553" s="93"/>
      <c r="K553" s="85"/>
      <c r="M553" s="94"/>
      <c r="N553" s="93"/>
      <c r="O553" s="85"/>
      <c r="Q553" s="94"/>
      <c r="R553" s="93"/>
      <c r="S553" s="85"/>
      <c r="U553" s="94"/>
      <c r="V553" s="93"/>
      <c r="W553" s="85"/>
      <c r="Y553" s="94"/>
      <c r="Z553" s="93"/>
      <c r="AA553" s="85"/>
      <c r="AC553" s="94"/>
      <c r="AD553" s="93"/>
      <c r="AE553" s="85"/>
    </row>
    <row r="554" spans="7:31" x14ac:dyDescent="0.35">
      <c r="G554" s="85"/>
      <c r="H554" s="87"/>
      <c r="I554" s="94"/>
      <c r="J554" s="93"/>
      <c r="K554" s="85"/>
      <c r="M554" s="94"/>
      <c r="N554" s="93"/>
      <c r="O554" s="85"/>
      <c r="Q554" s="94"/>
      <c r="R554" s="93"/>
      <c r="S554" s="85"/>
      <c r="U554" s="94"/>
      <c r="V554" s="93"/>
      <c r="W554" s="85"/>
      <c r="Y554" s="94"/>
      <c r="Z554" s="93"/>
      <c r="AA554" s="85"/>
      <c r="AC554" s="94"/>
      <c r="AD554" s="93"/>
      <c r="AE554" s="85"/>
    </row>
    <row r="555" spans="7:31" x14ac:dyDescent="0.35">
      <c r="G555" s="85"/>
      <c r="H555" s="87"/>
      <c r="I555" s="94"/>
      <c r="J555" s="93"/>
      <c r="K555" s="85"/>
      <c r="M555" s="94"/>
      <c r="N555" s="93"/>
      <c r="O555" s="85"/>
      <c r="Q555" s="94"/>
      <c r="R555" s="93"/>
      <c r="S555" s="85"/>
      <c r="U555" s="94"/>
      <c r="V555" s="93"/>
      <c r="W555" s="85"/>
      <c r="Y555" s="94"/>
      <c r="Z555" s="93"/>
      <c r="AA555" s="85"/>
      <c r="AC555" s="94"/>
      <c r="AD555" s="93"/>
      <c r="AE555" s="85"/>
    </row>
    <row r="556" spans="7:31" x14ac:dyDescent="0.35">
      <c r="G556" s="85"/>
      <c r="H556" s="87"/>
      <c r="I556" s="94"/>
      <c r="J556" s="93"/>
      <c r="K556" s="85"/>
      <c r="M556" s="94"/>
      <c r="N556" s="93"/>
      <c r="O556" s="85"/>
      <c r="Q556" s="94"/>
      <c r="R556" s="93"/>
      <c r="S556" s="85"/>
      <c r="U556" s="94"/>
      <c r="V556" s="93"/>
      <c r="W556" s="85"/>
      <c r="Y556" s="94"/>
      <c r="Z556" s="93"/>
      <c r="AA556" s="85"/>
      <c r="AC556" s="94"/>
      <c r="AD556" s="93"/>
      <c r="AE556" s="85"/>
    </row>
    <row r="557" spans="7:31" x14ac:dyDescent="0.35">
      <c r="G557" s="85"/>
      <c r="H557" s="87"/>
      <c r="I557" s="94"/>
      <c r="J557" s="93"/>
      <c r="K557" s="85"/>
      <c r="M557" s="94"/>
      <c r="N557" s="93"/>
      <c r="O557" s="85"/>
      <c r="Q557" s="94"/>
      <c r="R557" s="93"/>
      <c r="S557" s="85"/>
      <c r="U557" s="94"/>
      <c r="V557" s="93"/>
      <c r="W557" s="85"/>
      <c r="Y557" s="94"/>
      <c r="Z557" s="93"/>
      <c r="AA557" s="85"/>
      <c r="AC557" s="94"/>
      <c r="AD557" s="93"/>
      <c r="AE557" s="85"/>
    </row>
    <row r="558" spans="7:31" x14ac:dyDescent="0.35">
      <c r="G558" s="85"/>
      <c r="H558" s="87"/>
      <c r="I558" s="94"/>
      <c r="J558" s="93"/>
      <c r="K558" s="85"/>
      <c r="M558" s="94"/>
      <c r="N558" s="93"/>
      <c r="O558" s="85"/>
      <c r="Q558" s="94"/>
      <c r="R558" s="93"/>
      <c r="S558" s="85"/>
      <c r="U558" s="94"/>
      <c r="V558" s="93"/>
      <c r="W558" s="85"/>
      <c r="Y558" s="94"/>
      <c r="Z558" s="93"/>
      <c r="AA558" s="85"/>
      <c r="AC558" s="94"/>
      <c r="AD558" s="93"/>
      <c r="AE558" s="85"/>
    </row>
    <row r="559" spans="7:31" x14ac:dyDescent="0.35">
      <c r="G559" s="85"/>
      <c r="H559" s="87"/>
      <c r="I559" s="94"/>
      <c r="J559" s="93"/>
      <c r="K559" s="85"/>
      <c r="M559" s="94"/>
      <c r="N559" s="93"/>
      <c r="O559" s="85"/>
      <c r="Q559" s="94"/>
      <c r="R559" s="93"/>
      <c r="S559" s="85"/>
      <c r="U559" s="94"/>
      <c r="V559" s="93"/>
      <c r="W559" s="85"/>
      <c r="Y559" s="94"/>
      <c r="Z559" s="93"/>
      <c r="AA559" s="85"/>
      <c r="AC559" s="94"/>
      <c r="AD559" s="93"/>
      <c r="AE559" s="85"/>
    </row>
    <row r="560" spans="7:31" x14ac:dyDescent="0.35">
      <c r="G560" s="85"/>
      <c r="H560" s="87"/>
      <c r="I560" s="94"/>
      <c r="J560" s="93"/>
      <c r="K560" s="85"/>
      <c r="M560" s="94"/>
      <c r="N560" s="93"/>
      <c r="O560" s="85"/>
      <c r="Q560" s="94"/>
      <c r="R560" s="93"/>
      <c r="S560" s="85"/>
      <c r="U560" s="94"/>
      <c r="V560" s="93"/>
      <c r="W560" s="85"/>
      <c r="Y560" s="94"/>
      <c r="Z560" s="93"/>
      <c r="AA560" s="85"/>
      <c r="AC560" s="94"/>
      <c r="AD560" s="93"/>
      <c r="AE560" s="85"/>
    </row>
    <row r="561" spans="7:31" x14ac:dyDescent="0.35">
      <c r="G561" s="85"/>
      <c r="H561" s="87"/>
      <c r="I561" s="94"/>
      <c r="J561" s="93"/>
      <c r="K561" s="85"/>
      <c r="M561" s="94"/>
      <c r="N561" s="93"/>
      <c r="O561" s="85"/>
      <c r="Q561" s="94"/>
      <c r="R561" s="93"/>
      <c r="S561" s="85"/>
      <c r="U561" s="94"/>
      <c r="V561" s="93"/>
      <c r="W561" s="85"/>
      <c r="Y561" s="94"/>
      <c r="Z561" s="93"/>
      <c r="AA561" s="85"/>
      <c r="AC561" s="94"/>
      <c r="AD561" s="93"/>
      <c r="AE561" s="85"/>
    </row>
    <row r="562" spans="7:31" x14ac:dyDescent="0.35">
      <c r="G562" s="85"/>
      <c r="H562" s="87"/>
      <c r="I562" s="94"/>
      <c r="J562" s="93"/>
      <c r="K562" s="85"/>
      <c r="M562" s="94"/>
      <c r="N562" s="93"/>
      <c r="O562" s="85"/>
      <c r="Q562" s="94"/>
      <c r="R562" s="93"/>
      <c r="S562" s="85"/>
      <c r="U562" s="94"/>
      <c r="V562" s="93"/>
      <c r="W562" s="85"/>
      <c r="Y562" s="94"/>
      <c r="Z562" s="93"/>
      <c r="AA562" s="85"/>
      <c r="AC562" s="94"/>
      <c r="AD562" s="93"/>
      <c r="AE562" s="85"/>
    </row>
    <row r="563" spans="7:31" x14ac:dyDescent="0.35">
      <c r="G563" s="85"/>
      <c r="H563" s="87"/>
      <c r="I563" s="94"/>
      <c r="J563" s="93"/>
      <c r="K563" s="85"/>
      <c r="M563" s="94"/>
      <c r="N563" s="93"/>
      <c r="O563" s="85"/>
      <c r="Q563" s="94"/>
      <c r="R563" s="93"/>
      <c r="S563" s="85"/>
      <c r="U563" s="94"/>
      <c r="V563" s="93"/>
      <c r="W563" s="85"/>
      <c r="Y563" s="94"/>
      <c r="Z563" s="93"/>
      <c r="AA563" s="85"/>
      <c r="AC563" s="94"/>
      <c r="AD563" s="93"/>
      <c r="AE563" s="85"/>
    </row>
    <row r="564" spans="7:31" x14ac:dyDescent="0.35">
      <c r="G564" s="85"/>
      <c r="H564" s="87"/>
      <c r="I564" s="94"/>
      <c r="J564" s="93"/>
      <c r="K564" s="85"/>
      <c r="M564" s="94"/>
      <c r="N564" s="93"/>
      <c r="O564" s="85"/>
      <c r="Q564" s="94"/>
      <c r="R564" s="93"/>
      <c r="S564" s="85"/>
      <c r="U564" s="94"/>
      <c r="V564" s="93"/>
      <c r="W564" s="85"/>
      <c r="Y564" s="94"/>
      <c r="Z564" s="93"/>
      <c r="AA564" s="85"/>
      <c r="AC564" s="94"/>
      <c r="AD564" s="93"/>
      <c r="AE564" s="85"/>
    </row>
    <row r="565" spans="7:31" x14ac:dyDescent="0.35">
      <c r="G565" s="85"/>
      <c r="H565" s="87"/>
      <c r="I565" s="94"/>
      <c r="J565" s="93"/>
      <c r="K565" s="85"/>
      <c r="M565" s="94"/>
      <c r="N565" s="93"/>
      <c r="O565" s="85"/>
      <c r="Q565" s="94"/>
      <c r="R565" s="93"/>
      <c r="S565" s="85"/>
      <c r="U565" s="94"/>
      <c r="V565" s="93"/>
      <c r="W565" s="85"/>
      <c r="Y565" s="94"/>
      <c r="Z565" s="93"/>
      <c r="AA565" s="85"/>
      <c r="AC565" s="94"/>
      <c r="AD565" s="93"/>
      <c r="AE565" s="85"/>
    </row>
    <row r="566" spans="7:31" x14ac:dyDescent="0.35">
      <c r="G566" s="85"/>
      <c r="H566" s="87"/>
      <c r="I566" s="94"/>
      <c r="J566" s="93"/>
      <c r="K566" s="85"/>
      <c r="M566" s="94"/>
      <c r="N566" s="93"/>
      <c r="O566" s="85"/>
      <c r="Q566" s="94"/>
      <c r="R566" s="93"/>
      <c r="S566" s="85"/>
      <c r="U566" s="94"/>
      <c r="V566" s="93"/>
      <c r="W566" s="85"/>
      <c r="Y566" s="94"/>
      <c r="Z566" s="93"/>
      <c r="AA566" s="85"/>
      <c r="AC566" s="94"/>
      <c r="AD566" s="93"/>
      <c r="AE566" s="85"/>
    </row>
    <row r="567" spans="7:31" x14ac:dyDescent="0.35">
      <c r="G567" s="85"/>
      <c r="H567" s="87"/>
      <c r="I567" s="94"/>
      <c r="J567" s="93"/>
      <c r="K567" s="85"/>
      <c r="M567" s="94"/>
      <c r="N567" s="93"/>
      <c r="O567" s="85"/>
      <c r="Q567" s="94"/>
      <c r="R567" s="93"/>
      <c r="S567" s="85"/>
      <c r="U567" s="94"/>
      <c r="V567" s="93"/>
      <c r="W567" s="85"/>
      <c r="Y567" s="94"/>
      <c r="Z567" s="93"/>
      <c r="AA567" s="85"/>
      <c r="AC567" s="94"/>
      <c r="AD567" s="93"/>
      <c r="AE567" s="85"/>
    </row>
    <row r="568" spans="7:31" x14ac:dyDescent="0.35">
      <c r="G568" s="85"/>
      <c r="H568" s="87"/>
      <c r="I568" s="94"/>
      <c r="J568" s="93"/>
      <c r="K568" s="85"/>
      <c r="M568" s="94"/>
      <c r="N568" s="93"/>
      <c r="O568" s="85"/>
      <c r="Q568" s="94"/>
      <c r="R568" s="93"/>
      <c r="S568" s="85"/>
      <c r="U568" s="94"/>
      <c r="V568" s="93"/>
      <c r="W568" s="85"/>
      <c r="Y568" s="94"/>
      <c r="Z568" s="93"/>
      <c r="AA568" s="85"/>
      <c r="AC568" s="94"/>
      <c r="AD568" s="93"/>
      <c r="AE568" s="85"/>
    </row>
    <row r="569" spans="7:31" x14ac:dyDescent="0.35">
      <c r="G569" s="85"/>
      <c r="H569" s="87"/>
      <c r="I569" s="94"/>
      <c r="J569" s="93"/>
      <c r="K569" s="85"/>
      <c r="M569" s="94"/>
      <c r="N569" s="93"/>
      <c r="O569" s="85"/>
      <c r="Q569" s="94"/>
      <c r="R569" s="93"/>
      <c r="S569" s="85"/>
      <c r="U569" s="94"/>
      <c r="V569" s="93"/>
      <c r="W569" s="85"/>
      <c r="Y569" s="94"/>
      <c r="Z569" s="93"/>
      <c r="AA569" s="85"/>
      <c r="AC569" s="94"/>
      <c r="AD569" s="93"/>
      <c r="AE569" s="85"/>
    </row>
    <row r="570" spans="7:31" x14ac:dyDescent="0.35">
      <c r="G570" s="85"/>
      <c r="H570" s="87"/>
      <c r="I570" s="94"/>
      <c r="J570" s="93"/>
      <c r="K570" s="85"/>
      <c r="M570" s="94"/>
      <c r="N570" s="93"/>
      <c r="O570" s="85"/>
      <c r="Q570" s="94"/>
      <c r="R570" s="93"/>
      <c r="S570" s="85"/>
      <c r="U570" s="94"/>
      <c r="V570" s="93"/>
      <c r="W570" s="85"/>
      <c r="Y570" s="94"/>
      <c r="Z570" s="93"/>
      <c r="AA570" s="85"/>
      <c r="AC570" s="94"/>
      <c r="AD570" s="93"/>
      <c r="AE570" s="85"/>
    </row>
    <row r="571" spans="7:31" x14ac:dyDescent="0.35">
      <c r="G571" s="85"/>
      <c r="H571" s="87"/>
      <c r="I571" s="94"/>
      <c r="J571" s="93"/>
      <c r="K571" s="85"/>
      <c r="M571" s="94"/>
      <c r="N571" s="93"/>
      <c r="O571" s="85"/>
      <c r="Q571" s="94"/>
      <c r="R571" s="93"/>
      <c r="S571" s="85"/>
      <c r="U571" s="94"/>
      <c r="V571" s="93"/>
      <c r="W571" s="85"/>
      <c r="Y571" s="94"/>
      <c r="Z571" s="93"/>
      <c r="AA571" s="85"/>
      <c r="AC571" s="94"/>
      <c r="AD571" s="93"/>
      <c r="AE571" s="85"/>
    </row>
    <row r="572" spans="7:31" x14ac:dyDescent="0.35">
      <c r="G572" s="85"/>
      <c r="H572" s="87"/>
      <c r="I572" s="94"/>
      <c r="J572" s="93"/>
      <c r="K572" s="85"/>
      <c r="M572" s="94"/>
      <c r="N572" s="93"/>
      <c r="O572" s="85"/>
      <c r="Q572" s="94"/>
      <c r="R572" s="93"/>
      <c r="S572" s="85"/>
      <c r="U572" s="94"/>
      <c r="V572" s="93"/>
      <c r="W572" s="85"/>
      <c r="Y572" s="94"/>
      <c r="Z572" s="93"/>
      <c r="AA572" s="85"/>
      <c r="AC572" s="94"/>
      <c r="AD572" s="93"/>
      <c r="AE572" s="85"/>
    </row>
    <row r="573" spans="7:31" x14ac:dyDescent="0.35">
      <c r="G573" s="85"/>
      <c r="H573" s="87"/>
      <c r="I573" s="94"/>
      <c r="J573" s="93"/>
      <c r="K573" s="85"/>
      <c r="M573" s="94"/>
      <c r="N573" s="93"/>
      <c r="O573" s="85"/>
      <c r="Q573" s="94"/>
      <c r="R573" s="93"/>
      <c r="S573" s="85"/>
      <c r="U573" s="94"/>
      <c r="V573" s="93"/>
      <c r="W573" s="85"/>
      <c r="Y573" s="94"/>
      <c r="Z573" s="93"/>
      <c r="AA573" s="85"/>
      <c r="AC573" s="94"/>
      <c r="AD573" s="93"/>
      <c r="AE573" s="85"/>
    </row>
    <row r="574" spans="7:31" x14ac:dyDescent="0.35">
      <c r="G574" s="85"/>
      <c r="H574" s="87"/>
      <c r="I574" s="94"/>
      <c r="J574" s="93"/>
      <c r="K574" s="85"/>
      <c r="M574" s="94"/>
      <c r="N574" s="93"/>
      <c r="O574" s="85"/>
      <c r="Q574" s="94"/>
      <c r="R574" s="93"/>
      <c r="S574" s="85"/>
      <c r="U574" s="94"/>
      <c r="V574" s="93"/>
      <c r="W574" s="85"/>
      <c r="Y574" s="94"/>
      <c r="Z574" s="93"/>
      <c r="AA574" s="85"/>
      <c r="AC574" s="94"/>
      <c r="AD574" s="93"/>
      <c r="AE574" s="85"/>
    </row>
    <row r="575" spans="7:31" x14ac:dyDescent="0.35">
      <c r="G575" s="85"/>
      <c r="H575" s="87"/>
      <c r="I575" s="94"/>
      <c r="J575" s="93"/>
      <c r="K575" s="85"/>
      <c r="M575" s="94"/>
      <c r="N575" s="93"/>
      <c r="O575" s="85"/>
      <c r="Q575" s="94"/>
      <c r="R575" s="93"/>
      <c r="S575" s="85"/>
      <c r="U575" s="94"/>
      <c r="V575" s="93"/>
      <c r="W575" s="85"/>
      <c r="Y575" s="94"/>
      <c r="Z575" s="93"/>
      <c r="AA575" s="85"/>
      <c r="AC575" s="94"/>
      <c r="AD575" s="93"/>
      <c r="AE575" s="85"/>
    </row>
    <row r="576" spans="7:31" x14ac:dyDescent="0.35">
      <c r="G576" s="85"/>
      <c r="H576" s="87"/>
      <c r="I576" s="94"/>
      <c r="J576" s="93"/>
      <c r="K576" s="85"/>
      <c r="M576" s="94"/>
      <c r="N576" s="93"/>
      <c r="O576" s="85"/>
      <c r="Q576" s="94"/>
      <c r="R576" s="93"/>
      <c r="S576" s="85"/>
      <c r="U576" s="94"/>
      <c r="V576" s="93"/>
      <c r="W576" s="85"/>
      <c r="Y576" s="94"/>
      <c r="Z576" s="93"/>
      <c r="AA576" s="85"/>
      <c r="AC576" s="94"/>
      <c r="AD576" s="93"/>
      <c r="AE576" s="85"/>
    </row>
    <row r="577" spans="7:31" x14ac:dyDescent="0.35">
      <c r="G577" s="85"/>
      <c r="H577" s="87"/>
      <c r="I577" s="94"/>
      <c r="J577" s="93"/>
      <c r="K577" s="85"/>
      <c r="M577" s="94"/>
      <c r="N577" s="93"/>
      <c r="O577" s="85"/>
      <c r="Q577" s="94"/>
      <c r="R577" s="93"/>
      <c r="S577" s="85"/>
      <c r="U577" s="94"/>
      <c r="V577" s="93"/>
      <c r="W577" s="85"/>
      <c r="Y577" s="94"/>
      <c r="Z577" s="93"/>
      <c r="AA577" s="85"/>
      <c r="AC577" s="94"/>
      <c r="AD577" s="93"/>
      <c r="AE577" s="85"/>
    </row>
    <row r="578" spans="7:31" x14ac:dyDescent="0.35">
      <c r="G578" s="85"/>
      <c r="H578" s="87"/>
      <c r="I578" s="94"/>
      <c r="J578" s="93"/>
      <c r="K578" s="85"/>
      <c r="M578" s="94"/>
      <c r="N578" s="93"/>
      <c r="O578" s="85"/>
      <c r="Q578" s="94"/>
      <c r="R578" s="93"/>
      <c r="S578" s="85"/>
      <c r="U578" s="94"/>
      <c r="V578" s="93"/>
      <c r="W578" s="85"/>
      <c r="Y578" s="94"/>
      <c r="Z578" s="93"/>
      <c r="AA578" s="85"/>
      <c r="AC578" s="94"/>
      <c r="AD578" s="93"/>
      <c r="AE578" s="85"/>
    </row>
    <row r="579" spans="7:31" x14ac:dyDescent="0.35">
      <c r="G579" s="85"/>
      <c r="H579" s="87"/>
      <c r="I579" s="94"/>
      <c r="J579" s="93"/>
      <c r="K579" s="85"/>
      <c r="M579" s="94"/>
      <c r="N579" s="93"/>
      <c r="O579" s="85"/>
      <c r="Q579" s="94"/>
      <c r="R579" s="93"/>
      <c r="S579" s="85"/>
      <c r="U579" s="94"/>
      <c r="V579" s="93"/>
      <c r="W579" s="85"/>
      <c r="Y579" s="94"/>
      <c r="Z579" s="93"/>
      <c r="AA579" s="85"/>
      <c r="AC579" s="94"/>
      <c r="AD579" s="93"/>
      <c r="AE579" s="85"/>
    </row>
    <row r="580" spans="7:31" x14ac:dyDescent="0.35">
      <c r="G580" s="85"/>
      <c r="H580" s="87"/>
      <c r="I580" s="94"/>
      <c r="J580" s="93"/>
      <c r="K580" s="85"/>
      <c r="M580" s="94"/>
      <c r="N580" s="93"/>
      <c r="O580" s="85"/>
      <c r="Q580" s="94"/>
      <c r="R580" s="93"/>
      <c r="S580" s="85"/>
      <c r="U580" s="94"/>
      <c r="V580" s="93"/>
      <c r="W580" s="85"/>
      <c r="Y580" s="94"/>
      <c r="Z580" s="93"/>
      <c r="AA580" s="85"/>
      <c r="AC580" s="94"/>
      <c r="AD580" s="93"/>
      <c r="AE580" s="85"/>
    </row>
    <row r="581" spans="7:31" x14ac:dyDescent="0.35">
      <c r="G581" s="85"/>
      <c r="H581" s="87"/>
      <c r="I581" s="94"/>
      <c r="J581" s="93"/>
      <c r="K581" s="85"/>
      <c r="M581" s="94"/>
      <c r="N581" s="93"/>
      <c r="O581" s="85"/>
      <c r="Q581" s="94"/>
      <c r="R581" s="93"/>
      <c r="S581" s="85"/>
      <c r="U581" s="94"/>
      <c r="V581" s="93"/>
      <c r="W581" s="85"/>
      <c r="Y581" s="94"/>
      <c r="Z581" s="93"/>
      <c r="AA581" s="85"/>
      <c r="AC581" s="94"/>
      <c r="AD581" s="93"/>
      <c r="AE581" s="85"/>
    </row>
    <row r="582" spans="7:31" x14ac:dyDescent="0.35">
      <c r="G582" s="85"/>
      <c r="H582" s="87"/>
      <c r="I582" s="94"/>
      <c r="J582" s="93"/>
      <c r="K582" s="85"/>
      <c r="M582" s="94"/>
      <c r="N582" s="93"/>
      <c r="O582" s="85"/>
      <c r="Q582" s="94"/>
      <c r="R582" s="93"/>
      <c r="S582" s="85"/>
      <c r="U582" s="94"/>
      <c r="V582" s="93"/>
      <c r="W582" s="85"/>
      <c r="Y582" s="94"/>
      <c r="Z582" s="93"/>
      <c r="AA582" s="85"/>
      <c r="AC582" s="94"/>
      <c r="AD582" s="93"/>
      <c r="AE582" s="85"/>
    </row>
    <row r="583" spans="7:31" x14ac:dyDescent="0.35">
      <c r="G583" s="85"/>
      <c r="H583" s="87"/>
      <c r="I583" s="94"/>
      <c r="J583" s="93"/>
      <c r="K583" s="85"/>
      <c r="M583" s="94"/>
      <c r="N583" s="93"/>
      <c r="O583" s="85"/>
      <c r="Q583" s="94"/>
      <c r="R583" s="93"/>
      <c r="S583" s="85"/>
      <c r="U583" s="94"/>
      <c r="V583" s="93"/>
      <c r="W583" s="85"/>
      <c r="Y583" s="94"/>
      <c r="Z583" s="93"/>
      <c r="AA583" s="85"/>
      <c r="AC583" s="94"/>
      <c r="AD583" s="93"/>
      <c r="AE583" s="85"/>
    </row>
    <row r="584" spans="7:31" x14ac:dyDescent="0.35">
      <c r="G584" s="85"/>
      <c r="H584" s="87"/>
      <c r="I584" s="94"/>
      <c r="J584" s="93"/>
      <c r="K584" s="85"/>
      <c r="M584" s="94"/>
      <c r="N584" s="93"/>
      <c r="O584" s="85"/>
      <c r="Q584" s="94"/>
      <c r="R584" s="93"/>
      <c r="S584" s="85"/>
      <c r="U584" s="94"/>
      <c r="V584" s="93"/>
      <c r="W584" s="85"/>
      <c r="Y584" s="94"/>
      <c r="Z584" s="93"/>
      <c r="AA584" s="85"/>
      <c r="AC584" s="94"/>
      <c r="AD584" s="93"/>
      <c r="AE584" s="85"/>
    </row>
    <row r="585" spans="7:31" x14ac:dyDescent="0.35">
      <c r="G585" s="85"/>
      <c r="H585" s="87"/>
      <c r="I585" s="94"/>
      <c r="J585" s="93"/>
      <c r="K585" s="85"/>
      <c r="M585" s="94"/>
      <c r="N585" s="93"/>
      <c r="O585" s="85"/>
      <c r="Q585" s="94"/>
      <c r="R585" s="93"/>
      <c r="S585" s="85"/>
      <c r="U585" s="94"/>
      <c r="V585" s="93"/>
      <c r="W585" s="85"/>
      <c r="Y585" s="94"/>
      <c r="Z585" s="93"/>
      <c r="AA585" s="85"/>
      <c r="AC585" s="94"/>
      <c r="AD585" s="93"/>
      <c r="AE585" s="85"/>
    </row>
    <row r="586" spans="7:31" x14ac:dyDescent="0.35">
      <c r="G586" s="85"/>
      <c r="H586" s="87"/>
      <c r="I586" s="94"/>
      <c r="J586" s="93"/>
      <c r="K586" s="85"/>
      <c r="M586" s="94"/>
      <c r="N586" s="93"/>
      <c r="O586" s="85"/>
      <c r="Q586" s="94"/>
      <c r="R586" s="93"/>
      <c r="S586" s="85"/>
      <c r="U586" s="94"/>
      <c r="V586" s="93"/>
      <c r="W586" s="85"/>
      <c r="Y586" s="94"/>
      <c r="Z586" s="93"/>
      <c r="AA586" s="85"/>
      <c r="AC586" s="94"/>
      <c r="AD586" s="93"/>
      <c r="AE586" s="85"/>
    </row>
    <row r="587" spans="7:31" x14ac:dyDescent="0.35">
      <c r="G587" s="85"/>
      <c r="H587" s="87"/>
      <c r="I587" s="94"/>
      <c r="J587" s="93"/>
      <c r="K587" s="85"/>
      <c r="M587" s="94"/>
      <c r="N587" s="93"/>
      <c r="O587" s="85"/>
      <c r="Q587" s="94"/>
      <c r="R587" s="93"/>
      <c r="S587" s="85"/>
      <c r="U587" s="94"/>
      <c r="V587" s="93"/>
      <c r="W587" s="85"/>
      <c r="Y587" s="94"/>
      <c r="Z587" s="93"/>
      <c r="AA587" s="85"/>
      <c r="AC587" s="94"/>
      <c r="AD587" s="93"/>
      <c r="AE587" s="85"/>
    </row>
    <row r="588" spans="7:31" x14ac:dyDescent="0.35">
      <c r="G588" s="85"/>
      <c r="H588" s="87"/>
      <c r="I588" s="94"/>
      <c r="J588" s="93"/>
      <c r="K588" s="85"/>
      <c r="M588" s="94"/>
      <c r="N588" s="93"/>
      <c r="O588" s="85"/>
      <c r="Q588" s="94"/>
      <c r="R588" s="93"/>
      <c r="S588" s="85"/>
      <c r="U588" s="94"/>
      <c r="V588" s="93"/>
      <c r="W588" s="85"/>
      <c r="Y588" s="94"/>
      <c r="Z588" s="93"/>
      <c r="AA588" s="85"/>
      <c r="AC588" s="94"/>
      <c r="AD588" s="93"/>
      <c r="AE588" s="85"/>
    </row>
    <row r="589" spans="7:31" x14ac:dyDescent="0.35">
      <c r="G589" s="85"/>
      <c r="H589" s="87"/>
      <c r="I589" s="94"/>
      <c r="J589" s="93"/>
      <c r="K589" s="85"/>
      <c r="M589" s="94"/>
      <c r="N589" s="93"/>
      <c r="O589" s="85"/>
      <c r="Q589" s="94"/>
      <c r="R589" s="93"/>
      <c r="S589" s="85"/>
      <c r="U589" s="94"/>
      <c r="V589" s="93"/>
      <c r="W589" s="85"/>
      <c r="Y589" s="94"/>
      <c r="Z589" s="93"/>
      <c r="AA589" s="85"/>
      <c r="AC589" s="94"/>
      <c r="AD589" s="93"/>
      <c r="AE589" s="85"/>
    </row>
    <row r="590" spans="7:31" x14ac:dyDescent="0.35">
      <c r="G590" s="85"/>
      <c r="H590" s="87"/>
      <c r="I590" s="94"/>
      <c r="J590" s="93"/>
      <c r="K590" s="85"/>
      <c r="M590" s="94"/>
      <c r="N590" s="93"/>
      <c r="O590" s="85"/>
      <c r="Q590" s="94"/>
      <c r="R590" s="93"/>
      <c r="S590" s="85"/>
      <c r="U590" s="94"/>
      <c r="V590" s="93"/>
      <c r="W590" s="85"/>
      <c r="Y590" s="94"/>
      <c r="Z590" s="93"/>
      <c r="AA590" s="85"/>
      <c r="AC590" s="94"/>
      <c r="AD590" s="93"/>
      <c r="AE590" s="85"/>
    </row>
    <row r="591" spans="7:31" x14ac:dyDescent="0.35">
      <c r="G591" s="85"/>
      <c r="H591" s="87"/>
      <c r="I591" s="94"/>
      <c r="J591" s="93"/>
      <c r="K591" s="85"/>
      <c r="M591" s="94"/>
      <c r="N591" s="93"/>
      <c r="O591" s="85"/>
      <c r="Q591" s="94"/>
      <c r="R591" s="93"/>
      <c r="S591" s="85"/>
      <c r="U591" s="94"/>
      <c r="V591" s="93"/>
      <c r="W591" s="85"/>
      <c r="Y591" s="94"/>
      <c r="Z591" s="93"/>
      <c r="AA591" s="85"/>
      <c r="AC591" s="94"/>
      <c r="AD591" s="93"/>
      <c r="AE591" s="85"/>
    </row>
    <row r="592" spans="7:31" x14ac:dyDescent="0.35">
      <c r="G592" s="85"/>
      <c r="H592" s="87"/>
      <c r="I592" s="94"/>
      <c r="J592" s="93"/>
      <c r="K592" s="85"/>
      <c r="M592" s="94"/>
      <c r="N592" s="93"/>
      <c r="O592" s="85"/>
      <c r="Q592" s="94"/>
      <c r="R592" s="93"/>
      <c r="S592" s="85"/>
      <c r="U592" s="94"/>
      <c r="V592" s="93"/>
      <c r="W592" s="85"/>
      <c r="Y592" s="94"/>
      <c r="Z592" s="93"/>
      <c r="AA592" s="85"/>
      <c r="AC592" s="94"/>
      <c r="AD592" s="93"/>
      <c r="AE592" s="85"/>
    </row>
    <row r="593" spans="7:31" x14ac:dyDescent="0.35">
      <c r="G593" s="85"/>
      <c r="H593" s="87"/>
      <c r="I593" s="94"/>
      <c r="J593" s="93"/>
      <c r="K593" s="85"/>
      <c r="M593" s="94"/>
      <c r="N593" s="93"/>
      <c r="O593" s="85"/>
      <c r="Q593" s="94"/>
      <c r="R593" s="93"/>
      <c r="S593" s="85"/>
      <c r="U593" s="94"/>
      <c r="V593" s="93"/>
      <c r="W593" s="85"/>
      <c r="Y593" s="94"/>
      <c r="Z593" s="93"/>
      <c r="AA593" s="85"/>
      <c r="AC593" s="94"/>
      <c r="AD593" s="93"/>
      <c r="AE593" s="85"/>
    </row>
    <row r="594" spans="7:31" x14ac:dyDescent="0.35">
      <c r="G594" s="85"/>
      <c r="H594" s="87"/>
      <c r="I594" s="94"/>
      <c r="J594" s="93"/>
      <c r="K594" s="85"/>
      <c r="M594" s="94"/>
      <c r="N594" s="93"/>
      <c r="O594" s="85"/>
      <c r="Q594" s="94"/>
      <c r="R594" s="93"/>
      <c r="S594" s="85"/>
      <c r="U594" s="94"/>
      <c r="V594" s="93"/>
      <c r="W594" s="85"/>
      <c r="Y594" s="94"/>
      <c r="Z594" s="93"/>
      <c r="AA594" s="85"/>
      <c r="AC594" s="94"/>
      <c r="AD594" s="93"/>
      <c r="AE594" s="85"/>
    </row>
    <row r="595" spans="7:31" x14ac:dyDescent="0.35">
      <c r="G595" s="85"/>
      <c r="H595" s="87"/>
      <c r="I595" s="94"/>
      <c r="J595" s="93"/>
      <c r="K595" s="85"/>
      <c r="M595" s="94"/>
      <c r="N595" s="93"/>
      <c r="O595" s="85"/>
      <c r="Q595" s="94"/>
      <c r="R595" s="93"/>
      <c r="S595" s="85"/>
      <c r="U595" s="94"/>
      <c r="V595" s="93"/>
      <c r="W595" s="85"/>
      <c r="Y595" s="94"/>
      <c r="Z595" s="93"/>
      <c r="AA595" s="85"/>
      <c r="AC595" s="94"/>
      <c r="AD595" s="93"/>
      <c r="AE595" s="85"/>
    </row>
    <row r="596" spans="7:31" x14ac:dyDescent="0.35">
      <c r="G596" s="85"/>
      <c r="H596" s="87"/>
      <c r="I596" s="94"/>
      <c r="J596" s="93"/>
      <c r="K596" s="85"/>
      <c r="M596" s="94"/>
      <c r="N596" s="93"/>
      <c r="O596" s="85"/>
      <c r="Q596" s="94"/>
      <c r="R596" s="93"/>
      <c r="S596" s="85"/>
      <c r="U596" s="94"/>
      <c r="V596" s="93"/>
      <c r="W596" s="85"/>
      <c r="Y596" s="94"/>
      <c r="Z596" s="93"/>
      <c r="AA596" s="85"/>
      <c r="AC596" s="94"/>
      <c r="AD596" s="93"/>
      <c r="AE596" s="85"/>
    </row>
    <row r="597" spans="7:31" x14ac:dyDescent="0.35">
      <c r="G597" s="85"/>
      <c r="H597" s="87"/>
      <c r="I597" s="94"/>
      <c r="J597" s="93"/>
      <c r="K597" s="85"/>
      <c r="M597" s="94"/>
      <c r="N597" s="93"/>
      <c r="O597" s="85"/>
      <c r="Q597" s="94"/>
      <c r="R597" s="93"/>
      <c r="S597" s="85"/>
      <c r="U597" s="94"/>
      <c r="V597" s="93"/>
      <c r="W597" s="85"/>
      <c r="Y597" s="94"/>
      <c r="Z597" s="93"/>
      <c r="AA597" s="85"/>
      <c r="AC597" s="94"/>
      <c r="AD597" s="93"/>
      <c r="AE597" s="85"/>
    </row>
    <row r="598" spans="7:31" x14ac:dyDescent="0.35">
      <c r="G598" s="85"/>
      <c r="H598" s="87"/>
      <c r="I598" s="94"/>
      <c r="J598" s="93"/>
      <c r="K598" s="85"/>
      <c r="M598" s="94"/>
      <c r="N598" s="93"/>
      <c r="O598" s="85"/>
      <c r="Q598" s="94"/>
      <c r="R598" s="93"/>
      <c r="S598" s="85"/>
      <c r="U598" s="94"/>
      <c r="V598" s="93"/>
      <c r="W598" s="85"/>
      <c r="Y598" s="94"/>
      <c r="Z598" s="93"/>
      <c r="AA598" s="85"/>
      <c r="AC598" s="94"/>
      <c r="AD598" s="93"/>
      <c r="AE598" s="85"/>
    </row>
    <row r="599" spans="7:31" x14ac:dyDescent="0.35">
      <c r="G599" s="85"/>
      <c r="H599" s="87"/>
      <c r="I599" s="94"/>
      <c r="J599" s="93"/>
      <c r="K599" s="85"/>
      <c r="M599" s="94"/>
      <c r="N599" s="93"/>
      <c r="O599" s="85"/>
      <c r="Q599" s="94"/>
      <c r="R599" s="93"/>
      <c r="S599" s="85"/>
      <c r="U599" s="94"/>
      <c r="V599" s="93"/>
      <c r="W599" s="85"/>
      <c r="Y599" s="94"/>
      <c r="Z599" s="93"/>
      <c r="AA599" s="85"/>
      <c r="AC599" s="94"/>
      <c r="AD599" s="93"/>
      <c r="AE599" s="85"/>
    </row>
    <row r="600" spans="7:31" x14ac:dyDescent="0.35">
      <c r="G600" s="85"/>
      <c r="H600" s="87"/>
      <c r="I600" s="94"/>
      <c r="J600" s="93"/>
      <c r="K600" s="85"/>
      <c r="M600" s="94"/>
      <c r="N600" s="93"/>
      <c r="O600" s="85"/>
      <c r="Q600" s="94"/>
      <c r="R600" s="93"/>
      <c r="S600" s="85"/>
      <c r="U600" s="94"/>
      <c r="V600" s="93"/>
      <c r="W600" s="85"/>
      <c r="Y600" s="94"/>
      <c r="Z600" s="93"/>
      <c r="AA600" s="85"/>
      <c r="AC600" s="94"/>
      <c r="AD600" s="93"/>
      <c r="AE600" s="85"/>
    </row>
    <row r="601" spans="7:31" x14ac:dyDescent="0.35">
      <c r="G601" s="85"/>
      <c r="H601" s="87"/>
      <c r="I601" s="94"/>
      <c r="J601" s="93"/>
      <c r="K601" s="85"/>
      <c r="M601" s="94"/>
      <c r="N601" s="93"/>
      <c r="O601" s="85"/>
      <c r="Q601" s="94"/>
      <c r="R601" s="93"/>
      <c r="S601" s="85"/>
      <c r="U601" s="94"/>
      <c r="V601" s="93"/>
      <c r="W601" s="85"/>
      <c r="Y601" s="94"/>
      <c r="Z601" s="93"/>
      <c r="AA601" s="85"/>
      <c r="AC601" s="94"/>
      <c r="AD601" s="93"/>
      <c r="AE601" s="85"/>
    </row>
    <row r="602" spans="7:31" x14ac:dyDescent="0.35">
      <c r="G602" s="85"/>
      <c r="H602" s="87"/>
      <c r="I602" s="94"/>
      <c r="J602" s="93"/>
      <c r="K602" s="85"/>
      <c r="M602" s="94"/>
      <c r="N602" s="93"/>
      <c r="O602" s="85"/>
      <c r="Q602" s="94"/>
      <c r="R602" s="93"/>
      <c r="S602" s="85"/>
      <c r="U602" s="94"/>
      <c r="V602" s="93"/>
      <c r="W602" s="85"/>
      <c r="Y602" s="94"/>
      <c r="Z602" s="93"/>
      <c r="AA602" s="85"/>
      <c r="AC602" s="94"/>
      <c r="AD602" s="93"/>
      <c r="AE602" s="85"/>
    </row>
    <row r="603" spans="7:31" x14ac:dyDescent="0.35">
      <c r="G603" s="85"/>
      <c r="H603" s="87"/>
      <c r="I603" s="94"/>
      <c r="J603" s="93"/>
      <c r="K603" s="85"/>
      <c r="M603" s="94"/>
      <c r="N603" s="93"/>
      <c r="O603" s="85"/>
      <c r="Q603" s="94"/>
      <c r="R603" s="93"/>
      <c r="S603" s="85"/>
      <c r="U603" s="94"/>
      <c r="V603" s="93"/>
      <c r="W603" s="85"/>
      <c r="Y603" s="94"/>
      <c r="Z603" s="93"/>
      <c r="AA603" s="85"/>
      <c r="AC603" s="94"/>
      <c r="AD603" s="93"/>
      <c r="AE603" s="85"/>
    </row>
    <row r="604" spans="7:31" x14ac:dyDescent="0.35">
      <c r="G604" s="85"/>
      <c r="H604" s="87"/>
      <c r="I604" s="94"/>
      <c r="J604" s="93"/>
      <c r="K604" s="85"/>
      <c r="M604" s="94"/>
      <c r="N604" s="93"/>
      <c r="O604" s="85"/>
      <c r="Q604" s="94"/>
      <c r="R604" s="93"/>
      <c r="S604" s="85"/>
      <c r="U604" s="94"/>
      <c r="V604" s="93"/>
      <c r="W604" s="85"/>
      <c r="Y604" s="94"/>
      <c r="Z604" s="93"/>
      <c r="AA604" s="85"/>
      <c r="AC604" s="94"/>
      <c r="AD604" s="93"/>
      <c r="AE604" s="85"/>
    </row>
    <row r="605" spans="7:31" x14ac:dyDescent="0.35">
      <c r="G605" s="85"/>
      <c r="H605" s="87"/>
      <c r="I605" s="94"/>
      <c r="J605" s="93"/>
      <c r="K605" s="85"/>
      <c r="M605" s="94"/>
      <c r="N605" s="93"/>
      <c r="O605" s="85"/>
      <c r="Q605" s="94"/>
      <c r="R605" s="93"/>
      <c r="S605" s="85"/>
      <c r="U605" s="94"/>
      <c r="V605" s="93"/>
      <c r="W605" s="85"/>
      <c r="Y605" s="94"/>
      <c r="Z605" s="93"/>
      <c r="AA605" s="85"/>
      <c r="AC605" s="94"/>
      <c r="AD605" s="93"/>
      <c r="AE605" s="85"/>
    </row>
    <row r="606" spans="7:31" x14ac:dyDescent="0.35">
      <c r="G606" s="85"/>
      <c r="H606" s="87"/>
      <c r="I606" s="94"/>
      <c r="J606" s="93"/>
      <c r="K606" s="85"/>
      <c r="M606" s="94"/>
      <c r="N606" s="93"/>
      <c r="O606" s="85"/>
      <c r="Q606" s="94"/>
      <c r="R606" s="93"/>
      <c r="S606" s="85"/>
      <c r="U606" s="94"/>
      <c r="V606" s="93"/>
      <c r="W606" s="85"/>
      <c r="Y606" s="94"/>
      <c r="Z606" s="93"/>
      <c r="AA606" s="85"/>
      <c r="AC606" s="94"/>
      <c r="AD606" s="93"/>
      <c r="AE606" s="85"/>
    </row>
    <row r="607" spans="7:31" x14ac:dyDescent="0.35">
      <c r="G607" s="85"/>
      <c r="H607" s="87"/>
      <c r="I607" s="94"/>
      <c r="J607" s="93"/>
      <c r="K607" s="85"/>
      <c r="M607" s="94"/>
      <c r="N607" s="93"/>
      <c r="O607" s="85"/>
      <c r="Q607" s="94"/>
      <c r="R607" s="93"/>
      <c r="S607" s="85"/>
      <c r="U607" s="94"/>
      <c r="V607" s="93"/>
      <c r="W607" s="85"/>
      <c r="Y607" s="94"/>
      <c r="Z607" s="93"/>
      <c r="AA607" s="85"/>
      <c r="AC607" s="94"/>
      <c r="AD607" s="93"/>
      <c r="AE607" s="85"/>
    </row>
    <row r="608" spans="7:31" x14ac:dyDescent="0.35">
      <c r="G608" s="85"/>
      <c r="H608" s="87"/>
      <c r="I608" s="94"/>
      <c r="J608" s="93"/>
      <c r="K608" s="85"/>
      <c r="M608" s="94"/>
      <c r="N608" s="93"/>
      <c r="O608" s="85"/>
      <c r="Q608" s="94"/>
      <c r="R608" s="93"/>
      <c r="S608" s="85"/>
      <c r="U608" s="94"/>
      <c r="V608" s="93"/>
      <c r="W608" s="85"/>
      <c r="Y608" s="94"/>
      <c r="Z608" s="93"/>
      <c r="AA608" s="85"/>
      <c r="AC608" s="94"/>
      <c r="AD608" s="93"/>
      <c r="AE608" s="85"/>
    </row>
    <row r="609" spans="7:31" x14ac:dyDescent="0.35">
      <c r="G609" s="85"/>
      <c r="H609" s="87"/>
      <c r="I609" s="94"/>
      <c r="J609" s="93"/>
      <c r="K609" s="85"/>
      <c r="M609" s="94"/>
      <c r="N609" s="93"/>
      <c r="O609" s="85"/>
      <c r="Q609" s="94"/>
      <c r="R609" s="93"/>
      <c r="S609" s="85"/>
      <c r="U609" s="94"/>
      <c r="V609" s="93"/>
      <c r="W609" s="85"/>
      <c r="Y609" s="94"/>
      <c r="Z609" s="93"/>
      <c r="AA609" s="85"/>
      <c r="AC609" s="94"/>
      <c r="AD609" s="93"/>
      <c r="AE609" s="85"/>
    </row>
    <row r="610" spans="7:31" x14ac:dyDescent="0.35">
      <c r="G610" s="85"/>
      <c r="H610" s="87"/>
      <c r="I610" s="94"/>
      <c r="J610" s="93"/>
      <c r="K610" s="85"/>
      <c r="M610" s="94"/>
      <c r="N610" s="93"/>
      <c r="O610" s="85"/>
      <c r="Q610" s="94"/>
      <c r="R610" s="93"/>
      <c r="S610" s="85"/>
      <c r="U610" s="94"/>
      <c r="V610" s="93"/>
      <c r="W610" s="85"/>
      <c r="Y610" s="94"/>
      <c r="Z610" s="93"/>
      <c r="AA610" s="85"/>
      <c r="AC610" s="94"/>
      <c r="AD610" s="93"/>
      <c r="AE610" s="85"/>
    </row>
    <row r="611" spans="7:31" x14ac:dyDescent="0.35">
      <c r="G611" s="85"/>
      <c r="H611" s="87"/>
      <c r="I611" s="94"/>
      <c r="J611" s="93"/>
      <c r="K611" s="85"/>
      <c r="M611" s="94"/>
      <c r="N611" s="93"/>
      <c r="O611" s="85"/>
      <c r="Q611" s="94"/>
      <c r="R611" s="93"/>
      <c r="S611" s="85"/>
      <c r="U611" s="94"/>
      <c r="V611" s="93"/>
      <c r="W611" s="85"/>
      <c r="Y611" s="94"/>
      <c r="Z611" s="93"/>
      <c r="AA611" s="85"/>
      <c r="AC611" s="94"/>
      <c r="AD611" s="93"/>
      <c r="AE611" s="85"/>
    </row>
    <row r="612" spans="7:31" x14ac:dyDescent="0.35">
      <c r="G612" s="85"/>
      <c r="H612" s="87"/>
      <c r="I612" s="94"/>
      <c r="J612" s="93"/>
      <c r="K612" s="85"/>
      <c r="M612" s="94"/>
      <c r="N612" s="93"/>
      <c r="O612" s="85"/>
      <c r="Q612" s="94"/>
      <c r="R612" s="93"/>
      <c r="S612" s="85"/>
      <c r="U612" s="94"/>
      <c r="V612" s="93"/>
      <c r="W612" s="85"/>
      <c r="Y612" s="94"/>
      <c r="Z612" s="93"/>
      <c r="AA612" s="85"/>
      <c r="AC612" s="94"/>
      <c r="AD612" s="93"/>
      <c r="AE612" s="85"/>
    </row>
    <row r="613" spans="7:31" x14ac:dyDescent="0.35">
      <c r="G613" s="85"/>
      <c r="H613" s="87"/>
      <c r="I613" s="94"/>
      <c r="J613" s="93"/>
      <c r="K613" s="85"/>
      <c r="M613" s="94"/>
      <c r="N613" s="93"/>
      <c r="O613" s="85"/>
      <c r="Q613" s="94"/>
      <c r="R613" s="93"/>
      <c r="S613" s="85"/>
      <c r="U613" s="94"/>
      <c r="V613" s="93"/>
      <c r="W613" s="85"/>
      <c r="Y613" s="94"/>
      <c r="Z613" s="93"/>
      <c r="AA613" s="85"/>
      <c r="AC613" s="94"/>
      <c r="AD613" s="93"/>
      <c r="AE613" s="85"/>
    </row>
    <row r="614" spans="7:31" x14ac:dyDescent="0.35">
      <c r="G614" s="85"/>
      <c r="H614" s="87"/>
      <c r="I614" s="94"/>
      <c r="J614" s="93"/>
      <c r="K614" s="85"/>
      <c r="M614" s="94"/>
      <c r="N614" s="93"/>
      <c r="O614" s="85"/>
      <c r="Q614" s="94"/>
      <c r="R614" s="93"/>
      <c r="S614" s="85"/>
      <c r="U614" s="94"/>
      <c r="V614" s="93"/>
      <c r="W614" s="85"/>
      <c r="Y614" s="94"/>
      <c r="Z614" s="93"/>
      <c r="AA614" s="85"/>
      <c r="AC614" s="94"/>
      <c r="AD614" s="93"/>
      <c r="AE614" s="85"/>
    </row>
    <row r="615" spans="7:31" x14ac:dyDescent="0.35">
      <c r="G615" s="85"/>
      <c r="H615" s="87"/>
      <c r="I615" s="94"/>
      <c r="J615" s="93"/>
      <c r="K615" s="85"/>
      <c r="M615" s="94"/>
      <c r="N615" s="93"/>
      <c r="O615" s="85"/>
      <c r="Q615" s="94"/>
      <c r="R615" s="93"/>
      <c r="S615" s="85"/>
      <c r="U615" s="94"/>
      <c r="V615" s="93"/>
      <c r="W615" s="85"/>
      <c r="Y615" s="94"/>
      <c r="Z615" s="93"/>
      <c r="AA615" s="85"/>
      <c r="AC615" s="94"/>
      <c r="AD615" s="93"/>
      <c r="AE615" s="85"/>
    </row>
    <row r="616" spans="7:31" x14ac:dyDescent="0.35">
      <c r="G616" s="85"/>
      <c r="H616" s="87"/>
      <c r="I616" s="94"/>
      <c r="J616" s="93"/>
      <c r="K616" s="85"/>
      <c r="M616" s="94"/>
      <c r="N616" s="93"/>
      <c r="O616" s="85"/>
      <c r="Q616" s="94"/>
      <c r="R616" s="93"/>
      <c r="S616" s="85"/>
      <c r="U616" s="94"/>
      <c r="V616" s="93"/>
      <c r="W616" s="85"/>
      <c r="Y616" s="94"/>
      <c r="Z616" s="93"/>
      <c r="AA616" s="85"/>
      <c r="AC616" s="94"/>
      <c r="AD616" s="93"/>
      <c r="AE616" s="85"/>
    </row>
    <row r="617" spans="7:31" x14ac:dyDescent="0.35">
      <c r="G617" s="85"/>
      <c r="H617" s="87"/>
      <c r="I617" s="94"/>
      <c r="J617" s="93"/>
      <c r="K617" s="85"/>
      <c r="M617" s="94"/>
      <c r="N617" s="93"/>
      <c r="O617" s="85"/>
      <c r="Q617" s="94"/>
      <c r="R617" s="93"/>
      <c r="S617" s="85"/>
      <c r="U617" s="94"/>
      <c r="V617" s="93"/>
      <c r="W617" s="85"/>
      <c r="Y617" s="94"/>
      <c r="Z617" s="93"/>
      <c r="AA617" s="85"/>
      <c r="AC617" s="94"/>
      <c r="AD617" s="93"/>
      <c r="AE617" s="85"/>
    </row>
    <row r="618" spans="7:31" x14ac:dyDescent="0.35">
      <c r="G618" s="85"/>
      <c r="H618" s="87"/>
      <c r="I618" s="94"/>
      <c r="J618" s="93"/>
      <c r="K618" s="85"/>
      <c r="M618" s="94"/>
      <c r="N618" s="93"/>
      <c r="O618" s="85"/>
      <c r="Q618" s="94"/>
      <c r="R618" s="93"/>
      <c r="S618" s="85"/>
      <c r="U618" s="94"/>
      <c r="V618" s="93"/>
      <c r="W618" s="85"/>
      <c r="Y618" s="94"/>
      <c r="Z618" s="93"/>
      <c r="AA618" s="85"/>
      <c r="AC618" s="94"/>
      <c r="AD618" s="93"/>
      <c r="AE618" s="85"/>
    </row>
    <row r="619" spans="7:31" x14ac:dyDescent="0.35">
      <c r="G619" s="85"/>
      <c r="H619" s="87"/>
      <c r="I619" s="94"/>
      <c r="J619" s="93"/>
      <c r="K619" s="85"/>
      <c r="M619" s="94"/>
      <c r="N619" s="93"/>
      <c r="O619" s="85"/>
      <c r="Q619" s="94"/>
      <c r="R619" s="93"/>
      <c r="S619" s="85"/>
      <c r="U619" s="94"/>
      <c r="V619" s="93"/>
      <c r="W619" s="85"/>
      <c r="Y619" s="94"/>
      <c r="Z619" s="93"/>
      <c r="AA619" s="85"/>
      <c r="AC619" s="94"/>
      <c r="AD619" s="93"/>
      <c r="AE619" s="85"/>
    </row>
    <row r="620" spans="7:31" x14ac:dyDescent="0.35">
      <c r="G620" s="85"/>
      <c r="H620" s="87"/>
      <c r="I620" s="94"/>
      <c r="J620" s="93"/>
      <c r="K620" s="85"/>
      <c r="M620" s="94"/>
      <c r="N620" s="93"/>
      <c r="O620" s="85"/>
      <c r="Q620" s="94"/>
      <c r="R620" s="93"/>
      <c r="S620" s="85"/>
      <c r="U620" s="94"/>
      <c r="V620" s="93"/>
      <c r="W620" s="85"/>
      <c r="Y620" s="94"/>
      <c r="Z620" s="93"/>
      <c r="AA620" s="85"/>
      <c r="AC620" s="94"/>
      <c r="AD620" s="93"/>
      <c r="AE620" s="85"/>
    </row>
    <row r="621" spans="7:31" x14ac:dyDescent="0.35">
      <c r="G621" s="85"/>
      <c r="H621" s="87"/>
      <c r="I621" s="94"/>
      <c r="J621" s="93"/>
      <c r="K621" s="85"/>
      <c r="M621" s="94"/>
      <c r="N621" s="93"/>
      <c r="O621" s="85"/>
      <c r="Q621" s="94"/>
      <c r="R621" s="93"/>
      <c r="S621" s="85"/>
      <c r="U621" s="94"/>
      <c r="V621" s="93"/>
      <c r="W621" s="85"/>
      <c r="Y621" s="94"/>
      <c r="Z621" s="93"/>
      <c r="AA621" s="85"/>
      <c r="AC621" s="94"/>
      <c r="AD621" s="93"/>
      <c r="AE621" s="85"/>
    </row>
    <row r="622" spans="7:31" x14ac:dyDescent="0.35">
      <c r="G622" s="85"/>
      <c r="H622" s="87"/>
      <c r="I622" s="94"/>
      <c r="J622" s="93"/>
      <c r="K622" s="85"/>
      <c r="M622" s="94"/>
      <c r="N622" s="93"/>
      <c r="O622" s="85"/>
      <c r="Q622" s="94"/>
      <c r="R622" s="93"/>
      <c r="S622" s="85"/>
      <c r="U622" s="94"/>
      <c r="V622" s="93"/>
      <c r="W622" s="85"/>
      <c r="Y622" s="94"/>
      <c r="Z622" s="93"/>
      <c r="AA622" s="85"/>
      <c r="AC622" s="94"/>
      <c r="AD622" s="93"/>
      <c r="AE622" s="85"/>
    </row>
    <row r="623" spans="7:31" x14ac:dyDescent="0.35">
      <c r="G623" s="85"/>
      <c r="H623" s="87"/>
      <c r="I623" s="94"/>
      <c r="J623" s="93"/>
      <c r="K623" s="85"/>
      <c r="M623" s="94"/>
      <c r="N623" s="93"/>
      <c r="O623" s="85"/>
      <c r="Q623" s="94"/>
      <c r="R623" s="93"/>
      <c r="S623" s="85"/>
      <c r="U623" s="94"/>
      <c r="V623" s="93"/>
      <c r="W623" s="85"/>
      <c r="Y623" s="94"/>
      <c r="Z623" s="93"/>
      <c r="AA623" s="85"/>
      <c r="AC623" s="94"/>
      <c r="AD623" s="93"/>
      <c r="AE623" s="85"/>
    </row>
    <row r="624" spans="7:31" x14ac:dyDescent="0.35">
      <c r="G624" s="85"/>
      <c r="H624" s="87"/>
      <c r="I624" s="94"/>
      <c r="J624" s="93"/>
      <c r="K624" s="85"/>
      <c r="M624" s="94"/>
      <c r="N624" s="93"/>
      <c r="O624" s="85"/>
      <c r="Q624" s="94"/>
      <c r="R624" s="93"/>
      <c r="S624" s="85"/>
      <c r="U624" s="94"/>
      <c r="V624" s="93"/>
      <c r="W624" s="85"/>
      <c r="Y624" s="94"/>
      <c r="Z624" s="93"/>
      <c r="AA624" s="85"/>
      <c r="AC624" s="94"/>
      <c r="AD624" s="93"/>
      <c r="AE624" s="85"/>
    </row>
    <row r="625" spans="7:31" x14ac:dyDescent="0.35">
      <c r="G625" s="85"/>
      <c r="H625" s="87"/>
      <c r="I625" s="94"/>
      <c r="J625" s="93"/>
      <c r="K625" s="85"/>
      <c r="M625" s="94"/>
      <c r="N625" s="93"/>
      <c r="O625" s="85"/>
      <c r="Q625" s="94"/>
      <c r="R625" s="93"/>
      <c r="S625" s="85"/>
      <c r="U625" s="94"/>
      <c r="V625" s="93"/>
      <c r="W625" s="85"/>
      <c r="Y625" s="94"/>
      <c r="Z625" s="93"/>
      <c r="AA625" s="85"/>
      <c r="AC625" s="94"/>
      <c r="AD625" s="93"/>
      <c r="AE625" s="85"/>
    </row>
    <row r="626" spans="7:31" x14ac:dyDescent="0.35">
      <c r="G626" s="85"/>
      <c r="H626" s="87"/>
      <c r="I626" s="94"/>
      <c r="J626" s="93"/>
      <c r="K626" s="85"/>
      <c r="M626" s="94"/>
      <c r="N626" s="93"/>
      <c r="O626" s="85"/>
      <c r="Q626" s="94"/>
      <c r="R626" s="93"/>
      <c r="S626" s="85"/>
      <c r="U626" s="94"/>
      <c r="V626" s="93"/>
      <c r="W626" s="85"/>
      <c r="Y626" s="94"/>
      <c r="Z626" s="93"/>
      <c r="AA626" s="85"/>
      <c r="AC626" s="94"/>
      <c r="AD626" s="93"/>
      <c r="AE626" s="85"/>
    </row>
    <row r="627" spans="7:31" x14ac:dyDescent="0.35">
      <c r="G627" s="85"/>
      <c r="H627" s="87"/>
      <c r="I627" s="94"/>
      <c r="J627" s="93"/>
      <c r="K627" s="85"/>
      <c r="M627" s="94"/>
      <c r="N627" s="93"/>
      <c r="O627" s="85"/>
      <c r="Q627" s="94"/>
      <c r="R627" s="93"/>
      <c r="S627" s="85"/>
      <c r="U627" s="94"/>
      <c r="V627" s="93"/>
      <c r="W627" s="85"/>
      <c r="Y627" s="94"/>
      <c r="Z627" s="93"/>
      <c r="AA627" s="85"/>
      <c r="AC627" s="94"/>
      <c r="AD627" s="93"/>
      <c r="AE627" s="85"/>
    </row>
    <row r="628" spans="7:31" x14ac:dyDescent="0.35">
      <c r="G628" s="85"/>
      <c r="H628" s="87"/>
      <c r="I628" s="94"/>
      <c r="J628" s="93"/>
      <c r="K628" s="85"/>
      <c r="M628" s="94"/>
      <c r="N628" s="93"/>
      <c r="O628" s="85"/>
      <c r="Q628" s="94"/>
      <c r="R628" s="93"/>
      <c r="S628" s="85"/>
      <c r="U628" s="94"/>
      <c r="V628" s="93"/>
      <c r="W628" s="85"/>
      <c r="Y628" s="94"/>
      <c r="Z628" s="93"/>
      <c r="AA628" s="85"/>
      <c r="AC628" s="94"/>
      <c r="AD628" s="93"/>
      <c r="AE628" s="85"/>
    </row>
    <row r="629" spans="7:31" x14ac:dyDescent="0.35">
      <c r="G629" s="85"/>
      <c r="H629" s="87"/>
      <c r="I629" s="94"/>
      <c r="J629" s="93"/>
      <c r="K629" s="85"/>
      <c r="M629" s="94"/>
      <c r="N629" s="93"/>
      <c r="O629" s="85"/>
      <c r="Q629" s="94"/>
      <c r="R629" s="93"/>
      <c r="S629" s="85"/>
      <c r="U629" s="94"/>
      <c r="V629" s="93"/>
      <c r="W629" s="85"/>
      <c r="Y629" s="94"/>
      <c r="Z629" s="93"/>
      <c r="AA629" s="85"/>
      <c r="AC629" s="94"/>
      <c r="AD629" s="93"/>
      <c r="AE629" s="85"/>
    </row>
    <row r="630" spans="7:31" x14ac:dyDescent="0.35">
      <c r="G630" s="85"/>
      <c r="H630" s="87"/>
      <c r="I630" s="94"/>
      <c r="J630" s="93"/>
      <c r="K630" s="85"/>
      <c r="M630" s="94"/>
      <c r="N630" s="93"/>
      <c r="O630" s="85"/>
      <c r="Q630" s="94"/>
      <c r="R630" s="93"/>
      <c r="S630" s="85"/>
      <c r="U630" s="94"/>
      <c r="V630" s="93"/>
      <c r="W630" s="85"/>
      <c r="Y630" s="94"/>
      <c r="Z630" s="93"/>
      <c r="AA630" s="85"/>
      <c r="AC630" s="94"/>
      <c r="AD630" s="93"/>
      <c r="AE630" s="85"/>
    </row>
    <row r="631" spans="7:31" x14ac:dyDescent="0.35">
      <c r="G631" s="85"/>
      <c r="H631" s="87"/>
      <c r="I631" s="94"/>
      <c r="J631" s="93"/>
      <c r="K631" s="85"/>
      <c r="M631" s="94"/>
      <c r="N631" s="93"/>
      <c r="O631" s="85"/>
      <c r="Q631" s="94"/>
      <c r="R631" s="93"/>
      <c r="S631" s="85"/>
      <c r="U631" s="94"/>
      <c r="V631" s="93"/>
      <c r="W631" s="85"/>
      <c r="Y631" s="94"/>
      <c r="Z631" s="93"/>
      <c r="AA631" s="85"/>
      <c r="AC631" s="94"/>
      <c r="AD631" s="93"/>
      <c r="AE631" s="85"/>
    </row>
    <row r="632" spans="7:31" x14ac:dyDescent="0.35">
      <c r="G632" s="85"/>
      <c r="H632" s="87"/>
      <c r="I632" s="94"/>
      <c r="J632" s="93"/>
      <c r="K632" s="85"/>
      <c r="M632" s="94"/>
      <c r="N632" s="93"/>
      <c r="O632" s="85"/>
      <c r="Q632" s="94"/>
      <c r="R632" s="93"/>
      <c r="S632" s="85"/>
      <c r="U632" s="94"/>
      <c r="V632" s="93"/>
      <c r="W632" s="85"/>
      <c r="Y632" s="94"/>
      <c r="Z632" s="93"/>
      <c r="AA632" s="85"/>
      <c r="AC632" s="94"/>
      <c r="AD632" s="93"/>
      <c r="AE632" s="85"/>
    </row>
    <row r="633" spans="7:31" x14ac:dyDescent="0.35">
      <c r="G633" s="85"/>
      <c r="H633" s="87"/>
      <c r="I633" s="94"/>
      <c r="J633" s="93"/>
      <c r="K633" s="85"/>
      <c r="M633" s="94"/>
      <c r="N633" s="93"/>
      <c r="O633" s="85"/>
      <c r="Q633" s="94"/>
      <c r="R633" s="93"/>
      <c r="S633" s="85"/>
      <c r="U633" s="94"/>
      <c r="V633" s="93"/>
      <c r="W633" s="85"/>
      <c r="Y633" s="94"/>
      <c r="Z633" s="93"/>
      <c r="AA633" s="85"/>
      <c r="AC633" s="94"/>
      <c r="AD633" s="93"/>
      <c r="AE633" s="85"/>
    </row>
    <row r="634" spans="7:31" x14ac:dyDescent="0.35">
      <c r="G634" s="85"/>
      <c r="H634" s="87"/>
      <c r="I634" s="94"/>
      <c r="J634" s="93"/>
      <c r="K634" s="85"/>
      <c r="M634" s="94"/>
      <c r="N634" s="93"/>
      <c r="O634" s="85"/>
      <c r="Q634" s="94"/>
      <c r="R634" s="93"/>
      <c r="S634" s="85"/>
      <c r="U634" s="94"/>
      <c r="V634" s="93"/>
      <c r="W634" s="85"/>
      <c r="Y634" s="94"/>
      <c r="Z634" s="93"/>
      <c r="AA634" s="85"/>
      <c r="AC634" s="94"/>
      <c r="AD634" s="93"/>
      <c r="AE634" s="85"/>
    </row>
    <row r="635" spans="7:31" x14ac:dyDescent="0.35">
      <c r="G635" s="85"/>
      <c r="H635" s="87"/>
      <c r="I635" s="94"/>
      <c r="J635" s="93"/>
      <c r="K635" s="85"/>
      <c r="M635" s="94"/>
      <c r="N635" s="93"/>
      <c r="O635" s="85"/>
      <c r="Q635" s="94"/>
      <c r="R635" s="93"/>
      <c r="S635" s="85"/>
      <c r="U635" s="94"/>
      <c r="V635" s="93"/>
      <c r="W635" s="85"/>
      <c r="Y635" s="94"/>
      <c r="Z635" s="93"/>
      <c r="AA635" s="85"/>
      <c r="AC635" s="94"/>
      <c r="AD635" s="93"/>
      <c r="AE635" s="85"/>
    </row>
    <row r="636" spans="7:31" x14ac:dyDescent="0.35">
      <c r="G636" s="85"/>
      <c r="H636" s="87"/>
      <c r="I636" s="94"/>
      <c r="J636" s="93"/>
      <c r="K636" s="85"/>
      <c r="M636" s="94"/>
      <c r="N636" s="93"/>
      <c r="O636" s="85"/>
      <c r="Q636" s="94"/>
      <c r="R636" s="93"/>
      <c r="S636" s="85"/>
      <c r="U636" s="94"/>
      <c r="V636" s="93"/>
      <c r="W636" s="85"/>
      <c r="Y636" s="94"/>
      <c r="Z636" s="93"/>
      <c r="AA636" s="85"/>
      <c r="AC636" s="94"/>
      <c r="AD636" s="93"/>
      <c r="AE636" s="85"/>
    </row>
    <row r="637" spans="7:31" x14ac:dyDescent="0.35">
      <c r="G637" s="85"/>
      <c r="H637" s="87"/>
      <c r="I637" s="94"/>
      <c r="J637" s="93"/>
      <c r="K637" s="85"/>
      <c r="M637" s="94"/>
      <c r="N637" s="93"/>
      <c r="O637" s="85"/>
      <c r="Q637" s="94"/>
      <c r="R637" s="93"/>
      <c r="S637" s="85"/>
      <c r="U637" s="94"/>
      <c r="V637" s="93"/>
      <c r="W637" s="85"/>
      <c r="Y637" s="94"/>
      <c r="Z637" s="93"/>
      <c r="AA637" s="85"/>
      <c r="AC637" s="94"/>
      <c r="AD637" s="93"/>
      <c r="AE637" s="85"/>
    </row>
    <row r="638" spans="7:31" x14ac:dyDescent="0.35">
      <c r="G638" s="85"/>
      <c r="H638" s="87"/>
      <c r="I638" s="94"/>
      <c r="J638" s="93"/>
      <c r="K638" s="85"/>
      <c r="M638" s="94"/>
      <c r="N638" s="93"/>
      <c r="O638" s="85"/>
      <c r="Q638" s="94"/>
      <c r="R638" s="93"/>
      <c r="S638" s="85"/>
      <c r="U638" s="94"/>
      <c r="V638" s="93"/>
      <c r="W638" s="85"/>
      <c r="Y638" s="94"/>
      <c r="Z638" s="93"/>
      <c r="AA638" s="85"/>
      <c r="AC638" s="94"/>
      <c r="AD638" s="93"/>
      <c r="AE638" s="85"/>
    </row>
    <row r="639" spans="7:31" x14ac:dyDescent="0.35">
      <c r="G639" s="85"/>
      <c r="H639" s="87"/>
      <c r="I639" s="94"/>
      <c r="J639" s="93"/>
      <c r="K639" s="85"/>
      <c r="M639" s="94"/>
      <c r="N639" s="93"/>
      <c r="O639" s="85"/>
      <c r="Q639" s="94"/>
      <c r="R639" s="93"/>
      <c r="S639" s="85"/>
      <c r="U639" s="94"/>
      <c r="V639" s="93"/>
      <c r="W639" s="85"/>
      <c r="Y639" s="94"/>
      <c r="Z639" s="93"/>
      <c r="AA639" s="85"/>
      <c r="AC639" s="94"/>
      <c r="AD639" s="93"/>
      <c r="AE639" s="85"/>
    </row>
    <row r="640" spans="7:31" x14ac:dyDescent="0.35">
      <c r="G640" s="85"/>
      <c r="H640" s="87"/>
      <c r="I640" s="94"/>
      <c r="J640" s="93"/>
      <c r="K640" s="85"/>
      <c r="M640" s="94"/>
      <c r="N640" s="93"/>
      <c r="O640" s="85"/>
      <c r="Q640" s="94"/>
      <c r="R640" s="93"/>
      <c r="S640" s="85"/>
      <c r="U640" s="94"/>
      <c r="V640" s="93"/>
      <c r="W640" s="85"/>
      <c r="Y640" s="94"/>
      <c r="Z640" s="93"/>
      <c r="AA640" s="85"/>
      <c r="AC640" s="94"/>
      <c r="AD640" s="93"/>
      <c r="AE640" s="85"/>
    </row>
    <row r="641" spans="7:31" x14ac:dyDescent="0.35">
      <c r="G641" s="85"/>
      <c r="H641" s="87"/>
      <c r="I641" s="94"/>
      <c r="J641" s="93"/>
      <c r="K641" s="85"/>
      <c r="M641" s="94"/>
      <c r="N641" s="93"/>
      <c r="O641" s="85"/>
      <c r="Q641" s="94"/>
      <c r="R641" s="93"/>
      <c r="S641" s="85"/>
      <c r="U641" s="94"/>
      <c r="V641" s="93"/>
      <c r="W641" s="85"/>
      <c r="Y641" s="94"/>
      <c r="Z641" s="93"/>
      <c r="AA641" s="85"/>
      <c r="AC641" s="94"/>
      <c r="AD641" s="93"/>
      <c r="AE641" s="85"/>
    </row>
    <row r="642" spans="7:31" x14ac:dyDescent="0.35">
      <c r="G642" s="85"/>
      <c r="H642" s="87"/>
      <c r="I642" s="94"/>
      <c r="J642" s="93"/>
      <c r="K642" s="85"/>
      <c r="M642" s="94"/>
      <c r="N642" s="93"/>
      <c r="O642" s="85"/>
      <c r="Q642" s="94"/>
      <c r="R642" s="93"/>
      <c r="S642" s="85"/>
      <c r="U642" s="94"/>
      <c r="V642" s="93"/>
      <c r="W642" s="85"/>
      <c r="Y642" s="94"/>
      <c r="Z642" s="93"/>
      <c r="AA642" s="85"/>
      <c r="AC642" s="94"/>
      <c r="AD642" s="93"/>
      <c r="AE642" s="85"/>
    </row>
    <row r="643" spans="7:31" x14ac:dyDescent="0.35">
      <c r="G643" s="85"/>
      <c r="H643" s="87"/>
      <c r="I643" s="94"/>
      <c r="J643" s="93"/>
      <c r="K643" s="85"/>
      <c r="M643" s="94"/>
      <c r="N643" s="93"/>
      <c r="O643" s="85"/>
      <c r="Q643" s="94"/>
      <c r="R643" s="93"/>
      <c r="S643" s="85"/>
      <c r="U643" s="94"/>
      <c r="V643" s="93"/>
      <c r="W643" s="85"/>
      <c r="Y643" s="94"/>
      <c r="Z643" s="93"/>
      <c r="AA643" s="85"/>
      <c r="AC643" s="94"/>
      <c r="AD643" s="93"/>
      <c r="AE643" s="85"/>
    </row>
    <row r="644" spans="7:31" x14ac:dyDescent="0.35">
      <c r="G644" s="85"/>
      <c r="H644" s="87"/>
      <c r="I644" s="94"/>
      <c r="J644" s="93"/>
      <c r="K644" s="85"/>
      <c r="M644" s="94"/>
      <c r="N644" s="93"/>
      <c r="O644" s="85"/>
      <c r="Q644" s="94"/>
      <c r="R644" s="93"/>
      <c r="S644" s="85"/>
      <c r="U644" s="94"/>
      <c r="V644" s="93"/>
      <c r="W644" s="85"/>
      <c r="Y644" s="94"/>
      <c r="Z644" s="93"/>
      <c r="AA644" s="85"/>
      <c r="AC644" s="94"/>
      <c r="AD644" s="93"/>
      <c r="AE644" s="85"/>
    </row>
    <row r="645" spans="7:31" x14ac:dyDescent="0.35">
      <c r="G645" s="85"/>
      <c r="H645" s="87"/>
      <c r="I645" s="94"/>
      <c r="J645" s="93"/>
      <c r="K645" s="85"/>
      <c r="M645" s="94"/>
      <c r="N645" s="93"/>
      <c r="O645" s="85"/>
      <c r="Q645" s="94"/>
      <c r="R645" s="93"/>
      <c r="S645" s="85"/>
      <c r="U645" s="94"/>
      <c r="V645" s="93"/>
      <c r="W645" s="85"/>
      <c r="Y645" s="94"/>
      <c r="Z645" s="93"/>
      <c r="AA645" s="85"/>
      <c r="AC645" s="94"/>
      <c r="AD645" s="93"/>
      <c r="AE645" s="85"/>
    </row>
    <row r="646" spans="7:31" x14ac:dyDescent="0.35">
      <c r="G646" s="85"/>
      <c r="H646" s="87"/>
      <c r="I646" s="94"/>
      <c r="J646" s="93"/>
      <c r="K646" s="85"/>
      <c r="M646" s="94"/>
      <c r="N646" s="93"/>
      <c r="O646" s="85"/>
      <c r="Q646" s="94"/>
      <c r="R646" s="93"/>
      <c r="S646" s="85"/>
      <c r="U646" s="94"/>
      <c r="V646" s="93"/>
      <c r="W646" s="85"/>
      <c r="Y646" s="94"/>
      <c r="Z646" s="93"/>
      <c r="AA646" s="85"/>
      <c r="AC646" s="94"/>
      <c r="AD646" s="93"/>
      <c r="AE646" s="85"/>
    </row>
    <row r="647" spans="7:31" x14ac:dyDescent="0.35">
      <c r="G647" s="85"/>
      <c r="H647" s="87"/>
      <c r="I647" s="94"/>
      <c r="J647" s="93"/>
      <c r="K647" s="85"/>
      <c r="M647" s="94"/>
      <c r="N647" s="93"/>
      <c r="O647" s="85"/>
      <c r="Q647" s="94"/>
      <c r="R647" s="93"/>
      <c r="S647" s="85"/>
      <c r="U647" s="94"/>
      <c r="V647" s="93"/>
      <c r="W647" s="85"/>
      <c r="Y647" s="94"/>
      <c r="Z647" s="93"/>
      <c r="AA647" s="85"/>
      <c r="AC647" s="94"/>
      <c r="AD647" s="93"/>
      <c r="AE647" s="85"/>
    </row>
    <row r="648" spans="7:31" x14ac:dyDescent="0.35">
      <c r="G648" s="85"/>
      <c r="H648" s="87"/>
      <c r="I648" s="94"/>
      <c r="J648" s="93"/>
      <c r="K648" s="85"/>
      <c r="M648" s="94"/>
      <c r="N648" s="93"/>
      <c r="O648" s="85"/>
      <c r="Q648" s="94"/>
      <c r="R648" s="93"/>
      <c r="S648" s="85"/>
      <c r="U648" s="94"/>
      <c r="V648" s="93"/>
      <c r="W648" s="85"/>
      <c r="Y648" s="94"/>
      <c r="Z648" s="93"/>
      <c r="AA648" s="85"/>
      <c r="AC648" s="94"/>
      <c r="AD648" s="93"/>
      <c r="AE648" s="85"/>
    </row>
    <row r="649" spans="7:31" x14ac:dyDescent="0.35">
      <c r="G649" s="85"/>
      <c r="H649" s="87"/>
      <c r="I649" s="94"/>
      <c r="J649" s="93"/>
      <c r="K649" s="85"/>
      <c r="M649" s="94"/>
      <c r="N649" s="93"/>
      <c r="O649" s="85"/>
      <c r="Q649" s="94"/>
      <c r="R649" s="93"/>
      <c r="S649" s="85"/>
      <c r="U649" s="94"/>
      <c r="V649" s="93"/>
      <c r="W649" s="85"/>
      <c r="Y649" s="94"/>
      <c r="Z649" s="93"/>
      <c r="AA649" s="85"/>
      <c r="AC649" s="94"/>
      <c r="AD649" s="93"/>
      <c r="AE649" s="85"/>
    </row>
    <row r="650" spans="7:31" x14ac:dyDescent="0.35">
      <c r="G650" s="85"/>
      <c r="H650" s="87"/>
      <c r="I650" s="94"/>
      <c r="J650" s="93"/>
      <c r="K650" s="85"/>
      <c r="M650" s="94"/>
      <c r="N650" s="93"/>
      <c r="O650" s="85"/>
      <c r="Q650" s="94"/>
      <c r="R650" s="93"/>
      <c r="S650" s="85"/>
      <c r="U650" s="94"/>
      <c r="V650" s="93"/>
      <c r="W650" s="85"/>
      <c r="Y650" s="94"/>
      <c r="Z650" s="93"/>
      <c r="AA650" s="85"/>
      <c r="AC650" s="94"/>
      <c r="AD650" s="93"/>
      <c r="AE650" s="85"/>
    </row>
    <row r="651" spans="7:31" x14ac:dyDescent="0.35">
      <c r="G651" s="85"/>
      <c r="H651" s="87"/>
      <c r="I651" s="94"/>
      <c r="J651" s="93"/>
      <c r="K651" s="85"/>
      <c r="M651" s="94"/>
      <c r="N651" s="93"/>
      <c r="O651" s="85"/>
      <c r="Q651" s="94"/>
      <c r="R651" s="93"/>
      <c r="S651" s="85"/>
      <c r="U651" s="94"/>
      <c r="V651" s="93"/>
      <c r="W651" s="85"/>
      <c r="Y651" s="94"/>
      <c r="Z651" s="93"/>
      <c r="AA651" s="85"/>
      <c r="AC651" s="94"/>
      <c r="AD651" s="93"/>
      <c r="AE651" s="85"/>
    </row>
    <row r="652" spans="7:31" x14ac:dyDescent="0.35">
      <c r="G652" s="85"/>
      <c r="H652" s="87"/>
      <c r="I652" s="94"/>
      <c r="J652" s="93"/>
      <c r="K652" s="85"/>
      <c r="M652" s="94"/>
      <c r="N652" s="93"/>
      <c r="O652" s="85"/>
      <c r="Q652" s="94"/>
      <c r="R652" s="93"/>
      <c r="S652" s="85"/>
      <c r="U652" s="94"/>
      <c r="V652" s="93"/>
      <c r="W652" s="85"/>
      <c r="Y652" s="94"/>
      <c r="Z652" s="93"/>
      <c r="AA652" s="85"/>
      <c r="AC652" s="94"/>
      <c r="AD652" s="93"/>
      <c r="AE652" s="85"/>
    </row>
    <row r="653" spans="7:31" x14ac:dyDescent="0.35">
      <c r="G653" s="85"/>
      <c r="H653" s="87"/>
      <c r="I653" s="94"/>
      <c r="J653" s="93"/>
      <c r="K653" s="85"/>
      <c r="M653" s="94"/>
      <c r="N653" s="93"/>
      <c r="O653" s="85"/>
      <c r="Q653" s="94"/>
      <c r="R653" s="93"/>
      <c r="S653" s="85"/>
      <c r="U653" s="94"/>
      <c r="V653" s="93"/>
      <c r="W653" s="85"/>
      <c r="Y653" s="94"/>
      <c r="Z653" s="93"/>
      <c r="AA653" s="85"/>
      <c r="AC653" s="94"/>
      <c r="AD653" s="93"/>
      <c r="AE653" s="85"/>
    </row>
    <row r="654" spans="7:31" x14ac:dyDescent="0.35">
      <c r="G654" s="85"/>
      <c r="H654" s="87"/>
      <c r="I654" s="94"/>
      <c r="J654" s="93"/>
      <c r="K654" s="85"/>
      <c r="M654" s="94"/>
      <c r="N654" s="93"/>
      <c r="O654" s="85"/>
      <c r="Q654" s="94"/>
      <c r="R654" s="93"/>
      <c r="S654" s="85"/>
      <c r="U654" s="94"/>
      <c r="V654" s="93"/>
      <c r="W654" s="85"/>
      <c r="Y654" s="94"/>
      <c r="Z654" s="93"/>
      <c r="AA654" s="85"/>
      <c r="AC654" s="94"/>
      <c r="AD654" s="93"/>
      <c r="AE654" s="85"/>
    </row>
    <row r="655" spans="7:31" x14ac:dyDescent="0.35">
      <c r="G655" s="85"/>
      <c r="H655" s="87"/>
      <c r="I655" s="94"/>
      <c r="J655" s="93"/>
      <c r="K655" s="85"/>
      <c r="M655" s="94"/>
      <c r="N655" s="93"/>
      <c r="O655" s="85"/>
      <c r="Q655" s="94"/>
      <c r="R655" s="93"/>
      <c r="S655" s="85"/>
      <c r="U655" s="94"/>
      <c r="V655" s="93"/>
      <c r="W655" s="85"/>
      <c r="Y655" s="94"/>
      <c r="Z655" s="93"/>
      <c r="AA655" s="85"/>
      <c r="AC655" s="94"/>
      <c r="AD655" s="93"/>
      <c r="AE655" s="85"/>
    </row>
    <row r="656" spans="7:31" x14ac:dyDescent="0.35">
      <c r="G656" s="85"/>
      <c r="H656" s="87"/>
      <c r="I656" s="94"/>
      <c r="J656" s="93"/>
      <c r="K656" s="85"/>
      <c r="M656" s="94"/>
      <c r="N656" s="93"/>
      <c r="O656" s="85"/>
      <c r="Q656" s="94"/>
      <c r="R656" s="93"/>
      <c r="S656" s="85"/>
      <c r="U656" s="94"/>
      <c r="V656" s="93"/>
      <c r="W656" s="85"/>
      <c r="Y656" s="94"/>
      <c r="Z656" s="93"/>
      <c r="AA656" s="85"/>
      <c r="AC656" s="94"/>
      <c r="AD656" s="93"/>
      <c r="AE656" s="85"/>
    </row>
    <row r="657" spans="7:31" x14ac:dyDescent="0.35">
      <c r="G657" s="85"/>
      <c r="H657" s="87"/>
      <c r="I657" s="94"/>
      <c r="J657" s="93"/>
      <c r="K657" s="85"/>
      <c r="M657" s="94"/>
      <c r="N657" s="93"/>
      <c r="O657" s="85"/>
      <c r="Q657" s="94"/>
      <c r="R657" s="93"/>
      <c r="S657" s="85"/>
      <c r="U657" s="94"/>
      <c r="V657" s="93"/>
      <c r="W657" s="85"/>
      <c r="Y657" s="94"/>
      <c r="Z657" s="93"/>
      <c r="AA657" s="85"/>
      <c r="AC657" s="94"/>
      <c r="AD657" s="93"/>
      <c r="AE657" s="85"/>
    </row>
    <row r="658" spans="7:31" x14ac:dyDescent="0.35">
      <c r="G658" s="85"/>
      <c r="H658" s="87"/>
      <c r="I658" s="94"/>
      <c r="J658" s="93"/>
      <c r="K658" s="85"/>
      <c r="M658" s="94"/>
      <c r="N658" s="93"/>
      <c r="O658" s="85"/>
      <c r="Q658" s="94"/>
      <c r="R658" s="93"/>
      <c r="S658" s="85"/>
      <c r="U658" s="94"/>
      <c r="V658" s="93"/>
      <c r="W658" s="85"/>
      <c r="Y658" s="94"/>
      <c r="Z658" s="93"/>
      <c r="AA658" s="85"/>
      <c r="AC658" s="94"/>
      <c r="AD658" s="93"/>
      <c r="AE658" s="85"/>
    </row>
    <row r="659" spans="7:31" x14ac:dyDescent="0.35">
      <c r="G659" s="85"/>
      <c r="H659" s="87"/>
      <c r="I659" s="94"/>
      <c r="J659" s="93"/>
      <c r="K659" s="85"/>
      <c r="M659" s="94"/>
      <c r="N659" s="93"/>
      <c r="O659" s="85"/>
      <c r="Q659" s="94"/>
      <c r="R659" s="93"/>
      <c r="S659" s="85"/>
      <c r="U659" s="94"/>
      <c r="V659" s="93"/>
      <c r="W659" s="85"/>
      <c r="Y659" s="94"/>
      <c r="Z659" s="93"/>
      <c r="AA659" s="85"/>
      <c r="AC659" s="94"/>
      <c r="AD659" s="93"/>
      <c r="AE659" s="85"/>
    </row>
    <row r="660" spans="7:31" x14ac:dyDescent="0.35">
      <c r="G660" s="85"/>
      <c r="H660" s="87"/>
      <c r="I660" s="94"/>
      <c r="J660" s="93"/>
      <c r="K660" s="85"/>
      <c r="M660" s="94"/>
      <c r="N660" s="93"/>
      <c r="O660" s="85"/>
      <c r="Q660" s="94"/>
      <c r="R660" s="93"/>
      <c r="S660" s="85"/>
      <c r="U660" s="94"/>
      <c r="V660" s="93"/>
      <c r="W660" s="85"/>
      <c r="Y660" s="94"/>
      <c r="Z660" s="93"/>
      <c r="AA660" s="85"/>
      <c r="AC660" s="94"/>
      <c r="AD660" s="93"/>
      <c r="AE660" s="85"/>
    </row>
    <row r="661" spans="7:31" x14ac:dyDescent="0.35">
      <c r="G661" s="85"/>
      <c r="H661" s="87"/>
      <c r="I661" s="94"/>
      <c r="J661" s="93"/>
      <c r="K661" s="85"/>
      <c r="M661" s="94"/>
      <c r="N661" s="93"/>
      <c r="O661" s="85"/>
      <c r="Q661" s="94"/>
      <c r="R661" s="93"/>
      <c r="S661" s="85"/>
      <c r="U661" s="94"/>
      <c r="V661" s="93"/>
      <c r="W661" s="85"/>
      <c r="Y661" s="94"/>
      <c r="Z661" s="93"/>
      <c r="AA661" s="85"/>
      <c r="AC661" s="94"/>
      <c r="AD661" s="93"/>
      <c r="AE661" s="85"/>
    </row>
    <row r="662" spans="7:31" x14ac:dyDescent="0.35">
      <c r="G662" s="85"/>
      <c r="H662" s="87"/>
      <c r="I662" s="94"/>
      <c r="J662" s="93"/>
      <c r="K662" s="85"/>
      <c r="M662" s="94"/>
      <c r="N662" s="93"/>
      <c r="O662" s="85"/>
      <c r="Q662" s="94"/>
      <c r="R662" s="93"/>
      <c r="S662" s="85"/>
      <c r="U662" s="94"/>
      <c r="V662" s="93"/>
      <c r="W662" s="85"/>
      <c r="Y662" s="94"/>
      <c r="Z662" s="93"/>
      <c r="AA662" s="85"/>
      <c r="AC662" s="94"/>
      <c r="AD662" s="93"/>
      <c r="AE662" s="85"/>
    </row>
    <row r="663" spans="7:31" x14ac:dyDescent="0.35">
      <c r="G663" s="85"/>
      <c r="H663" s="87"/>
      <c r="I663" s="94"/>
      <c r="J663" s="93"/>
      <c r="K663" s="85"/>
      <c r="M663" s="94"/>
      <c r="N663" s="93"/>
      <c r="O663" s="85"/>
      <c r="Q663" s="94"/>
      <c r="R663" s="93"/>
      <c r="S663" s="85"/>
      <c r="U663" s="94"/>
      <c r="V663" s="93"/>
      <c r="W663" s="85"/>
      <c r="Y663" s="94"/>
      <c r="Z663" s="93"/>
      <c r="AA663" s="85"/>
      <c r="AC663" s="94"/>
      <c r="AD663" s="93"/>
      <c r="AE663" s="85"/>
    </row>
    <row r="664" spans="7:31" x14ac:dyDescent="0.35">
      <c r="G664" s="85"/>
      <c r="H664" s="87"/>
      <c r="I664" s="94"/>
      <c r="J664" s="93"/>
      <c r="K664" s="85"/>
      <c r="M664" s="94"/>
      <c r="N664" s="93"/>
      <c r="O664" s="85"/>
      <c r="Q664" s="94"/>
      <c r="R664" s="93"/>
      <c r="S664" s="85"/>
      <c r="U664" s="94"/>
      <c r="V664" s="93"/>
      <c r="W664" s="85"/>
      <c r="Y664" s="94"/>
      <c r="Z664" s="93"/>
      <c r="AA664" s="85"/>
      <c r="AC664" s="94"/>
      <c r="AD664" s="93"/>
      <c r="AE664" s="85"/>
    </row>
    <row r="665" spans="7:31" x14ac:dyDescent="0.35">
      <c r="G665" s="85"/>
      <c r="H665" s="87"/>
      <c r="I665" s="94"/>
      <c r="J665" s="93"/>
      <c r="K665" s="85"/>
      <c r="M665" s="94"/>
      <c r="N665" s="93"/>
      <c r="O665" s="85"/>
      <c r="Q665" s="94"/>
      <c r="R665" s="93"/>
      <c r="S665" s="85"/>
      <c r="U665" s="94"/>
      <c r="V665" s="93"/>
      <c r="W665" s="85"/>
      <c r="Y665" s="94"/>
      <c r="Z665" s="93"/>
      <c r="AA665" s="85"/>
      <c r="AC665" s="94"/>
      <c r="AD665" s="93"/>
      <c r="AE665" s="85"/>
    </row>
    <row r="666" spans="7:31" x14ac:dyDescent="0.35">
      <c r="G666" s="85"/>
      <c r="H666" s="87"/>
      <c r="I666" s="94"/>
      <c r="J666" s="93"/>
      <c r="K666" s="85"/>
      <c r="M666" s="94"/>
      <c r="N666" s="93"/>
      <c r="O666" s="85"/>
      <c r="Q666" s="94"/>
      <c r="R666" s="93"/>
      <c r="S666" s="85"/>
      <c r="U666" s="94"/>
      <c r="V666" s="93"/>
      <c r="W666" s="85"/>
      <c r="Y666" s="94"/>
      <c r="Z666" s="93"/>
      <c r="AA666" s="85"/>
      <c r="AC666" s="94"/>
      <c r="AD666" s="93"/>
      <c r="AE666" s="85"/>
    </row>
    <row r="667" spans="7:31" x14ac:dyDescent="0.35">
      <c r="G667" s="85"/>
      <c r="H667" s="87"/>
      <c r="I667" s="94"/>
      <c r="J667" s="93"/>
      <c r="K667" s="85"/>
      <c r="M667" s="94"/>
      <c r="N667" s="93"/>
      <c r="O667" s="85"/>
      <c r="Q667" s="94"/>
      <c r="R667" s="93"/>
      <c r="S667" s="85"/>
      <c r="U667" s="94"/>
      <c r="V667" s="93"/>
      <c r="W667" s="85"/>
      <c r="Y667" s="94"/>
      <c r="Z667" s="93"/>
      <c r="AA667" s="85"/>
      <c r="AC667" s="94"/>
      <c r="AD667" s="93"/>
      <c r="AE667" s="85"/>
    </row>
    <row r="668" spans="7:31" x14ac:dyDescent="0.35">
      <c r="G668" s="85"/>
      <c r="H668" s="87"/>
      <c r="I668" s="94"/>
      <c r="J668" s="93"/>
      <c r="K668" s="85"/>
      <c r="M668" s="94"/>
      <c r="N668" s="93"/>
      <c r="O668" s="85"/>
      <c r="Q668" s="94"/>
      <c r="R668" s="93"/>
      <c r="S668" s="85"/>
      <c r="U668" s="94"/>
      <c r="V668" s="93"/>
      <c r="W668" s="85"/>
      <c r="Y668" s="94"/>
      <c r="Z668" s="93"/>
      <c r="AA668" s="85"/>
      <c r="AC668" s="94"/>
      <c r="AD668" s="93"/>
      <c r="AE668" s="85"/>
    </row>
    <row r="669" spans="7:31" x14ac:dyDescent="0.35">
      <c r="G669" s="85"/>
      <c r="H669" s="87"/>
      <c r="I669" s="94"/>
      <c r="J669" s="93"/>
      <c r="K669" s="85"/>
      <c r="M669" s="94"/>
      <c r="N669" s="93"/>
      <c r="O669" s="85"/>
      <c r="Q669" s="94"/>
      <c r="R669" s="93"/>
      <c r="S669" s="85"/>
      <c r="U669" s="94"/>
      <c r="V669" s="93"/>
      <c r="W669" s="85"/>
      <c r="Y669" s="94"/>
      <c r="Z669" s="93"/>
      <c r="AA669" s="85"/>
      <c r="AC669" s="94"/>
      <c r="AD669" s="93"/>
      <c r="AE669" s="85"/>
    </row>
    <row r="670" spans="7:31" x14ac:dyDescent="0.35">
      <c r="G670" s="85"/>
      <c r="H670" s="87"/>
      <c r="I670" s="94"/>
      <c r="J670" s="93"/>
      <c r="K670" s="85"/>
      <c r="M670" s="94"/>
      <c r="N670" s="93"/>
      <c r="O670" s="85"/>
      <c r="Q670" s="94"/>
      <c r="R670" s="93"/>
      <c r="S670" s="85"/>
      <c r="U670" s="94"/>
      <c r="V670" s="93"/>
      <c r="W670" s="85"/>
      <c r="Y670" s="94"/>
      <c r="Z670" s="93"/>
      <c r="AA670" s="85"/>
      <c r="AC670" s="94"/>
      <c r="AD670" s="93"/>
      <c r="AE670" s="85"/>
    </row>
    <row r="671" spans="7:31" x14ac:dyDescent="0.35">
      <c r="G671" s="85"/>
      <c r="H671" s="87"/>
      <c r="I671" s="94"/>
      <c r="J671" s="93"/>
      <c r="K671" s="85"/>
      <c r="M671" s="94"/>
      <c r="N671" s="93"/>
      <c r="O671" s="85"/>
      <c r="Q671" s="94"/>
      <c r="R671" s="93"/>
      <c r="S671" s="85"/>
      <c r="U671" s="94"/>
      <c r="V671" s="93"/>
      <c r="W671" s="85"/>
      <c r="Y671" s="94"/>
      <c r="Z671" s="93"/>
      <c r="AA671" s="85"/>
      <c r="AC671" s="94"/>
      <c r="AD671" s="93"/>
      <c r="AE671" s="85"/>
    </row>
    <row r="672" spans="7:31" x14ac:dyDescent="0.35">
      <c r="G672" s="85"/>
      <c r="H672" s="87"/>
      <c r="I672" s="94"/>
      <c r="J672" s="93"/>
      <c r="K672" s="85"/>
      <c r="M672" s="94"/>
      <c r="N672" s="93"/>
      <c r="O672" s="85"/>
      <c r="Q672" s="94"/>
      <c r="R672" s="93"/>
      <c r="S672" s="85"/>
      <c r="U672" s="94"/>
      <c r="V672" s="93"/>
      <c r="W672" s="85"/>
      <c r="Y672" s="94"/>
      <c r="Z672" s="93"/>
      <c r="AA672" s="85"/>
      <c r="AC672" s="94"/>
      <c r="AD672" s="93"/>
      <c r="AE672" s="85"/>
    </row>
    <row r="673" spans="7:31" x14ac:dyDescent="0.35">
      <c r="G673" s="85"/>
      <c r="H673" s="87"/>
      <c r="I673" s="94"/>
      <c r="J673" s="93"/>
      <c r="K673" s="85"/>
      <c r="M673" s="94"/>
      <c r="N673" s="93"/>
      <c r="O673" s="85"/>
      <c r="Q673" s="94"/>
      <c r="R673" s="93"/>
      <c r="S673" s="85"/>
      <c r="U673" s="94"/>
      <c r="V673" s="93"/>
      <c r="W673" s="85"/>
      <c r="Y673" s="94"/>
      <c r="Z673" s="93"/>
      <c r="AA673" s="85"/>
      <c r="AC673" s="94"/>
      <c r="AD673" s="93"/>
      <c r="AE673" s="85"/>
    </row>
    <row r="674" spans="7:31" x14ac:dyDescent="0.35">
      <c r="G674" s="85"/>
      <c r="H674" s="87"/>
      <c r="I674" s="94"/>
      <c r="J674" s="93"/>
      <c r="K674" s="85"/>
      <c r="M674" s="94"/>
      <c r="N674" s="93"/>
      <c r="O674" s="85"/>
      <c r="Q674" s="94"/>
      <c r="R674" s="93"/>
      <c r="S674" s="85"/>
      <c r="U674" s="94"/>
      <c r="V674" s="93"/>
      <c r="W674" s="85"/>
      <c r="Y674" s="94"/>
      <c r="Z674" s="93"/>
      <c r="AA674" s="85"/>
      <c r="AC674" s="94"/>
      <c r="AD674" s="93"/>
      <c r="AE674" s="85"/>
    </row>
    <row r="675" spans="7:31" x14ac:dyDescent="0.35">
      <c r="G675" s="85"/>
      <c r="H675" s="87"/>
      <c r="I675" s="94"/>
      <c r="J675" s="93"/>
      <c r="K675" s="85"/>
      <c r="M675" s="94"/>
      <c r="N675" s="93"/>
      <c r="O675" s="85"/>
      <c r="Q675" s="94"/>
      <c r="R675" s="93"/>
      <c r="S675" s="85"/>
      <c r="U675" s="94"/>
      <c r="V675" s="93"/>
      <c r="W675" s="85"/>
      <c r="Y675" s="94"/>
      <c r="Z675" s="93"/>
      <c r="AA675" s="85"/>
      <c r="AC675" s="94"/>
      <c r="AD675" s="93"/>
      <c r="AE675" s="85"/>
    </row>
    <row r="676" spans="7:31" x14ac:dyDescent="0.35">
      <c r="G676" s="85"/>
      <c r="H676" s="87"/>
      <c r="I676" s="94"/>
      <c r="J676" s="93"/>
      <c r="K676" s="85"/>
      <c r="M676" s="94"/>
      <c r="N676" s="93"/>
      <c r="O676" s="85"/>
      <c r="Q676" s="94"/>
      <c r="R676" s="93"/>
      <c r="S676" s="85"/>
      <c r="U676" s="94"/>
      <c r="V676" s="93"/>
      <c r="W676" s="85"/>
      <c r="Y676" s="94"/>
      <c r="Z676" s="93"/>
      <c r="AA676" s="85"/>
      <c r="AC676" s="94"/>
      <c r="AD676" s="93"/>
      <c r="AE676" s="85"/>
    </row>
    <row r="677" spans="7:31" x14ac:dyDescent="0.35">
      <c r="G677" s="85"/>
      <c r="H677" s="87"/>
      <c r="I677" s="94"/>
      <c r="J677" s="93"/>
      <c r="K677" s="85"/>
      <c r="M677" s="94"/>
      <c r="N677" s="93"/>
      <c r="O677" s="85"/>
      <c r="Q677" s="94"/>
      <c r="R677" s="93"/>
      <c r="S677" s="85"/>
      <c r="U677" s="94"/>
      <c r="V677" s="93"/>
      <c r="W677" s="85"/>
      <c r="Y677" s="94"/>
      <c r="Z677" s="93"/>
      <c r="AA677" s="85"/>
      <c r="AC677" s="94"/>
      <c r="AD677" s="93"/>
      <c r="AE677" s="85"/>
    </row>
    <row r="678" spans="7:31" x14ac:dyDescent="0.35">
      <c r="G678" s="85"/>
      <c r="H678" s="87"/>
      <c r="I678" s="94"/>
      <c r="J678" s="93"/>
      <c r="K678" s="85"/>
      <c r="M678" s="94"/>
      <c r="N678" s="93"/>
      <c r="O678" s="85"/>
      <c r="Q678" s="94"/>
      <c r="R678" s="93"/>
      <c r="S678" s="85"/>
      <c r="U678" s="94"/>
      <c r="V678" s="93"/>
      <c r="W678" s="85"/>
      <c r="Y678" s="94"/>
      <c r="Z678" s="93"/>
      <c r="AA678" s="85"/>
      <c r="AC678" s="94"/>
      <c r="AD678" s="93"/>
      <c r="AE678" s="85"/>
    </row>
    <row r="679" spans="7:31" x14ac:dyDescent="0.35">
      <c r="G679" s="85"/>
      <c r="H679" s="87"/>
      <c r="I679" s="94"/>
      <c r="J679" s="93"/>
      <c r="K679" s="85"/>
      <c r="M679" s="94"/>
      <c r="N679" s="93"/>
      <c r="O679" s="85"/>
      <c r="Q679" s="94"/>
      <c r="R679" s="93"/>
      <c r="S679" s="85"/>
      <c r="U679" s="94"/>
      <c r="V679" s="93"/>
      <c r="W679" s="85"/>
      <c r="Y679" s="94"/>
      <c r="Z679" s="93"/>
      <c r="AA679" s="85"/>
      <c r="AC679" s="94"/>
      <c r="AD679" s="93"/>
      <c r="AE679" s="85"/>
    </row>
    <row r="680" spans="7:31" x14ac:dyDescent="0.35">
      <c r="G680" s="85"/>
      <c r="H680" s="87"/>
      <c r="I680" s="94"/>
      <c r="J680" s="93"/>
      <c r="K680" s="85"/>
      <c r="M680" s="94"/>
      <c r="N680" s="93"/>
      <c r="O680" s="85"/>
      <c r="Q680" s="94"/>
      <c r="R680" s="93"/>
      <c r="S680" s="85"/>
      <c r="U680" s="94"/>
      <c r="V680" s="93"/>
      <c r="W680" s="85"/>
      <c r="Y680" s="94"/>
      <c r="Z680" s="93"/>
      <c r="AA680" s="85"/>
      <c r="AC680" s="94"/>
      <c r="AD680" s="93"/>
      <c r="AE680" s="85"/>
    </row>
    <row r="681" spans="7:31" x14ac:dyDescent="0.35">
      <c r="G681" s="85"/>
      <c r="H681" s="87"/>
      <c r="I681" s="94"/>
      <c r="J681" s="93"/>
      <c r="K681" s="85"/>
      <c r="M681" s="94"/>
      <c r="N681" s="93"/>
      <c r="O681" s="85"/>
      <c r="Q681" s="94"/>
      <c r="R681" s="93"/>
      <c r="S681" s="85"/>
      <c r="U681" s="94"/>
      <c r="V681" s="93"/>
      <c r="W681" s="85"/>
      <c r="Y681" s="94"/>
      <c r="Z681" s="93"/>
      <c r="AA681" s="85"/>
      <c r="AC681" s="94"/>
      <c r="AD681" s="93"/>
      <c r="AE681" s="85"/>
    </row>
    <row r="682" spans="7:31" x14ac:dyDescent="0.35">
      <c r="G682" s="85"/>
      <c r="H682" s="87"/>
      <c r="I682" s="94"/>
      <c r="J682" s="93"/>
      <c r="K682" s="85"/>
      <c r="M682" s="94"/>
      <c r="N682" s="93"/>
      <c r="O682" s="85"/>
      <c r="Q682" s="94"/>
      <c r="R682" s="93"/>
      <c r="S682" s="85"/>
      <c r="U682" s="94"/>
      <c r="V682" s="93"/>
      <c r="W682" s="85"/>
      <c r="Y682" s="94"/>
      <c r="Z682" s="93"/>
      <c r="AA682" s="85"/>
      <c r="AC682" s="94"/>
      <c r="AD682" s="93"/>
      <c r="AE682" s="85"/>
    </row>
    <row r="683" spans="7:31" x14ac:dyDescent="0.35">
      <c r="G683" s="85"/>
      <c r="H683" s="87"/>
      <c r="I683" s="94"/>
      <c r="J683" s="93"/>
      <c r="K683" s="85"/>
      <c r="M683" s="94"/>
      <c r="N683" s="93"/>
      <c r="O683" s="85"/>
      <c r="Q683" s="94"/>
      <c r="R683" s="93"/>
      <c r="S683" s="85"/>
      <c r="U683" s="94"/>
      <c r="V683" s="93"/>
      <c r="W683" s="85"/>
      <c r="Y683" s="94"/>
      <c r="Z683" s="93"/>
      <c r="AA683" s="85"/>
      <c r="AC683" s="94"/>
      <c r="AD683" s="93"/>
      <c r="AE683" s="85"/>
    </row>
    <row r="684" spans="7:31" x14ac:dyDescent="0.35">
      <c r="G684" s="85"/>
      <c r="H684" s="87"/>
      <c r="I684" s="94"/>
      <c r="J684" s="93"/>
      <c r="K684" s="85"/>
      <c r="M684" s="94"/>
      <c r="N684" s="93"/>
      <c r="O684" s="85"/>
      <c r="Q684" s="94"/>
      <c r="R684" s="93"/>
      <c r="S684" s="85"/>
      <c r="U684" s="94"/>
      <c r="V684" s="93"/>
      <c r="W684" s="85"/>
      <c r="Y684" s="94"/>
      <c r="Z684" s="93"/>
      <c r="AA684" s="85"/>
      <c r="AC684" s="94"/>
      <c r="AD684" s="93"/>
      <c r="AE684" s="85"/>
    </row>
    <row r="685" spans="7:31" x14ac:dyDescent="0.35">
      <c r="G685" s="85"/>
      <c r="H685" s="87"/>
      <c r="I685" s="94"/>
      <c r="J685" s="93"/>
      <c r="K685" s="85"/>
      <c r="M685" s="94"/>
      <c r="N685" s="93"/>
      <c r="O685" s="85"/>
      <c r="Q685" s="94"/>
      <c r="R685" s="93"/>
      <c r="S685" s="85"/>
      <c r="U685" s="94"/>
      <c r="V685" s="93"/>
      <c r="W685" s="85"/>
      <c r="Y685" s="94"/>
      <c r="Z685" s="93"/>
      <c r="AA685" s="85"/>
      <c r="AC685" s="94"/>
      <c r="AD685" s="93"/>
      <c r="AE685" s="85"/>
    </row>
    <row r="686" spans="7:31" x14ac:dyDescent="0.35">
      <c r="G686" s="85"/>
      <c r="H686" s="87"/>
      <c r="I686" s="94"/>
      <c r="J686" s="93"/>
      <c r="K686" s="85"/>
      <c r="M686" s="94"/>
      <c r="N686" s="93"/>
      <c r="O686" s="85"/>
      <c r="Q686" s="94"/>
      <c r="R686" s="93"/>
      <c r="S686" s="85"/>
      <c r="U686" s="94"/>
      <c r="V686" s="93"/>
      <c r="W686" s="85"/>
      <c r="Y686" s="94"/>
      <c r="Z686" s="93"/>
      <c r="AA686" s="85"/>
      <c r="AC686" s="94"/>
      <c r="AD686" s="93"/>
      <c r="AE686" s="85"/>
    </row>
    <row r="687" spans="7:31" x14ac:dyDescent="0.35">
      <c r="G687" s="85"/>
      <c r="H687" s="87"/>
      <c r="I687" s="94"/>
      <c r="J687" s="93"/>
      <c r="K687" s="85"/>
      <c r="M687" s="94"/>
      <c r="N687" s="93"/>
      <c r="O687" s="85"/>
      <c r="Q687" s="94"/>
      <c r="R687" s="93"/>
      <c r="S687" s="85"/>
      <c r="U687" s="94"/>
      <c r="V687" s="93"/>
      <c r="W687" s="85"/>
      <c r="Y687" s="94"/>
      <c r="Z687" s="93"/>
      <c r="AA687" s="85"/>
      <c r="AC687" s="94"/>
      <c r="AD687" s="93"/>
      <c r="AE687" s="85"/>
    </row>
    <row r="688" spans="7:31" x14ac:dyDescent="0.35">
      <c r="G688" s="85"/>
      <c r="H688" s="87"/>
      <c r="I688" s="94"/>
      <c r="J688" s="93"/>
      <c r="K688" s="85"/>
      <c r="M688" s="94"/>
      <c r="N688" s="93"/>
      <c r="O688" s="85"/>
      <c r="Q688" s="94"/>
      <c r="R688" s="93"/>
      <c r="S688" s="85"/>
      <c r="U688" s="94"/>
      <c r="V688" s="93"/>
      <c r="W688" s="85"/>
      <c r="Y688" s="94"/>
      <c r="Z688" s="93"/>
      <c r="AA688" s="85"/>
      <c r="AC688" s="94"/>
      <c r="AD688" s="93"/>
      <c r="AE688" s="85"/>
    </row>
    <row r="689" spans="7:31" x14ac:dyDescent="0.35">
      <c r="G689" s="85"/>
      <c r="H689" s="87"/>
      <c r="I689" s="94"/>
      <c r="J689" s="93"/>
      <c r="K689" s="85"/>
      <c r="M689" s="94"/>
      <c r="N689" s="93"/>
      <c r="O689" s="85"/>
      <c r="Q689" s="94"/>
      <c r="R689" s="93"/>
      <c r="S689" s="85"/>
      <c r="U689" s="94"/>
      <c r="V689" s="93"/>
      <c r="W689" s="85"/>
      <c r="Y689" s="94"/>
      <c r="Z689" s="93"/>
      <c r="AA689" s="85"/>
      <c r="AC689" s="94"/>
      <c r="AD689" s="93"/>
      <c r="AE689" s="85"/>
    </row>
    <row r="690" spans="7:31" x14ac:dyDescent="0.35">
      <c r="G690" s="85"/>
      <c r="H690" s="87"/>
      <c r="I690" s="94"/>
      <c r="J690" s="93"/>
      <c r="K690" s="85"/>
      <c r="M690" s="94"/>
      <c r="N690" s="93"/>
      <c r="O690" s="85"/>
      <c r="Q690" s="94"/>
      <c r="R690" s="93"/>
      <c r="S690" s="85"/>
      <c r="U690" s="94"/>
      <c r="V690" s="93"/>
      <c r="W690" s="85"/>
      <c r="Y690" s="94"/>
      <c r="Z690" s="93"/>
      <c r="AA690" s="85"/>
      <c r="AC690" s="94"/>
      <c r="AD690" s="93"/>
      <c r="AE690" s="85"/>
    </row>
    <row r="691" spans="7:31" x14ac:dyDescent="0.35">
      <c r="G691" s="85"/>
      <c r="H691" s="87"/>
      <c r="I691" s="94"/>
      <c r="J691" s="93"/>
      <c r="K691" s="85"/>
      <c r="M691" s="94"/>
      <c r="N691" s="93"/>
      <c r="O691" s="85"/>
      <c r="Q691" s="94"/>
      <c r="R691" s="93"/>
      <c r="S691" s="85"/>
      <c r="U691" s="94"/>
      <c r="V691" s="93"/>
      <c r="W691" s="85"/>
      <c r="Y691" s="94"/>
      <c r="Z691" s="93"/>
      <c r="AA691" s="85"/>
      <c r="AC691" s="94"/>
      <c r="AD691" s="93"/>
      <c r="AE691" s="85"/>
    </row>
    <row r="692" spans="7:31" x14ac:dyDescent="0.35">
      <c r="G692" s="85"/>
      <c r="H692" s="87"/>
      <c r="I692" s="94"/>
      <c r="J692" s="93"/>
      <c r="K692" s="85"/>
      <c r="M692" s="94"/>
      <c r="N692" s="93"/>
      <c r="O692" s="85"/>
      <c r="Q692" s="94"/>
      <c r="R692" s="93"/>
      <c r="S692" s="85"/>
      <c r="U692" s="94"/>
      <c r="V692" s="93"/>
      <c r="W692" s="85"/>
      <c r="Y692" s="94"/>
      <c r="Z692" s="93"/>
      <c r="AA692" s="85"/>
      <c r="AC692" s="94"/>
      <c r="AD692" s="93"/>
      <c r="AE692" s="85"/>
    </row>
    <row r="693" spans="7:31" x14ac:dyDescent="0.35">
      <c r="G693" s="85"/>
      <c r="H693" s="87"/>
      <c r="I693" s="94"/>
      <c r="J693" s="93"/>
      <c r="K693" s="85"/>
      <c r="M693" s="94"/>
      <c r="N693" s="93"/>
      <c r="O693" s="85"/>
      <c r="Q693" s="94"/>
      <c r="R693" s="93"/>
      <c r="S693" s="85"/>
      <c r="U693" s="94"/>
      <c r="V693" s="93"/>
      <c r="W693" s="85"/>
      <c r="Y693" s="94"/>
      <c r="Z693" s="93"/>
      <c r="AA693" s="85"/>
      <c r="AC693" s="94"/>
      <c r="AD693" s="93"/>
      <c r="AE693" s="85"/>
    </row>
    <row r="694" spans="7:31" x14ac:dyDescent="0.35">
      <c r="G694" s="85"/>
      <c r="H694" s="87"/>
      <c r="I694" s="94"/>
      <c r="J694" s="93"/>
      <c r="K694" s="85"/>
      <c r="M694" s="94"/>
      <c r="N694" s="93"/>
      <c r="O694" s="85"/>
      <c r="Q694" s="94"/>
      <c r="R694" s="93"/>
      <c r="S694" s="85"/>
      <c r="U694" s="94"/>
      <c r="V694" s="93"/>
      <c r="W694" s="85"/>
      <c r="Y694" s="94"/>
      <c r="Z694" s="93"/>
      <c r="AA694" s="85"/>
      <c r="AC694" s="94"/>
      <c r="AD694" s="93"/>
      <c r="AE694" s="85"/>
    </row>
    <row r="695" spans="7:31" x14ac:dyDescent="0.35">
      <c r="G695" s="85"/>
      <c r="H695" s="87"/>
      <c r="I695" s="94"/>
      <c r="J695" s="93"/>
      <c r="K695" s="85"/>
      <c r="M695" s="94"/>
      <c r="N695" s="93"/>
      <c r="O695" s="85"/>
      <c r="Q695" s="94"/>
      <c r="R695" s="93"/>
      <c r="S695" s="85"/>
      <c r="U695" s="94"/>
      <c r="V695" s="93"/>
      <c r="W695" s="85"/>
      <c r="Y695" s="94"/>
      <c r="Z695" s="93"/>
      <c r="AA695" s="85"/>
      <c r="AC695" s="94"/>
      <c r="AD695" s="93"/>
      <c r="AE695" s="85"/>
    </row>
    <row r="696" spans="7:31" x14ac:dyDescent="0.35">
      <c r="G696" s="85"/>
      <c r="H696" s="87"/>
      <c r="I696" s="94"/>
      <c r="J696" s="93"/>
      <c r="K696" s="85"/>
      <c r="M696" s="94"/>
      <c r="N696" s="93"/>
      <c r="O696" s="85"/>
      <c r="Q696" s="94"/>
      <c r="R696" s="93"/>
      <c r="S696" s="85"/>
      <c r="U696" s="94"/>
      <c r="V696" s="93"/>
      <c r="W696" s="85"/>
      <c r="Y696" s="94"/>
      <c r="Z696" s="93"/>
      <c r="AA696" s="85"/>
      <c r="AC696" s="94"/>
      <c r="AD696" s="93"/>
      <c r="AE696" s="85"/>
    </row>
    <row r="697" spans="7:31" x14ac:dyDescent="0.35">
      <c r="G697" s="85"/>
      <c r="H697" s="87"/>
      <c r="I697" s="94"/>
      <c r="J697" s="93"/>
      <c r="K697" s="85"/>
      <c r="M697" s="94"/>
      <c r="N697" s="93"/>
      <c r="O697" s="85"/>
      <c r="Q697" s="94"/>
      <c r="R697" s="93"/>
      <c r="S697" s="85"/>
      <c r="U697" s="94"/>
      <c r="V697" s="93"/>
      <c r="W697" s="85"/>
      <c r="Y697" s="94"/>
      <c r="Z697" s="93"/>
      <c r="AA697" s="85"/>
      <c r="AC697" s="94"/>
      <c r="AD697" s="93"/>
      <c r="AE697" s="85"/>
    </row>
    <row r="698" spans="7:31" x14ac:dyDescent="0.35">
      <c r="G698" s="85"/>
      <c r="H698" s="87"/>
      <c r="I698" s="94"/>
      <c r="J698" s="93"/>
      <c r="K698" s="85"/>
      <c r="M698" s="94"/>
      <c r="N698" s="93"/>
      <c r="O698" s="85"/>
      <c r="Q698" s="94"/>
      <c r="R698" s="93"/>
      <c r="S698" s="85"/>
      <c r="U698" s="94"/>
      <c r="V698" s="93"/>
      <c r="W698" s="85"/>
      <c r="Y698" s="94"/>
      <c r="Z698" s="93"/>
      <c r="AA698" s="85"/>
      <c r="AC698" s="94"/>
      <c r="AD698" s="93"/>
      <c r="AE698" s="85"/>
    </row>
    <row r="699" spans="7:31" x14ac:dyDescent="0.35">
      <c r="G699" s="85"/>
      <c r="H699" s="87"/>
      <c r="I699" s="94"/>
      <c r="J699" s="93"/>
      <c r="K699" s="85"/>
      <c r="M699" s="94"/>
      <c r="N699" s="93"/>
      <c r="O699" s="85"/>
      <c r="Q699" s="94"/>
      <c r="R699" s="93"/>
      <c r="S699" s="85"/>
      <c r="U699" s="94"/>
      <c r="V699" s="93"/>
      <c r="W699" s="85"/>
      <c r="Y699" s="94"/>
      <c r="Z699" s="93"/>
      <c r="AA699" s="85"/>
      <c r="AC699" s="94"/>
      <c r="AD699" s="93"/>
      <c r="AE699" s="85"/>
    </row>
    <row r="700" spans="7:31" x14ac:dyDescent="0.35">
      <c r="G700" s="85"/>
      <c r="H700" s="87"/>
      <c r="I700" s="94"/>
      <c r="J700" s="93"/>
      <c r="K700" s="85"/>
      <c r="M700" s="94"/>
      <c r="N700" s="93"/>
      <c r="O700" s="85"/>
      <c r="Q700" s="94"/>
      <c r="R700" s="93"/>
      <c r="S700" s="85"/>
      <c r="U700" s="94"/>
      <c r="V700" s="93"/>
      <c r="W700" s="85"/>
      <c r="Y700" s="94"/>
      <c r="Z700" s="93"/>
      <c r="AA700" s="85"/>
      <c r="AC700" s="94"/>
      <c r="AD700" s="93"/>
      <c r="AE700" s="85"/>
    </row>
    <row r="701" spans="7:31" x14ac:dyDescent="0.35">
      <c r="G701" s="85"/>
      <c r="H701" s="87"/>
      <c r="I701" s="94"/>
      <c r="J701" s="93"/>
      <c r="K701" s="85"/>
      <c r="M701" s="94"/>
      <c r="N701" s="93"/>
      <c r="O701" s="85"/>
      <c r="Q701" s="94"/>
      <c r="R701" s="93"/>
      <c r="S701" s="85"/>
      <c r="U701" s="94"/>
      <c r="V701" s="93"/>
      <c r="W701" s="85"/>
      <c r="Y701" s="94"/>
      <c r="Z701" s="93"/>
      <c r="AA701" s="85"/>
      <c r="AC701" s="94"/>
      <c r="AD701" s="93"/>
      <c r="AE701" s="85"/>
    </row>
    <row r="702" spans="7:31" x14ac:dyDescent="0.35">
      <c r="G702" s="85"/>
      <c r="H702" s="87"/>
      <c r="I702" s="94"/>
      <c r="J702" s="93"/>
      <c r="K702" s="85"/>
      <c r="M702" s="94"/>
      <c r="N702" s="93"/>
      <c r="O702" s="85"/>
      <c r="Q702" s="94"/>
      <c r="R702" s="93"/>
      <c r="S702" s="85"/>
      <c r="U702" s="94"/>
      <c r="V702" s="93"/>
      <c r="W702" s="85"/>
      <c r="Y702" s="94"/>
      <c r="Z702" s="93"/>
      <c r="AA702" s="85"/>
      <c r="AC702" s="94"/>
      <c r="AD702" s="93"/>
      <c r="AE702" s="85"/>
    </row>
    <row r="703" spans="7:31" x14ac:dyDescent="0.35">
      <c r="G703" s="85"/>
      <c r="H703" s="87"/>
      <c r="I703" s="94"/>
      <c r="J703" s="93"/>
      <c r="K703" s="85"/>
      <c r="M703" s="94"/>
      <c r="N703" s="93"/>
      <c r="O703" s="85"/>
      <c r="Q703" s="94"/>
      <c r="R703" s="93"/>
      <c r="S703" s="85"/>
      <c r="U703" s="94"/>
      <c r="V703" s="93"/>
      <c r="W703" s="85"/>
      <c r="Y703" s="94"/>
      <c r="Z703" s="93"/>
      <c r="AA703" s="85"/>
      <c r="AC703" s="94"/>
      <c r="AD703" s="93"/>
      <c r="AE703" s="85"/>
    </row>
    <row r="704" spans="7:31" x14ac:dyDescent="0.35">
      <c r="G704" s="85"/>
      <c r="H704" s="87"/>
      <c r="I704" s="94"/>
      <c r="J704" s="93"/>
      <c r="K704" s="85"/>
      <c r="M704" s="94"/>
      <c r="N704" s="93"/>
      <c r="O704" s="85"/>
      <c r="Q704" s="94"/>
      <c r="R704" s="93"/>
      <c r="S704" s="85"/>
      <c r="U704" s="94"/>
      <c r="V704" s="93"/>
      <c r="W704" s="85"/>
      <c r="Y704" s="94"/>
      <c r="Z704" s="93"/>
      <c r="AA704" s="85"/>
      <c r="AC704" s="94"/>
      <c r="AD704" s="93"/>
      <c r="AE704" s="85"/>
    </row>
    <row r="705" spans="7:31" x14ac:dyDescent="0.35">
      <c r="G705" s="85"/>
      <c r="H705" s="87"/>
      <c r="I705" s="94"/>
      <c r="J705" s="93"/>
      <c r="K705" s="85"/>
      <c r="M705" s="94"/>
      <c r="N705" s="93"/>
      <c r="O705" s="85"/>
      <c r="Q705" s="94"/>
      <c r="R705" s="93"/>
      <c r="S705" s="85"/>
      <c r="U705" s="94"/>
      <c r="V705" s="93"/>
      <c r="W705" s="85"/>
      <c r="Y705" s="94"/>
      <c r="Z705" s="93"/>
      <c r="AA705" s="85"/>
      <c r="AC705" s="94"/>
      <c r="AD705" s="93"/>
      <c r="AE705" s="85"/>
    </row>
    <row r="706" spans="7:31" x14ac:dyDescent="0.35">
      <c r="G706" s="85"/>
      <c r="H706" s="87"/>
      <c r="I706" s="94"/>
      <c r="J706" s="93"/>
      <c r="K706" s="85"/>
      <c r="M706" s="94"/>
      <c r="N706" s="93"/>
      <c r="O706" s="85"/>
      <c r="Q706" s="94"/>
      <c r="R706" s="93"/>
      <c r="S706" s="85"/>
      <c r="U706" s="94"/>
      <c r="V706" s="93"/>
      <c r="W706" s="85"/>
      <c r="Y706" s="94"/>
      <c r="Z706" s="93"/>
      <c r="AA706" s="85"/>
      <c r="AC706" s="94"/>
      <c r="AD706" s="93"/>
      <c r="AE706" s="85"/>
    </row>
    <row r="707" spans="7:31" x14ac:dyDescent="0.35">
      <c r="G707" s="85"/>
      <c r="H707" s="87"/>
      <c r="I707" s="94"/>
      <c r="J707" s="93"/>
      <c r="K707" s="85"/>
      <c r="M707" s="94"/>
      <c r="N707" s="93"/>
      <c r="O707" s="85"/>
      <c r="Q707" s="94"/>
      <c r="R707" s="93"/>
      <c r="S707" s="85"/>
      <c r="U707" s="94"/>
      <c r="V707" s="93"/>
      <c r="W707" s="85"/>
      <c r="Y707" s="94"/>
      <c r="Z707" s="93"/>
      <c r="AA707" s="85"/>
      <c r="AC707" s="94"/>
      <c r="AD707" s="93"/>
      <c r="AE707" s="85"/>
    </row>
    <row r="708" spans="7:31" x14ac:dyDescent="0.35">
      <c r="G708" s="85"/>
      <c r="H708" s="87"/>
      <c r="I708" s="94"/>
      <c r="J708" s="93"/>
      <c r="K708" s="85"/>
      <c r="M708" s="94"/>
      <c r="N708" s="93"/>
      <c r="O708" s="85"/>
      <c r="Q708" s="94"/>
      <c r="R708" s="93"/>
      <c r="S708" s="85"/>
      <c r="U708" s="94"/>
      <c r="V708" s="93"/>
      <c r="W708" s="85"/>
      <c r="Y708" s="94"/>
      <c r="Z708" s="93"/>
      <c r="AA708" s="85"/>
      <c r="AC708" s="94"/>
      <c r="AD708" s="93"/>
      <c r="AE708" s="85"/>
    </row>
    <row r="709" spans="7:31" x14ac:dyDescent="0.35">
      <c r="G709" s="85"/>
      <c r="H709" s="87"/>
      <c r="I709" s="94"/>
      <c r="J709" s="93"/>
      <c r="K709" s="85"/>
      <c r="M709" s="94"/>
      <c r="N709" s="93"/>
      <c r="O709" s="85"/>
      <c r="Q709" s="94"/>
      <c r="R709" s="93"/>
      <c r="S709" s="85"/>
      <c r="U709" s="94"/>
      <c r="V709" s="93"/>
      <c r="W709" s="85"/>
      <c r="Y709" s="94"/>
      <c r="Z709" s="93"/>
      <c r="AA709" s="85"/>
      <c r="AC709" s="94"/>
      <c r="AD709" s="93"/>
      <c r="AE709" s="85"/>
    </row>
    <row r="710" spans="7:31" x14ac:dyDescent="0.35">
      <c r="G710" s="85"/>
      <c r="H710" s="87"/>
      <c r="I710" s="94"/>
      <c r="J710" s="93"/>
      <c r="K710" s="85"/>
      <c r="M710" s="94"/>
      <c r="N710" s="93"/>
      <c r="O710" s="85"/>
      <c r="Q710" s="94"/>
      <c r="R710" s="93"/>
      <c r="S710" s="85"/>
      <c r="U710" s="94"/>
      <c r="V710" s="93"/>
      <c r="W710" s="85"/>
      <c r="Y710" s="94"/>
      <c r="Z710" s="93"/>
      <c r="AA710" s="85"/>
      <c r="AC710" s="94"/>
      <c r="AD710" s="93"/>
      <c r="AE710" s="85"/>
    </row>
    <row r="711" spans="7:31" x14ac:dyDescent="0.35">
      <c r="G711" s="85"/>
      <c r="H711" s="87"/>
      <c r="I711" s="94"/>
      <c r="J711" s="93"/>
      <c r="K711" s="85"/>
      <c r="M711" s="94"/>
      <c r="N711" s="93"/>
      <c r="O711" s="85"/>
      <c r="Q711" s="94"/>
      <c r="R711" s="93"/>
      <c r="S711" s="85"/>
      <c r="U711" s="94"/>
      <c r="V711" s="93"/>
      <c r="W711" s="85"/>
      <c r="Y711" s="94"/>
      <c r="Z711" s="93"/>
      <c r="AA711" s="85"/>
      <c r="AC711" s="94"/>
      <c r="AD711" s="93"/>
      <c r="AE711" s="85"/>
    </row>
    <row r="712" spans="7:31" x14ac:dyDescent="0.35">
      <c r="G712" s="85"/>
      <c r="H712" s="87"/>
      <c r="I712" s="94"/>
      <c r="J712" s="93"/>
      <c r="K712" s="85"/>
      <c r="M712" s="94"/>
      <c r="N712" s="93"/>
      <c r="O712" s="85"/>
      <c r="Q712" s="94"/>
      <c r="R712" s="93"/>
      <c r="S712" s="85"/>
      <c r="U712" s="94"/>
      <c r="V712" s="93"/>
      <c r="W712" s="85"/>
      <c r="Y712" s="94"/>
      <c r="Z712" s="93"/>
      <c r="AA712" s="85"/>
      <c r="AC712" s="94"/>
      <c r="AD712" s="93"/>
      <c r="AE712" s="85"/>
    </row>
    <row r="713" spans="7:31" x14ac:dyDescent="0.35">
      <c r="G713" s="85"/>
      <c r="H713" s="87"/>
      <c r="I713" s="94"/>
      <c r="J713" s="93"/>
      <c r="K713" s="85"/>
      <c r="M713" s="94"/>
      <c r="N713" s="93"/>
      <c r="O713" s="85"/>
      <c r="Q713" s="94"/>
      <c r="R713" s="93"/>
      <c r="S713" s="85"/>
      <c r="U713" s="94"/>
      <c r="V713" s="93"/>
      <c r="W713" s="85"/>
      <c r="Y713" s="94"/>
      <c r="Z713" s="93"/>
      <c r="AA713" s="85"/>
      <c r="AC713" s="94"/>
      <c r="AD713" s="93"/>
      <c r="AE713" s="85"/>
    </row>
    <row r="714" spans="7:31" x14ac:dyDescent="0.35">
      <c r="G714" s="85"/>
      <c r="H714" s="87"/>
      <c r="I714" s="94"/>
      <c r="J714" s="93"/>
      <c r="K714" s="85"/>
      <c r="M714" s="94"/>
      <c r="N714" s="93"/>
      <c r="O714" s="85"/>
      <c r="Q714" s="94"/>
      <c r="R714" s="93"/>
      <c r="S714" s="85"/>
      <c r="U714" s="94"/>
      <c r="V714" s="93"/>
      <c r="W714" s="85"/>
      <c r="Y714" s="94"/>
      <c r="Z714" s="93"/>
      <c r="AA714" s="85"/>
      <c r="AC714" s="94"/>
      <c r="AD714" s="93"/>
      <c r="AE714" s="85"/>
    </row>
    <row r="715" spans="7:31" x14ac:dyDescent="0.35">
      <c r="G715" s="85"/>
      <c r="H715" s="87"/>
      <c r="I715" s="94"/>
      <c r="J715" s="93"/>
      <c r="K715" s="85"/>
      <c r="M715" s="94"/>
      <c r="N715" s="93"/>
      <c r="O715" s="85"/>
      <c r="Q715" s="94"/>
      <c r="R715" s="93"/>
      <c r="S715" s="85"/>
      <c r="U715" s="94"/>
      <c r="V715" s="93"/>
      <c r="W715" s="85"/>
      <c r="Y715" s="94"/>
      <c r="Z715" s="93"/>
      <c r="AA715" s="85"/>
      <c r="AC715" s="94"/>
      <c r="AD715" s="93"/>
      <c r="AE715" s="85"/>
    </row>
    <row r="716" spans="7:31" x14ac:dyDescent="0.35">
      <c r="G716" s="85"/>
      <c r="H716" s="87"/>
      <c r="I716" s="94"/>
      <c r="J716" s="93"/>
      <c r="K716" s="85"/>
      <c r="M716" s="94"/>
      <c r="N716" s="93"/>
      <c r="O716" s="85"/>
      <c r="Q716" s="94"/>
      <c r="R716" s="93"/>
      <c r="S716" s="85"/>
      <c r="U716" s="94"/>
      <c r="V716" s="93"/>
      <c r="W716" s="85"/>
      <c r="Y716" s="94"/>
      <c r="Z716" s="93"/>
      <c r="AA716" s="85"/>
      <c r="AC716" s="94"/>
      <c r="AD716" s="93"/>
      <c r="AE716" s="85"/>
    </row>
    <row r="717" spans="7:31" x14ac:dyDescent="0.35">
      <c r="G717" s="85"/>
      <c r="H717" s="87"/>
      <c r="I717" s="94"/>
      <c r="J717" s="93"/>
      <c r="K717" s="85"/>
      <c r="M717" s="94"/>
      <c r="N717" s="93"/>
      <c r="O717" s="85"/>
      <c r="Q717" s="94"/>
      <c r="R717" s="93"/>
      <c r="S717" s="85"/>
      <c r="U717" s="94"/>
      <c r="V717" s="93"/>
      <c r="W717" s="85"/>
      <c r="Y717" s="94"/>
      <c r="Z717" s="93"/>
      <c r="AA717" s="85"/>
      <c r="AC717" s="94"/>
      <c r="AD717" s="93"/>
      <c r="AE717" s="85"/>
    </row>
    <row r="718" spans="7:31" x14ac:dyDescent="0.35">
      <c r="G718" s="85"/>
      <c r="H718" s="87"/>
      <c r="I718" s="94"/>
      <c r="J718" s="93"/>
      <c r="K718" s="85"/>
      <c r="M718" s="94"/>
      <c r="N718" s="93"/>
      <c r="O718" s="85"/>
      <c r="Q718" s="94"/>
      <c r="R718" s="93"/>
      <c r="S718" s="85"/>
      <c r="U718" s="94"/>
      <c r="V718" s="93"/>
      <c r="W718" s="85"/>
      <c r="Y718" s="94"/>
      <c r="Z718" s="93"/>
      <c r="AA718" s="85"/>
      <c r="AC718" s="94"/>
      <c r="AD718" s="93"/>
      <c r="AE718" s="85"/>
    </row>
    <row r="719" spans="7:31" x14ac:dyDescent="0.35">
      <c r="G719" s="85"/>
      <c r="H719" s="87"/>
      <c r="I719" s="94"/>
      <c r="J719" s="93"/>
      <c r="K719" s="85"/>
      <c r="M719" s="94"/>
      <c r="N719" s="93"/>
      <c r="O719" s="85"/>
      <c r="Q719" s="94"/>
      <c r="R719" s="93"/>
      <c r="S719" s="85"/>
      <c r="U719" s="94"/>
      <c r="V719" s="93"/>
      <c r="W719" s="85"/>
      <c r="Y719" s="94"/>
      <c r="Z719" s="93"/>
      <c r="AA719" s="85"/>
      <c r="AC719" s="94"/>
      <c r="AD719" s="93"/>
      <c r="AE719" s="85"/>
    </row>
    <row r="720" spans="7:31" x14ac:dyDescent="0.35">
      <c r="G720" s="85"/>
      <c r="H720" s="87"/>
      <c r="I720" s="94"/>
      <c r="J720" s="93"/>
      <c r="K720" s="85"/>
      <c r="M720" s="94"/>
      <c r="N720" s="93"/>
      <c r="O720" s="85"/>
      <c r="Q720" s="94"/>
      <c r="R720" s="93"/>
      <c r="S720" s="85"/>
      <c r="U720" s="94"/>
      <c r="V720" s="93"/>
      <c r="W720" s="85"/>
      <c r="Y720" s="94"/>
      <c r="Z720" s="93"/>
      <c r="AA720" s="85"/>
      <c r="AC720" s="94"/>
      <c r="AD720" s="93"/>
      <c r="AE720" s="85"/>
    </row>
    <row r="721" spans="7:31" x14ac:dyDescent="0.35">
      <c r="G721" s="85"/>
      <c r="H721" s="87"/>
      <c r="I721" s="94"/>
      <c r="J721" s="93"/>
      <c r="K721" s="85"/>
      <c r="M721" s="94"/>
      <c r="N721" s="93"/>
      <c r="O721" s="85"/>
      <c r="Q721" s="94"/>
      <c r="R721" s="93"/>
      <c r="S721" s="85"/>
      <c r="U721" s="94"/>
      <c r="V721" s="93"/>
      <c r="W721" s="85"/>
      <c r="Y721" s="94"/>
      <c r="Z721" s="93"/>
      <c r="AA721" s="85"/>
      <c r="AC721" s="94"/>
      <c r="AD721" s="93"/>
      <c r="AE721" s="85"/>
    </row>
    <row r="722" spans="7:31" x14ac:dyDescent="0.35">
      <c r="G722" s="85"/>
      <c r="H722" s="87"/>
      <c r="I722" s="94"/>
      <c r="J722" s="93"/>
      <c r="K722" s="85"/>
      <c r="M722" s="94"/>
      <c r="N722" s="93"/>
      <c r="O722" s="85"/>
      <c r="Q722" s="94"/>
      <c r="R722" s="93"/>
      <c r="S722" s="85"/>
      <c r="U722" s="94"/>
      <c r="V722" s="93"/>
      <c r="W722" s="85"/>
      <c r="Y722" s="94"/>
      <c r="Z722" s="93"/>
      <c r="AA722" s="85"/>
      <c r="AC722" s="94"/>
      <c r="AD722" s="93"/>
      <c r="AE722" s="85"/>
    </row>
    <row r="723" spans="7:31" x14ac:dyDescent="0.35">
      <c r="G723" s="85"/>
      <c r="H723" s="87"/>
      <c r="I723" s="94"/>
      <c r="J723" s="93"/>
      <c r="K723" s="85"/>
      <c r="M723" s="94"/>
      <c r="N723" s="93"/>
      <c r="O723" s="85"/>
      <c r="Q723" s="94"/>
      <c r="R723" s="93"/>
      <c r="S723" s="85"/>
      <c r="U723" s="94"/>
      <c r="V723" s="93"/>
      <c r="W723" s="85"/>
      <c r="Y723" s="94"/>
      <c r="Z723" s="93"/>
      <c r="AA723" s="85"/>
      <c r="AC723" s="94"/>
      <c r="AD723" s="93"/>
      <c r="AE723" s="85"/>
    </row>
    <row r="724" spans="7:31" x14ac:dyDescent="0.35">
      <c r="G724" s="85"/>
      <c r="H724" s="87"/>
      <c r="I724" s="94"/>
      <c r="J724" s="93"/>
      <c r="K724" s="85"/>
      <c r="M724" s="94"/>
      <c r="N724" s="93"/>
      <c r="O724" s="85"/>
      <c r="Q724" s="94"/>
      <c r="R724" s="93"/>
      <c r="S724" s="85"/>
      <c r="U724" s="94"/>
      <c r="V724" s="93"/>
      <c r="W724" s="85"/>
      <c r="Y724" s="94"/>
      <c r="Z724" s="93"/>
      <c r="AA724" s="85"/>
      <c r="AC724" s="94"/>
      <c r="AD724" s="93"/>
      <c r="AE724" s="85"/>
    </row>
    <row r="725" spans="7:31" x14ac:dyDescent="0.35">
      <c r="G725" s="85"/>
      <c r="H725" s="87"/>
      <c r="I725" s="94"/>
      <c r="J725" s="93"/>
      <c r="K725" s="85"/>
      <c r="M725" s="94"/>
      <c r="N725" s="93"/>
      <c r="O725" s="85"/>
      <c r="Q725" s="94"/>
      <c r="R725" s="93"/>
      <c r="S725" s="85"/>
      <c r="U725" s="94"/>
      <c r="V725" s="93"/>
      <c r="W725" s="85"/>
      <c r="Y725" s="94"/>
      <c r="Z725" s="93"/>
      <c r="AA725" s="85"/>
      <c r="AC725" s="94"/>
      <c r="AD725" s="93"/>
      <c r="AE725" s="85"/>
    </row>
    <row r="726" spans="7:31" x14ac:dyDescent="0.35">
      <c r="G726" s="85"/>
      <c r="H726" s="87"/>
      <c r="I726" s="94"/>
      <c r="J726" s="93"/>
      <c r="K726" s="85"/>
      <c r="M726" s="94"/>
      <c r="N726" s="93"/>
      <c r="O726" s="85"/>
      <c r="Q726" s="94"/>
      <c r="R726" s="93"/>
      <c r="S726" s="85"/>
      <c r="U726" s="94"/>
      <c r="V726" s="93"/>
      <c r="W726" s="85"/>
      <c r="Y726" s="94"/>
      <c r="Z726" s="93"/>
      <c r="AA726" s="85"/>
      <c r="AC726" s="94"/>
      <c r="AD726" s="93"/>
      <c r="AE726" s="85"/>
    </row>
    <row r="727" spans="7:31" x14ac:dyDescent="0.35">
      <c r="G727" s="85"/>
      <c r="H727" s="87"/>
      <c r="I727" s="94"/>
      <c r="J727" s="93"/>
      <c r="K727" s="85"/>
      <c r="M727" s="94"/>
      <c r="N727" s="93"/>
      <c r="O727" s="85"/>
      <c r="Q727" s="94"/>
      <c r="R727" s="93"/>
      <c r="S727" s="85"/>
      <c r="U727" s="94"/>
      <c r="V727" s="93"/>
      <c r="W727" s="85"/>
      <c r="Y727" s="94"/>
      <c r="Z727" s="93"/>
      <c r="AA727" s="85"/>
      <c r="AC727" s="94"/>
      <c r="AD727" s="93"/>
      <c r="AE727" s="85"/>
    </row>
    <row r="728" spans="7:31" x14ac:dyDescent="0.35">
      <c r="G728" s="85"/>
      <c r="H728" s="87"/>
      <c r="I728" s="94"/>
      <c r="J728" s="93"/>
      <c r="K728" s="85"/>
      <c r="M728" s="94"/>
      <c r="N728" s="93"/>
      <c r="O728" s="85"/>
      <c r="Q728" s="94"/>
      <c r="R728" s="93"/>
      <c r="S728" s="85"/>
      <c r="U728" s="94"/>
      <c r="V728" s="93"/>
      <c r="W728" s="85"/>
      <c r="Y728" s="94"/>
      <c r="Z728" s="93"/>
      <c r="AA728" s="85"/>
      <c r="AC728" s="94"/>
      <c r="AD728" s="93"/>
      <c r="AE728" s="85"/>
    </row>
    <row r="729" spans="7:31" x14ac:dyDescent="0.35">
      <c r="G729" s="85"/>
      <c r="H729" s="87"/>
      <c r="I729" s="94"/>
      <c r="J729" s="93"/>
      <c r="K729" s="85"/>
      <c r="M729" s="94"/>
      <c r="N729" s="93"/>
      <c r="O729" s="85"/>
      <c r="Q729" s="94"/>
      <c r="R729" s="93"/>
      <c r="S729" s="85"/>
      <c r="U729" s="94"/>
      <c r="V729" s="93"/>
      <c r="W729" s="85"/>
      <c r="Y729" s="94"/>
      <c r="Z729" s="93"/>
      <c r="AA729" s="85"/>
      <c r="AC729" s="94"/>
      <c r="AD729" s="93"/>
      <c r="AE729" s="85"/>
    </row>
    <row r="730" spans="7:31" x14ac:dyDescent="0.35">
      <c r="G730" s="85"/>
      <c r="H730" s="87"/>
      <c r="I730" s="94"/>
      <c r="J730" s="93"/>
      <c r="K730" s="85"/>
      <c r="M730" s="94"/>
      <c r="N730" s="93"/>
      <c r="O730" s="85"/>
      <c r="Q730" s="94"/>
      <c r="R730" s="93"/>
      <c r="S730" s="85"/>
      <c r="U730" s="94"/>
      <c r="V730" s="93"/>
      <c r="W730" s="85"/>
      <c r="Y730" s="94"/>
      <c r="Z730" s="93"/>
      <c r="AA730" s="85"/>
      <c r="AC730" s="94"/>
      <c r="AD730" s="93"/>
      <c r="AE730" s="85"/>
    </row>
    <row r="731" spans="7:31" x14ac:dyDescent="0.35">
      <c r="G731" s="85"/>
      <c r="H731" s="87"/>
      <c r="I731" s="94"/>
      <c r="J731" s="93"/>
      <c r="K731" s="85"/>
      <c r="M731" s="94"/>
      <c r="N731" s="93"/>
      <c r="O731" s="85"/>
      <c r="Q731" s="94"/>
      <c r="R731" s="93"/>
      <c r="S731" s="85"/>
      <c r="U731" s="94"/>
      <c r="V731" s="93"/>
      <c r="W731" s="85"/>
      <c r="Y731" s="94"/>
      <c r="Z731" s="93"/>
      <c r="AA731" s="85"/>
      <c r="AC731" s="94"/>
      <c r="AD731" s="93"/>
      <c r="AE731" s="85"/>
    </row>
    <row r="732" spans="7:31" x14ac:dyDescent="0.35">
      <c r="G732" s="85"/>
      <c r="H732" s="87"/>
      <c r="I732" s="94"/>
      <c r="J732" s="93"/>
      <c r="K732" s="85"/>
      <c r="M732" s="94"/>
      <c r="N732" s="93"/>
      <c r="O732" s="85"/>
      <c r="Q732" s="94"/>
      <c r="R732" s="93"/>
      <c r="S732" s="85"/>
      <c r="U732" s="94"/>
      <c r="V732" s="93"/>
      <c r="W732" s="85"/>
      <c r="Y732" s="94"/>
      <c r="Z732" s="93"/>
      <c r="AA732" s="85"/>
      <c r="AC732" s="94"/>
      <c r="AD732" s="93"/>
      <c r="AE732" s="85"/>
    </row>
    <row r="733" spans="7:31" x14ac:dyDescent="0.35">
      <c r="G733" s="85"/>
      <c r="H733" s="87"/>
      <c r="I733" s="94"/>
      <c r="J733" s="93"/>
      <c r="K733" s="85"/>
      <c r="M733" s="94"/>
      <c r="N733" s="93"/>
      <c r="O733" s="85"/>
      <c r="Q733" s="94"/>
      <c r="R733" s="93"/>
      <c r="S733" s="85"/>
      <c r="U733" s="94"/>
      <c r="V733" s="93"/>
      <c r="W733" s="85"/>
      <c r="Y733" s="94"/>
      <c r="Z733" s="93"/>
      <c r="AA733" s="85"/>
      <c r="AC733" s="94"/>
      <c r="AD733" s="93"/>
      <c r="AE733" s="85"/>
    </row>
    <row r="734" spans="7:31" x14ac:dyDescent="0.35">
      <c r="G734" s="85"/>
      <c r="H734" s="87"/>
      <c r="I734" s="94"/>
      <c r="J734" s="93"/>
      <c r="K734" s="85"/>
      <c r="M734" s="94"/>
      <c r="N734" s="93"/>
      <c r="O734" s="85"/>
      <c r="Q734" s="94"/>
      <c r="R734" s="93"/>
      <c r="S734" s="85"/>
      <c r="U734" s="94"/>
      <c r="V734" s="93"/>
      <c r="W734" s="85"/>
      <c r="Y734" s="94"/>
      <c r="Z734" s="93"/>
      <c r="AA734" s="85"/>
      <c r="AC734" s="94"/>
      <c r="AD734" s="93"/>
      <c r="AE734" s="85"/>
    </row>
    <row r="735" spans="7:31" x14ac:dyDescent="0.35">
      <c r="G735" s="85"/>
      <c r="H735" s="87"/>
      <c r="I735" s="94"/>
      <c r="J735" s="93"/>
      <c r="K735" s="85"/>
      <c r="M735" s="94"/>
      <c r="N735" s="93"/>
      <c r="O735" s="85"/>
      <c r="Q735" s="94"/>
      <c r="R735" s="93"/>
      <c r="S735" s="85"/>
      <c r="U735" s="94"/>
      <c r="V735" s="93"/>
      <c r="W735" s="85"/>
      <c r="Y735" s="94"/>
      <c r="Z735" s="93"/>
      <c r="AA735" s="85"/>
      <c r="AC735" s="94"/>
      <c r="AD735" s="93"/>
      <c r="AE735" s="85"/>
    </row>
    <row r="736" spans="7:31" x14ac:dyDescent="0.35">
      <c r="G736" s="85"/>
      <c r="H736" s="87"/>
      <c r="I736" s="94"/>
      <c r="J736" s="93"/>
      <c r="K736" s="85"/>
      <c r="M736" s="94"/>
      <c r="N736" s="93"/>
      <c r="O736" s="85"/>
      <c r="Q736" s="94"/>
      <c r="R736" s="93"/>
      <c r="S736" s="85"/>
      <c r="U736" s="94"/>
      <c r="V736" s="93"/>
      <c r="W736" s="85"/>
      <c r="Y736" s="94"/>
      <c r="Z736" s="93"/>
      <c r="AA736" s="85"/>
      <c r="AC736" s="94"/>
      <c r="AD736" s="93"/>
      <c r="AE736" s="85"/>
    </row>
    <row r="737" spans="7:31" x14ac:dyDescent="0.35">
      <c r="G737" s="85"/>
      <c r="H737" s="87"/>
      <c r="I737" s="94"/>
      <c r="J737" s="93"/>
      <c r="K737" s="85"/>
      <c r="M737" s="94"/>
      <c r="N737" s="93"/>
      <c r="O737" s="85"/>
      <c r="Q737" s="94"/>
      <c r="R737" s="93"/>
      <c r="S737" s="85"/>
      <c r="U737" s="94"/>
      <c r="V737" s="93"/>
      <c r="W737" s="85"/>
      <c r="Y737" s="94"/>
      <c r="Z737" s="93"/>
      <c r="AA737" s="85"/>
      <c r="AC737" s="94"/>
      <c r="AD737" s="93"/>
      <c r="AE737" s="85"/>
    </row>
    <row r="738" spans="7:31" x14ac:dyDescent="0.35">
      <c r="G738" s="85"/>
      <c r="H738" s="87"/>
      <c r="I738" s="94"/>
      <c r="J738" s="93"/>
      <c r="K738" s="85"/>
      <c r="M738" s="94"/>
      <c r="N738" s="93"/>
      <c r="O738" s="85"/>
      <c r="Q738" s="94"/>
      <c r="R738" s="93"/>
      <c r="S738" s="85"/>
      <c r="U738" s="94"/>
      <c r="V738" s="93"/>
      <c r="W738" s="85"/>
      <c r="Y738" s="94"/>
      <c r="Z738" s="93"/>
      <c r="AA738" s="85"/>
      <c r="AC738" s="94"/>
      <c r="AD738" s="93"/>
      <c r="AE738" s="85"/>
    </row>
    <row r="739" spans="7:31" x14ac:dyDescent="0.35">
      <c r="G739" s="85"/>
      <c r="H739" s="87"/>
      <c r="I739" s="94"/>
      <c r="J739" s="93"/>
      <c r="K739" s="85"/>
      <c r="M739" s="94"/>
      <c r="N739" s="93"/>
      <c r="O739" s="85"/>
      <c r="Q739" s="94"/>
      <c r="R739" s="93"/>
      <c r="S739" s="85"/>
      <c r="U739" s="94"/>
      <c r="V739" s="93"/>
      <c r="W739" s="85"/>
      <c r="Y739" s="94"/>
      <c r="Z739" s="93"/>
      <c r="AA739" s="85"/>
      <c r="AC739" s="94"/>
      <c r="AD739" s="93"/>
      <c r="AE739" s="85"/>
    </row>
    <row r="740" spans="7:31" x14ac:dyDescent="0.35">
      <c r="G740" s="85"/>
      <c r="H740" s="87"/>
      <c r="I740" s="94"/>
      <c r="J740" s="93"/>
      <c r="K740" s="85"/>
      <c r="M740" s="94"/>
      <c r="N740" s="93"/>
      <c r="O740" s="85"/>
      <c r="Q740" s="94"/>
      <c r="R740" s="93"/>
      <c r="S740" s="85"/>
      <c r="U740" s="94"/>
      <c r="V740" s="93"/>
      <c r="W740" s="85"/>
      <c r="Y740" s="94"/>
      <c r="Z740" s="93"/>
      <c r="AA740" s="85"/>
      <c r="AC740" s="94"/>
      <c r="AD740" s="93"/>
      <c r="AE740" s="85"/>
    </row>
    <row r="741" spans="7:31" x14ac:dyDescent="0.35">
      <c r="G741" s="85"/>
      <c r="H741" s="87"/>
      <c r="I741" s="94"/>
      <c r="J741" s="93"/>
      <c r="K741" s="85"/>
      <c r="M741" s="94"/>
      <c r="N741" s="93"/>
      <c r="O741" s="85"/>
      <c r="Q741" s="94"/>
      <c r="R741" s="93"/>
      <c r="S741" s="85"/>
      <c r="U741" s="94"/>
      <c r="V741" s="93"/>
      <c r="W741" s="85"/>
      <c r="Y741" s="94"/>
      <c r="Z741" s="93"/>
      <c r="AA741" s="85"/>
      <c r="AC741" s="94"/>
      <c r="AD741" s="93"/>
      <c r="AE741" s="85"/>
    </row>
    <row r="742" spans="7:31" x14ac:dyDescent="0.35">
      <c r="G742" s="85"/>
      <c r="H742" s="87"/>
      <c r="I742" s="94"/>
      <c r="J742" s="93"/>
      <c r="K742" s="85"/>
      <c r="M742" s="94"/>
      <c r="N742" s="93"/>
      <c r="O742" s="85"/>
      <c r="Q742" s="94"/>
      <c r="R742" s="93"/>
      <c r="S742" s="85"/>
      <c r="U742" s="94"/>
      <c r="V742" s="93"/>
      <c r="W742" s="85"/>
      <c r="Y742" s="94"/>
      <c r="Z742" s="93"/>
      <c r="AA742" s="85"/>
      <c r="AC742" s="94"/>
      <c r="AD742" s="93"/>
      <c r="AE742" s="85"/>
    </row>
    <row r="743" spans="7:31" x14ac:dyDescent="0.35">
      <c r="G743" s="85"/>
      <c r="H743" s="87"/>
      <c r="I743" s="94"/>
      <c r="J743" s="93"/>
      <c r="K743" s="85"/>
      <c r="M743" s="94"/>
      <c r="N743" s="93"/>
      <c r="O743" s="85"/>
      <c r="Q743" s="94"/>
      <c r="R743" s="93"/>
      <c r="S743" s="85"/>
      <c r="U743" s="94"/>
      <c r="V743" s="93"/>
      <c r="W743" s="85"/>
      <c r="Y743" s="94"/>
      <c r="Z743" s="93"/>
      <c r="AA743" s="85"/>
      <c r="AC743" s="94"/>
      <c r="AD743" s="93"/>
      <c r="AE743" s="85"/>
    </row>
    <row r="744" spans="7:31" x14ac:dyDescent="0.35">
      <c r="G744" s="85"/>
      <c r="H744" s="87"/>
      <c r="I744" s="94"/>
      <c r="J744" s="93"/>
      <c r="K744" s="85"/>
      <c r="M744" s="94"/>
      <c r="N744" s="93"/>
      <c r="O744" s="85"/>
      <c r="Q744" s="94"/>
      <c r="R744" s="93"/>
      <c r="S744" s="85"/>
      <c r="U744" s="94"/>
      <c r="V744" s="93"/>
      <c r="W744" s="85"/>
      <c r="Y744" s="94"/>
      <c r="Z744" s="93"/>
      <c r="AA744" s="85"/>
      <c r="AC744" s="94"/>
      <c r="AD744" s="93"/>
      <c r="AE744" s="85"/>
    </row>
    <row r="745" spans="7:31" x14ac:dyDescent="0.35">
      <c r="G745" s="85"/>
      <c r="H745" s="87"/>
      <c r="I745" s="94"/>
      <c r="J745" s="93"/>
      <c r="K745" s="85"/>
      <c r="M745" s="94"/>
      <c r="N745" s="93"/>
      <c r="O745" s="85"/>
      <c r="Q745" s="94"/>
      <c r="R745" s="93"/>
      <c r="S745" s="85"/>
      <c r="U745" s="94"/>
      <c r="V745" s="93"/>
      <c r="W745" s="85"/>
      <c r="Y745" s="94"/>
      <c r="Z745" s="93"/>
      <c r="AA745" s="85"/>
      <c r="AC745" s="94"/>
      <c r="AD745" s="93"/>
      <c r="AE745" s="85"/>
    </row>
    <row r="746" spans="7:31" x14ac:dyDescent="0.35">
      <c r="G746" s="85"/>
      <c r="H746" s="87"/>
      <c r="I746" s="94"/>
      <c r="J746" s="93"/>
      <c r="K746" s="85"/>
      <c r="M746" s="94"/>
      <c r="N746" s="93"/>
      <c r="O746" s="85"/>
      <c r="Q746" s="94"/>
      <c r="R746" s="93"/>
      <c r="S746" s="85"/>
      <c r="U746" s="94"/>
      <c r="V746" s="93"/>
      <c r="W746" s="85"/>
      <c r="Y746" s="94"/>
      <c r="Z746" s="93"/>
      <c r="AA746" s="85"/>
      <c r="AC746" s="94"/>
      <c r="AD746" s="93"/>
      <c r="AE746" s="85"/>
    </row>
    <row r="747" spans="7:31" x14ac:dyDescent="0.35">
      <c r="G747" s="85"/>
      <c r="H747" s="87"/>
      <c r="I747" s="94"/>
      <c r="J747" s="93"/>
      <c r="K747" s="85"/>
      <c r="M747" s="94"/>
      <c r="N747" s="93"/>
      <c r="O747" s="85"/>
      <c r="Q747" s="94"/>
      <c r="R747" s="93"/>
      <c r="S747" s="85"/>
      <c r="U747" s="94"/>
      <c r="V747" s="93"/>
      <c r="W747" s="85"/>
      <c r="Y747" s="94"/>
      <c r="Z747" s="93"/>
      <c r="AA747" s="85"/>
      <c r="AC747" s="94"/>
      <c r="AD747" s="93"/>
      <c r="AE747" s="85"/>
    </row>
    <row r="748" spans="7:31" x14ac:dyDescent="0.35">
      <c r="G748" s="85"/>
      <c r="H748" s="87"/>
      <c r="I748" s="94"/>
      <c r="J748" s="93"/>
      <c r="K748" s="85"/>
      <c r="M748" s="94"/>
      <c r="N748" s="93"/>
      <c r="O748" s="85"/>
      <c r="Q748" s="94"/>
      <c r="R748" s="93"/>
      <c r="S748" s="85"/>
      <c r="U748" s="94"/>
      <c r="V748" s="93"/>
      <c r="W748" s="85"/>
      <c r="Y748" s="94"/>
      <c r="Z748" s="93"/>
      <c r="AA748" s="85"/>
      <c r="AC748" s="94"/>
      <c r="AD748" s="93"/>
      <c r="AE748" s="85"/>
    </row>
    <row r="749" spans="7:31" x14ac:dyDescent="0.35">
      <c r="G749" s="85"/>
      <c r="H749" s="87"/>
      <c r="I749" s="94"/>
      <c r="J749" s="93"/>
      <c r="K749" s="85"/>
      <c r="M749" s="94"/>
      <c r="N749" s="93"/>
      <c r="O749" s="85"/>
      <c r="Q749" s="94"/>
      <c r="R749" s="93"/>
      <c r="S749" s="85"/>
      <c r="U749" s="94"/>
      <c r="V749" s="93"/>
      <c r="W749" s="85"/>
      <c r="Y749" s="94"/>
      <c r="Z749" s="93"/>
      <c r="AA749" s="85"/>
      <c r="AC749" s="94"/>
      <c r="AD749" s="93"/>
      <c r="AE749" s="85"/>
    </row>
    <row r="750" spans="7:31" x14ac:dyDescent="0.35">
      <c r="G750" s="85"/>
      <c r="H750" s="87"/>
      <c r="I750" s="94"/>
      <c r="J750" s="93"/>
      <c r="K750" s="85"/>
      <c r="M750" s="94"/>
      <c r="N750" s="93"/>
      <c r="O750" s="85"/>
      <c r="Q750" s="94"/>
      <c r="R750" s="93"/>
      <c r="S750" s="85"/>
      <c r="U750" s="94"/>
      <c r="V750" s="93"/>
      <c r="W750" s="85"/>
      <c r="Y750" s="94"/>
      <c r="Z750" s="93"/>
      <c r="AA750" s="85"/>
      <c r="AC750" s="94"/>
      <c r="AD750" s="93"/>
      <c r="AE750" s="85"/>
    </row>
    <row r="751" spans="7:31" x14ac:dyDescent="0.35">
      <c r="G751" s="85"/>
      <c r="H751" s="87"/>
      <c r="I751" s="94"/>
      <c r="J751" s="93"/>
      <c r="K751" s="85"/>
      <c r="M751" s="94"/>
      <c r="N751" s="93"/>
      <c r="O751" s="85"/>
      <c r="Q751" s="94"/>
      <c r="R751" s="93"/>
      <c r="S751" s="85"/>
      <c r="U751" s="94"/>
      <c r="V751" s="93"/>
      <c r="W751" s="85"/>
      <c r="Y751" s="94"/>
      <c r="Z751" s="93"/>
      <c r="AA751" s="85"/>
      <c r="AC751" s="94"/>
      <c r="AD751" s="93"/>
      <c r="AE751" s="85"/>
    </row>
    <row r="752" spans="7:31" x14ac:dyDescent="0.35">
      <c r="G752" s="85"/>
      <c r="H752" s="87"/>
      <c r="I752" s="94"/>
      <c r="J752" s="93"/>
      <c r="K752" s="85"/>
      <c r="M752" s="94"/>
      <c r="N752" s="93"/>
      <c r="O752" s="85"/>
      <c r="Q752" s="94"/>
      <c r="R752" s="93"/>
      <c r="S752" s="85"/>
      <c r="U752" s="94"/>
      <c r="V752" s="93"/>
      <c r="W752" s="85"/>
      <c r="Y752" s="94"/>
      <c r="Z752" s="93"/>
      <c r="AA752" s="85"/>
      <c r="AC752" s="94"/>
      <c r="AD752" s="93"/>
      <c r="AE752" s="85"/>
    </row>
    <row r="753" spans="7:31" x14ac:dyDescent="0.35">
      <c r="G753" s="85"/>
      <c r="H753" s="87"/>
      <c r="I753" s="94"/>
      <c r="J753" s="93"/>
      <c r="K753" s="85"/>
      <c r="M753" s="94"/>
      <c r="N753" s="93"/>
      <c r="O753" s="85"/>
      <c r="Q753" s="94"/>
      <c r="R753" s="93"/>
      <c r="S753" s="85"/>
      <c r="U753" s="94"/>
      <c r="V753" s="93"/>
      <c r="W753" s="85"/>
      <c r="Y753" s="94"/>
      <c r="Z753" s="93"/>
      <c r="AA753" s="85"/>
      <c r="AC753" s="94"/>
      <c r="AD753" s="93"/>
      <c r="AE753" s="85"/>
    </row>
    <row r="754" spans="7:31" x14ac:dyDescent="0.35">
      <c r="G754" s="85"/>
      <c r="H754" s="87"/>
      <c r="I754" s="94"/>
      <c r="J754" s="93"/>
      <c r="K754" s="85"/>
      <c r="M754" s="94"/>
      <c r="N754" s="93"/>
      <c r="O754" s="85"/>
      <c r="Q754" s="94"/>
      <c r="R754" s="93"/>
      <c r="S754" s="85"/>
      <c r="U754" s="94"/>
      <c r="V754" s="93"/>
      <c r="W754" s="85"/>
      <c r="Y754" s="94"/>
      <c r="Z754" s="93"/>
      <c r="AA754" s="85"/>
      <c r="AC754" s="94"/>
      <c r="AD754" s="93"/>
      <c r="AE754" s="85"/>
    </row>
    <row r="755" spans="7:31" x14ac:dyDescent="0.35">
      <c r="G755" s="85"/>
      <c r="H755" s="87"/>
      <c r="I755" s="94"/>
      <c r="J755" s="93"/>
      <c r="K755" s="85"/>
      <c r="M755" s="94"/>
      <c r="N755" s="93"/>
      <c r="O755" s="85"/>
      <c r="Q755" s="94"/>
      <c r="R755" s="93"/>
      <c r="S755" s="85"/>
      <c r="U755" s="94"/>
      <c r="V755" s="93"/>
      <c r="W755" s="85"/>
      <c r="Y755" s="94"/>
      <c r="Z755" s="93"/>
      <c r="AA755" s="85"/>
      <c r="AC755" s="94"/>
      <c r="AD755" s="93"/>
      <c r="AE755" s="85"/>
    </row>
    <row r="756" spans="7:31" x14ac:dyDescent="0.35">
      <c r="G756" s="85"/>
      <c r="H756" s="87"/>
      <c r="I756" s="94"/>
      <c r="J756" s="93"/>
      <c r="K756" s="85"/>
      <c r="M756" s="94"/>
      <c r="N756" s="93"/>
      <c r="O756" s="85"/>
      <c r="Q756" s="94"/>
      <c r="R756" s="93"/>
      <c r="S756" s="85"/>
      <c r="U756" s="94"/>
      <c r="V756" s="93"/>
      <c r="W756" s="85"/>
      <c r="Y756" s="94"/>
      <c r="Z756" s="93"/>
      <c r="AA756" s="85"/>
      <c r="AC756" s="94"/>
      <c r="AD756" s="93"/>
      <c r="AE756" s="85"/>
    </row>
    <row r="757" spans="7:31" x14ac:dyDescent="0.35">
      <c r="G757" s="85"/>
      <c r="H757" s="87"/>
      <c r="I757" s="94"/>
      <c r="J757" s="93"/>
      <c r="K757" s="85"/>
      <c r="M757" s="94"/>
      <c r="N757" s="93"/>
      <c r="O757" s="85"/>
      <c r="Q757" s="94"/>
      <c r="R757" s="93"/>
      <c r="S757" s="85"/>
      <c r="U757" s="94"/>
      <c r="V757" s="93"/>
      <c r="W757" s="85"/>
      <c r="Y757" s="94"/>
      <c r="Z757" s="93"/>
      <c r="AA757" s="85"/>
      <c r="AC757" s="94"/>
      <c r="AD757" s="93"/>
      <c r="AE757" s="85"/>
    </row>
    <row r="758" spans="7:31" x14ac:dyDescent="0.35">
      <c r="G758" s="85"/>
      <c r="H758" s="87"/>
      <c r="I758" s="94"/>
      <c r="J758" s="93"/>
      <c r="K758" s="85"/>
      <c r="M758" s="94"/>
      <c r="N758" s="93"/>
      <c r="O758" s="85"/>
      <c r="Q758" s="94"/>
      <c r="R758" s="93"/>
      <c r="S758" s="85"/>
      <c r="U758" s="94"/>
      <c r="V758" s="93"/>
      <c r="W758" s="85"/>
      <c r="Y758" s="94"/>
      <c r="Z758" s="93"/>
      <c r="AA758" s="85"/>
      <c r="AC758" s="94"/>
      <c r="AD758" s="93"/>
      <c r="AE758" s="85"/>
    </row>
    <row r="759" spans="7:31" x14ac:dyDescent="0.35">
      <c r="G759" s="85"/>
      <c r="H759" s="87"/>
      <c r="I759" s="94"/>
      <c r="J759" s="93"/>
      <c r="K759" s="85"/>
      <c r="M759" s="94"/>
      <c r="N759" s="93"/>
      <c r="O759" s="85"/>
      <c r="Q759" s="94"/>
      <c r="R759" s="93"/>
      <c r="S759" s="85"/>
      <c r="U759" s="94"/>
      <c r="V759" s="93"/>
      <c r="W759" s="85"/>
      <c r="Y759" s="94"/>
      <c r="Z759" s="93"/>
      <c r="AA759" s="85"/>
      <c r="AC759" s="94"/>
      <c r="AD759" s="93"/>
      <c r="AE759" s="85"/>
    </row>
    <row r="760" spans="7:31" x14ac:dyDescent="0.35">
      <c r="G760" s="85"/>
      <c r="H760" s="87"/>
      <c r="I760" s="94"/>
      <c r="J760" s="93"/>
      <c r="K760" s="85"/>
      <c r="M760" s="94"/>
      <c r="N760" s="93"/>
      <c r="O760" s="85"/>
      <c r="Q760" s="94"/>
      <c r="R760" s="93"/>
      <c r="S760" s="85"/>
      <c r="U760" s="94"/>
      <c r="V760" s="93"/>
      <c r="W760" s="85"/>
      <c r="Y760" s="94"/>
      <c r="Z760" s="93"/>
      <c r="AA760" s="85"/>
      <c r="AC760" s="94"/>
      <c r="AD760" s="93"/>
      <c r="AE760" s="85"/>
    </row>
    <row r="761" spans="7:31" x14ac:dyDescent="0.35">
      <c r="G761" s="85"/>
      <c r="H761" s="87"/>
      <c r="I761" s="94"/>
      <c r="J761" s="93"/>
      <c r="K761" s="85"/>
      <c r="M761" s="94"/>
      <c r="N761" s="93"/>
      <c r="O761" s="85"/>
      <c r="Q761" s="94"/>
      <c r="R761" s="93"/>
      <c r="S761" s="85"/>
      <c r="U761" s="94"/>
      <c r="V761" s="93"/>
      <c r="W761" s="85"/>
      <c r="Y761" s="94"/>
      <c r="Z761" s="93"/>
      <c r="AA761" s="85"/>
      <c r="AC761" s="94"/>
      <c r="AD761" s="93"/>
      <c r="AE761" s="85"/>
    </row>
    <row r="762" spans="7:31" x14ac:dyDescent="0.35">
      <c r="G762" s="85"/>
      <c r="H762" s="87"/>
      <c r="I762" s="94"/>
      <c r="J762" s="93"/>
      <c r="K762" s="85"/>
      <c r="M762" s="94"/>
      <c r="N762" s="93"/>
      <c r="O762" s="85"/>
      <c r="Q762" s="94"/>
      <c r="R762" s="93"/>
      <c r="S762" s="85"/>
      <c r="U762" s="94"/>
      <c r="V762" s="93"/>
      <c r="W762" s="85"/>
      <c r="Y762" s="94"/>
      <c r="Z762" s="93"/>
      <c r="AA762" s="85"/>
      <c r="AC762" s="94"/>
      <c r="AD762" s="93"/>
      <c r="AE762" s="85"/>
    </row>
    <row r="763" spans="7:31" x14ac:dyDescent="0.35">
      <c r="G763" s="85"/>
      <c r="H763" s="87"/>
      <c r="I763" s="94"/>
      <c r="J763" s="93"/>
      <c r="K763" s="85"/>
      <c r="M763" s="94"/>
      <c r="N763" s="93"/>
      <c r="O763" s="85"/>
      <c r="Q763" s="94"/>
      <c r="R763" s="93"/>
      <c r="S763" s="85"/>
      <c r="U763" s="94"/>
      <c r="V763" s="93"/>
      <c r="W763" s="85"/>
      <c r="Y763" s="94"/>
      <c r="Z763" s="93"/>
      <c r="AA763" s="85"/>
      <c r="AC763" s="94"/>
      <c r="AD763" s="93"/>
      <c r="AE763" s="85"/>
    </row>
    <row r="764" spans="7:31" x14ac:dyDescent="0.35">
      <c r="G764" s="85"/>
      <c r="H764" s="87"/>
      <c r="I764" s="94"/>
      <c r="J764" s="93"/>
      <c r="K764" s="85"/>
      <c r="M764" s="94"/>
      <c r="N764" s="93"/>
      <c r="O764" s="85"/>
      <c r="Q764" s="94"/>
      <c r="R764" s="93"/>
      <c r="S764" s="85"/>
      <c r="U764" s="94"/>
      <c r="V764" s="93"/>
      <c r="W764" s="85"/>
      <c r="Y764" s="94"/>
      <c r="Z764" s="93"/>
      <c r="AA764" s="85"/>
      <c r="AC764" s="94"/>
      <c r="AD764" s="93"/>
      <c r="AE764" s="85"/>
    </row>
    <row r="765" spans="7:31" x14ac:dyDescent="0.35">
      <c r="G765" s="85"/>
      <c r="H765" s="87"/>
      <c r="I765" s="94"/>
      <c r="J765" s="93"/>
      <c r="K765" s="85"/>
      <c r="M765" s="94"/>
      <c r="N765" s="93"/>
      <c r="O765" s="85"/>
      <c r="Q765" s="94"/>
      <c r="R765" s="93"/>
      <c r="S765" s="85"/>
      <c r="U765" s="94"/>
      <c r="V765" s="93"/>
      <c r="W765" s="85"/>
      <c r="Y765" s="94"/>
      <c r="Z765" s="93"/>
      <c r="AA765" s="85"/>
      <c r="AC765" s="94"/>
      <c r="AD765" s="93"/>
      <c r="AE765" s="85"/>
    </row>
    <row r="766" spans="7:31" x14ac:dyDescent="0.35">
      <c r="G766" s="85"/>
      <c r="H766" s="87"/>
      <c r="I766" s="94"/>
      <c r="J766" s="93"/>
      <c r="K766" s="85"/>
      <c r="M766" s="94"/>
      <c r="N766" s="93"/>
      <c r="O766" s="85"/>
      <c r="Q766" s="94"/>
      <c r="R766" s="93"/>
      <c r="S766" s="85"/>
      <c r="U766" s="94"/>
      <c r="V766" s="93"/>
      <c r="W766" s="85"/>
      <c r="Y766" s="94"/>
      <c r="Z766" s="93"/>
      <c r="AA766" s="85"/>
      <c r="AC766" s="94"/>
      <c r="AD766" s="93"/>
      <c r="AE766" s="85"/>
    </row>
    <row r="767" spans="7:31" x14ac:dyDescent="0.35">
      <c r="G767" s="85"/>
      <c r="H767" s="87"/>
      <c r="I767" s="94"/>
      <c r="J767" s="93"/>
      <c r="K767" s="85"/>
      <c r="M767" s="94"/>
      <c r="N767" s="93"/>
      <c r="O767" s="85"/>
      <c r="Q767" s="94"/>
      <c r="R767" s="93"/>
      <c r="S767" s="85"/>
      <c r="U767" s="94"/>
      <c r="V767" s="93"/>
      <c r="W767" s="85"/>
      <c r="Y767" s="94"/>
      <c r="Z767" s="93"/>
      <c r="AA767" s="85"/>
      <c r="AC767" s="94"/>
      <c r="AD767" s="93"/>
      <c r="AE767" s="85"/>
    </row>
    <row r="768" spans="7:31" x14ac:dyDescent="0.35">
      <c r="G768" s="85"/>
      <c r="H768" s="87"/>
      <c r="I768" s="94"/>
      <c r="J768" s="93"/>
      <c r="K768" s="85"/>
      <c r="M768" s="94"/>
      <c r="N768" s="93"/>
      <c r="O768" s="85"/>
      <c r="Q768" s="94"/>
      <c r="R768" s="93"/>
      <c r="S768" s="85"/>
      <c r="U768" s="94"/>
      <c r="V768" s="93"/>
      <c r="W768" s="85"/>
      <c r="Y768" s="94"/>
      <c r="Z768" s="93"/>
      <c r="AA768" s="85"/>
      <c r="AC768" s="94"/>
      <c r="AD768" s="93"/>
      <c r="AE768" s="85"/>
    </row>
    <row r="769" spans="7:31" x14ac:dyDescent="0.35">
      <c r="G769" s="85"/>
      <c r="H769" s="87"/>
      <c r="I769" s="94"/>
      <c r="J769" s="93"/>
      <c r="K769" s="85"/>
      <c r="M769" s="94"/>
      <c r="N769" s="93"/>
      <c r="O769" s="85"/>
      <c r="Q769" s="94"/>
      <c r="R769" s="93"/>
      <c r="S769" s="85"/>
      <c r="U769" s="94"/>
      <c r="V769" s="93"/>
      <c r="W769" s="85"/>
      <c r="Y769" s="94"/>
      <c r="Z769" s="93"/>
      <c r="AA769" s="85"/>
      <c r="AC769" s="94"/>
      <c r="AD769" s="93"/>
      <c r="AE769" s="85"/>
    </row>
    <row r="770" spans="7:31" x14ac:dyDescent="0.35">
      <c r="G770" s="85"/>
      <c r="H770" s="87"/>
      <c r="I770" s="94"/>
      <c r="J770" s="93"/>
      <c r="K770" s="85"/>
      <c r="M770" s="94"/>
      <c r="N770" s="93"/>
      <c r="O770" s="85"/>
      <c r="Q770" s="94"/>
      <c r="R770" s="93"/>
      <c r="S770" s="85"/>
      <c r="U770" s="94"/>
      <c r="V770" s="93"/>
      <c r="W770" s="85"/>
      <c r="Y770" s="94"/>
      <c r="Z770" s="93"/>
      <c r="AA770" s="85"/>
      <c r="AC770" s="94"/>
      <c r="AD770" s="93"/>
      <c r="AE770" s="85"/>
    </row>
    <row r="771" spans="7:31" x14ac:dyDescent="0.35">
      <c r="G771" s="85"/>
      <c r="H771" s="87"/>
      <c r="I771" s="94"/>
      <c r="J771" s="93"/>
      <c r="K771" s="85"/>
      <c r="M771" s="94"/>
      <c r="N771" s="93"/>
      <c r="O771" s="85"/>
      <c r="Q771" s="94"/>
      <c r="R771" s="93"/>
      <c r="S771" s="85"/>
      <c r="U771" s="94"/>
      <c r="V771" s="93"/>
      <c r="W771" s="85"/>
      <c r="Y771" s="94"/>
      <c r="Z771" s="93"/>
      <c r="AA771" s="85"/>
      <c r="AC771" s="94"/>
      <c r="AD771" s="93"/>
      <c r="AE771" s="85"/>
    </row>
    <row r="772" spans="7:31" x14ac:dyDescent="0.35">
      <c r="G772" s="85"/>
      <c r="H772" s="87"/>
      <c r="I772" s="94"/>
      <c r="J772" s="93"/>
      <c r="K772" s="85"/>
      <c r="M772" s="94"/>
      <c r="N772" s="93"/>
      <c r="O772" s="85"/>
      <c r="Q772" s="94"/>
      <c r="R772" s="93"/>
      <c r="S772" s="85"/>
      <c r="U772" s="94"/>
      <c r="V772" s="93"/>
      <c r="W772" s="85"/>
      <c r="Y772" s="94"/>
      <c r="Z772" s="93"/>
      <c r="AA772" s="85"/>
      <c r="AC772" s="94"/>
      <c r="AD772" s="93"/>
      <c r="AE772" s="85"/>
    </row>
    <row r="773" spans="7:31" x14ac:dyDescent="0.35">
      <c r="G773" s="85"/>
      <c r="H773" s="87"/>
      <c r="I773" s="94"/>
      <c r="J773" s="93"/>
      <c r="K773" s="85"/>
      <c r="M773" s="94"/>
      <c r="N773" s="93"/>
      <c r="O773" s="85"/>
      <c r="Q773" s="94"/>
      <c r="R773" s="93"/>
      <c r="S773" s="85"/>
      <c r="U773" s="94"/>
      <c r="V773" s="93"/>
      <c r="W773" s="85"/>
      <c r="Y773" s="94"/>
      <c r="Z773" s="93"/>
      <c r="AA773" s="85"/>
      <c r="AC773" s="94"/>
      <c r="AD773" s="93"/>
      <c r="AE773" s="85"/>
    </row>
    <row r="774" spans="7:31" x14ac:dyDescent="0.35">
      <c r="G774" s="85"/>
      <c r="H774" s="87"/>
      <c r="I774" s="94"/>
      <c r="J774" s="93"/>
      <c r="K774" s="85"/>
      <c r="M774" s="94"/>
      <c r="N774" s="93"/>
      <c r="O774" s="85"/>
      <c r="Q774" s="94"/>
      <c r="R774" s="93"/>
      <c r="S774" s="85"/>
      <c r="U774" s="94"/>
      <c r="V774" s="93"/>
      <c r="W774" s="85"/>
      <c r="Y774" s="94"/>
      <c r="Z774" s="93"/>
      <c r="AA774" s="85"/>
      <c r="AC774" s="94"/>
      <c r="AD774" s="93"/>
      <c r="AE774" s="85"/>
    </row>
    <row r="775" spans="7:31" x14ac:dyDescent="0.35">
      <c r="G775" s="85"/>
      <c r="H775" s="87"/>
      <c r="I775" s="94"/>
      <c r="J775" s="93"/>
      <c r="K775" s="85"/>
      <c r="M775" s="94"/>
      <c r="N775" s="93"/>
      <c r="O775" s="85"/>
      <c r="Q775" s="94"/>
      <c r="R775" s="93"/>
      <c r="S775" s="85"/>
      <c r="U775" s="94"/>
      <c r="V775" s="93"/>
      <c r="W775" s="85"/>
      <c r="Y775" s="94"/>
      <c r="Z775" s="93"/>
      <c r="AA775" s="85"/>
      <c r="AC775" s="94"/>
      <c r="AD775" s="93"/>
      <c r="AE775" s="85"/>
    </row>
    <row r="776" spans="7:31" x14ac:dyDescent="0.35">
      <c r="G776" s="85"/>
      <c r="H776" s="87"/>
      <c r="I776" s="94"/>
      <c r="J776" s="93"/>
      <c r="K776" s="85"/>
      <c r="M776" s="94"/>
      <c r="N776" s="93"/>
      <c r="O776" s="85"/>
      <c r="Q776" s="94"/>
      <c r="R776" s="93"/>
      <c r="S776" s="85"/>
      <c r="U776" s="94"/>
      <c r="V776" s="93"/>
      <c r="W776" s="85"/>
      <c r="Y776" s="94"/>
      <c r="Z776" s="93"/>
      <c r="AA776" s="85"/>
      <c r="AC776" s="94"/>
      <c r="AD776" s="93"/>
      <c r="AE776" s="85"/>
    </row>
    <row r="777" spans="7:31" x14ac:dyDescent="0.35">
      <c r="G777" s="85"/>
      <c r="H777" s="87"/>
      <c r="I777" s="94"/>
      <c r="J777" s="93"/>
      <c r="K777" s="85"/>
      <c r="M777" s="94"/>
      <c r="N777" s="93"/>
      <c r="O777" s="85"/>
      <c r="Q777" s="94"/>
      <c r="R777" s="93"/>
      <c r="S777" s="85"/>
      <c r="U777" s="94"/>
      <c r="V777" s="93"/>
      <c r="W777" s="85"/>
      <c r="Y777" s="94"/>
      <c r="Z777" s="93"/>
      <c r="AA777" s="85"/>
      <c r="AC777" s="94"/>
      <c r="AD777" s="93"/>
      <c r="AE777" s="85"/>
    </row>
    <row r="778" spans="7:31" x14ac:dyDescent="0.35">
      <c r="G778" s="85"/>
      <c r="H778" s="87"/>
      <c r="I778" s="94"/>
      <c r="J778" s="93"/>
      <c r="K778" s="85"/>
      <c r="M778" s="94"/>
      <c r="N778" s="93"/>
      <c r="O778" s="85"/>
      <c r="Q778" s="94"/>
      <c r="R778" s="93"/>
      <c r="S778" s="85"/>
      <c r="U778" s="94"/>
      <c r="V778" s="93"/>
      <c r="W778" s="85"/>
      <c r="Y778" s="94"/>
      <c r="Z778" s="93"/>
      <c r="AA778" s="85"/>
      <c r="AC778" s="94"/>
      <c r="AD778" s="93"/>
      <c r="AE778" s="85"/>
    </row>
    <row r="779" spans="7:31" x14ac:dyDescent="0.35">
      <c r="G779" s="85"/>
      <c r="H779" s="87"/>
      <c r="I779" s="94"/>
      <c r="J779" s="93"/>
      <c r="K779" s="85"/>
      <c r="M779" s="94"/>
      <c r="N779" s="93"/>
      <c r="O779" s="85"/>
      <c r="Q779" s="94"/>
      <c r="R779" s="93"/>
      <c r="S779" s="85"/>
      <c r="U779" s="94"/>
      <c r="V779" s="93"/>
      <c r="W779" s="85"/>
      <c r="Y779" s="94"/>
      <c r="Z779" s="93"/>
      <c r="AA779" s="85"/>
      <c r="AC779" s="94"/>
      <c r="AD779" s="93"/>
      <c r="AE779" s="85"/>
    </row>
    <row r="780" spans="7:31" x14ac:dyDescent="0.35">
      <c r="G780" s="85"/>
      <c r="H780" s="87"/>
      <c r="I780" s="94"/>
      <c r="J780" s="93"/>
      <c r="K780" s="85"/>
      <c r="M780" s="94"/>
      <c r="N780" s="93"/>
      <c r="O780" s="85"/>
      <c r="Q780" s="94"/>
      <c r="R780" s="93"/>
      <c r="S780" s="85"/>
      <c r="U780" s="94"/>
      <c r="V780" s="93"/>
      <c r="W780" s="85"/>
      <c r="Y780" s="94"/>
      <c r="Z780" s="93"/>
      <c r="AA780" s="85"/>
      <c r="AC780" s="94"/>
      <c r="AD780" s="93"/>
      <c r="AE780" s="85"/>
    </row>
    <row r="781" spans="7:31" x14ac:dyDescent="0.35">
      <c r="G781" s="85"/>
      <c r="H781" s="87"/>
      <c r="I781" s="94"/>
      <c r="J781" s="93"/>
      <c r="K781" s="85"/>
      <c r="M781" s="94"/>
      <c r="N781" s="93"/>
      <c r="O781" s="85"/>
      <c r="Q781" s="94"/>
      <c r="R781" s="93"/>
      <c r="S781" s="85"/>
      <c r="U781" s="94"/>
      <c r="V781" s="93"/>
      <c r="W781" s="85"/>
      <c r="Y781" s="94"/>
      <c r="Z781" s="93"/>
      <c r="AA781" s="85"/>
      <c r="AC781" s="94"/>
      <c r="AD781" s="93"/>
      <c r="AE781" s="85"/>
    </row>
    <row r="782" spans="7:31" x14ac:dyDescent="0.35">
      <c r="G782" s="85"/>
      <c r="H782" s="87"/>
      <c r="I782" s="94"/>
      <c r="J782" s="93"/>
      <c r="K782" s="85"/>
      <c r="M782" s="94"/>
      <c r="N782" s="93"/>
      <c r="O782" s="85"/>
      <c r="Q782" s="94"/>
      <c r="R782" s="93"/>
      <c r="S782" s="85"/>
      <c r="U782" s="94"/>
      <c r="V782" s="93"/>
      <c r="W782" s="85"/>
      <c r="Y782" s="94"/>
      <c r="Z782" s="93"/>
      <c r="AA782" s="85"/>
      <c r="AC782" s="94"/>
      <c r="AD782" s="93"/>
      <c r="AE782" s="85"/>
    </row>
    <row r="783" spans="7:31" x14ac:dyDescent="0.35">
      <c r="G783" s="85"/>
      <c r="H783" s="87"/>
      <c r="I783" s="94"/>
      <c r="J783" s="93"/>
      <c r="K783" s="85"/>
      <c r="M783" s="94"/>
      <c r="N783" s="93"/>
      <c r="O783" s="85"/>
      <c r="Q783" s="94"/>
      <c r="R783" s="93"/>
      <c r="S783" s="85"/>
      <c r="U783" s="94"/>
      <c r="V783" s="93"/>
      <c r="W783" s="85"/>
      <c r="Y783" s="94"/>
      <c r="Z783" s="93"/>
      <c r="AA783" s="85"/>
      <c r="AC783" s="94"/>
      <c r="AD783" s="93"/>
      <c r="AE783" s="85"/>
    </row>
    <row r="784" spans="7:31" x14ac:dyDescent="0.35">
      <c r="G784" s="85"/>
      <c r="H784" s="87"/>
      <c r="I784" s="94"/>
      <c r="J784" s="93"/>
      <c r="K784" s="85"/>
      <c r="M784" s="94"/>
      <c r="N784" s="93"/>
      <c r="O784" s="85"/>
      <c r="Q784" s="94"/>
      <c r="R784" s="93"/>
      <c r="S784" s="85"/>
      <c r="U784" s="94"/>
      <c r="V784" s="93"/>
      <c r="W784" s="85"/>
      <c r="Y784" s="94"/>
      <c r="Z784" s="93"/>
      <c r="AA784" s="85"/>
      <c r="AC784" s="94"/>
      <c r="AD784" s="93"/>
      <c r="AE784" s="85"/>
    </row>
    <row r="785" spans="7:31" x14ac:dyDescent="0.35">
      <c r="G785" s="85"/>
      <c r="H785" s="87"/>
      <c r="I785" s="94"/>
      <c r="J785" s="93"/>
      <c r="K785" s="85"/>
      <c r="M785" s="94"/>
      <c r="N785" s="93"/>
      <c r="O785" s="85"/>
      <c r="Q785" s="94"/>
      <c r="R785" s="93"/>
      <c r="S785" s="85"/>
      <c r="U785" s="94"/>
      <c r="V785" s="93"/>
      <c r="W785" s="85"/>
      <c r="Y785" s="94"/>
      <c r="Z785" s="93"/>
      <c r="AA785" s="85"/>
      <c r="AC785" s="94"/>
      <c r="AD785" s="93"/>
      <c r="AE785" s="85"/>
    </row>
    <row r="786" spans="7:31" x14ac:dyDescent="0.35">
      <c r="G786" s="85"/>
      <c r="H786" s="87"/>
      <c r="I786" s="94"/>
      <c r="J786" s="93"/>
      <c r="K786" s="85"/>
      <c r="M786" s="94"/>
      <c r="N786" s="93"/>
      <c r="O786" s="85"/>
      <c r="Q786" s="94"/>
      <c r="R786" s="93"/>
      <c r="S786" s="85"/>
      <c r="U786" s="94"/>
      <c r="V786" s="93"/>
      <c r="W786" s="85"/>
      <c r="Y786" s="94"/>
      <c r="Z786" s="93"/>
      <c r="AA786" s="85"/>
      <c r="AC786" s="94"/>
      <c r="AD786" s="93"/>
      <c r="AE786" s="85"/>
    </row>
    <row r="787" spans="7:31" x14ac:dyDescent="0.35">
      <c r="G787" s="85"/>
      <c r="H787" s="87"/>
      <c r="I787" s="94"/>
      <c r="J787" s="93"/>
      <c r="K787" s="85"/>
      <c r="M787" s="94"/>
      <c r="N787" s="93"/>
      <c r="O787" s="85"/>
      <c r="Q787" s="94"/>
      <c r="R787" s="93"/>
      <c r="S787" s="85"/>
      <c r="U787" s="94"/>
      <c r="V787" s="93"/>
      <c r="W787" s="85"/>
      <c r="Y787" s="94"/>
      <c r="Z787" s="93"/>
      <c r="AA787" s="85"/>
      <c r="AC787" s="94"/>
      <c r="AD787" s="93"/>
      <c r="AE787" s="85"/>
    </row>
    <row r="788" spans="7:31" x14ac:dyDescent="0.35">
      <c r="G788" s="85"/>
      <c r="H788" s="87"/>
      <c r="I788" s="94"/>
      <c r="J788" s="93"/>
      <c r="K788" s="85"/>
      <c r="M788" s="94"/>
      <c r="N788" s="93"/>
      <c r="O788" s="85"/>
      <c r="Q788" s="94"/>
      <c r="R788" s="93"/>
      <c r="S788" s="85"/>
      <c r="U788" s="94"/>
      <c r="V788" s="93"/>
      <c r="W788" s="85"/>
      <c r="Y788" s="94"/>
      <c r="Z788" s="93"/>
      <c r="AA788" s="85"/>
      <c r="AC788" s="94"/>
      <c r="AD788" s="93"/>
      <c r="AE788" s="85"/>
    </row>
    <row r="789" spans="7:31" x14ac:dyDescent="0.35">
      <c r="G789" s="85"/>
      <c r="H789" s="87"/>
      <c r="I789" s="94"/>
      <c r="J789" s="93"/>
      <c r="K789" s="85"/>
      <c r="M789" s="94"/>
      <c r="N789" s="93"/>
      <c r="O789" s="85"/>
      <c r="Q789" s="94"/>
      <c r="R789" s="93"/>
      <c r="S789" s="85"/>
      <c r="U789" s="94"/>
      <c r="V789" s="93"/>
      <c r="W789" s="85"/>
      <c r="Y789" s="94"/>
      <c r="Z789" s="93"/>
      <c r="AA789" s="85"/>
      <c r="AC789" s="94"/>
      <c r="AD789" s="93"/>
      <c r="AE789" s="85"/>
    </row>
    <row r="790" spans="7:31" x14ac:dyDescent="0.35">
      <c r="G790" s="85"/>
      <c r="H790" s="87"/>
      <c r="I790" s="94"/>
      <c r="J790" s="93"/>
      <c r="K790" s="85"/>
      <c r="M790" s="94"/>
      <c r="N790" s="93"/>
      <c r="O790" s="85"/>
      <c r="Q790" s="94"/>
      <c r="R790" s="93"/>
      <c r="S790" s="85"/>
      <c r="U790" s="94"/>
      <c r="V790" s="93"/>
      <c r="W790" s="85"/>
      <c r="Y790" s="94"/>
      <c r="Z790" s="93"/>
      <c r="AA790" s="85"/>
      <c r="AC790" s="94"/>
      <c r="AD790" s="93"/>
      <c r="AE790" s="85"/>
    </row>
    <row r="791" spans="7:31" x14ac:dyDescent="0.35">
      <c r="G791" s="85"/>
      <c r="H791" s="87"/>
      <c r="I791" s="94"/>
      <c r="J791" s="93"/>
      <c r="K791" s="85"/>
      <c r="M791" s="94"/>
      <c r="N791" s="93"/>
      <c r="O791" s="85"/>
      <c r="Q791" s="94"/>
      <c r="R791" s="93"/>
      <c r="S791" s="85"/>
      <c r="U791" s="94"/>
      <c r="V791" s="93"/>
      <c r="W791" s="85"/>
      <c r="Y791" s="94"/>
      <c r="Z791" s="93"/>
      <c r="AA791" s="85"/>
      <c r="AC791" s="94"/>
      <c r="AD791" s="93"/>
      <c r="AE791" s="85"/>
    </row>
    <row r="792" spans="7:31" x14ac:dyDescent="0.35">
      <c r="G792" s="85"/>
      <c r="H792" s="87"/>
      <c r="I792" s="94"/>
      <c r="J792" s="93"/>
      <c r="K792" s="85"/>
      <c r="M792" s="94"/>
      <c r="N792" s="93"/>
      <c r="O792" s="85"/>
      <c r="Q792" s="94"/>
      <c r="R792" s="93"/>
      <c r="S792" s="85"/>
      <c r="U792" s="94"/>
      <c r="V792" s="93"/>
      <c r="W792" s="85"/>
      <c r="Y792" s="94"/>
      <c r="Z792" s="93"/>
      <c r="AA792" s="85"/>
      <c r="AC792" s="94"/>
      <c r="AD792" s="93"/>
      <c r="AE792" s="85"/>
    </row>
    <row r="793" spans="7:31" x14ac:dyDescent="0.35">
      <c r="G793" s="85"/>
      <c r="H793" s="87"/>
      <c r="I793" s="94"/>
      <c r="J793" s="93"/>
      <c r="K793" s="85"/>
      <c r="M793" s="94"/>
      <c r="N793" s="93"/>
      <c r="O793" s="85"/>
      <c r="Q793" s="94"/>
      <c r="R793" s="93"/>
      <c r="S793" s="85"/>
      <c r="U793" s="94"/>
      <c r="V793" s="93"/>
      <c r="W793" s="85"/>
      <c r="Y793" s="94"/>
      <c r="Z793" s="93"/>
      <c r="AA793" s="85"/>
      <c r="AC793" s="94"/>
      <c r="AD793" s="93"/>
      <c r="AE793" s="85"/>
    </row>
    <row r="794" spans="7:31" x14ac:dyDescent="0.35">
      <c r="G794" s="85"/>
      <c r="H794" s="87"/>
      <c r="I794" s="94"/>
      <c r="J794" s="93"/>
      <c r="K794" s="85"/>
      <c r="M794" s="94"/>
      <c r="N794" s="93"/>
      <c r="O794" s="85"/>
      <c r="Q794" s="94"/>
      <c r="R794" s="93"/>
      <c r="S794" s="85"/>
      <c r="U794" s="94"/>
      <c r="V794" s="93"/>
      <c r="W794" s="85"/>
      <c r="Y794" s="94"/>
      <c r="Z794" s="93"/>
      <c r="AA794" s="85"/>
      <c r="AC794" s="94"/>
      <c r="AD794" s="93"/>
      <c r="AE794" s="85"/>
    </row>
    <row r="795" spans="7:31" x14ac:dyDescent="0.35">
      <c r="G795" s="85"/>
      <c r="H795" s="87"/>
      <c r="I795" s="94"/>
      <c r="J795" s="93"/>
      <c r="K795" s="85"/>
      <c r="M795" s="94"/>
      <c r="N795" s="93"/>
      <c r="O795" s="85"/>
      <c r="Q795" s="94"/>
      <c r="R795" s="93"/>
      <c r="S795" s="85"/>
      <c r="U795" s="94"/>
      <c r="V795" s="93"/>
      <c r="W795" s="85"/>
      <c r="Y795" s="94"/>
      <c r="Z795" s="93"/>
      <c r="AA795" s="85"/>
      <c r="AC795" s="94"/>
      <c r="AD795" s="93"/>
      <c r="AE795" s="85"/>
    </row>
    <row r="796" spans="7:31" x14ac:dyDescent="0.35">
      <c r="G796" s="85"/>
      <c r="H796" s="87"/>
      <c r="I796" s="94"/>
      <c r="J796" s="93"/>
      <c r="K796" s="85"/>
      <c r="M796" s="94"/>
      <c r="N796" s="93"/>
      <c r="O796" s="85"/>
      <c r="Q796" s="94"/>
      <c r="R796" s="93"/>
      <c r="S796" s="85"/>
      <c r="U796" s="94"/>
      <c r="V796" s="93"/>
      <c r="W796" s="85"/>
      <c r="Y796" s="94"/>
      <c r="Z796" s="93"/>
      <c r="AA796" s="85"/>
      <c r="AC796" s="94"/>
      <c r="AD796" s="93"/>
      <c r="AE796" s="85"/>
    </row>
    <row r="797" spans="7:31" x14ac:dyDescent="0.35">
      <c r="G797" s="85"/>
      <c r="H797" s="87"/>
      <c r="I797" s="94"/>
      <c r="J797" s="93"/>
      <c r="K797" s="85"/>
      <c r="M797" s="94"/>
      <c r="N797" s="93"/>
      <c r="O797" s="85"/>
      <c r="Q797" s="94"/>
      <c r="R797" s="93"/>
      <c r="S797" s="85"/>
      <c r="U797" s="94"/>
      <c r="V797" s="93"/>
      <c r="W797" s="85"/>
      <c r="Y797" s="94"/>
      <c r="Z797" s="93"/>
      <c r="AA797" s="85"/>
      <c r="AC797" s="94"/>
      <c r="AD797" s="93"/>
      <c r="AE797" s="85"/>
    </row>
    <row r="798" spans="7:31" x14ac:dyDescent="0.35">
      <c r="G798" s="85"/>
      <c r="H798" s="87"/>
      <c r="I798" s="94"/>
      <c r="J798" s="93"/>
      <c r="K798" s="85"/>
      <c r="M798" s="94"/>
      <c r="N798" s="93"/>
      <c r="O798" s="85"/>
      <c r="Q798" s="94"/>
      <c r="R798" s="93"/>
      <c r="S798" s="85"/>
      <c r="U798" s="94"/>
      <c r="V798" s="93"/>
      <c r="W798" s="85"/>
      <c r="Y798" s="94"/>
      <c r="Z798" s="93"/>
      <c r="AA798" s="85"/>
      <c r="AC798" s="94"/>
      <c r="AD798" s="93"/>
      <c r="AE798" s="85"/>
    </row>
    <row r="799" spans="7:31" x14ac:dyDescent="0.35">
      <c r="G799" s="85"/>
      <c r="H799" s="87"/>
      <c r="I799" s="94"/>
      <c r="J799" s="93"/>
      <c r="K799" s="85"/>
      <c r="M799" s="94"/>
      <c r="N799" s="93"/>
      <c r="O799" s="85"/>
      <c r="Q799" s="94"/>
      <c r="R799" s="93"/>
      <c r="S799" s="85"/>
      <c r="U799" s="94"/>
      <c r="V799" s="93"/>
      <c r="W799" s="85"/>
      <c r="Y799" s="94"/>
      <c r="Z799" s="93"/>
      <c r="AA799" s="85"/>
      <c r="AC799" s="94"/>
      <c r="AD799" s="93"/>
      <c r="AE799" s="85"/>
    </row>
    <row r="800" spans="7:31" x14ac:dyDescent="0.35">
      <c r="G800" s="85"/>
      <c r="H800" s="87"/>
      <c r="I800" s="94"/>
      <c r="J800" s="93"/>
      <c r="K800" s="85"/>
      <c r="M800" s="94"/>
      <c r="N800" s="93"/>
      <c r="O800" s="85"/>
      <c r="Q800" s="94"/>
      <c r="R800" s="93"/>
      <c r="S800" s="85"/>
      <c r="U800" s="94"/>
      <c r="V800" s="93"/>
      <c r="W800" s="85"/>
      <c r="Y800" s="94"/>
      <c r="Z800" s="93"/>
      <c r="AA800" s="85"/>
      <c r="AC800" s="94"/>
      <c r="AD800" s="93"/>
      <c r="AE800" s="85"/>
    </row>
    <row r="801" spans="7:31" x14ac:dyDescent="0.35">
      <c r="G801" s="85"/>
      <c r="H801" s="87"/>
      <c r="I801" s="94"/>
      <c r="J801" s="93"/>
      <c r="K801" s="85"/>
      <c r="M801" s="94"/>
      <c r="N801" s="93"/>
      <c r="O801" s="85"/>
      <c r="Q801" s="94"/>
      <c r="R801" s="93"/>
      <c r="S801" s="85"/>
      <c r="U801" s="94"/>
      <c r="V801" s="93"/>
      <c r="W801" s="85"/>
      <c r="Y801" s="94"/>
      <c r="Z801" s="93"/>
      <c r="AA801" s="85"/>
      <c r="AC801" s="94"/>
      <c r="AD801" s="93"/>
      <c r="AE801" s="85"/>
    </row>
    <row r="802" spans="7:31" x14ac:dyDescent="0.35">
      <c r="G802" s="85"/>
      <c r="H802" s="87"/>
      <c r="I802" s="94"/>
      <c r="J802" s="93"/>
      <c r="K802" s="85"/>
      <c r="M802" s="94"/>
      <c r="N802" s="93"/>
      <c r="O802" s="85"/>
      <c r="Q802" s="94"/>
      <c r="R802" s="93"/>
      <c r="S802" s="85"/>
      <c r="U802" s="94"/>
      <c r="V802" s="93"/>
      <c r="W802" s="85"/>
      <c r="Y802" s="94"/>
      <c r="Z802" s="93"/>
      <c r="AA802" s="85"/>
      <c r="AC802" s="94"/>
      <c r="AD802" s="93"/>
      <c r="AE802" s="85"/>
    </row>
    <row r="803" spans="7:31" x14ac:dyDescent="0.35">
      <c r="G803" s="85"/>
      <c r="H803" s="87"/>
      <c r="I803" s="94"/>
      <c r="J803" s="93"/>
      <c r="K803" s="85"/>
      <c r="M803" s="94"/>
      <c r="N803" s="93"/>
      <c r="O803" s="85"/>
      <c r="Q803" s="94"/>
      <c r="R803" s="93"/>
      <c r="S803" s="85"/>
      <c r="U803" s="94"/>
      <c r="V803" s="93"/>
      <c r="W803" s="85"/>
      <c r="Y803" s="94"/>
      <c r="Z803" s="93"/>
      <c r="AA803" s="85"/>
      <c r="AC803" s="94"/>
      <c r="AD803" s="93"/>
      <c r="AE803" s="85"/>
    </row>
    <row r="804" spans="7:31" x14ac:dyDescent="0.35">
      <c r="G804" s="85"/>
      <c r="H804" s="87"/>
      <c r="I804" s="94"/>
      <c r="J804" s="93"/>
      <c r="K804" s="85"/>
      <c r="M804" s="94"/>
      <c r="N804" s="93"/>
      <c r="O804" s="85"/>
      <c r="Q804" s="94"/>
      <c r="R804" s="93"/>
      <c r="S804" s="85"/>
      <c r="U804" s="94"/>
      <c r="V804" s="93"/>
      <c r="W804" s="85"/>
      <c r="Y804" s="94"/>
      <c r="Z804" s="93"/>
      <c r="AA804" s="85"/>
      <c r="AC804" s="94"/>
      <c r="AD804" s="93"/>
      <c r="AE804" s="85"/>
    </row>
    <row r="805" spans="7:31" x14ac:dyDescent="0.35">
      <c r="G805" s="85"/>
      <c r="H805" s="87"/>
      <c r="I805" s="94"/>
      <c r="J805" s="93"/>
      <c r="K805" s="85"/>
      <c r="M805" s="94"/>
      <c r="N805" s="93"/>
      <c r="O805" s="85"/>
      <c r="Q805" s="94"/>
      <c r="R805" s="93"/>
      <c r="S805" s="85"/>
      <c r="U805" s="94"/>
      <c r="V805" s="93"/>
      <c r="W805" s="85"/>
      <c r="Y805" s="94"/>
      <c r="Z805" s="93"/>
      <c r="AA805" s="85"/>
      <c r="AC805" s="94"/>
      <c r="AD805" s="93"/>
      <c r="AE805" s="85"/>
    </row>
    <row r="806" spans="7:31" x14ac:dyDescent="0.35">
      <c r="G806" s="85"/>
      <c r="H806" s="87"/>
      <c r="I806" s="94"/>
      <c r="J806" s="93"/>
      <c r="K806" s="85"/>
      <c r="M806" s="94"/>
      <c r="N806" s="93"/>
      <c r="O806" s="85"/>
      <c r="Q806" s="94"/>
      <c r="R806" s="93"/>
      <c r="S806" s="85"/>
      <c r="U806" s="94"/>
      <c r="V806" s="93"/>
      <c r="W806" s="85"/>
      <c r="Y806" s="94"/>
      <c r="Z806" s="93"/>
      <c r="AA806" s="85"/>
      <c r="AC806" s="94"/>
      <c r="AD806" s="93"/>
      <c r="AE806" s="85"/>
    </row>
    <row r="807" spans="7:31" x14ac:dyDescent="0.35">
      <c r="G807" s="85"/>
      <c r="H807" s="87"/>
      <c r="I807" s="94"/>
      <c r="J807" s="93"/>
      <c r="K807" s="85"/>
      <c r="M807" s="94"/>
      <c r="N807" s="93"/>
      <c r="O807" s="85"/>
      <c r="Q807" s="94"/>
      <c r="R807" s="93"/>
      <c r="S807" s="85"/>
      <c r="U807" s="94"/>
      <c r="V807" s="93"/>
      <c r="W807" s="85"/>
      <c r="Y807" s="94"/>
      <c r="Z807" s="93"/>
      <c r="AA807" s="85"/>
      <c r="AC807" s="94"/>
      <c r="AD807" s="93"/>
      <c r="AE807" s="85"/>
    </row>
    <row r="808" spans="7:31" x14ac:dyDescent="0.35">
      <c r="G808" s="85"/>
      <c r="H808" s="87"/>
      <c r="I808" s="94"/>
      <c r="J808" s="93"/>
      <c r="K808" s="85"/>
      <c r="M808" s="94"/>
      <c r="N808" s="93"/>
      <c r="O808" s="85"/>
      <c r="Q808" s="94"/>
      <c r="R808" s="93"/>
      <c r="S808" s="85"/>
      <c r="U808" s="94"/>
      <c r="V808" s="93"/>
      <c r="W808" s="85"/>
      <c r="Y808" s="94"/>
      <c r="Z808" s="93"/>
      <c r="AA808" s="85"/>
      <c r="AC808" s="94"/>
      <c r="AD808" s="93"/>
      <c r="AE808" s="85"/>
    </row>
    <row r="809" spans="7:31" x14ac:dyDescent="0.35">
      <c r="G809" s="85"/>
      <c r="H809" s="87"/>
      <c r="I809" s="94"/>
      <c r="J809" s="93"/>
      <c r="K809" s="85"/>
      <c r="M809" s="94"/>
      <c r="N809" s="93"/>
      <c r="O809" s="85"/>
      <c r="Q809" s="94"/>
      <c r="R809" s="93"/>
      <c r="S809" s="85"/>
      <c r="U809" s="94"/>
      <c r="V809" s="93"/>
      <c r="W809" s="85"/>
      <c r="Y809" s="94"/>
      <c r="Z809" s="93"/>
      <c r="AA809" s="85"/>
      <c r="AC809" s="94"/>
      <c r="AD809" s="93"/>
      <c r="AE809" s="85"/>
    </row>
    <row r="810" spans="7:31" x14ac:dyDescent="0.35">
      <c r="G810" s="85"/>
      <c r="H810" s="87"/>
      <c r="I810" s="94"/>
      <c r="J810" s="93"/>
      <c r="K810" s="85"/>
      <c r="M810" s="94"/>
      <c r="N810" s="93"/>
      <c r="O810" s="85"/>
      <c r="Q810" s="94"/>
      <c r="R810" s="93"/>
      <c r="S810" s="85"/>
      <c r="U810" s="94"/>
      <c r="V810" s="93"/>
      <c r="W810" s="85"/>
      <c r="Y810" s="94"/>
      <c r="Z810" s="93"/>
      <c r="AA810" s="85"/>
      <c r="AC810" s="94"/>
      <c r="AD810" s="93"/>
      <c r="AE810" s="85"/>
    </row>
    <row r="811" spans="7:31" x14ac:dyDescent="0.35">
      <c r="G811" s="85"/>
      <c r="H811" s="87"/>
      <c r="I811" s="94"/>
      <c r="J811" s="93"/>
      <c r="K811" s="85"/>
      <c r="M811" s="94"/>
      <c r="N811" s="93"/>
      <c r="O811" s="85"/>
      <c r="Q811" s="94"/>
      <c r="R811" s="93"/>
      <c r="S811" s="85"/>
      <c r="U811" s="94"/>
      <c r="V811" s="93"/>
      <c r="W811" s="85"/>
      <c r="Y811" s="94"/>
      <c r="Z811" s="93"/>
      <c r="AA811" s="85"/>
      <c r="AC811" s="94"/>
      <c r="AD811" s="93"/>
      <c r="AE811" s="85"/>
    </row>
    <row r="812" spans="7:31" x14ac:dyDescent="0.35">
      <c r="G812" s="85"/>
      <c r="H812" s="87"/>
      <c r="I812" s="94"/>
      <c r="J812" s="93"/>
      <c r="K812" s="85"/>
      <c r="M812" s="94"/>
      <c r="N812" s="93"/>
      <c r="O812" s="85"/>
      <c r="Q812" s="94"/>
      <c r="R812" s="93"/>
      <c r="S812" s="85"/>
      <c r="U812" s="94"/>
      <c r="V812" s="93"/>
      <c r="W812" s="85"/>
      <c r="Y812" s="94"/>
      <c r="Z812" s="93"/>
      <c r="AA812" s="85"/>
      <c r="AC812" s="94"/>
      <c r="AD812" s="93"/>
      <c r="AE812" s="85"/>
    </row>
    <row r="813" spans="7:31" x14ac:dyDescent="0.35">
      <c r="G813" s="85"/>
      <c r="H813" s="87"/>
      <c r="I813" s="94"/>
      <c r="J813" s="93"/>
      <c r="K813" s="85"/>
      <c r="M813" s="94"/>
      <c r="N813" s="93"/>
      <c r="O813" s="85"/>
      <c r="Q813" s="94"/>
      <c r="R813" s="93"/>
      <c r="S813" s="85"/>
      <c r="U813" s="94"/>
      <c r="V813" s="93"/>
      <c r="W813" s="85"/>
      <c r="Y813" s="94"/>
      <c r="Z813" s="93"/>
      <c r="AA813" s="85"/>
      <c r="AC813" s="94"/>
      <c r="AD813" s="93"/>
      <c r="AE813" s="85"/>
    </row>
    <row r="814" spans="7:31" x14ac:dyDescent="0.35">
      <c r="G814" s="85"/>
      <c r="H814" s="87"/>
      <c r="I814" s="94"/>
      <c r="J814" s="93"/>
      <c r="K814" s="85"/>
      <c r="M814" s="94"/>
      <c r="N814" s="93"/>
      <c r="O814" s="85"/>
      <c r="Q814" s="94"/>
      <c r="R814" s="93"/>
      <c r="S814" s="85"/>
      <c r="U814" s="94"/>
      <c r="V814" s="93"/>
      <c r="W814" s="85"/>
      <c r="Y814" s="94"/>
      <c r="Z814" s="93"/>
      <c r="AA814" s="85"/>
      <c r="AC814" s="94"/>
      <c r="AD814" s="93"/>
      <c r="AE814" s="85"/>
    </row>
    <row r="815" spans="7:31" x14ac:dyDescent="0.35">
      <c r="G815" s="85"/>
      <c r="H815" s="87"/>
      <c r="I815" s="94"/>
      <c r="J815" s="93"/>
      <c r="K815" s="85"/>
      <c r="M815" s="94"/>
      <c r="N815" s="93"/>
      <c r="O815" s="85"/>
      <c r="Q815" s="94"/>
      <c r="R815" s="93"/>
      <c r="S815" s="85"/>
      <c r="U815" s="94"/>
      <c r="V815" s="93"/>
      <c r="W815" s="85"/>
      <c r="Y815" s="94"/>
      <c r="Z815" s="93"/>
      <c r="AA815" s="85"/>
      <c r="AC815" s="94"/>
      <c r="AD815" s="93"/>
      <c r="AE815" s="85"/>
    </row>
    <row r="816" spans="7:31" x14ac:dyDescent="0.35">
      <c r="G816" s="85"/>
      <c r="H816" s="87"/>
      <c r="I816" s="94"/>
      <c r="J816" s="93"/>
      <c r="K816" s="85"/>
      <c r="M816" s="94"/>
      <c r="N816" s="93"/>
      <c r="O816" s="85"/>
      <c r="Q816" s="94"/>
      <c r="R816" s="93"/>
      <c r="S816" s="85"/>
      <c r="U816" s="94"/>
      <c r="V816" s="93"/>
      <c r="W816" s="85"/>
      <c r="Y816" s="94"/>
      <c r="Z816" s="93"/>
      <c r="AA816" s="85"/>
      <c r="AC816" s="94"/>
      <c r="AD816" s="93"/>
      <c r="AE816" s="85"/>
    </row>
    <row r="817" spans="7:31" x14ac:dyDescent="0.35">
      <c r="G817" s="85"/>
      <c r="H817" s="87"/>
      <c r="I817" s="94"/>
      <c r="J817" s="93"/>
      <c r="K817" s="85"/>
      <c r="M817" s="94"/>
      <c r="N817" s="93"/>
      <c r="O817" s="85"/>
      <c r="Q817" s="94"/>
      <c r="R817" s="93"/>
      <c r="S817" s="85"/>
      <c r="U817" s="94"/>
      <c r="V817" s="93"/>
      <c r="W817" s="85"/>
      <c r="Y817" s="94"/>
      <c r="Z817" s="93"/>
      <c r="AA817" s="85"/>
      <c r="AC817" s="94"/>
      <c r="AD817" s="93"/>
      <c r="AE817" s="85"/>
    </row>
    <row r="818" spans="7:31" x14ac:dyDescent="0.35">
      <c r="G818" s="85"/>
      <c r="H818" s="87"/>
      <c r="I818" s="94"/>
      <c r="J818" s="93"/>
      <c r="K818" s="85"/>
      <c r="M818" s="94"/>
      <c r="N818" s="93"/>
      <c r="O818" s="85"/>
      <c r="Q818" s="94"/>
      <c r="R818" s="93"/>
      <c r="S818" s="85"/>
      <c r="U818" s="94"/>
      <c r="V818" s="93"/>
      <c r="W818" s="85"/>
      <c r="Y818" s="94"/>
      <c r="Z818" s="93"/>
      <c r="AA818" s="85"/>
      <c r="AC818" s="94"/>
      <c r="AD818" s="93"/>
      <c r="AE818" s="85"/>
    </row>
    <row r="819" spans="7:31" x14ac:dyDescent="0.35">
      <c r="G819" s="85"/>
      <c r="H819" s="87"/>
      <c r="I819" s="94"/>
      <c r="J819" s="93"/>
      <c r="K819" s="85"/>
      <c r="M819" s="94"/>
      <c r="N819" s="93"/>
      <c r="O819" s="85"/>
      <c r="Q819" s="94"/>
      <c r="R819" s="93"/>
      <c r="S819" s="85"/>
      <c r="U819" s="94"/>
      <c r="V819" s="93"/>
      <c r="W819" s="85"/>
      <c r="Y819" s="94"/>
      <c r="Z819" s="93"/>
      <c r="AA819" s="85"/>
      <c r="AC819" s="94"/>
      <c r="AD819" s="93"/>
      <c r="AE819" s="85"/>
    </row>
    <row r="820" spans="7:31" x14ac:dyDescent="0.35">
      <c r="G820" s="85"/>
      <c r="H820" s="87"/>
      <c r="I820" s="94"/>
      <c r="J820" s="93"/>
      <c r="K820" s="85"/>
      <c r="M820" s="94"/>
      <c r="N820" s="93"/>
      <c r="O820" s="85"/>
      <c r="Q820" s="94"/>
      <c r="R820" s="93"/>
      <c r="S820" s="85"/>
      <c r="U820" s="94"/>
      <c r="V820" s="93"/>
      <c r="W820" s="85"/>
      <c r="Y820" s="94"/>
      <c r="Z820" s="93"/>
      <c r="AA820" s="85"/>
      <c r="AC820" s="94"/>
      <c r="AD820" s="93"/>
      <c r="AE820" s="85"/>
    </row>
    <row r="821" spans="7:31" x14ac:dyDescent="0.35">
      <c r="G821" s="85"/>
      <c r="H821" s="87"/>
      <c r="I821" s="94"/>
      <c r="J821" s="93"/>
      <c r="K821" s="85"/>
      <c r="M821" s="94"/>
      <c r="N821" s="93"/>
      <c r="O821" s="85"/>
      <c r="Q821" s="94"/>
      <c r="R821" s="93"/>
      <c r="S821" s="85"/>
      <c r="U821" s="94"/>
      <c r="V821" s="93"/>
      <c r="W821" s="85"/>
      <c r="Y821" s="94"/>
      <c r="Z821" s="93"/>
      <c r="AA821" s="85"/>
      <c r="AC821" s="94"/>
      <c r="AD821" s="93"/>
      <c r="AE821" s="85"/>
    </row>
    <row r="822" spans="7:31" x14ac:dyDescent="0.35">
      <c r="G822" s="85"/>
      <c r="H822" s="87"/>
      <c r="I822" s="94"/>
      <c r="J822" s="93"/>
      <c r="K822" s="85"/>
      <c r="M822" s="94"/>
      <c r="N822" s="93"/>
      <c r="O822" s="85"/>
      <c r="Q822" s="94"/>
      <c r="R822" s="93"/>
      <c r="S822" s="85"/>
      <c r="U822" s="94"/>
      <c r="V822" s="93"/>
      <c r="W822" s="85"/>
      <c r="Y822" s="94"/>
      <c r="Z822" s="93"/>
      <c r="AA822" s="85"/>
      <c r="AC822" s="94"/>
      <c r="AD822" s="93"/>
      <c r="AE822" s="85"/>
    </row>
    <row r="823" spans="7:31" x14ac:dyDescent="0.35">
      <c r="G823" s="85"/>
      <c r="H823" s="87"/>
      <c r="I823" s="94"/>
      <c r="J823" s="93"/>
      <c r="K823" s="85"/>
      <c r="M823" s="94"/>
      <c r="N823" s="93"/>
      <c r="O823" s="85"/>
      <c r="Q823" s="94"/>
      <c r="R823" s="93"/>
      <c r="S823" s="85"/>
      <c r="U823" s="94"/>
      <c r="V823" s="93"/>
      <c r="W823" s="85"/>
      <c r="Y823" s="94"/>
      <c r="Z823" s="93"/>
      <c r="AA823" s="85"/>
      <c r="AC823" s="94"/>
      <c r="AD823" s="93"/>
      <c r="AE823" s="85"/>
    </row>
    <row r="824" spans="7:31" x14ac:dyDescent="0.35">
      <c r="G824" s="85"/>
      <c r="H824" s="87"/>
      <c r="I824" s="94"/>
      <c r="J824" s="93"/>
      <c r="K824" s="85"/>
      <c r="M824" s="94"/>
      <c r="N824" s="93"/>
      <c r="O824" s="85"/>
      <c r="Q824" s="94"/>
      <c r="R824" s="93"/>
      <c r="S824" s="85"/>
      <c r="U824" s="94"/>
      <c r="V824" s="93"/>
      <c r="W824" s="85"/>
      <c r="Y824" s="94"/>
      <c r="Z824" s="93"/>
      <c r="AA824" s="85"/>
      <c r="AC824" s="94"/>
      <c r="AD824" s="93"/>
      <c r="AE824" s="85"/>
    </row>
    <row r="825" spans="7:31" x14ac:dyDescent="0.35">
      <c r="G825" s="85"/>
      <c r="H825" s="87"/>
      <c r="I825" s="94"/>
      <c r="J825" s="93"/>
      <c r="K825" s="85"/>
      <c r="M825" s="94"/>
      <c r="N825" s="93"/>
      <c r="O825" s="85"/>
      <c r="Q825" s="94"/>
      <c r="R825" s="93"/>
      <c r="S825" s="85"/>
      <c r="U825" s="94"/>
      <c r="V825" s="93"/>
      <c r="W825" s="85"/>
      <c r="Y825" s="94"/>
      <c r="Z825" s="93"/>
      <c r="AA825" s="85"/>
      <c r="AC825" s="94"/>
      <c r="AD825" s="93"/>
      <c r="AE825" s="85"/>
    </row>
    <row r="826" spans="7:31" x14ac:dyDescent="0.35">
      <c r="G826" s="85"/>
      <c r="H826" s="87"/>
      <c r="I826" s="94"/>
      <c r="J826" s="93"/>
      <c r="K826" s="85"/>
      <c r="M826" s="94"/>
      <c r="N826" s="93"/>
      <c r="O826" s="85"/>
      <c r="Q826" s="94"/>
      <c r="R826" s="93"/>
      <c r="S826" s="85"/>
      <c r="U826" s="94"/>
      <c r="V826" s="93"/>
      <c r="W826" s="85"/>
      <c r="Y826" s="94"/>
      <c r="Z826" s="93"/>
      <c r="AA826" s="85"/>
      <c r="AC826" s="94"/>
      <c r="AD826" s="93"/>
      <c r="AE826" s="85"/>
    </row>
    <row r="827" spans="7:31" x14ac:dyDescent="0.35">
      <c r="G827" s="85"/>
      <c r="H827" s="87"/>
      <c r="I827" s="94"/>
      <c r="J827" s="93"/>
      <c r="K827" s="85"/>
      <c r="M827" s="94"/>
      <c r="N827" s="93"/>
      <c r="O827" s="85"/>
      <c r="Q827" s="94"/>
      <c r="R827" s="93"/>
      <c r="S827" s="85"/>
      <c r="U827" s="94"/>
      <c r="V827" s="93"/>
      <c r="W827" s="85"/>
      <c r="Y827" s="94"/>
      <c r="Z827" s="93"/>
      <c r="AA827" s="85"/>
      <c r="AC827" s="94"/>
      <c r="AD827" s="93"/>
      <c r="AE827" s="85"/>
    </row>
    <row r="828" spans="7:31" x14ac:dyDescent="0.35">
      <c r="G828" s="85"/>
      <c r="H828" s="87"/>
      <c r="I828" s="94"/>
      <c r="J828" s="93"/>
      <c r="K828" s="85"/>
      <c r="M828" s="94"/>
      <c r="N828" s="93"/>
      <c r="O828" s="85"/>
      <c r="Q828" s="94"/>
      <c r="R828" s="93"/>
      <c r="S828" s="85"/>
      <c r="U828" s="94"/>
      <c r="V828" s="93"/>
      <c r="W828" s="85"/>
      <c r="Y828" s="94"/>
      <c r="Z828" s="93"/>
      <c r="AA828" s="85"/>
      <c r="AC828" s="94"/>
      <c r="AD828" s="93"/>
      <c r="AE828" s="85"/>
    </row>
    <row r="829" spans="7:31" x14ac:dyDescent="0.35">
      <c r="G829" s="85"/>
      <c r="H829" s="87"/>
      <c r="I829" s="94"/>
      <c r="J829" s="93"/>
      <c r="K829" s="85"/>
      <c r="M829" s="94"/>
      <c r="N829" s="93"/>
      <c r="O829" s="85"/>
      <c r="Q829" s="94"/>
      <c r="R829" s="93"/>
      <c r="S829" s="85"/>
      <c r="U829" s="94"/>
      <c r="V829" s="93"/>
      <c r="W829" s="85"/>
      <c r="Y829" s="94"/>
      <c r="Z829" s="93"/>
      <c r="AA829" s="85"/>
      <c r="AC829" s="94"/>
      <c r="AD829" s="93"/>
      <c r="AE829" s="85"/>
    </row>
    <row r="830" spans="7:31" x14ac:dyDescent="0.35">
      <c r="G830" s="85"/>
      <c r="H830" s="87"/>
      <c r="I830" s="94"/>
      <c r="J830" s="93"/>
      <c r="K830" s="85"/>
      <c r="M830" s="94"/>
      <c r="N830" s="93"/>
      <c r="O830" s="85"/>
      <c r="Q830" s="94"/>
      <c r="R830" s="93"/>
      <c r="S830" s="85"/>
      <c r="U830" s="94"/>
      <c r="V830" s="93"/>
      <c r="W830" s="85"/>
      <c r="Y830" s="94"/>
      <c r="Z830" s="93"/>
      <c r="AA830" s="85"/>
      <c r="AC830" s="94"/>
      <c r="AD830" s="93"/>
      <c r="AE830" s="85"/>
    </row>
    <row r="831" spans="7:31" x14ac:dyDescent="0.35">
      <c r="G831" s="85"/>
      <c r="H831" s="87"/>
      <c r="I831" s="94"/>
      <c r="J831" s="93"/>
      <c r="K831" s="85"/>
      <c r="M831" s="94"/>
      <c r="N831" s="93"/>
      <c r="O831" s="85"/>
      <c r="Q831" s="94"/>
      <c r="R831" s="93"/>
      <c r="S831" s="85"/>
      <c r="U831" s="94"/>
      <c r="V831" s="93"/>
      <c r="W831" s="85"/>
      <c r="Y831" s="94"/>
      <c r="Z831" s="93"/>
      <c r="AA831" s="85"/>
      <c r="AC831" s="94"/>
      <c r="AD831" s="93"/>
      <c r="AE831" s="85"/>
    </row>
    <row r="832" spans="7:31" x14ac:dyDescent="0.35">
      <c r="G832" s="85"/>
      <c r="H832" s="87"/>
      <c r="I832" s="94"/>
      <c r="J832" s="93"/>
      <c r="K832" s="85"/>
      <c r="M832" s="94"/>
      <c r="N832" s="93"/>
      <c r="O832" s="85"/>
      <c r="Q832" s="94"/>
      <c r="R832" s="93"/>
      <c r="S832" s="85"/>
      <c r="U832" s="94"/>
      <c r="V832" s="93"/>
      <c r="W832" s="85"/>
      <c r="Y832" s="94"/>
      <c r="Z832" s="93"/>
      <c r="AA832" s="85"/>
      <c r="AC832" s="94"/>
      <c r="AD832" s="93"/>
      <c r="AE832" s="85"/>
    </row>
    <row r="833" spans="7:31" x14ac:dyDescent="0.35">
      <c r="G833" s="85"/>
      <c r="H833" s="87"/>
      <c r="I833" s="94"/>
      <c r="J833" s="93"/>
      <c r="K833" s="85"/>
      <c r="M833" s="94"/>
      <c r="N833" s="93"/>
      <c r="O833" s="85"/>
      <c r="Q833" s="94"/>
      <c r="R833" s="93"/>
      <c r="S833" s="85"/>
      <c r="U833" s="94"/>
      <c r="V833" s="93"/>
      <c r="W833" s="85"/>
      <c r="Y833" s="94"/>
      <c r="Z833" s="93"/>
      <c r="AA833" s="85"/>
      <c r="AC833" s="94"/>
      <c r="AD833" s="93"/>
      <c r="AE833" s="85"/>
    </row>
    <row r="834" spans="7:31" x14ac:dyDescent="0.35">
      <c r="G834" s="85"/>
      <c r="H834" s="87"/>
      <c r="I834" s="94"/>
      <c r="J834" s="93"/>
      <c r="K834" s="85"/>
      <c r="M834" s="94"/>
      <c r="N834" s="93"/>
      <c r="O834" s="85"/>
      <c r="Q834" s="94"/>
      <c r="R834" s="93"/>
      <c r="S834" s="85"/>
      <c r="U834" s="94"/>
      <c r="V834" s="93"/>
      <c r="W834" s="85"/>
      <c r="Y834" s="94"/>
      <c r="Z834" s="93"/>
      <c r="AA834" s="85"/>
      <c r="AC834" s="94"/>
      <c r="AD834" s="93"/>
      <c r="AE834" s="85"/>
    </row>
    <row r="835" spans="7:31" x14ac:dyDescent="0.35">
      <c r="G835" s="85"/>
      <c r="H835" s="87"/>
      <c r="I835" s="94"/>
      <c r="J835" s="93"/>
      <c r="K835" s="85"/>
      <c r="M835" s="94"/>
      <c r="N835" s="93"/>
      <c r="O835" s="85"/>
      <c r="Q835" s="94"/>
      <c r="R835" s="93"/>
      <c r="S835" s="85"/>
      <c r="U835" s="94"/>
      <c r="V835" s="93"/>
      <c r="W835" s="85"/>
      <c r="Y835" s="94"/>
      <c r="Z835" s="93"/>
      <c r="AA835" s="85"/>
      <c r="AC835" s="94"/>
      <c r="AD835" s="93"/>
      <c r="AE835" s="85"/>
    </row>
    <row r="836" spans="7:31" x14ac:dyDescent="0.35">
      <c r="G836" s="85"/>
      <c r="H836" s="87"/>
      <c r="I836" s="94"/>
      <c r="J836" s="93"/>
      <c r="K836" s="85"/>
      <c r="M836" s="94"/>
      <c r="N836" s="93"/>
      <c r="O836" s="85"/>
      <c r="Q836" s="94"/>
      <c r="R836" s="93"/>
      <c r="S836" s="85"/>
      <c r="U836" s="94"/>
      <c r="V836" s="93"/>
      <c r="W836" s="85"/>
      <c r="Y836" s="94"/>
      <c r="Z836" s="93"/>
      <c r="AA836" s="85"/>
      <c r="AC836" s="94"/>
      <c r="AD836" s="93"/>
      <c r="AE836" s="85"/>
    </row>
    <row r="837" spans="7:31" x14ac:dyDescent="0.35">
      <c r="G837" s="85"/>
      <c r="H837" s="87"/>
      <c r="I837" s="94"/>
      <c r="J837" s="93"/>
      <c r="K837" s="85"/>
      <c r="M837" s="94"/>
      <c r="N837" s="93"/>
      <c r="O837" s="85"/>
      <c r="Q837" s="94"/>
      <c r="R837" s="93"/>
      <c r="S837" s="85"/>
      <c r="U837" s="94"/>
      <c r="V837" s="93"/>
      <c r="W837" s="85"/>
      <c r="Y837" s="94"/>
      <c r="Z837" s="93"/>
      <c r="AA837" s="85"/>
      <c r="AC837" s="94"/>
      <c r="AD837" s="93"/>
      <c r="AE837" s="85"/>
    </row>
    <row r="838" spans="7:31" x14ac:dyDescent="0.35">
      <c r="G838" s="85"/>
      <c r="H838" s="87"/>
      <c r="I838" s="94"/>
      <c r="J838" s="93"/>
      <c r="K838" s="85"/>
      <c r="M838" s="94"/>
      <c r="N838" s="93"/>
      <c r="O838" s="85"/>
      <c r="Q838" s="94"/>
      <c r="R838" s="93"/>
      <c r="S838" s="85"/>
      <c r="U838" s="94"/>
      <c r="V838" s="93"/>
      <c r="W838" s="85"/>
      <c r="Y838" s="94"/>
      <c r="Z838" s="93"/>
      <c r="AA838" s="85"/>
      <c r="AC838" s="94"/>
      <c r="AD838" s="93"/>
      <c r="AE838" s="85"/>
    </row>
    <row r="839" spans="7:31" x14ac:dyDescent="0.35">
      <c r="G839" s="85"/>
      <c r="H839" s="87"/>
      <c r="I839" s="94"/>
      <c r="J839" s="93"/>
      <c r="K839" s="85"/>
      <c r="M839" s="94"/>
      <c r="N839" s="93"/>
      <c r="O839" s="85"/>
      <c r="Q839" s="94"/>
      <c r="R839" s="93"/>
      <c r="S839" s="85"/>
      <c r="U839" s="94"/>
      <c r="V839" s="93"/>
      <c r="W839" s="85"/>
      <c r="Y839" s="94"/>
      <c r="Z839" s="93"/>
      <c r="AA839" s="85"/>
      <c r="AC839" s="94"/>
      <c r="AD839" s="93"/>
      <c r="AE839" s="85"/>
    </row>
    <row r="840" spans="7:31" x14ac:dyDescent="0.35">
      <c r="G840" s="85"/>
      <c r="H840" s="87"/>
      <c r="I840" s="94"/>
      <c r="J840" s="93"/>
      <c r="K840" s="85"/>
      <c r="M840" s="94"/>
      <c r="N840" s="93"/>
      <c r="O840" s="85"/>
      <c r="Q840" s="94"/>
      <c r="R840" s="93"/>
      <c r="S840" s="85"/>
      <c r="U840" s="94"/>
      <c r="V840" s="93"/>
      <c r="W840" s="85"/>
      <c r="Y840" s="94"/>
      <c r="Z840" s="93"/>
      <c r="AA840" s="85"/>
      <c r="AC840" s="94"/>
      <c r="AD840" s="93"/>
      <c r="AE840" s="85"/>
    </row>
    <row r="841" spans="7:31" x14ac:dyDescent="0.35">
      <c r="G841" s="85"/>
      <c r="H841" s="87"/>
      <c r="I841" s="94"/>
      <c r="J841" s="93"/>
      <c r="K841" s="85"/>
      <c r="M841" s="94"/>
      <c r="N841" s="93"/>
      <c r="O841" s="85"/>
      <c r="Q841" s="94"/>
      <c r="R841" s="93"/>
      <c r="S841" s="85"/>
      <c r="U841" s="94"/>
      <c r="V841" s="93"/>
      <c r="W841" s="85"/>
      <c r="Y841" s="94"/>
      <c r="Z841" s="93"/>
      <c r="AA841" s="85"/>
      <c r="AC841" s="94"/>
      <c r="AD841" s="93"/>
      <c r="AE841" s="85"/>
    </row>
    <row r="842" spans="7:31" x14ac:dyDescent="0.35">
      <c r="G842" s="85"/>
      <c r="H842" s="87"/>
      <c r="I842" s="94"/>
      <c r="J842" s="93"/>
      <c r="K842" s="85"/>
      <c r="M842" s="94"/>
      <c r="N842" s="93"/>
      <c r="O842" s="85"/>
      <c r="Q842" s="94"/>
      <c r="R842" s="93"/>
      <c r="S842" s="85"/>
      <c r="U842" s="94"/>
      <c r="V842" s="93"/>
      <c r="W842" s="85"/>
      <c r="Y842" s="94"/>
      <c r="Z842" s="93"/>
      <c r="AA842" s="85"/>
      <c r="AC842" s="94"/>
      <c r="AD842" s="93"/>
      <c r="AE842" s="85"/>
    </row>
    <row r="843" spans="7:31" x14ac:dyDescent="0.35">
      <c r="G843" s="85"/>
      <c r="H843" s="87"/>
      <c r="I843" s="94"/>
      <c r="J843" s="93"/>
      <c r="K843" s="85"/>
      <c r="M843" s="94"/>
      <c r="N843" s="93"/>
      <c r="O843" s="85"/>
      <c r="Q843" s="94"/>
      <c r="R843" s="93"/>
      <c r="S843" s="85"/>
      <c r="U843" s="94"/>
      <c r="V843" s="93"/>
      <c r="W843" s="85"/>
      <c r="Y843" s="94"/>
      <c r="Z843" s="93"/>
      <c r="AA843" s="85"/>
      <c r="AC843" s="94"/>
      <c r="AD843" s="93"/>
      <c r="AE843" s="85"/>
    </row>
    <row r="844" spans="7:31" x14ac:dyDescent="0.35">
      <c r="G844" s="85"/>
      <c r="H844" s="87"/>
      <c r="I844" s="94"/>
      <c r="J844" s="93"/>
      <c r="K844" s="85"/>
      <c r="M844" s="94"/>
      <c r="N844" s="93"/>
      <c r="O844" s="85"/>
      <c r="Q844" s="94"/>
      <c r="R844" s="93"/>
      <c r="S844" s="85"/>
      <c r="U844" s="94"/>
      <c r="V844" s="93"/>
      <c r="W844" s="85"/>
      <c r="Y844" s="94"/>
      <c r="Z844" s="93"/>
      <c r="AA844" s="85"/>
      <c r="AC844" s="94"/>
      <c r="AD844" s="93"/>
      <c r="AE844" s="85"/>
    </row>
    <row r="845" spans="7:31" x14ac:dyDescent="0.35">
      <c r="G845" s="85"/>
      <c r="H845" s="87"/>
      <c r="I845" s="94"/>
      <c r="J845" s="93"/>
      <c r="K845" s="85"/>
      <c r="M845" s="94"/>
      <c r="N845" s="93"/>
      <c r="O845" s="85"/>
      <c r="Q845" s="94"/>
      <c r="R845" s="93"/>
      <c r="S845" s="85"/>
      <c r="U845" s="94"/>
      <c r="V845" s="93"/>
      <c r="W845" s="85"/>
      <c r="Y845" s="94"/>
      <c r="Z845" s="93"/>
      <c r="AA845" s="85"/>
      <c r="AC845" s="94"/>
      <c r="AD845" s="93"/>
      <c r="AE845" s="85"/>
    </row>
    <row r="846" spans="7:31" x14ac:dyDescent="0.35">
      <c r="G846" s="85"/>
      <c r="H846" s="87"/>
      <c r="I846" s="94"/>
      <c r="J846" s="93"/>
      <c r="K846" s="85"/>
      <c r="M846" s="94"/>
      <c r="N846" s="93"/>
      <c r="O846" s="85"/>
      <c r="Q846" s="94"/>
      <c r="R846" s="93"/>
      <c r="S846" s="85"/>
      <c r="U846" s="94"/>
      <c r="V846" s="93"/>
      <c r="W846" s="85"/>
      <c r="Y846" s="94"/>
      <c r="Z846" s="93"/>
      <c r="AA846" s="85"/>
      <c r="AC846" s="94"/>
      <c r="AD846" s="93"/>
      <c r="AE846" s="85"/>
    </row>
    <row r="847" spans="7:31" x14ac:dyDescent="0.35">
      <c r="G847" s="85"/>
      <c r="H847" s="87"/>
      <c r="I847" s="94"/>
      <c r="J847" s="93"/>
      <c r="K847" s="85"/>
      <c r="M847" s="94"/>
      <c r="N847" s="93"/>
      <c r="O847" s="85"/>
      <c r="Q847" s="94"/>
      <c r="R847" s="93"/>
      <c r="S847" s="85"/>
      <c r="U847" s="94"/>
      <c r="V847" s="93"/>
      <c r="W847" s="85"/>
      <c r="Y847" s="94"/>
      <c r="Z847" s="93"/>
      <c r="AA847" s="85"/>
      <c r="AC847" s="94"/>
      <c r="AD847" s="93"/>
      <c r="AE847" s="85"/>
    </row>
    <row r="848" spans="7:31" x14ac:dyDescent="0.35">
      <c r="G848" s="85"/>
      <c r="H848" s="87"/>
      <c r="I848" s="94"/>
      <c r="J848" s="93"/>
      <c r="K848" s="85"/>
      <c r="M848" s="94"/>
      <c r="N848" s="93"/>
      <c r="O848" s="85"/>
      <c r="Q848" s="94"/>
      <c r="R848" s="93"/>
      <c r="S848" s="85"/>
      <c r="U848" s="94"/>
      <c r="V848" s="93"/>
      <c r="W848" s="85"/>
      <c r="Y848" s="94"/>
      <c r="Z848" s="93"/>
      <c r="AA848" s="85"/>
      <c r="AC848" s="94"/>
      <c r="AD848" s="93"/>
      <c r="AE848" s="85"/>
    </row>
    <row r="849" spans="7:31" x14ac:dyDescent="0.35">
      <c r="G849" s="85"/>
      <c r="H849" s="87"/>
      <c r="I849" s="94"/>
      <c r="J849" s="93"/>
      <c r="K849" s="85"/>
      <c r="M849" s="94"/>
      <c r="N849" s="93"/>
      <c r="O849" s="85"/>
      <c r="Q849" s="94"/>
      <c r="R849" s="93"/>
      <c r="S849" s="85"/>
      <c r="U849" s="94"/>
      <c r="V849" s="93"/>
      <c r="W849" s="85"/>
      <c r="Y849" s="94"/>
      <c r="Z849" s="93"/>
      <c r="AA849" s="85"/>
      <c r="AC849" s="94"/>
      <c r="AD849" s="93"/>
      <c r="AE849" s="85"/>
    </row>
    <row r="850" spans="7:31" x14ac:dyDescent="0.35">
      <c r="G850" s="85"/>
      <c r="H850" s="87"/>
      <c r="I850" s="94"/>
      <c r="J850" s="93"/>
      <c r="K850" s="85"/>
      <c r="M850" s="94"/>
      <c r="N850" s="93"/>
      <c r="O850" s="85"/>
      <c r="Q850" s="94"/>
      <c r="R850" s="93"/>
      <c r="S850" s="85"/>
      <c r="U850" s="94"/>
      <c r="V850" s="93"/>
      <c r="W850" s="85"/>
      <c r="Y850" s="94"/>
      <c r="Z850" s="93"/>
      <c r="AA850" s="85"/>
      <c r="AC850" s="94"/>
      <c r="AD850" s="93"/>
      <c r="AE850" s="85"/>
    </row>
    <row r="851" spans="7:31" x14ac:dyDescent="0.35">
      <c r="G851" s="85"/>
      <c r="H851" s="87"/>
      <c r="I851" s="94"/>
      <c r="J851" s="93"/>
      <c r="K851" s="85"/>
      <c r="M851" s="94"/>
      <c r="N851" s="93"/>
      <c r="O851" s="85"/>
      <c r="Q851" s="94"/>
      <c r="R851" s="93"/>
      <c r="S851" s="85"/>
      <c r="U851" s="94"/>
      <c r="V851" s="93"/>
      <c r="W851" s="85"/>
      <c r="Y851" s="94"/>
      <c r="Z851" s="93"/>
      <c r="AA851" s="85"/>
      <c r="AC851" s="94"/>
      <c r="AD851" s="93"/>
      <c r="AE851" s="85"/>
    </row>
    <row r="852" spans="7:31" x14ac:dyDescent="0.35">
      <c r="G852" s="85"/>
      <c r="H852" s="87"/>
      <c r="I852" s="94"/>
      <c r="J852" s="93"/>
      <c r="K852" s="85"/>
      <c r="M852" s="94"/>
      <c r="N852" s="93"/>
      <c r="O852" s="85"/>
      <c r="Q852" s="94"/>
      <c r="R852" s="93"/>
      <c r="S852" s="85"/>
      <c r="U852" s="94"/>
      <c r="V852" s="93"/>
      <c r="W852" s="85"/>
      <c r="Y852" s="94"/>
      <c r="Z852" s="93"/>
      <c r="AA852" s="85"/>
      <c r="AC852" s="94"/>
      <c r="AD852" s="93"/>
      <c r="AE852" s="85"/>
    </row>
    <row r="853" spans="7:31" x14ac:dyDescent="0.35">
      <c r="G853" s="85"/>
      <c r="H853" s="87"/>
      <c r="I853" s="94"/>
      <c r="J853" s="93"/>
      <c r="K853" s="85"/>
      <c r="M853" s="94"/>
      <c r="N853" s="93"/>
      <c r="O853" s="85"/>
      <c r="Q853" s="94"/>
      <c r="R853" s="93"/>
      <c r="S853" s="85"/>
      <c r="U853" s="94"/>
      <c r="V853" s="93"/>
      <c r="W853" s="85"/>
      <c r="Y853" s="94"/>
      <c r="Z853" s="93"/>
      <c r="AA853" s="85"/>
      <c r="AC853" s="94"/>
      <c r="AD853" s="93"/>
      <c r="AE853" s="85"/>
    </row>
    <row r="854" spans="7:31" x14ac:dyDescent="0.35">
      <c r="G854" s="85"/>
      <c r="H854" s="87"/>
      <c r="I854" s="94"/>
      <c r="J854" s="93"/>
      <c r="K854" s="85"/>
      <c r="M854" s="94"/>
      <c r="N854" s="93"/>
      <c r="O854" s="85"/>
      <c r="Q854" s="94"/>
      <c r="R854" s="93"/>
      <c r="S854" s="85"/>
      <c r="U854" s="94"/>
      <c r="V854" s="93"/>
      <c r="W854" s="85"/>
      <c r="Y854" s="94"/>
      <c r="Z854" s="93"/>
      <c r="AA854" s="85"/>
      <c r="AC854" s="94"/>
      <c r="AD854" s="93"/>
      <c r="AE854" s="85"/>
    </row>
    <row r="855" spans="7:31" x14ac:dyDescent="0.35">
      <c r="G855" s="85"/>
      <c r="H855" s="87"/>
      <c r="I855" s="94"/>
      <c r="J855" s="93"/>
      <c r="K855" s="85"/>
      <c r="M855" s="94"/>
      <c r="N855" s="93"/>
      <c r="O855" s="85"/>
      <c r="Q855" s="94"/>
      <c r="R855" s="93"/>
      <c r="S855" s="85"/>
      <c r="U855" s="94"/>
      <c r="V855" s="93"/>
      <c r="W855" s="85"/>
      <c r="Y855" s="94"/>
      <c r="Z855" s="93"/>
      <c r="AA855" s="85"/>
      <c r="AC855" s="94"/>
      <c r="AD855" s="93"/>
      <c r="AE855" s="85"/>
    </row>
    <row r="856" spans="7:31" x14ac:dyDescent="0.35">
      <c r="G856" s="85"/>
      <c r="H856" s="87"/>
      <c r="I856" s="94"/>
      <c r="J856" s="93"/>
      <c r="K856" s="85"/>
      <c r="M856" s="94"/>
      <c r="N856" s="93"/>
      <c r="O856" s="85"/>
      <c r="Q856" s="94"/>
      <c r="R856" s="93"/>
      <c r="S856" s="85"/>
      <c r="U856" s="94"/>
      <c r="V856" s="93"/>
      <c r="W856" s="85"/>
      <c r="Y856" s="94"/>
      <c r="Z856" s="93"/>
      <c r="AA856" s="85"/>
      <c r="AC856" s="94"/>
      <c r="AD856" s="93"/>
      <c r="AE856" s="85"/>
    </row>
    <row r="857" spans="7:31" x14ac:dyDescent="0.35">
      <c r="G857" s="85"/>
      <c r="H857" s="87"/>
      <c r="I857" s="94"/>
      <c r="J857" s="93"/>
      <c r="K857" s="85"/>
      <c r="M857" s="94"/>
      <c r="N857" s="93"/>
      <c r="O857" s="85"/>
      <c r="Q857" s="94"/>
      <c r="R857" s="93"/>
      <c r="S857" s="85"/>
      <c r="U857" s="94"/>
      <c r="V857" s="93"/>
      <c r="W857" s="85"/>
      <c r="Y857" s="94"/>
      <c r="Z857" s="93"/>
      <c r="AA857" s="85"/>
      <c r="AC857" s="94"/>
      <c r="AD857" s="93"/>
      <c r="AE857" s="85"/>
    </row>
    <row r="858" spans="7:31" x14ac:dyDescent="0.35">
      <c r="G858" s="85"/>
      <c r="H858" s="87"/>
      <c r="I858" s="94"/>
      <c r="J858" s="93"/>
      <c r="K858" s="85"/>
      <c r="M858" s="94"/>
      <c r="N858" s="93"/>
      <c r="O858" s="85"/>
      <c r="Q858" s="94"/>
      <c r="R858" s="93"/>
      <c r="S858" s="85"/>
      <c r="U858" s="94"/>
      <c r="V858" s="93"/>
      <c r="W858" s="85"/>
      <c r="Y858" s="94"/>
      <c r="Z858" s="93"/>
      <c r="AA858" s="85"/>
      <c r="AC858" s="94"/>
      <c r="AD858" s="93"/>
      <c r="AE858" s="85"/>
    </row>
    <row r="859" spans="7:31" x14ac:dyDescent="0.35">
      <c r="G859" s="85"/>
      <c r="H859" s="87"/>
      <c r="I859" s="94"/>
      <c r="J859" s="93"/>
      <c r="K859" s="85"/>
      <c r="M859" s="94"/>
      <c r="N859" s="93"/>
      <c r="O859" s="85"/>
      <c r="Q859" s="94"/>
      <c r="R859" s="93"/>
      <c r="S859" s="85"/>
      <c r="U859" s="94"/>
      <c r="V859" s="93"/>
      <c r="W859" s="85"/>
      <c r="Y859" s="94"/>
      <c r="Z859" s="93"/>
      <c r="AA859" s="85"/>
      <c r="AC859" s="94"/>
      <c r="AD859" s="93"/>
      <c r="AE859" s="85"/>
    </row>
    <row r="860" spans="7:31" x14ac:dyDescent="0.35">
      <c r="G860" s="85"/>
      <c r="H860" s="87"/>
      <c r="I860" s="94"/>
      <c r="J860" s="93"/>
      <c r="K860" s="85"/>
      <c r="M860" s="94"/>
      <c r="N860" s="93"/>
      <c r="O860" s="85"/>
      <c r="Q860" s="94"/>
      <c r="R860" s="93"/>
      <c r="S860" s="85"/>
      <c r="U860" s="94"/>
      <c r="V860" s="93"/>
      <c r="W860" s="85"/>
      <c r="Y860" s="94"/>
      <c r="Z860" s="93"/>
      <c r="AA860" s="85"/>
      <c r="AC860" s="94"/>
      <c r="AD860" s="93"/>
      <c r="AE860" s="85"/>
    </row>
    <row r="861" spans="7:31" x14ac:dyDescent="0.35">
      <c r="G861" s="85"/>
      <c r="H861" s="87"/>
      <c r="I861" s="94"/>
      <c r="J861" s="93"/>
      <c r="K861" s="85"/>
      <c r="M861" s="94"/>
      <c r="N861" s="93"/>
      <c r="O861" s="85"/>
      <c r="Q861" s="94"/>
      <c r="R861" s="93"/>
      <c r="S861" s="85"/>
      <c r="U861" s="94"/>
      <c r="V861" s="93"/>
      <c r="W861" s="85"/>
      <c r="Y861" s="94"/>
      <c r="Z861" s="93"/>
      <c r="AA861" s="85"/>
      <c r="AC861" s="94"/>
      <c r="AD861" s="93"/>
      <c r="AE861" s="85"/>
    </row>
    <row r="862" spans="7:31" x14ac:dyDescent="0.35">
      <c r="G862" s="85"/>
      <c r="H862" s="87"/>
      <c r="I862" s="94"/>
      <c r="J862" s="93"/>
      <c r="K862" s="85"/>
      <c r="M862" s="94"/>
      <c r="N862" s="93"/>
      <c r="O862" s="85"/>
      <c r="Q862" s="94"/>
      <c r="R862" s="93"/>
      <c r="S862" s="85"/>
      <c r="U862" s="94"/>
      <c r="V862" s="93"/>
      <c r="W862" s="85"/>
      <c r="Y862" s="94"/>
      <c r="Z862" s="93"/>
      <c r="AA862" s="85"/>
      <c r="AC862" s="94"/>
      <c r="AD862" s="93"/>
      <c r="AE862" s="85"/>
    </row>
    <row r="863" spans="7:31" x14ac:dyDescent="0.35">
      <c r="G863" s="85"/>
      <c r="H863" s="87"/>
      <c r="I863" s="94"/>
      <c r="J863" s="93"/>
      <c r="K863" s="85"/>
      <c r="M863" s="94"/>
      <c r="N863" s="93"/>
      <c r="O863" s="85"/>
      <c r="Q863" s="94"/>
      <c r="R863" s="93"/>
      <c r="S863" s="85"/>
      <c r="U863" s="94"/>
      <c r="V863" s="93"/>
      <c r="W863" s="85"/>
      <c r="Y863" s="94"/>
      <c r="Z863" s="93"/>
      <c r="AA863" s="85"/>
      <c r="AC863" s="94"/>
      <c r="AD863" s="93"/>
      <c r="AE863" s="85"/>
    </row>
    <row r="864" spans="7:31" x14ac:dyDescent="0.35">
      <c r="G864" s="85"/>
      <c r="H864" s="87"/>
      <c r="I864" s="94"/>
      <c r="J864" s="93"/>
      <c r="K864" s="85"/>
      <c r="M864" s="94"/>
      <c r="N864" s="93"/>
      <c r="O864" s="85"/>
      <c r="Q864" s="94"/>
      <c r="R864" s="93"/>
      <c r="S864" s="85"/>
      <c r="U864" s="94"/>
      <c r="V864" s="93"/>
      <c r="W864" s="85"/>
      <c r="Y864" s="94"/>
      <c r="Z864" s="93"/>
      <c r="AA864" s="85"/>
      <c r="AC864" s="94"/>
      <c r="AD864" s="93"/>
      <c r="AE864" s="85"/>
    </row>
    <row r="865" spans="7:31" x14ac:dyDescent="0.35">
      <c r="G865" s="85"/>
      <c r="H865" s="87"/>
      <c r="I865" s="94"/>
      <c r="J865" s="93"/>
      <c r="K865" s="85"/>
      <c r="M865" s="94"/>
      <c r="N865" s="93"/>
      <c r="O865" s="85"/>
      <c r="Q865" s="94"/>
      <c r="R865" s="93"/>
      <c r="S865" s="85"/>
      <c r="U865" s="94"/>
      <c r="V865" s="93"/>
      <c r="W865" s="85"/>
      <c r="Y865" s="94"/>
      <c r="Z865" s="93"/>
      <c r="AA865" s="85"/>
      <c r="AC865" s="94"/>
      <c r="AD865" s="93"/>
      <c r="AE865" s="85"/>
    </row>
    <row r="866" spans="7:31" x14ac:dyDescent="0.35">
      <c r="G866" s="85"/>
      <c r="H866" s="87"/>
      <c r="I866" s="94"/>
      <c r="J866" s="93"/>
      <c r="K866" s="85"/>
      <c r="M866" s="94"/>
      <c r="N866" s="93"/>
      <c r="O866" s="85"/>
      <c r="Q866" s="94"/>
      <c r="R866" s="93"/>
      <c r="S866" s="85"/>
      <c r="U866" s="94"/>
      <c r="V866" s="93"/>
      <c r="W866" s="85"/>
      <c r="Y866" s="94"/>
      <c r="Z866" s="93"/>
      <c r="AA866" s="85"/>
      <c r="AC866" s="94"/>
      <c r="AD866" s="93"/>
      <c r="AE866" s="85"/>
    </row>
    <row r="867" spans="7:31" x14ac:dyDescent="0.35">
      <c r="G867" s="85"/>
      <c r="H867" s="87"/>
      <c r="I867" s="94"/>
      <c r="J867" s="93"/>
      <c r="K867" s="85"/>
      <c r="M867" s="94"/>
      <c r="N867" s="93"/>
      <c r="O867" s="85"/>
      <c r="Q867" s="94"/>
      <c r="R867" s="93"/>
      <c r="S867" s="85"/>
      <c r="U867" s="94"/>
      <c r="V867" s="93"/>
      <c r="W867" s="85"/>
      <c r="Y867" s="94"/>
      <c r="Z867" s="93"/>
      <c r="AA867" s="85"/>
      <c r="AC867" s="94"/>
      <c r="AD867" s="93"/>
      <c r="AE867" s="85"/>
    </row>
    <row r="868" spans="7:31" x14ac:dyDescent="0.35">
      <c r="G868" s="85"/>
      <c r="H868" s="87"/>
      <c r="I868" s="94"/>
      <c r="J868" s="93"/>
      <c r="K868" s="85"/>
      <c r="M868" s="94"/>
      <c r="N868" s="93"/>
      <c r="O868" s="85"/>
      <c r="Q868" s="94"/>
      <c r="R868" s="93"/>
      <c r="S868" s="85"/>
      <c r="U868" s="94"/>
      <c r="V868" s="93"/>
      <c r="W868" s="85"/>
      <c r="Y868" s="94"/>
      <c r="Z868" s="93"/>
      <c r="AA868" s="85"/>
      <c r="AC868" s="94"/>
      <c r="AD868" s="93"/>
      <c r="AE868" s="85"/>
    </row>
    <row r="869" spans="7:31" x14ac:dyDescent="0.35">
      <c r="G869" s="85"/>
      <c r="H869" s="87"/>
      <c r="I869" s="94"/>
      <c r="J869" s="93"/>
      <c r="K869" s="85"/>
      <c r="M869" s="94"/>
      <c r="N869" s="93"/>
      <c r="O869" s="85"/>
      <c r="Q869" s="94"/>
      <c r="R869" s="93"/>
      <c r="S869" s="85"/>
      <c r="U869" s="94"/>
      <c r="V869" s="93"/>
      <c r="W869" s="85"/>
      <c r="Y869" s="94"/>
      <c r="Z869" s="93"/>
      <c r="AA869" s="85"/>
      <c r="AC869" s="94"/>
      <c r="AD869" s="93"/>
      <c r="AE869" s="85"/>
    </row>
    <row r="870" spans="7:31" x14ac:dyDescent="0.35">
      <c r="G870" s="85"/>
      <c r="H870" s="87"/>
      <c r="I870" s="94"/>
      <c r="J870" s="93"/>
      <c r="K870" s="85"/>
      <c r="M870" s="94"/>
      <c r="N870" s="93"/>
      <c r="O870" s="85"/>
      <c r="Q870" s="94"/>
      <c r="R870" s="93"/>
      <c r="S870" s="85"/>
      <c r="U870" s="94"/>
      <c r="V870" s="93"/>
      <c r="W870" s="85"/>
      <c r="Y870" s="94"/>
      <c r="Z870" s="93"/>
      <c r="AA870" s="85"/>
      <c r="AC870" s="94"/>
      <c r="AD870" s="93"/>
      <c r="AE870" s="85"/>
    </row>
    <row r="871" spans="7:31" x14ac:dyDescent="0.35">
      <c r="G871" s="85"/>
      <c r="H871" s="87"/>
      <c r="I871" s="94"/>
      <c r="J871" s="93"/>
      <c r="K871" s="85"/>
      <c r="M871" s="94"/>
      <c r="N871" s="93"/>
      <c r="O871" s="85"/>
      <c r="Q871" s="94"/>
      <c r="R871" s="93"/>
      <c r="S871" s="85"/>
      <c r="U871" s="94"/>
      <c r="V871" s="93"/>
      <c r="W871" s="85"/>
      <c r="Y871" s="94"/>
      <c r="Z871" s="93"/>
      <c r="AA871" s="85"/>
      <c r="AC871" s="94"/>
      <c r="AD871" s="93"/>
      <c r="AE871" s="85"/>
    </row>
    <row r="872" spans="7:31" x14ac:dyDescent="0.35">
      <c r="G872" s="85"/>
      <c r="H872" s="87"/>
      <c r="I872" s="94"/>
      <c r="J872" s="93"/>
      <c r="K872" s="85"/>
      <c r="M872" s="94"/>
      <c r="N872" s="93"/>
      <c r="O872" s="85"/>
      <c r="Q872" s="94"/>
      <c r="R872" s="93"/>
      <c r="S872" s="85"/>
      <c r="U872" s="94"/>
      <c r="V872" s="93"/>
      <c r="W872" s="85"/>
      <c r="Y872" s="94"/>
      <c r="Z872" s="93"/>
      <c r="AA872" s="85"/>
      <c r="AC872" s="94"/>
      <c r="AD872" s="93"/>
      <c r="AE872" s="85"/>
    </row>
    <row r="873" spans="7:31" x14ac:dyDescent="0.35">
      <c r="G873" s="85"/>
      <c r="H873" s="87"/>
      <c r="I873" s="94"/>
      <c r="J873" s="93"/>
      <c r="K873" s="85"/>
      <c r="M873" s="94"/>
      <c r="N873" s="93"/>
      <c r="O873" s="85"/>
      <c r="Q873" s="94"/>
      <c r="R873" s="93"/>
      <c r="S873" s="85"/>
      <c r="U873" s="94"/>
      <c r="V873" s="93"/>
      <c r="W873" s="85"/>
      <c r="Y873" s="94"/>
      <c r="Z873" s="93"/>
      <c r="AA873" s="85"/>
      <c r="AC873" s="94"/>
      <c r="AD873" s="93"/>
      <c r="AE873" s="85"/>
    </row>
    <row r="874" spans="7:31" x14ac:dyDescent="0.35">
      <c r="G874" s="85"/>
      <c r="H874" s="87"/>
      <c r="I874" s="94"/>
      <c r="J874" s="93"/>
      <c r="K874" s="85"/>
      <c r="M874" s="94"/>
      <c r="N874" s="93"/>
      <c r="O874" s="85"/>
      <c r="Q874" s="94"/>
      <c r="R874" s="93"/>
      <c r="S874" s="85"/>
      <c r="U874" s="94"/>
      <c r="V874" s="93"/>
      <c r="W874" s="85"/>
      <c r="Y874" s="94"/>
      <c r="Z874" s="93"/>
      <c r="AA874" s="85"/>
      <c r="AC874" s="94"/>
      <c r="AD874" s="93"/>
      <c r="AE874" s="85"/>
    </row>
    <row r="875" spans="7:31" x14ac:dyDescent="0.35">
      <c r="G875" s="85"/>
      <c r="H875" s="87"/>
      <c r="I875" s="94"/>
      <c r="J875" s="93"/>
      <c r="K875" s="85"/>
      <c r="M875" s="94"/>
      <c r="N875" s="93"/>
      <c r="O875" s="85"/>
      <c r="Q875" s="94"/>
      <c r="R875" s="93"/>
      <c r="S875" s="85"/>
      <c r="U875" s="94"/>
      <c r="V875" s="93"/>
      <c r="W875" s="85"/>
      <c r="Y875" s="94"/>
      <c r="Z875" s="93"/>
      <c r="AA875" s="85"/>
      <c r="AC875" s="94"/>
      <c r="AD875" s="93"/>
      <c r="AE875" s="85"/>
    </row>
    <row r="876" spans="7:31" x14ac:dyDescent="0.35">
      <c r="G876" s="85"/>
      <c r="H876" s="87"/>
      <c r="I876" s="94"/>
      <c r="J876" s="93"/>
      <c r="K876" s="85"/>
      <c r="M876" s="94"/>
      <c r="N876" s="93"/>
      <c r="O876" s="85"/>
      <c r="Q876" s="94"/>
      <c r="R876" s="93"/>
      <c r="S876" s="85"/>
      <c r="U876" s="94"/>
      <c r="V876" s="93"/>
      <c r="W876" s="85"/>
      <c r="Y876" s="94"/>
      <c r="Z876" s="93"/>
      <c r="AA876" s="85"/>
      <c r="AC876" s="94"/>
      <c r="AD876" s="93"/>
      <c r="AE876" s="85"/>
    </row>
    <row r="877" spans="7:31" x14ac:dyDescent="0.35">
      <c r="G877" s="85"/>
      <c r="H877" s="87"/>
      <c r="I877" s="94"/>
      <c r="J877" s="93"/>
      <c r="K877" s="85"/>
      <c r="M877" s="94"/>
      <c r="N877" s="93"/>
      <c r="O877" s="85"/>
      <c r="Q877" s="94"/>
      <c r="R877" s="93"/>
      <c r="S877" s="85"/>
      <c r="U877" s="94"/>
      <c r="V877" s="93"/>
      <c r="W877" s="85"/>
      <c r="Y877" s="94"/>
      <c r="Z877" s="93"/>
      <c r="AA877" s="85"/>
      <c r="AC877" s="94"/>
      <c r="AD877" s="93"/>
      <c r="AE877" s="85"/>
    </row>
    <row r="878" spans="7:31" x14ac:dyDescent="0.35">
      <c r="G878" s="85"/>
      <c r="H878" s="87"/>
      <c r="I878" s="94"/>
      <c r="J878" s="93"/>
      <c r="K878" s="85"/>
      <c r="M878" s="94"/>
      <c r="N878" s="93"/>
      <c r="O878" s="85"/>
      <c r="Q878" s="94"/>
      <c r="R878" s="93"/>
      <c r="S878" s="85"/>
      <c r="U878" s="94"/>
      <c r="V878" s="93"/>
      <c r="W878" s="85"/>
      <c r="Y878" s="94"/>
      <c r="Z878" s="93"/>
      <c r="AA878" s="85"/>
      <c r="AC878" s="94"/>
      <c r="AD878" s="93"/>
      <c r="AE878" s="85"/>
    </row>
    <row r="879" spans="7:31" x14ac:dyDescent="0.35">
      <c r="G879" s="85"/>
      <c r="H879" s="87"/>
      <c r="I879" s="94"/>
      <c r="J879" s="93"/>
      <c r="K879" s="85"/>
      <c r="M879" s="94"/>
      <c r="N879" s="93"/>
      <c r="O879" s="85"/>
      <c r="Q879" s="94"/>
      <c r="R879" s="93"/>
      <c r="S879" s="85"/>
      <c r="U879" s="94"/>
      <c r="V879" s="93"/>
      <c r="W879" s="85"/>
      <c r="Y879" s="94"/>
      <c r="Z879" s="93"/>
      <c r="AA879" s="85"/>
      <c r="AC879" s="94"/>
      <c r="AD879" s="93"/>
      <c r="AE879" s="85"/>
    </row>
    <row r="880" spans="7:31" x14ac:dyDescent="0.35">
      <c r="G880" s="85"/>
      <c r="H880" s="87"/>
      <c r="I880" s="94"/>
      <c r="J880" s="93"/>
      <c r="K880" s="85"/>
      <c r="M880" s="94"/>
      <c r="N880" s="93"/>
      <c r="O880" s="85"/>
      <c r="Q880" s="94"/>
      <c r="R880" s="93"/>
      <c r="S880" s="85"/>
      <c r="U880" s="94"/>
      <c r="V880" s="93"/>
      <c r="W880" s="85"/>
      <c r="Y880" s="94"/>
      <c r="Z880" s="93"/>
      <c r="AA880" s="85"/>
      <c r="AC880" s="94"/>
      <c r="AD880" s="93"/>
      <c r="AE880" s="85"/>
    </row>
    <row r="881" spans="7:31" x14ac:dyDescent="0.35">
      <c r="G881" s="85"/>
      <c r="H881" s="87"/>
      <c r="I881" s="94"/>
      <c r="J881" s="93"/>
      <c r="K881" s="85"/>
      <c r="M881" s="94"/>
      <c r="N881" s="93"/>
      <c r="O881" s="85"/>
      <c r="Q881" s="94"/>
      <c r="R881" s="93"/>
      <c r="S881" s="85"/>
      <c r="U881" s="94"/>
      <c r="V881" s="93"/>
      <c r="W881" s="85"/>
      <c r="Y881" s="94"/>
      <c r="Z881" s="93"/>
      <c r="AA881" s="85"/>
      <c r="AC881" s="94"/>
      <c r="AD881" s="93"/>
      <c r="AE881" s="85"/>
    </row>
    <row r="882" spans="7:31" x14ac:dyDescent="0.35">
      <c r="G882" s="85"/>
      <c r="H882" s="87"/>
      <c r="I882" s="94"/>
      <c r="J882" s="93"/>
      <c r="K882" s="85"/>
      <c r="M882" s="94"/>
      <c r="N882" s="93"/>
      <c r="O882" s="85"/>
      <c r="Q882" s="94"/>
      <c r="R882" s="93"/>
      <c r="S882" s="85"/>
      <c r="U882" s="94"/>
      <c r="V882" s="93"/>
      <c r="W882" s="85"/>
      <c r="Y882" s="94"/>
      <c r="Z882" s="93"/>
      <c r="AA882" s="85"/>
      <c r="AC882" s="94"/>
      <c r="AD882" s="93"/>
      <c r="AE882" s="85"/>
    </row>
    <row r="883" spans="7:31" x14ac:dyDescent="0.35">
      <c r="G883" s="85"/>
      <c r="H883" s="87"/>
      <c r="I883" s="94"/>
      <c r="J883" s="93"/>
      <c r="K883" s="85"/>
      <c r="M883" s="94"/>
      <c r="N883" s="93"/>
      <c r="O883" s="85"/>
      <c r="Q883" s="94"/>
      <c r="R883" s="93"/>
      <c r="S883" s="85"/>
      <c r="U883" s="94"/>
      <c r="V883" s="93"/>
      <c r="W883" s="85"/>
      <c r="Y883" s="94"/>
      <c r="Z883" s="93"/>
      <c r="AA883" s="85"/>
      <c r="AC883" s="94"/>
      <c r="AD883" s="93"/>
      <c r="AE883" s="85"/>
    </row>
    <row r="884" spans="7:31" x14ac:dyDescent="0.35">
      <c r="G884" s="85"/>
      <c r="H884" s="87"/>
      <c r="I884" s="94"/>
      <c r="J884" s="93"/>
      <c r="K884" s="85"/>
      <c r="M884" s="94"/>
      <c r="N884" s="93"/>
      <c r="O884" s="85"/>
      <c r="Q884" s="94"/>
      <c r="R884" s="93"/>
      <c r="S884" s="85"/>
      <c r="U884" s="94"/>
      <c r="V884" s="93"/>
      <c r="W884" s="85"/>
      <c r="Y884" s="94"/>
      <c r="Z884" s="93"/>
      <c r="AA884" s="85"/>
      <c r="AC884" s="94"/>
      <c r="AD884" s="93"/>
      <c r="AE884" s="85"/>
    </row>
    <row r="885" spans="7:31" x14ac:dyDescent="0.35">
      <c r="G885" s="85"/>
      <c r="H885" s="87"/>
      <c r="I885" s="94"/>
      <c r="J885" s="93"/>
      <c r="K885" s="85"/>
      <c r="M885" s="94"/>
      <c r="N885" s="93"/>
      <c r="O885" s="85"/>
      <c r="Q885" s="94"/>
      <c r="R885" s="93"/>
      <c r="S885" s="85"/>
      <c r="U885" s="94"/>
      <c r="V885" s="93"/>
      <c r="W885" s="85"/>
      <c r="Y885" s="94"/>
      <c r="Z885" s="93"/>
      <c r="AA885" s="85"/>
      <c r="AC885" s="94"/>
      <c r="AD885" s="93"/>
      <c r="AE885" s="85"/>
    </row>
    <row r="886" spans="7:31" x14ac:dyDescent="0.35">
      <c r="G886" s="85"/>
      <c r="H886" s="87"/>
      <c r="I886" s="94"/>
      <c r="J886" s="93"/>
      <c r="K886" s="85"/>
      <c r="M886" s="94"/>
      <c r="N886" s="93"/>
      <c r="O886" s="85"/>
      <c r="Q886" s="94"/>
      <c r="R886" s="93"/>
      <c r="S886" s="85"/>
      <c r="U886" s="94"/>
      <c r="V886" s="93"/>
      <c r="W886" s="85"/>
      <c r="Y886" s="94"/>
      <c r="Z886" s="93"/>
      <c r="AA886" s="85"/>
      <c r="AC886" s="94"/>
      <c r="AD886" s="93"/>
      <c r="AE886" s="85"/>
    </row>
    <row r="887" spans="7:31" x14ac:dyDescent="0.35">
      <c r="G887" s="85"/>
      <c r="H887" s="87"/>
      <c r="I887" s="94"/>
      <c r="J887" s="93"/>
      <c r="K887" s="85"/>
      <c r="M887" s="94"/>
      <c r="N887" s="93"/>
      <c r="O887" s="85"/>
      <c r="Q887" s="94"/>
      <c r="R887" s="93"/>
      <c r="S887" s="85"/>
      <c r="U887" s="94"/>
      <c r="V887" s="93"/>
      <c r="W887" s="85"/>
      <c r="Y887" s="94"/>
      <c r="Z887" s="93"/>
      <c r="AA887" s="85"/>
      <c r="AC887" s="94"/>
      <c r="AD887" s="93"/>
      <c r="AE887" s="85"/>
    </row>
    <row r="888" spans="7:31" x14ac:dyDescent="0.35">
      <c r="G888" s="85"/>
      <c r="H888" s="87"/>
      <c r="I888" s="94"/>
      <c r="J888" s="93"/>
      <c r="K888" s="85"/>
      <c r="M888" s="94"/>
      <c r="N888" s="93"/>
      <c r="O888" s="85"/>
      <c r="Q888" s="94"/>
      <c r="R888" s="93"/>
      <c r="S888" s="85"/>
      <c r="U888" s="94"/>
      <c r="V888" s="93"/>
      <c r="W888" s="85"/>
      <c r="Y888" s="94"/>
      <c r="Z888" s="93"/>
      <c r="AA888" s="85"/>
      <c r="AC888" s="94"/>
      <c r="AD888" s="93"/>
      <c r="AE888" s="85"/>
    </row>
    <row r="889" spans="7:31" x14ac:dyDescent="0.35">
      <c r="G889" s="85"/>
      <c r="H889" s="87"/>
      <c r="I889" s="94"/>
      <c r="J889" s="93"/>
      <c r="K889" s="85"/>
      <c r="M889" s="94"/>
      <c r="N889" s="93"/>
      <c r="O889" s="85"/>
      <c r="Q889" s="94"/>
      <c r="R889" s="93"/>
      <c r="S889" s="85"/>
      <c r="U889" s="94"/>
      <c r="V889" s="93"/>
      <c r="W889" s="85"/>
      <c r="Y889" s="94"/>
      <c r="Z889" s="93"/>
      <c r="AA889" s="85"/>
      <c r="AC889" s="94"/>
      <c r="AD889" s="93"/>
      <c r="AE889" s="85"/>
    </row>
    <row r="890" spans="7:31" x14ac:dyDescent="0.35">
      <c r="G890" s="85"/>
      <c r="H890" s="87"/>
      <c r="I890" s="94"/>
      <c r="J890" s="93"/>
      <c r="K890" s="85"/>
      <c r="M890" s="94"/>
      <c r="N890" s="93"/>
      <c r="O890" s="85"/>
      <c r="Q890" s="94"/>
      <c r="R890" s="93"/>
      <c r="S890" s="85"/>
      <c r="U890" s="94"/>
      <c r="V890" s="93"/>
      <c r="W890" s="85"/>
      <c r="Y890" s="94"/>
      <c r="Z890" s="93"/>
      <c r="AA890" s="85"/>
      <c r="AC890" s="94"/>
      <c r="AD890" s="93"/>
      <c r="AE890" s="85"/>
    </row>
    <row r="891" spans="7:31" x14ac:dyDescent="0.35">
      <c r="G891" s="85"/>
      <c r="H891" s="87"/>
      <c r="I891" s="94"/>
      <c r="J891" s="93"/>
      <c r="K891" s="85"/>
      <c r="M891" s="94"/>
      <c r="N891" s="93"/>
      <c r="O891" s="85"/>
      <c r="Q891" s="94"/>
      <c r="R891" s="93"/>
      <c r="S891" s="85"/>
      <c r="U891" s="94"/>
      <c r="V891" s="93"/>
      <c r="W891" s="85"/>
      <c r="Y891" s="94"/>
      <c r="Z891" s="93"/>
      <c r="AA891" s="85"/>
      <c r="AC891" s="94"/>
      <c r="AD891" s="93"/>
      <c r="AE891" s="85"/>
    </row>
    <row r="892" spans="7:31" x14ac:dyDescent="0.35">
      <c r="G892" s="85"/>
      <c r="H892" s="87"/>
      <c r="I892" s="94"/>
      <c r="J892" s="93"/>
      <c r="K892" s="85"/>
      <c r="M892" s="94"/>
      <c r="N892" s="93"/>
      <c r="O892" s="85"/>
      <c r="Q892" s="94"/>
      <c r="R892" s="93"/>
      <c r="S892" s="85"/>
      <c r="U892" s="94"/>
      <c r="V892" s="93"/>
      <c r="W892" s="85"/>
      <c r="Y892" s="94"/>
      <c r="Z892" s="93"/>
      <c r="AA892" s="85"/>
      <c r="AC892" s="94"/>
      <c r="AD892" s="93"/>
      <c r="AE892" s="85"/>
    </row>
    <row r="893" spans="7:31" x14ac:dyDescent="0.35">
      <c r="G893" s="85"/>
      <c r="H893" s="87"/>
      <c r="I893" s="94"/>
      <c r="J893" s="93"/>
      <c r="K893" s="85"/>
      <c r="M893" s="94"/>
      <c r="N893" s="93"/>
      <c r="O893" s="85"/>
      <c r="Q893" s="94"/>
      <c r="R893" s="93"/>
      <c r="S893" s="85"/>
      <c r="U893" s="94"/>
      <c r="V893" s="93"/>
      <c r="W893" s="85"/>
      <c r="Y893" s="94"/>
      <c r="Z893" s="93"/>
      <c r="AA893" s="85"/>
      <c r="AC893" s="94"/>
      <c r="AD893" s="93"/>
      <c r="AE893" s="85"/>
    </row>
    <row r="894" spans="7:31" x14ac:dyDescent="0.35">
      <c r="G894" s="85"/>
      <c r="H894" s="87"/>
      <c r="I894" s="94"/>
      <c r="J894" s="93"/>
      <c r="K894" s="85"/>
      <c r="M894" s="94"/>
      <c r="N894" s="93"/>
      <c r="O894" s="85"/>
      <c r="Q894" s="94"/>
      <c r="R894" s="93"/>
      <c r="S894" s="85"/>
      <c r="U894" s="94"/>
      <c r="V894" s="93"/>
      <c r="W894" s="85"/>
      <c r="Y894" s="94"/>
      <c r="Z894" s="93"/>
      <c r="AA894" s="85"/>
      <c r="AC894" s="94"/>
      <c r="AD894" s="93"/>
      <c r="AE894" s="85"/>
    </row>
    <row r="895" spans="7:31" x14ac:dyDescent="0.35">
      <c r="G895" s="85"/>
      <c r="H895" s="87"/>
      <c r="I895" s="94"/>
      <c r="J895" s="93"/>
      <c r="K895" s="85"/>
      <c r="M895" s="94"/>
      <c r="N895" s="93"/>
      <c r="O895" s="85"/>
      <c r="Q895" s="94"/>
      <c r="R895" s="93"/>
      <c r="S895" s="85"/>
      <c r="U895" s="94"/>
      <c r="V895" s="93"/>
      <c r="W895" s="85"/>
      <c r="Y895" s="94"/>
      <c r="Z895" s="93"/>
      <c r="AA895" s="85"/>
      <c r="AC895" s="94"/>
      <c r="AD895" s="93"/>
      <c r="AE895" s="85"/>
    </row>
    <row r="896" spans="7:31" x14ac:dyDescent="0.35">
      <c r="G896" s="85"/>
      <c r="H896" s="87"/>
      <c r="I896" s="94"/>
      <c r="J896" s="93"/>
      <c r="K896" s="85"/>
      <c r="M896" s="94"/>
      <c r="N896" s="93"/>
      <c r="O896" s="85"/>
      <c r="Q896" s="94"/>
      <c r="R896" s="93"/>
      <c r="S896" s="85"/>
      <c r="U896" s="94"/>
      <c r="V896" s="93"/>
      <c r="W896" s="85"/>
      <c r="Y896" s="94"/>
      <c r="Z896" s="93"/>
      <c r="AA896" s="85"/>
      <c r="AC896" s="94"/>
      <c r="AD896" s="93"/>
      <c r="AE896" s="85"/>
    </row>
    <row r="897" spans="7:31" x14ac:dyDescent="0.35">
      <c r="G897" s="85"/>
      <c r="H897" s="87"/>
      <c r="I897" s="94"/>
      <c r="J897" s="93"/>
      <c r="K897" s="85"/>
      <c r="M897" s="94"/>
      <c r="N897" s="93"/>
      <c r="O897" s="85"/>
      <c r="Q897" s="94"/>
      <c r="R897" s="93"/>
      <c r="S897" s="85"/>
      <c r="U897" s="94"/>
      <c r="V897" s="93"/>
      <c r="W897" s="85"/>
      <c r="Y897" s="94"/>
      <c r="Z897" s="93"/>
      <c r="AA897" s="85"/>
      <c r="AC897" s="94"/>
      <c r="AD897" s="93"/>
      <c r="AE897" s="85"/>
    </row>
    <row r="898" spans="7:31" x14ac:dyDescent="0.35">
      <c r="G898" s="85"/>
      <c r="H898" s="87"/>
      <c r="I898" s="94"/>
      <c r="J898" s="93"/>
      <c r="K898" s="85"/>
      <c r="M898" s="94"/>
      <c r="N898" s="93"/>
      <c r="O898" s="85"/>
      <c r="Q898" s="94"/>
      <c r="R898" s="93"/>
      <c r="S898" s="85"/>
      <c r="U898" s="94"/>
      <c r="V898" s="93"/>
      <c r="W898" s="85"/>
      <c r="Y898" s="94"/>
      <c r="Z898" s="93"/>
      <c r="AA898" s="85"/>
      <c r="AC898" s="94"/>
      <c r="AD898" s="93"/>
      <c r="AE898" s="85"/>
    </row>
    <row r="899" spans="7:31" x14ac:dyDescent="0.35">
      <c r="G899" s="85"/>
      <c r="H899" s="87"/>
      <c r="I899" s="94"/>
      <c r="J899" s="93"/>
      <c r="K899" s="85"/>
      <c r="M899" s="94"/>
      <c r="N899" s="93"/>
      <c r="O899" s="85"/>
      <c r="Q899" s="94"/>
      <c r="R899" s="93"/>
      <c r="S899" s="85"/>
      <c r="U899" s="94"/>
      <c r="V899" s="93"/>
      <c r="W899" s="85"/>
      <c r="Y899" s="94"/>
      <c r="Z899" s="93"/>
      <c r="AA899" s="85"/>
      <c r="AC899" s="94"/>
      <c r="AD899" s="93"/>
      <c r="AE899" s="85"/>
    </row>
    <row r="900" spans="7:31" x14ac:dyDescent="0.35">
      <c r="G900" s="85"/>
      <c r="H900" s="87"/>
      <c r="I900" s="94"/>
      <c r="J900" s="93"/>
      <c r="K900" s="85"/>
      <c r="M900" s="94"/>
      <c r="N900" s="93"/>
      <c r="O900" s="85"/>
      <c r="Q900" s="94"/>
      <c r="R900" s="93"/>
      <c r="S900" s="85"/>
      <c r="U900" s="94"/>
      <c r="V900" s="93"/>
      <c r="W900" s="85"/>
      <c r="Y900" s="94"/>
      <c r="Z900" s="93"/>
      <c r="AA900" s="85"/>
      <c r="AC900" s="94"/>
      <c r="AD900" s="93"/>
      <c r="AE900" s="85"/>
    </row>
    <row r="901" spans="7:31" x14ac:dyDescent="0.35">
      <c r="G901" s="85"/>
      <c r="H901" s="87"/>
      <c r="I901" s="94"/>
      <c r="J901" s="93"/>
      <c r="K901" s="85"/>
      <c r="M901" s="94"/>
      <c r="N901" s="93"/>
      <c r="O901" s="85"/>
      <c r="Q901" s="94"/>
      <c r="R901" s="93"/>
      <c r="S901" s="85"/>
      <c r="U901" s="94"/>
      <c r="V901" s="93"/>
      <c r="W901" s="85"/>
      <c r="Y901" s="94"/>
      <c r="Z901" s="93"/>
      <c r="AA901" s="85"/>
      <c r="AC901" s="94"/>
      <c r="AD901" s="93"/>
      <c r="AE901" s="85"/>
    </row>
    <row r="902" spans="7:31" x14ac:dyDescent="0.35">
      <c r="G902" s="85"/>
      <c r="H902" s="87"/>
      <c r="I902" s="94"/>
      <c r="J902" s="93"/>
      <c r="K902" s="85"/>
      <c r="M902" s="94"/>
      <c r="N902" s="93"/>
      <c r="O902" s="85"/>
      <c r="Q902" s="94"/>
      <c r="R902" s="93"/>
      <c r="S902" s="85"/>
      <c r="U902" s="94"/>
      <c r="V902" s="93"/>
      <c r="W902" s="85"/>
      <c r="Y902" s="94"/>
      <c r="Z902" s="93"/>
      <c r="AA902" s="85"/>
      <c r="AC902" s="94"/>
      <c r="AD902" s="93"/>
      <c r="AE902" s="85"/>
    </row>
    <row r="903" spans="7:31" x14ac:dyDescent="0.35">
      <c r="G903" s="85"/>
      <c r="H903" s="87"/>
      <c r="I903" s="94"/>
      <c r="J903" s="93"/>
      <c r="K903" s="85"/>
      <c r="M903" s="94"/>
      <c r="N903" s="93"/>
      <c r="O903" s="85"/>
      <c r="Q903" s="94"/>
      <c r="R903" s="93"/>
      <c r="S903" s="85"/>
      <c r="U903" s="94"/>
      <c r="V903" s="93"/>
      <c r="W903" s="85"/>
      <c r="Y903" s="94"/>
      <c r="Z903" s="93"/>
      <c r="AA903" s="85"/>
      <c r="AC903" s="94"/>
      <c r="AD903" s="93"/>
      <c r="AE903" s="85"/>
    </row>
    <row r="904" spans="7:31" x14ac:dyDescent="0.35">
      <c r="G904" s="85"/>
      <c r="H904" s="87"/>
      <c r="I904" s="94"/>
      <c r="J904" s="93"/>
      <c r="K904" s="85"/>
      <c r="M904" s="94"/>
      <c r="N904" s="93"/>
      <c r="O904" s="85"/>
      <c r="Q904" s="94"/>
      <c r="R904" s="93"/>
      <c r="S904" s="85"/>
      <c r="U904" s="94"/>
      <c r="V904" s="93"/>
      <c r="W904" s="85"/>
      <c r="Y904" s="94"/>
      <c r="Z904" s="93"/>
      <c r="AA904" s="85"/>
      <c r="AC904" s="94"/>
      <c r="AD904" s="93"/>
      <c r="AE904" s="85"/>
    </row>
    <row r="905" spans="7:31" x14ac:dyDescent="0.35">
      <c r="G905" s="85"/>
      <c r="H905" s="87"/>
      <c r="I905" s="94"/>
      <c r="J905" s="93"/>
      <c r="K905" s="85"/>
      <c r="M905" s="94"/>
      <c r="N905" s="93"/>
      <c r="O905" s="85"/>
      <c r="Q905" s="94"/>
      <c r="R905" s="93"/>
      <c r="S905" s="85"/>
      <c r="U905" s="94"/>
      <c r="V905" s="93"/>
      <c r="W905" s="85"/>
      <c r="Y905" s="94"/>
      <c r="Z905" s="93"/>
      <c r="AA905" s="85"/>
      <c r="AC905" s="94"/>
      <c r="AD905" s="93"/>
      <c r="AE905" s="85"/>
    </row>
    <row r="906" spans="7:31" x14ac:dyDescent="0.35">
      <c r="G906" s="85"/>
      <c r="H906" s="87"/>
      <c r="I906" s="94"/>
      <c r="J906" s="93"/>
      <c r="K906" s="85"/>
      <c r="M906" s="94"/>
      <c r="N906" s="93"/>
      <c r="O906" s="85"/>
      <c r="Q906" s="94"/>
      <c r="R906" s="93"/>
      <c r="S906" s="85"/>
      <c r="U906" s="94"/>
      <c r="V906" s="93"/>
      <c r="W906" s="85"/>
      <c r="Y906" s="94"/>
      <c r="Z906" s="93"/>
      <c r="AA906" s="85"/>
      <c r="AC906" s="94"/>
      <c r="AD906" s="93"/>
      <c r="AE906" s="85"/>
    </row>
    <row r="907" spans="7:31" x14ac:dyDescent="0.35">
      <c r="G907" s="85"/>
      <c r="H907" s="87"/>
      <c r="I907" s="94"/>
      <c r="J907" s="93"/>
      <c r="K907" s="85"/>
      <c r="M907" s="94"/>
      <c r="N907" s="93"/>
      <c r="O907" s="85"/>
      <c r="Q907" s="94"/>
      <c r="R907" s="93"/>
      <c r="S907" s="85"/>
      <c r="U907" s="94"/>
      <c r="V907" s="93"/>
      <c r="W907" s="85"/>
      <c r="Y907" s="94"/>
      <c r="Z907" s="93"/>
      <c r="AA907" s="85"/>
      <c r="AC907" s="94"/>
      <c r="AD907" s="93"/>
      <c r="AE907" s="85"/>
    </row>
    <row r="908" spans="7:31" x14ac:dyDescent="0.35">
      <c r="G908" s="85"/>
      <c r="H908" s="87"/>
      <c r="I908" s="94"/>
      <c r="J908" s="93"/>
      <c r="K908" s="85"/>
      <c r="M908" s="94"/>
      <c r="N908" s="93"/>
      <c r="O908" s="85"/>
      <c r="Q908" s="94"/>
      <c r="R908" s="93"/>
      <c r="S908" s="85"/>
      <c r="U908" s="94"/>
      <c r="V908" s="93"/>
      <c r="W908" s="85"/>
      <c r="Y908" s="94"/>
      <c r="Z908" s="93"/>
      <c r="AA908" s="85"/>
      <c r="AC908" s="94"/>
      <c r="AD908" s="93"/>
      <c r="AE908" s="85"/>
    </row>
    <row r="909" spans="7:31" x14ac:dyDescent="0.35">
      <c r="G909" s="85"/>
      <c r="H909" s="87"/>
      <c r="I909" s="94"/>
      <c r="J909" s="93"/>
      <c r="K909" s="85"/>
      <c r="M909" s="94"/>
      <c r="N909" s="93"/>
      <c r="O909" s="85"/>
      <c r="Q909" s="94"/>
      <c r="R909" s="93"/>
      <c r="S909" s="85"/>
      <c r="U909" s="94"/>
      <c r="V909" s="93"/>
      <c r="W909" s="85"/>
      <c r="Y909" s="94"/>
      <c r="Z909" s="93"/>
      <c r="AA909" s="85"/>
      <c r="AC909" s="94"/>
      <c r="AD909" s="93"/>
      <c r="AE909" s="85"/>
    </row>
    <row r="910" spans="7:31" x14ac:dyDescent="0.35">
      <c r="G910" s="85"/>
      <c r="H910" s="87"/>
      <c r="I910" s="94"/>
      <c r="J910" s="93"/>
      <c r="K910" s="85"/>
      <c r="M910" s="94"/>
      <c r="N910" s="93"/>
      <c r="O910" s="85"/>
      <c r="Q910" s="94"/>
      <c r="R910" s="93"/>
      <c r="S910" s="85"/>
      <c r="U910" s="94"/>
      <c r="V910" s="93"/>
      <c r="W910" s="85"/>
      <c r="Y910" s="94"/>
      <c r="Z910" s="93"/>
      <c r="AA910" s="85"/>
      <c r="AC910" s="94"/>
      <c r="AD910" s="93"/>
      <c r="AE910" s="85"/>
    </row>
    <row r="911" spans="7:31" x14ac:dyDescent="0.35">
      <c r="G911" s="85"/>
      <c r="H911" s="87"/>
      <c r="I911" s="94"/>
      <c r="J911" s="93"/>
      <c r="K911" s="85"/>
      <c r="M911" s="94"/>
      <c r="N911" s="93"/>
      <c r="O911" s="85"/>
      <c r="Q911" s="94"/>
      <c r="R911" s="93"/>
      <c r="S911" s="85"/>
      <c r="U911" s="94"/>
      <c r="V911" s="93"/>
      <c r="W911" s="85"/>
      <c r="Y911" s="94"/>
      <c r="Z911" s="93"/>
      <c r="AA911" s="85"/>
      <c r="AC911" s="94"/>
      <c r="AD911" s="93"/>
      <c r="AE911" s="85"/>
    </row>
    <row r="912" spans="7:31" x14ac:dyDescent="0.35">
      <c r="G912" s="85"/>
      <c r="H912" s="87"/>
      <c r="I912" s="94"/>
      <c r="J912" s="93"/>
      <c r="K912" s="85"/>
      <c r="M912" s="94"/>
      <c r="N912" s="93"/>
      <c r="O912" s="85"/>
      <c r="Q912" s="94"/>
      <c r="R912" s="93"/>
      <c r="S912" s="85"/>
      <c r="U912" s="94"/>
      <c r="V912" s="93"/>
      <c r="W912" s="85"/>
      <c r="Y912" s="94"/>
      <c r="Z912" s="93"/>
      <c r="AA912" s="85"/>
      <c r="AC912" s="94"/>
      <c r="AD912" s="93"/>
      <c r="AE912" s="85"/>
    </row>
    <row r="913" spans="7:31" x14ac:dyDescent="0.35">
      <c r="G913" s="85"/>
      <c r="H913" s="87"/>
      <c r="I913" s="94"/>
      <c r="J913" s="93"/>
      <c r="K913" s="85"/>
      <c r="M913" s="94"/>
      <c r="N913" s="93"/>
      <c r="O913" s="85"/>
      <c r="Q913" s="94"/>
      <c r="R913" s="93"/>
      <c r="S913" s="85"/>
      <c r="U913" s="94"/>
      <c r="V913" s="93"/>
      <c r="W913" s="85"/>
      <c r="Y913" s="94"/>
      <c r="Z913" s="93"/>
      <c r="AA913" s="85"/>
      <c r="AC913" s="94"/>
      <c r="AD913" s="93"/>
      <c r="AE913" s="85"/>
    </row>
    <row r="914" spans="7:31" x14ac:dyDescent="0.35">
      <c r="G914" s="85"/>
      <c r="H914" s="87"/>
      <c r="I914" s="94"/>
      <c r="J914" s="93"/>
      <c r="K914" s="85"/>
      <c r="M914" s="94"/>
      <c r="N914" s="93"/>
      <c r="O914" s="85"/>
      <c r="Q914" s="94"/>
      <c r="R914" s="93"/>
      <c r="S914" s="85"/>
      <c r="U914" s="94"/>
      <c r="V914" s="93"/>
      <c r="W914" s="85"/>
      <c r="Y914" s="94"/>
      <c r="Z914" s="93"/>
      <c r="AA914" s="85"/>
      <c r="AC914" s="94"/>
      <c r="AD914" s="93"/>
      <c r="AE914" s="85"/>
    </row>
    <row r="915" spans="7:31" x14ac:dyDescent="0.35">
      <c r="G915" s="85"/>
      <c r="H915" s="87"/>
      <c r="I915" s="94"/>
      <c r="J915" s="93"/>
      <c r="K915" s="85"/>
      <c r="M915" s="94"/>
      <c r="N915" s="93"/>
      <c r="O915" s="85"/>
      <c r="Q915" s="94"/>
      <c r="R915" s="93"/>
      <c r="S915" s="85"/>
      <c r="U915" s="94"/>
      <c r="V915" s="93"/>
      <c r="W915" s="85"/>
      <c r="Y915" s="94"/>
      <c r="Z915" s="93"/>
      <c r="AA915" s="85"/>
      <c r="AC915" s="94"/>
      <c r="AD915" s="93"/>
      <c r="AE915" s="85"/>
    </row>
    <row r="916" spans="7:31" x14ac:dyDescent="0.35">
      <c r="G916" s="85"/>
      <c r="H916" s="87"/>
      <c r="I916" s="94"/>
      <c r="J916" s="93"/>
      <c r="K916" s="85"/>
      <c r="M916" s="94"/>
      <c r="N916" s="93"/>
      <c r="O916" s="85"/>
      <c r="Q916" s="94"/>
      <c r="R916" s="93"/>
      <c r="S916" s="85"/>
      <c r="U916" s="94"/>
      <c r="V916" s="93"/>
      <c r="W916" s="85"/>
      <c r="Y916" s="94"/>
      <c r="Z916" s="93"/>
      <c r="AA916" s="85"/>
      <c r="AC916" s="94"/>
      <c r="AD916" s="93"/>
      <c r="AE916" s="85"/>
    </row>
    <row r="917" spans="7:31" x14ac:dyDescent="0.35">
      <c r="G917" s="85"/>
      <c r="H917" s="87"/>
      <c r="I917" s="94"/>
      <c r="J917" s="93"/>
      <c r="K917" s="85"/>
      <c r="M917" s="94"/>
      <c r="N917" s="93"/>
      <c r="O917" s="85"/>
      <c r="Q917" s="94"/>
      <c r="R917" s="93"/>
      <c r="S917" s="85"/>
      <c r="U917" s="94"/>
      <c r="V917" s="93"/>
      <c r="W917" s="85"/>
      <c r="Y917" s="94"/>
      <c r="Z917" s="93"/>
      <c r="AA917" s="85"/>
      <c r="AC917" s="94"/>
      <c r="AD917" s="93"/>
      <c r="AE917" s="85"/>
    </row>
    <row r="918" spans="7:31" x14ac:dyDescent="0.35">
      <c r="G918" s="85"/>
      <c r="H918" s="87"/>
      <c r="I918" s="94"/>
      <c r="J918" s="93"/>
      <c r="K918" s="85"/>
      <c r="M918" s="94"/>
      <c r="N918" s="93"/>
      <c r="O918" s="85"/>
      <c r="Q918" s="94"/>
      <c r="R918" s="93"/>
      <c r="S918" s="85"/>
      <c r="U918" s="94"/>
      <c r="V918" s="93"/>
      <c r="W918" s="85"/>
      <c r="Y918" s="94"/>
      <c r="Z918" s="93"/>
      <c r="AA918" s="85"/>
      <c r="AC918" s="94"/>
      <c r="AD918" s="93"/>
      <c r="AE918" s="85"/>
    </row>
    <row r="919" spans="7:31" x14ac:dyDescent="0.35">
      <c r="G919" s="85"/>
      <c r="H919" s="87"/>
      <c r="I919" s="94"/>
      <c r="J919" s="93"/>
      <c r="K919" s="85"/>
      <c r="M919" s="94"/>
      <c r="N919" s="93"/>
      <c r="O919" s="85"/>
      <c r="Q919" s="94"/>
      <c r="R919" s="93"/>
      <c r="S919" s="85"/>
      <c r="U919" s="94"/>
      <c r="V919" s="93"/>
      <c r="W919" s="85"/>
      <c r="Y919" s="94"/>
      <c r="Z919" s="93"/>
      <c r="AA919" s="85"/>
      <c r="AC919" s="94"/>
      <c r="AD919" s="93"/>
      <c r="AE919" s="85"/>
    </row>
    <row r="920" spans="7:31" x14ac:dyDescent="0.35">
      <c r="G920" s="85"/>
      <c r="H920" s="87"/>
      <c r="I920" s="94"/>
      <c r="J920" s="93"/>
      <c r="K920" s="85"/>
      <c r="M920" s="94"/>
      <c r="N920" s="93"/>
      <c r="O920" s="85"/>
      <c r="Q920" s="94"/>
      <c r="R920" s="93"/>
      <c r="S920" s="85"/>
      <c r="U920" s="94"/>
      <c r="V920" s="93"/>
      <c r="W920" s="85"/>
      <c r="Y920" s="94"/>
      <c r="Z920" s="93"/>
      <c r="AA920" s="85"/>
      <c r="AC920" s="94"/>
      <c r="AD920" s="93"/>
      <c r="AE920" s="85"/>
    </row>
    <row r="921" spans="7:31" x14ac:dyDescent="0.35">
      <c r="G921" s="85"/>
      <c r="H921" s="87"/>
      <c r="I921" s="94"/>
      <c r="J921" s="93"/>
      <c r="K921" s="85"/>
      <c r="M921" s="94"/>
      <c r="N921" s="93"/>
      <c r="O921" s="85"/>
      <c r="Q921" s="94"/>
      <c r="R921" s="93"/>
      <c r="S921" s="85"/>
      <c r="U921" s="94"/>
      <c r="V921" s="93"/>
      <c r="W921" s="85"/>
      <c r="Y921" s="94"/>
      <c r="Z921" s="93"/>
      <c r="AA921" s="85"/>
      <c r="AC921" s="94"/>
      <c r="AD921" s="93"/>
      <c r="AE921" s="85"/>
    </row>
    <row r="922" spans="7:31" x14ac:dyDescent="0.35">
      <c r="G922" s="85"/>
      <c r="H922" s="87"/>
      <c r="I922" s="94"/>
      <c r="J922" s="93"/>
      <c r="K922" s="85"/>
      <c r="M922" s="94"/>
      <c r="N922" s="93"/>
      <c r="O922" s="85"/>
      <c r="Q922" s="94"/>
      <c r="R922" s="93"/>
      <c r="S922" s="85"/>
      <c r="U922" s="94"/>
      <c r="V922" s="93"/>
      <c r="W922" s="85"/>
      <c r="Y922" s="94"/>
      <c r="Z922" s="93"/>
      <c r="AA922" s="85"/>
      <c r="AC922" s="94"/>
      <c r="AD922" s="93"/>
      <c r="AE922" s="85"/>
    </row>
    <row r="923" spans="7:31" x14ac:dyDescent="0.35">
      <c r="G923" s="85"/>
      <c r="H923" s="87"/>
      <c r="I923" s="94"/>
      <c r="J923" s="93"/>
      <c r="K923" s="85"/>
      <c r="M923" s="94"/>
      <c r="N923" s="93"/>
      <c r="O923" s="85"/>
      <c r="Q923" s="94"/>
      <c r="R923" s="93"/>
      <c r="S923" s="85"/>
      <c r="U923" s="94"/>
      <c r="V923" s="93"/>
      <c r="W923" s="85"/>
      <c r="Y923" s="94"/>
      <c r="Z923" s="93"/>
      <c r="AA923" s="85"/>
      <c r="AC923" s="94"/>
      <c r="AD923" s="93"/>
      <c r="AE923" s="85"/>
    </row>
    <row r="924" spans="7:31" x14ac:dyDescent="0.35">
      <c r="G924" s="85"/>
      <c r="H924" s="87"/>
      <c r="I924" s="94"/>
      <c r="J924" s="93"/>
      <c r="K924" s="85"/>
      <c r="M924" s="94"/>
      <c r="N924" s="93"/>
      <c r="O924" s="85"/>
      <c r="Q924" s="94"/>
      <c r="R924" s="93"/>
      <c r="S924" s="85"/>
      <c r="U924" s="94"/>
      <c r="V924" s="93"/>
      <c r="W924" s="85"/>
      <c r="Y924" s="94"/>
      <c r="Z924" s="93"/>
      <c r="AA924" s="85"/>
      <c r="AC924" s="94"/>
      <c r="AD924" s="93"/>
      <c r="AE924" s="85"/>
    </row>
    <row r="925" spans="7:31" x14ac:dyDescent="0.35">
      <c r="G925" s="85"/>
      <c r="H925" s="87"/>
      <c r="I925" s="94"/>
      <c r="J925" s="93"/>
      <c r="K925" s="85"/>
      <c r="M925" s="94"/>
      <c r="N925" s="93"/>
      <c r="O925" s="85"/>
      <c r="Q925" s="94"/>
      <c r="R925" s="93"/>
      <c r="S925" s="85"/>
      <c r="U925" s="94"/>
      <c r="V925" s="93"/>
      <c r="W925" s="85"/>
      <c r="Y925" s="94"/>
      <c r="Z925" s="93"/>
      <c r="AA925" s="85"/>
      <c r="AC925" s="94"/>
      <c r="AD925" s="93"/>
      <c r="AE925" s="85"/>
    </row>
    <row r="926" spans="7:31" x14ac:dyDescent="0.35">
      <c r="G926" s="85"/>
      <c r="H926" s="87"/>
      <c r="I926" s="94"/>
      <c r="J926" s="93"/>
      <c r="K926" s="85"/>
      <c r="M926" s="94"/>
      <c r="N926" s="93"/>
      <c r="O926" s="85"/>
      <c r="Q926" s="94"/>
      <c r="R926" s="93"/>
      <c r="S926" s="85"/>
      <c r="U926" s="94"/>
      <c r="V926" s="93"/>
      <c r="W926" s="85"/>
      <c r="Y926" s="94"/>
      <c r="Z926" s="93"/>
      <c r="AA926" s="85"/>
      <c r="AC926" s="94"/>
      <c r="AD926" s="93"/>
      <c r="AE926" s="85"/>
    </row>
    <row r="927" spans="7:31" x14ac:dyDescent="0.35">
      <c r="G927" s="85"/>
      <c r="H927" s="87"/>
      <c r="I927" s="94"/>
      <c r="J927" s="93"/>
      <c r="K927" s="85"/>
      <c r="M927" s="94"/>
      <c r="N927" s="93"/>
      <c r="O927" s="85"/>
      <c r="Q927" s="94"/>
      <c r="R927" s="93"/>
      <c r="S927" s="85"/>
      <c r="U927" s="94"/>
      <c r="V927" s="93"/>
      <c r="W927" s="85"/>
      <c r="Y927" s="94"/>
      <c r="Z927" s="93"/>
      <c r="AA927" s="85"/>
      <c r="AC927" s="94"/>
      <c r="AD927" s="93"/>
      <c r="AE927" s="85"/>
    </row>
    <row r="928" spans="7:31" x14ac:dyDescent="0.35">
      <c r="G928" s="85"/>
      <c r="H928" s="87"/>
      <c r="I928" s="94"/>
      <c r="J928" s="93"/>
      <c r="K928" s="85"/>
      <c r="M928" s="94"/>
      <c r="N928" s="93"/>
      <c r="O928" s="85"/>
      <c r="Q928" s="94"/>
      <c r="R928" s="93"/>
      <c r="S928" s="85"/>
      <c r="U928" s="94"/>
      <c r="V928" s="93"/>
      <c r="W928" s="85"/>
      <c r="Y928" s="94"/>
      <c r="Z928" s="93"/>
      <c r="AA928" s="85"/>
      <c r="AC928" s="94"/>
      <c r="AD928" s="93"/>
      <c r="AE928" s="85"/>
    </row>
    <row r="929" spans="7:31" x14ac:dyDescent="0.35">
      <c r="G929" s="85"/>
      <c r="H929" s="87"/>
      <c r="I929" s="94"/>
      <c r="J929" s="93"/>
      <c r="K929" s="85"/>
      <c r="M929" s="94"/>
      <c r="N929" s="93"/>
      <c r="O929" s="85"/>
      <c r="Q929" s="94"/>
      <c r="R929" s="93"/>
      <c r="S929" s="85"/>
      <c r="U929" s="94"/>
      <c r="V929" s="93"/>
      <c r="W929" s="85"/>
      <c r="Y929" s="94"/>
      <c r="Z929" s="93"/>
      <c r="AA929" s="85"/>
      <c r="AC929" s="94"/>
      <c r="AD929" s="93"/>
      <c r="AE929" s="85"/>
    </row>
    <row r="930" spans="7:31" x14ac:dyDescent="0.35">
      <c r="G930" s="85"/>
      <c r="H930" s="87"/>
      <c r="I930" s="94"/>
      <c r="J930" s="93"/>
      <c r="K930" s="85"/>
      <c r="M930" s="94"/>
      <c r="N930" s="93"/>
      <c r="O930" s="85"/>
      <c r="Q930" s="94"/>
      <c r="R930" s="93"/>
      <c r="S930" s="85"/>
      <c r="U930" s="94"/>
      <c r="V930" s="93"/>
      <c r="W930" s="85"/>
      <c r="Y930" s="94"/>
      <c r="Z930" s="93"/>
      <c r="AA930" s="85"/>
      <c r="AC930" s="94"/>
      <c r="AD930" s="93"/>
      <c r="AE930" s="85"/>
    </row>
    <row r="931" spans="7:31" x14ac:dyDescent="0.35">
      <c r="G931" s="85"/>
      <c r="H931" s="87"/>
      <c r="I931" s="94"/>
      <c r="J931" s="93"/>
      <c r="K931" s="85"/>
      <c r="M931" s="94"/>
      <c r="N931" s="93"/>
      <c r="O931" s="85"/>
      <c r="Q931" s="94"/>
      <c r="R931" s="93"/>
      <c r="S931" s="85"/>
      <c r="U931" s="94"/>
      <c r="V931" s="93"/>
      <c r="W931" s="85"/>
      <c r="Y931" s="94"/>
      <c r="Z931" s="93"/>
      <c r="AA931" s="85"/>
      <c r="AC931" s="94"/>
      <c r="AD931" s="93"/>
      <c r="AE931" s="85"/>
    </row>
    <row r="932" spans="7:31" x14ac:dyDescent="0.35">
      <c r="G932" s="85"/>
      <c r="H932" s="87"/>
      <c r="I932" s="94"/>
      <c r="J932" s="93"/>
      <c r="K932" s="85"/>
      <c r="M932" s="94"/>
      <c r="N932" s="93"/>
      <c r="O932" s="85"/>
      <c r="Q932" s="94"/>
      <c r="R932" s="93"/>
      <c r="S932" s="85"/>
      <c r="U932" s="94"/>
      <c r="V932" s="93"/>
      <c r="W932" s="85"/>
      <c r="Y932" s="94"/>
      <c r="Z932" s="93"/>
      <c r="AA932" s="85"/>
      <c r="AC932" s="94"/>
      <c r="AD932" s="93"/>
      <c r="AE932" s="85"/>
    </row>
    <row r="933" spans="7:31" x14ac:dyDescent="0.35">
      <c r="G933" s="85"/>
      <c r="H933" s="87"/>
      <c r="I933" s="94"/>
      <c r="J933" s="93"/>
      <c r="K933" s="85"/>
      <c r="M933" s="94"/>
      <c r="N933" s="93"/>
      <c r="O933" s="85"/>
      <c r="Q933" s="94"/>
      <c r="R933" s="93"/>
      <c r="S933" s="85"/>
      <c r="U933" s="94"/>
      <c r="V933" s="93"/>
      <c r="W933" s="85"/>
      <c r="Y933" s="94"/>
      <c r="Z933" s="93"/>
      <c r="AA933" s="85"/>
      <c r="AC933" s="94"/>
      <c r="AD933" s="93"/>
      <c r="AE933" s="85"/>
    </row>
    <row r="934" spans="7:31" x14ac:dyDescent="0.35">
      <c r="G934" s="85"/>
      <c r="H934" s="87"/>
      <c r="I934" s="94"/>
      <c r="J934" s="93"/>
      <c r="K934" s="85"/>
      <c r="M934" s="94"/>
      <c r="N934" s="93"/>
      <c r="O934" s="85"/>
      <c r="Q934" s="94"/>
      <c r="R934" s="93"/>
      <c r="S934" s="85"/>
      <c r="U934" s="94"/>
      <c r="V934" s="93"/>
      <c r="W934" s="85"/>
      <c r="Y934" s="94"/>
      <c r="Z934" s="93"/>
      <c r="AA934" s="85"/>
      <c r="AC934" s="94"/>
      <c r="AD934" s="93"/>
      <c r="AE934" s="85"/>
    </row>
    <row r="935" spans="7:31" x14ac:dyDescent="0.35">
      <c r="G935" s="85"/>
      <c r="H935" s="87"/>
      <c r="I935" s="94"/>
      <c r="J935" s="93"/>
      <c r="K935" s="85"/>
      <c r="M935" s="94"/>
      <c r="N935" s="93"/>
      <c r="O935" s="85"/>
      <c r="Q935" s="94"/>
      <c r="R935" s="93"/>
      <c r="S935" s="85"/>
      <c r="U935" s="94"/>
      <c r="V935" s="93"/>
      <c r="W935" s="85"/>
      <c r="Y935" s="94"/>
      <c r="Z935" s="93"/>
      <c r="AA935" s="85"/>
      <c r="AC935" s="94"/>
      <c r="AD935" s="93"/>
      <c r="AE935" s="85"/>
    </row>
    <row r="936" spans="7:31" x14ac:dyDescent="0.35">
      <c r="G936" s="85"/>
      <c r="H936" s="87"/>
      <c r="I936" s="94"/>
      <c r="J936" s="93"/>
      <c r="K936" s="85"/>
      <c r="M936" s="94"/>
      <c r="N936" s="93"/>
      <c r="O936" s="85"/>
      <c r="Q936" s="94"/>
      <c r="R936" s="93"/>
      <c r="S936" s="85"/>
      <c r="U936" s="94"/>
      <c r="V936" s="93"/>
      <c r="W936" s="85"/>
      <c r="Y936" s="94"/>
      <c r="Z936" s="93"/>
      <c r="AA936" s="85"/>
      <c r="AC936" s="94"/>
      <c r="AD936" s="93"/>
      <c r="AE936" s="85"/>
    </row>
    <row r="937" spans="7:31" x14ac:dyDescent="0.35">
      <c r="G937" s="85"/>
      <c r="H937" s="87"/>
      <c r="I937" s="94"/>
      <c r="J937" s="93"/>
      <c r="K937" s="85"/>
      <c r="M937" s="94"/>
      <c r="N937" s="93"/>
      <c r="O937" s="85"/>
      <c r="Q937" s="94"/>
      <c r="R937" s="93"/>
      <c r="S937" s="85"/>
      <c r="U937" s="94"/>
      <c r="V937" s="93"/>
      <c r="W937" s="85"/>
      <c r="Y937" s="94"/>
      <c r="Z937" s="93"/>
      <c r="AA937" s="85"/>
      <c r="AC937" s="94"/>
      <c r="AD937" s="93"/>
      <c r="AE937" s="85"/>
    </row>
    <row r="938" spans="7:31" x14ac:dyDescent="0.35">
      <c r="G938" s="85"/>
      <c r="H938" s="87"/>
      <c r="I938" s="94"/>
      <c r="J938" s="93"/>
      <c r="K938" s="85"/>
      <c r="M938" s="94"/>
      <c r="N938" s="93"/>
      <c r="O938" s="85"/>
      <c r="Q938" s="94"/>
      <c r="R938" s="93"/>
      <c r="S938" s="85"/>
      <c r="U938" s="94"/>
      <c r="V938" s="93"/>
      <c r="W938" s="85"/>
      <c r="Y938" s="94"/>
      <c r="Z938" s="93"/>
      <c r="AA938" s="85"/>
      <c r="AC938" s="94"/>
      <c r="AD938" s="93"/>
      <c r="AE938" s="85"/>
    </row>
    <row r="939" spans="7:31" x14ac:dyDescent="0.35">
      <c r="G939" s="85"/>
      <c r="H939" s="87"/>
      <c r="I939" s="94"/>
      <c r="J939" s="93"/>
      <c r="K939" s="85"/>
      <c r="M939" s="94"/>
      <c r="N939" s="93"/>
      <c r="O939" s="85"/>
      <c r="Q939" s="94"/>
      <c r="R939" s="93"/>
      <c r="S939" s="85"/>
      <c r="U939" s="94"/>
      <c r="V939" s="93"/>
      <c r="W939" s="85"/>
      <c r="Y939" s="94"/>
      <c r="Z939" s="93"/>
      <c r="AA939" s="85"/>
      <c r="AC939" s="94"/>
      <c r="AD939" s="93"/>
      <c r="AE939" s="85"/>
    </row>
    <row r="940" spans="7:31" x14ac:dyDescent="0.35">
      <c r="G940" s="85"/>
      <c r="H940" s="87"/>
      <c r="I940" s="94"/>
      <c r="J940" s="93"/>
      <c r="K940" s="85"/>
      <c r="M940" s="94"/>
      <c r="N940" s="93"/>
      <c r="O940" s="85"/>
      <c r="Q940" s="94"/>
      <c r="R940" s="93"/>
      <c r="S940" s="85"/>
      <c r="U940" s="94"/>
      <c r="V940" s="93"/>
      <c r="W940" s="85"/>
      <c r="Y940" s="94"/>
      <c r="Z940" s="93"/>
      <c r="AA940" s="85"/>
      <c r="AC940" s="94"/>
      <c r="AD940" s="93"/>
      <c r="AE940" s="85"/>
    </row>
    <row r="941" spans="7:31" x14ac:dyDescent="0.35">
      <c r="G941" s="85"/>
      <c r="H941" s="87"/>
      <c r="I941" s="94"/>
      <c r="J941" s="93"/>
      <c r="K941" s="85"/>
      <c r="M941" s="94"/>
      <c r="N941" s="93"/>
      <c r="O941" s="85"/>
      <c r="Q941" s="94"/>
      <c r="R941" s="93"/>
      <c r="S941" s="85"/>
      <c r="U941" s="94"/>
      <c r="V941" s="93"/>
      <c r="W941" s="85"/>
      <c r="Y941" s="94"/>
      <c r="Z941" s="93"/>
      <c r="AA941" s="85"/>
      <c r="AC941" s="94"/>
      <c r="AD941" s="93"/>
      <c r="AE941" s="85"/>
    </row>
    <row r="942" spans="7:31" x14ac:dyDescent="0.35">
      <c r="G942" s="85"/>
      <c r="H942" s="87"/>
      <c r="I942" s="94"/>
      <c r="J942" s="93"/>
      <c r="K942" s="85"/>
      <c r="M942" s="94"/>
      <c r="N942" s="93"/>
      <c r="O942" s="85"/>
      <c r="Q942" s="94"/>
      <c r="R942" s="93"/>
      <c r="S942" s="85"/>
      <c r="U942" s="94"/>
      <c r="V942" s="93"/>
      <c r="W942" s="85"/>
      <c r="Y942" s="94"/>
      <c r="Z942" s="93"/>
      <c r="AA942" s="85"/>
      <c r="AC942" s="94"/>
      <c r="AD942" s="93"/>
      <c r="AE942" s="85"/>
    </row>
    <row r="943" spans="7:31" x14ac:dyDescent="0.35">
      <c r="G943" s="85"/>
      <c r="H943" s="87"/>
      <c r="I943" s="94"/>
      <c r="J943" s="93"/>
      <c r="K943" s="85"/>
      <c r="M943" s="94"/>
      <c r="N943" s="93"/>
      <c r="O943" s="85"/>
      <c r="Q943" s="94"/>
      <c r="R943" s="93"/>
      <c r="S943" s="85"/>
      <c r="U943" s="94"/>
      <c r="V943" s="93"/>
      <c r="W943" s="85"/>
      <c r="Y943" s="94"/>
      <c r="Z943" s="93"/>
      <c r="AA943" s="85"/>
      <c r="AC943" s="94"/>
      <c r="AD943" s="93"/>
      <c r="AE943" s="85"/>
    </row>
    <row r="944" spans="7:31" x14ac:dyDescent="0.35">
      <c r="G944" s="85"/>
      <c r="H944" s="87"/>
      <c r="I944" s="94"/>
      <c r="J944" s="93"/>
      <c r="K944" s="85"/>
      <c r="M944" s="94"/>
      <c r="N944" s="93"/>
      <c r="O944" s="85"/>
      <c r="Q944" s="94"/>
      <c r="R944" s="93"/>
      <c r="S944" s="85"/>
      <c r="U944" s="94"/>
      <c r="V944" s="93"/>
      <c r="W944" s="85"/>
      <c r="Y944" s="94"/>
      <c r="Z944" s="93"/>
      <c r="AA944" s="85"/>
      <c r="AC944" s="94"/>
      <c r="AD944" s="93"/>
      <c r="AE944" s="85"/>
    </row>
    <row r="945" spans="7:31" x14ac:dyDescent="0.35">
      <c r="G945" s="85"/>
      <c r="H945" s="87"/>
      <c r="I945" s="94"/>
      <c r="J945" s="93"/>
      <c r="K945" s="85"/>
      <c r="M945" s="94"/>
      <c r="N945" s="93"/>
      <c r="O945" s="85"/>
      <c r="Q945" s="94"/>
      <c r="R945" s="93"/>
      <c r="S945" s="85"/>
      <c r="U945" s="94"/>
      <c r="V945" s="93"/>
      <c r="W945" s="85"/>
      <c r="Y945" s="94"/>
      <c r="Z945" s="93"/>
      <c r="AA945" s="85"/>
      <c r="AC945" s="94"/>
      <c r="AD945" s="93"/>
      <c r="AE945" s="85"/>
    </row>
    <row r="946" spans="7:31" x14ac:dyDescent="0.35">
      <c r="G946" s="85"/>
      <c r="H946" s="87"/>
      <c r="I946" s="94"/>
      <c r="J946" s="93"/>
      <c r="K946" s="85"/>
      <c r="M946" s="94"/>
      <c r="N946" s="93"/>
      <c r="O946" s="85"/>
      <c r="Q946" s="94"/>
      <c r="R946" s="93"/>
      <c r="S946" s="85"/>
      <c r="U946" s="94"/>
      <c r="V946" s="93"/>
      <c r="W946" s="85"/>
      <c r="Y946" s="94"/>
      <c r="Z946" s="93"/>
      <c r="AA946" s="85"/>
      <c r="AC946" s="94"/>
      <c r="AD946" s="93"/>
      <c r="AE946" s="85"/>
    </row>
    <row r="947" spans="7:31" x14ac:dyDescent="0.35">
      <c r="G947" s="85"/>
      <c r="H947" s="87"/>
      <c r="I947" s="94"/>
      <c r="J947" s="93"/>
      <c r="K947" s="85"/>
      <c r="M947" s="94"/>
      <c r="N947" s="93"/>
      <c r="O947" s="85"/>
      <c r="Q947" s="94"/>
      <c r="R947" s="93"/>
      <c r="S947" s="85"/>
      <c r="U947" s="94"/>
      <c r="V947" s="93"/>
      <c r="W947" s="85"/>
      <c r="Y947" s="94"/>
      <c r="Z947" s="93"/>
      <c r="AA947" s="85"/>
      <c r="AC947" s="94"/>
      <c r="AD947" s="93"/>
      <c r="AE947" s="85"/>
    </row>
    <row r="948" spans="7:31" x14ac:dyDescent="0.35">
      <c r="G948" s="85"/>
      <c r="H948" s="87"/>
      <c r="I948" s="94"/>
      <c r="J948" s="93"/>
      <c r="K948" s="85"/>
      <c r="M948" s="94"/>
      <c r="N948" s="93"/>
      <c r="O948" s="85"/>
      <c r="Q948" s="94"/>
      <c r="R948" s="93"/>
      <c r="S948" s="85"/>
      <c r="U948" s="94"/>
      <c r="V948" s="93"/>
      <c r="W948" s="85"/>
      <c r="Y948" s="94"/>
      <c r="Z948" s="93"/>
      <c r="AA948" s="85"/>
      <c r="AC948" s="94"/>
      <c r="AD948" s="93"/>
      <c r="AE948" s="85"/>
    </row>
    <row r="949" spans="7:31" x14ac:dyDescent="0.35">
      <c r="G949" s="85"/>
      <c r="H949" s="87"/>
      <c r="I949" s="94"/>
      <c r="J949" s="93"/>
      <c r="K949" s="85"/>
      <c r="M949" s="94"/>
      <c r="N949" s="93"/>
      <c r="O949" s="85"/>
      <c r="Q949" s="94"/>
      <c r="R949" s="93"/>
      <c r="S949" s="85"/>
      <c r="U949" s="94"/>
      <c r="V949" s="93"/>
      <c r="W949" s="85"/>
      <c r="Y949" s="94"/>
      <c r="Z949" s="93"/>
      <c r="AA949" s="85"/>
      <c r="AC949" s="94"/>
      <c r="AD949" s="93"/>
      <c r="AE949" s="85"/>
    </row>
    <row r="950" spans="7:31" x14ac:dyDescent="0.35">
      <c r="G950" s="85"/>
      <c r="H950" s="87"/>
      <c r="I950" s="94"/>
      <c r="J950" s="93"/>
      <c r="K950" s="85"/>
      <c r="M950" s="94"/>
      <c r="N950" s="93"/>
      <c r="O950" s="85"/>
      <c r="Q950" s="94"/>
      <c r="R950" s="93"/>
      <c r="S950" s="85"/>
      <c r="U950" s="94"/>
      <c r="V950" s="93"/>
      <c r="W950" s="85"/>
      <c r="Y950" s="94"/>
      <c r="Z950" s="93"/>
      <c r="AA950" s="85"/>
      <c r="AC950" s="94"/>
      <c r="AD950" s="93"/>
      <c r="AE950" s="85"/>
    </row>
    <row r="951" spans="7:31" x14ac:dyDescent="0.35">
      <c r="G951" s="85"/>
      <c r="H951" s="87"/>
      <c r="I951" s="94"/>
      <c r="J951" s="93"/>
      <c r="K951" s="85"/>
      <c r="M951" s="94"/>
      <c r="N951" s="93"/>
      <c r="O951" s="85"/>
      <c r="Q951" s="94"/>
      <c r="R951" s="93"/>
      <c r="S951" s="85"/>
      <c r="U951" s="94"/>
      <c r="V951" s="93"/>
      <c r="W951" s="85"/>
      <c r="Y951" s="94"/>
      <c r="Z951" s="93"/>
      <c r="AA951" s="85"/>
      <c r="AC951" s="94"/>
      <c r="AD951" s="93"/>
      <c r="AE951" s="85"/>
    </row>
    <row r="952" spans="7:31" x14ac:dyDescent="0.35">
      <c r="G952" s="85"/>
      <c r="H952" s="87"/>
      <c r="I952" s="94"/>
      <c r="J952" s="93"/>
      <c r="K952" s="85"/>
      <c r="M952" s="94"/>
      <c r="N952" s="93"/>
      <c r="O952" s="85"/>
      <c r="Q952" s="94"/>
      <c r="R952" s="93"/>
      <c r="S952" s="85"/>
      <c r="U952" s="94"/>
      <c r="V952" s="93"/>
      <c r="W952" s="85"/>
      <c r="Y952" s="94"/>
      <c r="Z952" s="93"/>
      <c r="AA952" s="85"/>
      <c r="AC952" s="94"/>
      <c r="AD952" s="93"/>
      <c r="AE952" s="85"/>
    </row>
    <row r="953" spans="7:31" x14ac:dyDescent="0.35">
      <c r="G953" s="85"/>
      <c r="H953" s="87"/>
      <c r="I953" s="94"/>
      <c r="J953" s="93"/>
      <c r="K953" s="85"/>
      <c r="M953" s="94"/>
      <c r="N953" s="93"/>
      <c r="O953" s="85"/>
      <c r="Q953" s="94"/>
      <c r="R953" s="93"/>
      <c r="S953" s="85"/>
      <c r="U953" s="94"/>
      <c r="V953" s="93"/>
      <c r="W953" s="85"/>
      <c r="Y953" s="94"/>
      <c r="Z953" s="93"/>
      <c r="AA953" s="85"/>
      <c r="AC953" s="94"/>
      <c r="AD953" s="93"/>
      <c r="AE953" s="85"/>
    </row>
    <row r="954" spans="7:31" x14ac:dyDescent="0.35">
      <c r="G954" s="85"/>
      <c r="H954" s="87"/>
      <c r="I954" s="94"/>
      <c r="J954" s="93"/>
      <c r="K954" s="85"/>
      <c r="M954" s="94"/>
      <c r="N954" s="93"/>
      <c r="O954" s="85"/>
      <c r="Q954" s="94"/>
      <c r="R954" s="93"/>
      <c r="S954" s="85"/>
      <c r="U954" s="94"/>
      <c r="V954" s="93"/>
      <c r="W954" s="85"/>
      <c r="Y954" s="94"/>
      <c r="Z954" s="93"/>
      <c r="AA954" s="85"/>
      <c r="AC954" s="94"/>
      <c r="AD954" s="93"/>
      <c r="AE954" s="85"/>
    </row>
    <row r="955" spans="7:31" x14ac:dyDescent="0.35">
      <c r="G955" s="85"/>
      <c r="H955" s="87"/>
      <c r="I955" s="94"/>
      <c r="J955" s="93"/>
      <c r="K955" s="85"/>
      <c r="M955" s="94"/>
      <c r="N955" s="93"/>
      <c r="O955" s="85"/>
      <c r="Q955" s="94"/>
      <c r="R955" s="93"/>
      <c r="S955" s="85"/>
      <c r="U955" s="94"/>
      <c r="V955" s="93"/>
      <c r="W955" s="85"/>
      <c r="Y955" s="94"/>
      <c r="Z955" s="93"/>
      <c r="AA955" s="85"/>
      <c r="AC955" s="94"/>
      <c r="AD955" s="93"/>
      <c r="AE955" s="85"/>
    </row>
    <row r="956" spans="7:31" x14ac:dyDescent="0.35">
      <c r="G956" s="85"/>
      <c r="H956" s="87"/>
      <c r="I956" s="94"/>
      <c r="J956" s="93"/>
      <c r="K956" s="85"/>
      <c r="M956" s="94"/>
      <c r="N956" s="93"/>
      <c r="O956" s="85"/>
      <c r="Q956" s="94"/>
      <c r="R956" s="93"/>
      <c r="S956" s="85"/>
      <c r="U956" s="94"/>
      <c r="V956" s="93"/>
      <c r="W956" s="85"/>
      <c r="Y956" s="94"/>
      <c r="Z956" s="93"/>
      <c r="AA956" s="85"/>
      <c r="AC956" s="94"/>
      <c r="AD956" s="93"/>
      <c r="AE956" s="85"/>
    </row>
    <row r="957" spans="7:31" x14ac:dyDescent="0.35">
      <c r="G957" s="85"/>
      <c r="H957" s="87"/>
      <c r="I957" s="94"/>
      <c r="J957" s="93"/>
      <c r="K957" s="85"/>
      <c r="M957" s="94"/>
      <c r="N957" s="93"/>
      <c r="O957" s="85"/>
      <c r="Q957" s="94"/>
      <c r="R957" s="93"/>
      <c r="S957" s="85"/>
      <c r="U957" s="94"/>
      <c r="V957" s="93"/>
      <c r="W957" s="85"/>
      <c r="Y957" s="94"/>
      <c r="Z957" s="93"/>
      <c r="AA957" s="85"/>
      <c r="AC957" s="94"/>
      <c r="AD957" s="93"/>
      <c r="AE957" s="85"/>
    </row>
    <row r="958" spans="7:31" x14ac:dyDescent="0.35">
      <c r="G958" s="85"/>
      <c r="H958" s="87"/>
      <c r="I958" s="94"/>
      <c r="J958" s="93"/>
      <c r="K958" s="85"/>
      <c r="M958" s="94"/>
      <c r="N958" s="93"/>
      <c r="O958" s="85"/>
      <c r="Q958" s="94"/>
      <c r="R958" s="93"/>
      <c r="S958" s="85"/>
      <c r="U958" s="94"/>
      <c r="V958" s="93"/>
      <c r="W958" s="85"/>
      <c r="Y958" s="94"/>
      <c r="Z958" s="93"/>
      <c r="AA958" s="85"/>
      <c r="AC958" s="94"/>
      <c r="AD958" s="93"/>
      <c r="AE958" s="85"/>
    </row>
    <row r="959" spans="7:31" x14ac:dyDescent="0.35">
      <c r="G959" s="85"/>
      <c r="H959" s="87"/>
      <c r="I959" s="94"/>
      <c r="J959" s="93"/>
      <c r="K959" s="85"/>
      <c r="M959" s="94"/>
      <c r="N959" s="93"/>
      <c r="O959" s="85"/>
      <c r="Q959" s="94"/>
      <c r="R959" s="93"/>
      <c r="S959" s="85"/>
      <c r="U959" s="94"/>
      <c r="V959" s="93"/>
      <c r="W959" s="85"/>
      <c r="Y959" s="94"/>
      <c r="Z959" s="93"/>
      <c r="AA959" s="85"/>
      <c r="AC959" s="94"/>
      <c r="AD959" s="93"/>
      <c r="AE959" s="85"/>
    </row>
    <row r="960" spans="7:31" x14ac:dyDescent="0.35">
      <c r="G960" s="85"/>
      <c r="H960" s="87"/>
      <c r="I960" s="94"/>
      <c r="J960" s="93"/>
      <c r="K960" s="85"/>
      <c r="M960" s="94"/>
      <c r="N960" s="93"/>
      <c r="O960" s="85"/>
      <c r="Q960" s="94"/>
      <c r="R960" s="93"/>
      <c r="S960" s="85"/>
      <c r="U960" s="94"/>
      <c r="V960" s="93"/>
      <c r="W960" s="85"/>
      <c r="Y960" s="94"/>
      <c r="Z960" s="93"/>
      <c r="AA960" s="85"/>
      <c r="AC960" s="94"/>
      <c r="AD960" s="93"/>
      <c r="AE960" s="85"/>
    </row>
    <row r="961" spans="7:31" x14ac:dyDescent="0.35">
      <c r="G961" s="85"/>
      <c r="H961" s="87"/>
      <c r="I961" s="94"/>
      <c r="J961" s="93"/>
      <c r="K961" s="85"/>
      <c r="M961" s="94"/>
      <c r="N961" s="93"/>
      <c r="O961" s="85"/>
      <c r="Q961" s="94"/>
      <c r="R961" s="93"/>
      <c r="S961" s="85"/>
      <c r="U961" s="94"/>
      <c r="V961" s="93"/>
      <c r="W961" s="85"/>
      <c r="Y961" s="94"/>
      <c r="Z961" s="93"/>
      <c r="AA961" s="85"/>
      <c r="AC961" s="94"/>
      <c r="AD961" s="93"/>
      <c r="AE961" s="85"/>
    </row>
    <row r="962" spans="7:31" x14ac:dyDescent="0.35">
      <c r="G962" s="85"/>
      <c r="H962" s="87"/>
      <c r="I962" s="94"/>
      <c r="J962" s="93"/>
      <c r="K962" s="85"/>
      <c r="M962" s="94"/>
      <c r="N962" s="93"/>
      <c r="O962" s="85"/>
      <c r="Q962" s="94"/>
      <c r="R962" s="93"/>
      <c r="S962" s="85"/>
      <c r="U962" s="94"/>
      <c r="V962" s="93"/>
      <c r="W962" s="85"/>
      <c r="Y962" s="94"/>
      <c r="Z962" s="93"/>
      <c r="AA962" s="85"/>
      <c r="AC962" s="94"/>
      <c r="AD962" s="93"/>
      <c r="AE962" s="85"/>
    </row>
    <row r="963" spans="7:31" x14ac:dyDescent="0.35">
      <c r="G963" s="85"/>
      <c r="H963" s="87"/>
      <c r="I963" s="94"/>
      <c r="J963" s="93"/>
      <c r="K963" s="85"/>
      <c r="M963" s="94"/>
      <c r="N963" s="93"/>
      <c r="O963" s="85"/>
      <c r="Q963" s="94"/>
      <c r="R963" s="93"/>
      <c r="S963" s="85"/>
      <c r="U963" s="94"/>
      <c r="V963" s="93"/>
      <c r="W963" s="85"/>
      <c r="Y963" s="94"/>
      <c r="Z963" s="93"/>
      <c r="AA963" s="85"/>
      <c r="AC963" s="94"/>
      <c r="AD963" s="93"/>
      <c r="AE963" s="85"/>
    </row>
    <row r="964" spans="7:31" x14ac:dyDescent="0.35">
      <c r="G964" s="85"/>
      <c r="H964" s="87"/>
      <c r="I964" s="94"/>
      <c r="J964" s="93"/>
      <c r="K964" s="85"/>
      <c r="M964" s="94"/>
      <c r="N964" s="93"/>
      <c r="O964" s="85"/>
      <c r="Q964" s="94"/>
      <c r="R964" s="93"/>
      <c r="S964" s="85"/>
      <c r="U964" s="94"/>
      <c r="V964" s="93"/>
      <c r="W964" s="85"/>
      <c r="Y964" s="94"/>
      <c r="Z964" s="93"/>
      <c r="AA964" s="85"/>
      <c r="AC964" s="94"/>
      <c r="AD964" s="93"/>
      <c r="AE964" s="85"/>
    </row>
    <row r="965" spans="7:31" x14ac:dyDescent="0.35">
      <c r="G965" s="85"/>
      <c r="H965" s="87"/>
      <c r="I965" s="94"/>
      <c r="J965" s="93"/>
      <c r="K965" s="85"/>
      <c r="M965" s="94"/>
      <c r="N965" s="93"/>
      <c r="O965" s="85"/>
      <c r="Q965" s="94"/>
      <c r="R965" s="93"/>
      <c r="S965" s="85"/>
      <c r="U965" s="94"/>
      <c r="V965" s="93"/>
      <c r="W965" s="85"/>
      <c r="Y965" s="94"/>
      <c r="Z965" s="93"/>
      <c r="AA965" s="85"/>
      <c r="AC965" s="94"/>
      <c r="AD965" s="93"/>
      <c r="AE965" s="85"/>
    </row>
    <row r="966" spans="7:31" x14ac:dyDescent="0.35">
      <c r="G966" s="85"/>
      <c r="H966" s="87"/>
      <c r="I966" s="94"/>
      <c r="J966" s="93"/>
      <c r="K966" s="85"/>
      <c r="M966" s="94"/>
      <c r="N966" s="93"/>
      <c r="O966" s="85"/>
      <c r="Q966" s="94"/>
      <c r="R966" s="93"/>
      <c r="S966" s="85"/>
      <c r="U966" s="94"/>
      <c r="V966" s="93"/>
      <c r="W966" s="85"/>
      <c r="Y966" s="94"/>
      <c r="Z966" s="93"/>
      <c r="AA966" s="85"/>
      <c r="AC966" s="94"/>
      <c r="AD966" s="93"/>
      <c r="AE966" s="85"/>
    </row>
    <row r="967" spans="7:31" x14ac:dyDescent="0.35">
      <c r="G967" s="85"/>
      <c r="H967" s="87"/>
      <c r="I967" s="94"/>
      <c r="J967" s="93"/>
      <c r="K967" s="85"/>
      <c r="M967" s="94"/>
      <c r="N967" s="93"/>
      <c r="O967" s="85"/>
      <c r="Q967" s="94"/>
      <c r="R967" s="93"/>
      <c r="S967" s="85"/>
      <c r="U967" s="94"/>
      <c r="V967" s="93"/>
      <c r="W967" s="85"/>
      <c r="Y967" s="94"/>
      <c r="Z967" s="93"/>
      <c r="AA967" s="85"/>
      <c r="AC967" s="94"/>
      <c r="AD967" s="93"/>
      <c r="AE967" s="85"/>
    </row>
    <row r="968" spans="7:31" x14ac:dyDescent="0.35">
      <c r="G968" s="85"/>
      <c r="H968" s="87"/>
      <c r="I968" s="94"/>
      <c r="J968" s="93"/>
      <c r="K968" s="85"/>
      <c r="M968" s="94"/>
      <c r="N968" s="93"/>
      <c r="O968" s="85"/>
      <c r="Q968" s="94"/>
      <c r="R968" s="93"/>
      <c r="S968" s="85"/>
      <c r="U968" s="94"/>
      <c r="V968" s="93"/>
      <c r="W968" s="85"/>
      <c r="Y968" s="94"/>
      <c r="Z968" s="93"/>
      <c r="AA968" s="85"/>
      <c r="AC968" s="94"/>
      <c r="AD968" s="93"/>
      <c r="AE968" s="85"/>
    </row>
    <row r="969" spans="7:31" x14ac:dyDescent="0.35">
      <c r="G969" s="85"/>
      <c r="H969" s="87"/>
      <c r="I969" s="94"/>
      <c r="J969" s="93"/>
      <c r="K969" s="85"/>
      <c r="M969" s="94"/>
      <c r="N969" s="93"/>
      <c r="O969" s="85"/>
      <c r="Q969" s="94"/>
      <c r="R969" s="93"/>
      <c r="S969" s="85"/>
      <c r="U969" s="94"/>
      <c r="V969" s="93"/>
      <c r="W969" s="85"/>
      <c r="Y969" s="94"/>
      <c r="Z969" s="93"/>
      <c r="AA969" s="85"/>
      <c r="AC969" s="94"/>
      <c r="AD969" s="93"/>
      <c r="AE969" s="85"/>
    </row>
    <row r="970" spans="7:31" x14ac:dyDescent="0.35">
      <c r="G970" s="85"/>
      <c r="H970" s="87"/>
      <c r="I970" s="94"/>
      <c r="J970" s="93"/>
      <c r="K970" s="85"/>
      <c r="M970" s="94"/>
      <c r="N970" s="93"/>
      <c r="O970" s="85"/>
      <c r="Q970" s="94"/>
      <c r="R970" s="93"/>
      <c r="S970" s="85"/>
      <c r="U970" s="94"/>
      <c r="V970" s="93"/>
      <c r="W970" s="85"/>
      <c r="Y970" s="94"/>
      <c r="Z970" s="93"/>
      <c r="AA970" s="85"/>
      <c r="AC970" s="94"/>
      <c r="AD970" s="93"/>
      <c r="AE970" s="85"/>
    </row>
    <row r="971" spans="7:31" x14ac:dyDescent="0.35">
      <c r="G971" s="85"/>
      <c r="H971" s="87"/>
      <c r="I971" s="94"/>
      <c r="J971" s="93"/>
      <c r="K971" s="85"/>
      <c r="M971" s="94"/>
      <c r="N971" s="93"/>
      <c r="O971" s="85"/>
      <c r="Q971" s="94"/>
      <c r="R971" s="93"/>
      <c r="S971" s="85"/>
      <c r="U971" s="94"/>
      <c r="V971" s="93"/>
      <c r="W971" s="85"/>
      <c r="Y971" s="94"/>
      <c r="Z971" s="93"/>
      <c r="AA971" s="85"/>
      <c r="AC971" s="94"/>
      <c r="AD971" s="93"/>
      <c r="AE971" s="85"/>
    </row>
    <row r="972" spans="7:31" x14ac:dyDescent="0.35">
      <c r="G972" s="85"/>
      <c r="H972" s="87"/>
      <c r="I972" s="94"/>
      <c r="J972" s="93"/>
      <c r="K972" s="85"/>
      <c r="M972" s="94"/>
      <c r="N972" s="93"/>
      <c r="O972" s="85"/>
      <c r="Q972" s="94"/>
      <c r="R972" s="93"/>
      <c r="S972" s="85"/>
      <c r="U972" s="94"/>
      <c r="V972" s="93"/>
      <c r="W972" s="85"/>
      <c r="Y972" s="94"/>
      <c r="Z972" s="93"/>
      <c r="AA972" s="85"/>
      <c r="AC972" s="94"/>
      <c r="AD972" s="93"/>
      <c r="AE972" s="85"/>
    </row>
    <row r="973" spans="7:31" x14ac:dyDescent="0.35">
      <c r="G973" s="85"/>
      <c r="H973" s="87"/>
      <c r="I973" s="94"/>
      <c r="J973" s="93"/>
      <c r="K973" s="85"/>
      <c r="M973" s="94"/>
      <c r="N973" s="93"/>
      <c r="O973" s="85"/>
      <c r="Q973" s="94"/>
      <c r="R973" s="93"/>
      <c r="S973" s="85"/>
      <c r="U973" s="94"/>
      <c r="V973" s="93"/>
      <c r="W973" s="85"/>
      <c r="Y973" s="94"/>
      <c r="Z973" s="93"/>
      <c r="AA973" s="85"/>
      <c r="AC973" s="94"/>
      <c r="AD973" s="93"/>
      <c r="AE973" s="85"/>
    </row>
    <row r="974" spans="7:31" x14ac:dyDescent="0.35">
      <c r="G974" s="85"/>
      <c r="H974" s="87"/>
      <c r="I974" s="94"/>
      <c r="J974" s="93"/>
      <c r="K974" s="85"/>
      <c r="M974" s="94"/>
      <c r="N974" s="93"/>
      <c r="O974" s="85"/>
      <c r="Q974" s="94"/>
      <c r="R974" s="93"/>
      <c r="S974" s="85"/>
      <c r="U974" s="94"/>
      <c r="V974" s="93"/>
      <c r="W974" s="85"/>
      <c r="Y974" s="94"/>
      <c r="Z974" s="93"/>
      <c r="AA974" s="85"/>
      <c r="AC974" s="94"/>
      <c r="AD974" s="93"/>
      <c r="AE974" s="85"/>
    </row>
    <row r="975" spans="7:31" x14ac:dyDescent="0.35">
      <c r="G975" s="85"/>
      <c r="H975" s="87"/>
      <c r="I975" s="94"/>
      <c r="J975" s="93"/>
      <c r="K975" s="85"/>
      <c r="M975" s="94"/>
      <c r="N975" s="93"/>
      <c r="O975" s="85"/>
      <c r="Q975" s="94"/>
      <c r="R975" s="93"/>
      <c r="S975" s="85"/>
      <c r="U975" s="94"/>
      <c r="V975" s="93"/>
      <c r="W975" s="85"/>
      <c r="Y975" s="94"/>
      <c r="Z975" s="93"/>
      <c r="AA975" s="85"/>
      <c r="AC975" s="94"/>
      <c r="AD975" s="93"/>
      <c r="AE975" s="85"/>
    </row>
    <row r="976" spans="7:31" x14ac:dyDescent="0.35">
      <c r="G976" s="85"/>
      <c r="H976" s="87"/>
      <c r="I976" s="94"/>
      <c r="J976" s="93"/>
      <c r="K976" s="85"/>
      <c r="M976" s="94"/>
      <c r="N976" s="93"/>
      <c r="O976" s="85"/>
      <c r="Q976" s="94"/>
      <c r="R976" s="93"/>
      <c r="S976" s="85"/>
      <c r="U976" s="94"/>
      <c r="V976" s="93"/>
      <c r="W976" s="85"/>
      <c r="Y976" s="94"/>
      <c r="Z976" s="93"/>
      <c r="AA976" s="85"/>
      <c r="AC976" s="94"/>
      <c r="AD976" s="93"/>
      <c r="AE976" s="85"/>
    </row>
    <row r="977" spans="7:31" x14ac:dyDescent="0.35">
      <c r="G977" s="85"/>
      <c r="H977" s="87"/>
      <c r="I977" s="94"/>
      <c r="J977" s="93"/>
      <c r="K977" s="85"/>
      <c r="M977" s="94"/>
      <c r="N977" s="93"/>
      <c r="O977" s="85"/>
      <c r="Q977" s="94"/>
      <c r="R977" s="93"/>
      <c r="S977" s="85"/>
      <c r="U977" s="94"/>
      <c r="V977" s="93"/>
      <c r="W977" s="85"/>
      <c r="Y977" s="94"/>
      <c r="Z977" s="93"/>
      <c r="AA977" s="85"/>
      <c r="AC977" s="94"/>
      <c r="AD977" s="93"/>
      <c r="AE977" s="85"/>
    </row>
    <row r="978" spans="7:31" x14ac:dyDescent="0.35">
      <c r="G978" s="85"/>
      <c r="H978" s="87"/>
      <c r="I978" s="94"/>
      <c r="J978" s="93"/>
      <c r="K978" s="85"/>
      <c r="M978" s="94"/>
      <c r="N978" s="93"/>
      <c r="O978" s="85"/>
      <c r="Q978" s="94"/>
      <c r="R978" s="93"/>
      <c r="S978" s="85"/>
      <c r="U978" s="94"/>
      <c r="V978" s="93"/>
      <c r="W978" s="85"/>
      <c r="Y978" s="94"/>
      <c r="Z978" s="93"/>
      <c r="AA978" s="85"/>
      <c r="AC978" s="94"/>
      <c r="AD978" s="93"/>
      <c r="AE978" s="85"/>
    </row>
    <row r="979" spans="7:31" x14ac:dyDescent="0.35">
      <c r="G979" s="85"/>
      <c r="H979" s="87"/>
      <c r="I979" s="94"/>
      <c r="J979" s="93"/>
      <c r="K979" s="85"/>
      <c r="M979" s="94"/>
      <c r="N979" s="93"/>
      <c r="O979" s="85"/>
      <c r="Q979" s="94"/>
      <c r="R979" s="93"/>
      <c r="S979" s="85"/>
      <c r="U979" s="94"/>
      <c r="V979" s="93"/>
      <c r="W979" s="85"/>
      <c r="Y979" s="94"/>
      <c r="Z979" s="93"/>
      <c r="AA979" s="85"/>
      <c r="AC979" s="94"/>
      <c r="AD979" s="93"/>
      <c r="AE979" s="85"/>
    </row>
    <row r="980" spans="7:31" x14ac:dyDescent="0.35">
      <c r="G980" s="85"/>
      <c r="H980" s="87"/>
      <c r="I980" s="94"/>
      <c r="J980" s="93"/>
      <c r="K980" s="85"/>
      <c r="M980" s="94"/>
      <c r="N980" s="93"/>
      <c r="O980" s="85"/>
      <c r="Q980" s="94"/>
      <c r="R980" s="93"/>
      <c r="S980" s="85"/>
      <c r="U980" s="94"/>
      <c r="V980" s="93"/>
      <c r="W980" s="85"/>
      <c r="Y980" s="94"/>
      <c r="Z980" s="93"/>
      <c r="AA980" s="85"/>
      <c r="AC980" s="94"/>
      <c r="AD980" s="93"/>
      <c r="AE980" s="85"/>
    </row>
    <row r="981" spans="7:31" x14ac:dyDescent="0.35">
      <c r="G981" s="85"/>
      <c r="H981" s="87"/>
      <c r="I981" s="94"/>
      <c r="J981" s="93"/>
      <c r="K981" s="85"/>
      <c r="M981" s="94"/>
      <c r="N981" s="93"/>
      <c r="O981" s="85"/>
      <c r="Q981" s="94"/>
      <c r="R981" s="93"/>
      <c r="S981" s="85"/>
      <c r="U981" s="94"/>
      <c r="V981" s="93"/>
      <c r="W981" s="85"/>
      <c r="Y981" s="94"/>
      <c r="Z981" s="93"/>
      <c r="AA981" s="85"/>
      <c r="AC981" s="94"/>
      <c r="AD981" s="93"/>
      <c r="AE981" s="85"/>
    </row>
    <row r="982" spans="7:31" x14ac:dyDescent="0.35">
      <c r="G982" s="85"/>
      <c r="H982" s="87"/>
      <c r="I982" s="94"/>
      <c r="J982" s="93"/>
      <c r="K982" s="85"/>
      <c r="M982" s="94"/>
      <c r="N982" s="93"/>
      <c r="O982" s="85"/>
      <c r="Q982" s="94"/>
      <c r="R982" s="93"/>
      <c r="S982" s="85"/>
      <c r="U982" s="94"/>
      <c r="V982" s="93"/>
      <c r="W982" s="85"/>
      <c r="Y982" s="94"/>
      <c r="Z982" s="93"/>
      <c r="AA982" s="85"/>
      <c r="AC982" s="94"/>
      <c r="AD982" s="93"/>
      <c r="AE982" s="85"/>
    </row>
    <row r="983" spans="7:31" x14ac:dyDescent="0.35">
      <c r="G983" s="85"/>
      <c r="H983" s="87"/>
      <c r="I983" s="94"/>
      <c r="J983" s="93"/>
      <c r="K983" s="85"/>
      <c r="M983" s="94"/>
      <c r="N983" s="93"/>
      <c r="O983" s="85"/>
      <c r="Q983" s="94"/>
      <c r="R983" s="93"/>
      <c r="S983" s="85"/>
      <c r="U983" s="94"/>
      <c r="V983" s="93"/>
      <c r="W983" s="85"/>
      <c r="Y983" s="94"/>
      <c r="Z983" s="93"/>
      <c r="AA983" s="85"/>
      <c r="AC983" s="94"/>
      <c r="AD983" s="93"/>
      <c r="AE983" s="85"/>
    </row>
    <row r="984" spans="7:31" x14ac:dyDescent="0.35">
      <c r="G984" s="85"/>
      <c r="H984" s="87"/>
      <c r="I984" s="94"/>
      <c r="J984" s="93"/>
      <c r="K984" s="85"/>
      <c r="M984" s="94"/>
      <c r="N984" s="93"/>
      <c r="O984" s="85"/>
      <c r="Q984" s="94"/>
      <c r="R984" s="93"/>
      <c r="S984" s="85"/>
      <c r="U984" s="94"/>
      <c r="V984" s="93"/>
      <c r="W984" s="85"/>
      <c r="Y984" s="94"/>
      <c r="Z984" s="93"/>
      <c r="AA984" s="85"/>
      <c r="AC984" s="94"/>
      <c r="AD984" s="93"/>
      <c r="AE984" s="85"/>
    </row>
    <row r="985" spans="7:31" x14ac:dyDescent="0.35">
      <c r="G985" s="85"/>
      <c r="H985" s="87"/>
      <c r="I985" s="94"/>
      <c r="J985" s="93"/>
      <c r="K985" s="85"/>
      <c r="M985" s="94"/>
      <c r="N985" s="93"/>
      <c r="O985" s="85"/>
      <c r="Q985" s="94"/>
      <c r="R985" s="93"/>
      <c r="S985" s="85"/>
      <c r="U985" s="94"/>
      <c r="V985" s="93"/>
      <c r="W985" s="85"/>
      <c r="Y985" s="94"/>
      <c r="Z985" s="93"/>
      <c r="AA985" s="85"/>
      <c r="AC985" s="94"/>
      <c r="AD985" s="93"/>
      <c r="AE985" s="85"/>
    </row>
    <row r="986" spans="7:31" x14ac:dyDescent="0.35">
      <c r="G986" s="85"/>
      <c r="H986" s="87"/>
      <c r="I986" s="94"/>
      <c r="J986" s="93"/>
      <c r="K986" s="85"/>
      <c r="M986" s="94"/>
      <c r="N986" s="93"/>
      <c r="O986" s="85"/>
      <c r="Q986" s="94"/>
      <c r="R986" s="93"/>
      <c r="S986" s="85"/>
      <c r="U986" s="94"/>
      <c r="V986" s="93"/>
      <c r="W986" s="85"/>
      <c r="Y986" s="94"/>
      <c r="Z986" s="93"/>
      <c r="AA986" s="85"/>
      <c r="AC986" s="94"/>
      <c r="AD986" s="93"/>
      <c r="AE986" s="85"/>
    </row>
    <row r="987" spans="7:31" x14ac:dyDescent="0.35">
      <c r="G987" s="85"/>
      <c r="H987" s="87"/>
      <c r="I987" s="94"/>
      <c r="J987" s="93"/>
      <c r="K987" s="85"/>
      <c r="M987" s="94"/>
      <c r="N987" s="93"/>
      <c r="O987" s="85"/>
      <c r="Q987" s="94"/>
      <c r="R987" s="93"/>
      <c r="S987" s="85"/>
      <c r="U987" s="94"/>
      <c r="V987" s="93"/>
      <c r="W987" s="85"/>
      <c r="Y987" s="94"/>
      <c r="Z987" s="93"/>
      <c r="AA987" s="85"/>
      <c r="AC987" s="94"/>
      <c r="AD987" s="93"/>
      <c r="AE987" s="85"/>
    </row>
    <row r="988" spans="7:31" x14ac:dyDescent="0.35">
      <c r="G988" s="85"/>
      <c r="H988" s="87"/>
      <c r="I988" s="94"/>
      <c r="J988" s="93"/>
      <c r="K988" s="85"/>
      <c r="M988" s="94"/>
      <c r="N988" s="93"/>
      <c r="O988" s="85"/>
      <c r="Q988" s="94"/>
      <c r="R988" s="93"/>
      <c r="S988" s="85"/>
      <c r="U988" s="94"/>
      <c r="V988" s="93"/>
      <c r="W988" s="85"/>
      <c r="Y988" s="94"/>
      <c r="Z988" s="93"/>
      <c r="AA988" s="85"/>
      <c r="AC988" s="94"/>
      <c r="AD988" s="93"/>
      <c r="AE988" s="85"/>
    </row>
    <row r="989" spans="7:31" x14ac:dyDescent="0.35">
      <c r="G989" s="85"/>
      <c r="H989" s="87"/>
      <c r="I989" s="94"/>
      <c r="J989" s="93"/>
      <c r="K989" s="85"/>
      <c r="M989" s="94"/>
      <c r="N989" s="93"/>
      <c r="O989" s="85"/>
      <c r="Q989" s="94"/>
      <c r="R989" s="93"/>
      <c r="S989" s="85"/>
      <c r="U989" s="94"/>
      <c r="V989" s="93"/>
      <c r="W989" s="85"/>
      <c r="Y989" s="94"/>
      <c r="Z989" s="93"/>
      <c r="AA989" s="85"/>
      <c r="AC989" s="94"/>
      <c r="AD989" s="93"/>
      <c r="AE989" s="85"/>
    </row>
    <row r="990" spans="7:31" x14ac:dyDescent="0.35">
      <c r="G990" s="85"/>
      <c r="H990" s="87"/>
      <c r="I990" s="94"/>
      <c r="J990" s="93"/>
      <c r="K990" s="85"/>
      <c r="M990" s="94"/>
      <c r="N990" s="93"/>
      <c r="O990" s="85"/>
      <c r="Q990" s="94"/>
      <c r="R990" s="93"/>
      <c r="S990" s="85"/>
      <c r="U990" s="94"/>
      <c r="V990" s="93"/>
      <c r="W990" s="85"/>
      <c r="Y990" s="94"/>
      <c r="Z990" s="93"/>
      <c r="AA990" s="85"/>
      <c r="AC990" s="94"/>
      <c r="AD990" s="93"/>
      <c r="AE990" s="85"/>
    </row>
    <row r="991" spans="7:31" x14ac:dyDescent="0.35">
      <c r="G991" s="85"/>
      <c r="H991" s="87"/>
      <c r="I991" s="94"/>
      <c r="J991" s="93"/>
      <c r="K991" s="85"/>
      <c r="M991" s="94"/>
      <c r="N991" s="93"/>
      <c r="O991" s="85"/>
      <c r="Q991" s="94"/>
      <c r="R991" s="93"/>
      <c r="S991" s="85"/>
      <c r="U991" s="94"/>
      <c r="V991" s="93"/>
      <c r="W991" s="85"/>
      <c r="Y991" s="94"/>
      <c r="Z991" s="93"/>
      <c r="AA991" s="85"/>
      <c r="AC991" s="94"/>
      <c r="AD991" s="93"/>
      <c r="AE991" s="85"/>
    </row>
    <row r="992" spans="7:31" x14ac:dyDescent="0.35">
      <c r="G992" s="85"/>
      <c r="H992" s="87"/>
      <c r="I992" s="94"/>
      <c r="J992" s="93"/>
      <c r="K992" s="85"/>
      <c r="M992" s="94"/>
      <c r="N992" s="93"/>
      <c r="O992" s="85"/>
      <c r="Q992" s="94"/>
      <c r="R992" s="93"/>
      <c r="S992" s="85"/>
      <c r="U992" s="94"/>
      <c r="V992" s="93"/>
      <c r="W992" s="85"/>
      <c r="Y992" s="94"/>
      <c r="Z992" s="93"/>
      <c r="AA992" s="85"/>
      <c r="AC992" s="94"/>
      <c r="AD992" s="93"/>
      <c r="AE992" s="85"/>
    </row>
    <row r="993" spans="7:31" x14ac:dyDescent="0.35">
      <c r="G993" s="85"/>
      <c r="H993" s="87"/>
      <c r="I993" s="94"/>
      <c r="J993" s="93"/>
      <c r="K993" s="85"/>
      <c r="M993" s="94"/>
      <c r="N993" s="93"/>
      <c r="O993" s="85"/>
      <c r="Q993" s="94"/>
      <c r="R993" s="93"/>
      <c r="S993" s="85"/>
      <c r="U993" s="94"/>
      <c r="V993" s="93"/>
      <c r="W993" s="85"/>
      <c r="Y993" s="94"/>
      <c r="Z993" s="93"/>
      <c r="AA993" s="85"/>
      <c r="AC993" s="94"/>
      <c r="AD993" s="93"/>
      <c r="AE993" s="85"/>
    </row>
    <row r="994" spans="7:31" x14ac:dyDescent="0.35">
      <c r="G994" s="85"/>
      <c r="H994" s="87"/>
      <c r="I994" s="94"/>
      <c r="J994" s="93"/>
      <c r="K994" s="85"/>
      <c r="M994" s="94"/>
      <c r="N994" s="93"/>
      <c r="O994" s="85"/>
      <c r="Q994" s="94"/>
      <c r="R994" s="93"/>
      <c r="S994" s="85"/>
      <c r="U994" s="94"/>
      <c r="V994" s="93"/>
      <c r="W994" s="85"/>
      <c r="Y994" s="94"/>
      <c r="Z994" s="93"/>
      <c r="AA994" s="85"/>
      <c r="AC994" s="94"/>
      <c r="AD994" s="93"/>
      <c r="AE994" s="85"/>
    </row>
    <row r="995" spans="7:31" x14ac:dyDescent="0.35">
      <c r="G995" s="85"/>
      <c r="H995" s="87"/>
      <c r="I995" s="94"/>
      <c r="J995" s="93"/>
      <c r="K995" s="85"/>
      <c r="M995" s="94"/>
      <c r="N995" s="93"/>
      <c r="O995" s="85"/>
      <c r="Q995" s="94"/>
      <c r="R995" s="93"/>
      <c r="S995" s="85"/>
      <c r="U995" s="94"/>
      <c r="V995" s="93"/>
      <c r="W995" s="85"/>
      <c r="Y995" s="94"/>
      <c r="Z995" s="93"/>
      <c r="AA995" s="85"/>
      <c r="AC995" s="94"/>
      <c r="AD995" s="93"/>
      <c r="AE995" s="85"/>
    </row>
    <row r="996" spans="7:31" x14ac:dyDescent="0.35">
      <c r="G996" s="85"/>
      <c r="H996" s="87"/>
      <c r="I996" s="94"/>
      <c r="J996" s="93"/>
      <c r="K996" s="85"/>
      <c r="M996" s="94"/>
      <c r="N996" s="93"/>
      <c r="O996" s="85"/>
      <c r="Q996" s="94"/>
      <c r="R996" s="93"/>
      <c r="S996" s="85"/>
      <c r="U996" s="94"/>
      <c r="V996" s="93"/>
      <c r="W996" s="85"/>
      <c r="Y996" s="94"/>
      <c r="Z996" s="93"/>
      <c r="AA996" s="85"/>
      <c r="AC996" s="94"/>
      <c r="AD996" s="93"/>
      <c r="AE996" s="85"/>
    </row>
    <row r="997" spans="7:31" x14ac:dyDescent="0.35">
      <c r="G997" s="85"/>
      <c r="H997" s="87"/>
      <c r="I997" s="94"/>
      <c r="J997" s="93"/>
      <c r="K997" s="85"/>
      <c r="M997" s="94"/>
      <c r="N997" s="93"/>
      <c r="O997" s="85"/>
      <c r="Q997" s="94"/>
      <c r="R997" s="93"/>
      <c r="S997" s="85"/>
      <c r="U997" s="94"/>
      <c r="V997" s="93"/>
      <c r="W997" s="85"/>
      <c r="Y997" s="94"/>
      <c r="Z997" s="93"/>
      <c r="AA997" s="85"/>
      <c r="AC997" s="94"/>
      <c r="AD997" s="93"/>
      <c r="AE997" s="85"/>
    </row>
    <row r="998" spans="7:31" x14ac:dyDescent="0.35">
      <c r="G998" s="85"/>
      <c r="H998" s="87"/>
      <c r="I998" s="94"/>
      <c r="J998" s="93"/>
      <c r="K998" s="85"/>
      <c r="M998" s="94"/>
      <c r="N998" s="93"/>
      <c r="O998" s="85"/>
      <c r="Q998" s="94"/>
      <c r="R998" s="93"/>
      <c r="S998" s="85"/>
      <c r="U998" s="94"/>
      <c r="V998" s="93"/>
      <c r="W998" s="85"/>
      <c r="Y998" s="94"/>
      <c r="Z998" s="93"/>
      <c r="AA998" s="85"/>
      <c r="AC998" s="94"/>
      <c r="AD998" s="93"/>
      <c r="AE998" s="85"/>
    </row>
    <row r="999" spans="7:31" x14ac:dyDescent="0.35">
      <c r="G999" s="85"/>
      <c r="H999" s="87"/>
      <c r="I999" s="94"/>
      <c r="J999" s="93"/>
      <c r="K999" s="85"/>
      <c r="M999" s="94"/>
      <c r="N999" s="93"/>
      <c r="O999" s="85"/>
      <c r="Q999" s="94"/>
      <c r="R999" s="93"/>
      <c r="S999" s="85"/>
      <c r="U999" s="94"/>
      <c r="V999" s="93"/>
      <c r="W999" s="85"/>
      <c r="Y999" s="94"/>
      <c r="Z999" s="93"/>
      <c r="AA999" s="85"/>
      <c r="AC999" s="94"/>
      <c r="AD999" s="93"/>
      <c r="AE999" s="85"/>
    </row>
    <row r="1000" spans="7:31" x14ac:dyDescent="0.35">
      <c r="G1000" s="85"/>
      <c r="H1000" s="87"/>
      <c r="I1000" s="94"/>
      <c r="J1000" s="93"/>
      <c r="K1000" s="85"/>
      <c r="M1000" s="94"/>
      <c r="N1000" s="93"/>
      <c r="O1000" s="85"/>
      <c r="Q1000" s="94"/>
      <c r="R1000" s="93"/>
      <c r="S1000" s="85"/>
      <c r="U1000" s="94"/>
      <c r="V1000" s="93"/>
      <c r="W1000" s="85"/>
      <c r="Y1000" s="94"/>
      <c r="Z1000" s="93"/>
      <c r="AA1000" s="85"/>
      <c r="AC1000" s="94"/>
      <c r="AD1000" s="93"/>
      <c r="AE1000" s="85"/>
    </row>
    <row r="1001" spans="7:31" x14ac:dyDescent="0.35">
      <c r="I1001" s="94"/>
      <c r="J1001" s="93"/>
      <c r="K1001" s="85"/>
      <c r="M1001" s="94"/>
      <c r="N1001" s="93"/>
      <c r="O1001" s="85"/>
    </row>
  </sheetData>
  <conditionalFormatting sqref="A1:AG1048576">
    <cfRule type="expression" dxfId="0" priority="1">
      <formula>$A4="Spend to Date"</formula>
    </cfRule>
  </conditionalFormatting>
  <pageMargins left="0.7" right="0.7" top="0.75" bottom="0.75" header="0.3" footer="0.3"/>
  <pageSetup paperSize="9" scale="1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09BB-3595-42B9-8377-1EC18080AF30}">
  <sheetPr codeName="Sheet59"/>
  <dimension ref="A1:C11"/>
  <sheetViews>
    <sheetView workbookViewId="0">
      <selection activeCell="I13" sqref="I13"/>
    </sheetView>
  </sheetViews>
  <sheetFormatPr defaultRowHeight="14.5" x14ac:dyDescent="0.35"/>
  <sheetData>
    <row r="1" spans="1:3" x14ac:dyDescent="0.35">
      <c r="A1" t="s">
        <v>3086</v>
      </c>
      <c r="C1" t="s">
        <v>3084</v>
      </c>
    </row>
    <row r="2" spans="1:3" x14ac:dyDescent="0.35">
      <c r="A2" t="s">
        <v>3087</v>
      </c>
      <c r="C2" t="s">
        <v>3080</v>
      </c>
    </row>
    <row r="3" spans="1:3" x14ac:dyDescent="0.35">
      <c r="A3" t="s">
        <v>3088</v>
      </c>
      <c r="C3" t="s">
        <v>3081</v>
      </c>
    </row>
    <row r="4" spans="1:3" x14ac:dyDescent="0.35">
      <c r="A4" t="s">
        <v>3089</v>
      </c>
      <c r="C4" t="s">
        <v>3082</v>
      </c>
    </row>
    <row r="5" spans="1:3" x14ac:dyDescent="0.35">
      <c r="A5" t="s">
        <v>3090</v>
      </c>
      <c r="C5" t="s">
        <v>3083</v>
      </c>
    </row>
    <row r="6" spans="1:3" x14ac:dyDescent="0.35">
      <c r="A6" t="s">
        <v>1454</v>
      </c>
      <c r="C6" t="s">
        <v>27</v>
      </c>
    </row>
    <row r="7" spans="1:3" x14ac:dyDescent="0.35">
      <c r="C7" t="s">
        <v>30</v>
      </c>
    </row>
    <row r="8" spans="1:3" x14ac:dyDescent="0.35">
      <c r="C8" t="s">
        <v>3085</v>
      </c>
    </row>
    <row r="9" spans="1:3" x14ac:dyDescent="0.35">
      <c r="C9" t="s">
        <v>3138</v>
      </c>
    </row>
    <row r="10" spans="1:3" x14ac:dyDescent="0.35">
      <c r="C10" t="s">
        <v>3174</v>
      </c>
    </row>
    <row r="11" spans="1:3" x14ac:dyDescent="0.35">
      <c r="C11" t="s">
        <v>3175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
  <sheetViews>
    <sheetView workbookViewId="0">
      <selection activeCell="B7" sqref="B7"/>
    </sheetView>
  </sheetViews>
  <sheetFormatPr defaultRowHeight="14.5" x14ac:dyDescent="0.35"/>
  <cols>
    <col min="5" max="8" width="0" hidden="1" customWidth="1"/>
  </cols>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B5"/>
  <sheetViews>
    <sheetView workbookViewId="0">
      <selection activeCell="A5" sqref="A5"/>
    </sheetView>
  </sheetViews>
  <sheetFormatPr defaultRowHeight="14.5" x14ac:dyDescent="0.35"/>
  <cols>
    <col min="1" max="1" width="28.453125" bestFit="1" customWidth="1"/>
    <col min="2" max="2" width="11" style="1" bestFit="1" customWidth="1"/>
    <col min="5" max="8" width="0" hidden="1" customWidth="1"/>
  </cols>
  <sheetData>
    <row r="1" spans="1:2" x14ac:dyDescent="0.35">
      <c r="A1" s="25" t="s">
        <v>1938</v>
      </c>
    </row>
    <row r="2" spans="1:2" x14ac:dyDescent="0.35">
      <c r="A2" t="s">
        <v>489</v>
      </c>
      <c r="B2" s="1" t="s">
        <v>475</v>
      </c>
    </row>
    <row r="3" spans="1:2" x14ac:dyDescent="0.35">
      <c r="A3" t="s">
        <v>1939</v>
      </c>
      <c r="B3" s="1">
        <v>100000</v>
      </c>
    </row>
    <row r="4" spans="1:2" x14ac:dyDescent="0.35">
      <c r="A4" t="s">
        <v>1495</v>
      </c>
      <c r="B4" s="1">
        <v>10000</v>
      </c>
    </row>
    <row r="5" spans="1:2" x14ac:dyDescent="0.35">
      <c r="A5" t="s">
        <v>1940</v>
      </c>
      <c r="B5" s="1">
        <f>600*6</f>
        <v>3600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
  <sheetViews>
    <sheetView workbookViewId="0">
      <selection activeCell="K12" sqref="K12"/>
    </sheetView>
  </sheetViews>
  <sheetFormatPr defaultRowHeight="14.5" x14ac:dyDescent="0.35"/>
  <cols>
    <col min="5" max="8" width="0" hidden="1" customWidth="1"/>
  </cols>
  <sheetData>
    <row r="1" spans="1:1" x14ac:dyDescent="0.35">
      <c r="A1" t="s">
        <v>102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E2:F3"/>
  <sheetViews>
    <sheetView workbookViewId="0">
      <selection activeCell="A4" sqref="A1:XFD1048576"/>
    </sheetView>
  </sheetViews>
  <sheetFormatPr defaultRowHeight="14.5" x14ac:dyDescent="0.35"/>
  <cols>
    <col min="5" max="6" width="10.54296875" hidden="1" customWidth="1"/>
    <col min="7" max="8" width="0" hidden="1" customWidth="1"/>
  </cols>
  <sheetData>
    <row r="2" spans="5:6" x14ac:dyDescent="0.35">
      <c r="E2" s="7"/>
      <c r="F2" s="7"/>
    </row>
    <row r="3" spans="5:6" x14ac:dyDescent="0.35">
      <c r="E3" s="7"/>
      <c r="F3" s="7"/>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C2:C86"/>
  <sheetViews>
    <sheetView workbookViewId="0">
      <selection activeCell="H10" sqref="H10"/>
    </sheetView>
  </sheetViews>
  <sheetFormatPr defaultRowHeight="14.5" x14ac:dyDescent="0.35"/>
  <cols>
    <col min="5" max="8" width="0" hidden="1" customWidth="1"/>
  </cols>
  <sheetData>
    <row r="2" spans="3:3" x14ac:dyDescent="0.35">
      <c r="C2" s="7"/>
    </row>
    <row r="3" spans="3:3" x14ac:dyDescent="0.35">
      <c r="C3" s="7"/>
    </row>
    <row r="4" spans="3:3" x14ac:dyDescent="0.35">
      <c r="C4" s="7"/>
    </row>
    <row r="5" spans="3:3" x14ac:dyDescent="0.35">
      <c r="C5" s="7"/>
    </row>
    <row r="6" spans="3:3" x14ac:dyDescent="0.35">
      <c r="C6" s="7"/>
    </row>
    <row r="7" spans="3:3" x14ac:dyDescent="0.35">
      <c r="C7" s="7"/>
    </row>
    <row r="8" spans="3:3" x14ac:dyDescent="0.35">
      <c r="C8" s="7"/>
    </row>
    <row r="9" spans="3:3" x14ac:dyDescent="0.35">
      <c r="C9" s="7"/>
    </row>
    <row r="10" spans="3:3" x14ac:dyDescent="0.35">
      <c r="C10" s="7"/>
    </row>
    <row r="11" spans="3:3" x14ac:dyDescent="0.35">
      <c r="C11" s="7"/>
    </row>
    <row r="12" spans="3:3" x14ac:dyDescent="0.35">
      <c r="C12" s="7"/>
    </row>
    <row r="13" spans="3:3" x14ac:dyDescent="0.35">
      <c r="C13" s="7"/>
    </row>
    <row r="14" spans="3:3" x14ac:dyDescent="0.35">
      <c r="C14" s="7"/>
    </row>
    <row r="15" spans="3:3" x14ac:dyDescent="0.35">
      <c r="C15" s="7"/>
    </row>
    <row r="16" spans="3:3" x14ac:dyDescent="0.35">
      <c r="C16" s="7"/>
    </row>
    <row r="17" spans="3:3" x14ac:dyDescent="0.35">
      <c r="C17" s="7"/>
    </row>
    <row r="18" spans="3:3" x14ac:dyDescent="0.35">
      <c r="C18" s="7"/>
    </row>
    <row r="19" spans="3:3" x14ac:dyDescent="0.35">
      <c r="C19" s="7"/>
    </row>
    <row r="20" spans="3:3" x14ac:dyDescent="0.35">
      <c r="C20" s="7"/>
    </row>
    <row r="21" spans="3:3" x14ac:dyDescent="0.35">
      <c r="C21" s="7"/>
    </row>
    <row r="22" spans="3:3" x14ac:dyDescent="0.35">
      <c r="C22" s="7"/>
    </row>
    <row r="23" spans="3:3" x14ac:dyDescent="0.35">
      <c r="C23" s="7"/>
    </row>
    <row r="24" spans="3:3" x14ac:dyDescent="0.35">
      <c r="C24" s="7"/>
    </row>
    <row r="25" spans="3:3" x14ac:dyDescent="0.35">
      <c r="C25" s="7"/>
    </row>
    <row r="26" spans="3:3" x14ac:dyDescent="0.35">
      <c r="C26" s="7"/>
    </row>
    <row r="27" spans="3:3" x14ac:dyDescent="0.35">
      <c r="C27" s="7"/>
    </row>
    <row r="28" spans="3:3" x14ac:dyDescent="0.35">
      <c r="C28" s="7"/>
    </row>
    <row r="29" spans="3:3" x14ac:dyDescent="0.35">
      <c r="C29" s="7"/>
    </row>
    <row r="30" spans="3:3" x14ac:dyDescent="0.35">
      <c r="C30" s="7"/>
    </row>
    <row r="31" spans="3:3" x14ac:dyDescent="0.35">
      <c r="C31" s="7"/>
    </row>
    <row r="32" spans="3:3" x14ac:dyDescent="0.35">
      <c r="C32" s="7"/>
    </row>
    <row r="33" spans="3:3" x14ac:dyDescent="0.35">
      <c r="C33" s="7"/>
    </row>
    <row r="34" spans="3:3" x14ac:dyDescent="0.35">
      <c r="C34" s="7"/>
    </row>
    <row r="35" spans="3:3" x14ac:dyDescent="0.35">
      <c r="C35" s="7"/>
    </row>
    <row r="36" spans="3:3" x14ac:dyDescent="0.35">
      <c r="C36" s="7"/>
    </row>
    <row r="37" spans="3:3" x14ac:dyDescent="0.35">
      <c r="C37" s="7"/>
    </row>
    <row r="38" spans="3:3" x14ac:dyDescent="0.35">
      <c r="C38" s="7"/>
    </row>
    <row r="39" spans="3:3" x14ac:dyDescent="0.35">
      <c r="C39" s="7"/>
    </row>
    <row r="40" spans="3:3" x14ac:dyDescent="0.35">
      <c r="C40" s="7"/>
    </row>
    <row r="41" spans="3:3" x14ac:dyDescent="0.35">
      <c r="C41" s="7"/>
    </row>
    <row r="42" spans="3:3" x14ac:dyDescent="0.35">
      <c r="C42" s="7"/>
    </row>
    <row r="43" spans="3:3" x14ac:dyDescent="0.35">
      <c r="C43" s="7"/>
    </row>
    <row r="44" spans="3:3" x14ac:dyDescent="0.35">
      <c r="C44" s="7"/>
    </row>
    <row r="45" spans="3:3" x14ac:dyDescent="0.35">
      <c r="C45" s="7"/>
    </row>
    <row r="46" spans="3:3" x14ac:dyDescent="0.35">
      <c r="C46" s="7"/>
    </row>
    <row r="47" spans="3:3" x14ac:dyDescent="0.35">
      <c r="C47" s="7"/>
    </row>
    <row r="48" spans="3:3" x14ac:dyDescent="0.35">
      <c r="C48" s="7"/>
    </row>
    <row r="49" spans="3:3" x14ac:dyDescent="0.35">
      <c r="C49" s="7"/>
    </row>
    <row r="50" spans="3:3" x14ac:dyDescent="0.35">
      <c r="C50" s="7"/>
    </row>
    <row r="51" spans="3:3" x14ac:dyDescent="0.35">
      <c r="C51" s="7"/>
    </row>
    <row r="52" spans="3:3" x14ac:dyDescent="0.35">
      <c r="C52" s="7"/>
    </row>
    <row r="53" spans="3:3" x14ac:dyDescent="0.35">
      <c r="C53" s="7"/>
    </row>
    <row r="54" spans="3:3" x14ac:dyDescent="0.35">
      <c r="C54" s="7"/>
    </row>
    <row r="55" spans="3:3" x14ac:dyDescent="0.35">
      <c r="C55" s="7"/>
    </row>
    <row r="56" spans="3:3" x14ac:dyDescent="0.35">
      <c r="C56" s="7"/>
    </row>
    <row r="57" spans="3:3" x14ac:dyDescent="0.35">
      <c r="C57" s="7"/>
    </row>
    <row r="58" spans="3:3" x14ac:dyDescent="0.35">
      <c r="C58" s="7"/>
    </row>
    <row r="59" spans="3:3" x14ac:dyDescent="0.35">
      <c r="C59" s="7"/>
    </row>
    <row r="60" spans="3:3" x14ac:dyDescent="0.35">
      <c r="C60" s="7"/>
    </row>
    <row r="61" spans="3:3" x14ac:dyDescent="0.35">
      <c r="C61" s="7"/>
    </row>
    <row r="62" spans="3:3" x14ac:dyDescent="0.35">
      <c r="C62" s="7"/>
    </row>
    <row r="63" spans="3:3" x14ac:dyDescent="0.35">
      <c r="C63" s="7"/>
    </row>
    <row r="64" spans="3:3" x14ac:dyDescent="0.35">
      <c r="C64" s="7"/>
    </row>
    <row r="65" spans="3:3" x14ac:dyDescent="0.35">
      <c r="C65" s="7"/>
    </row>
    <row r="66" spans="3:3" x14ac:dyDescent="0.35">
      <c r="C66" s="7"/>
    </row>
    <row r="67" spans="3:3" x14ac:dyDescent="0.35">
      <c r="C67" s="7"/>
    </row>
    <row r="68" spans="3:3" x14ac:dyDescent="0.35">
      <c r="C68" s="7"/>
    </row>
    <row r="69" spans="3:3" x14ac:dyDescent="0.35">
      <c r="C69" s="7"/>
    </row>
    <row r="70" spans="3:3" x14ac:dyDescent="0.35">
      <c r="C70" s="7"/>
    </row>
    <row r="71" spans="3:3" x14ac:dyDescent="0.35">
      <c r="C71" s="7"/>
    </row>
    <row r="72" spans="3:3" x14ac:dyDescent="0.35">
      <c r="C72" s="7"/>
    </row>
    <row r="73" spans="3:3" x14ac:dyDescent="0.35">
      <c r="C73" s="7"/>
    </row>
    <row r="74" spans="3:3" x14ac:dyDescent="0.35">
      <c r="C74" s="7"/>
    </row>
    <row r="75" spans="3:3" x14ac:dyDescent="0.35">
      <c r="C75" s="7"/>
    </row>
    <row r="76" spans="3:3" x14ac:dyDescent="0.35">
      <c r="C76" s="7"/>
    </row>
    <row r="77" spans="3:3" x14ac:dyDescent="0.35">
      <c r="C77" s="7"/>
    </row>
    <row r="78" spans="3:3" x14ac:dyDescent="0.35">
      <c r="C78" s="7"/>
    </row>
    <row r="79" spans="3:3" x14ac:dyDescent="0.35">
      <c r="C79" s="7"/>
    </row>
    <row r="80" spans="3:3" x14ac:dyDescent="0.35">
      <c r="C80" s="7"/>
    </row>
    <row r="81" spans="3:3" x14ac:dyDescent="0.35">
      <c r="C81" s="7"/>
    </row>
    <row r="82" spans="3:3" x14ac:dyDescent="0.35">
      <c r="C82" s="7"/>
    </row>
    <row r="83" spans="3:3" x14ac:dyDescent="0.35">
      <c r="C83" s="7"/>
    </row>
    <row r="84" spans="3:3" x14ac:dyDescent="0.35">
      <c r="C84" s="7"/>
    </row>
    <row r="85" spans="3:3" x14ac:dyDescent="0.35">
      <c r="C85" s="7"/>
    </row>
    <row r="86" spans="3:3" x14ac:dyDescent="0.35">
      <c r="C86" s="7"/>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dimension ref="A1:F86"/>
  <sheetViews>
    <sheetView topLeftCell="A47" workbookViewId="0">
      <selection activeCell="F61" sqref="F61"/>
    </sheetView>
  </sheetViews>
  <sheetFormatPr defaultRowHeight="14.5" x14ac:dyDescent="0.35"/>
  <cols>
    <col min="1" max="1" width="8.81640625"/>
    <col min="2" max="2" width="18.54296875" customWidth="1"/>
    <col min="3" max="3" width="16.54296875" bestFit="1" customWidth="1"/>
    <col min="4" max="4" width="16.453125" bestFit="1" customWidth="1"/>
    <col min="5" max="5" width="13.54296875" hidden="1" customWidth="1"/>
    <col min="6" max="6" width="8.1796875" hidden="1" customWidth="1"/>
    <col min="7" max="8" width="0" hidden="1" customWidth="1"/>
  </cols>
  <sheetData>
    <row r="1" spans="1:6" x14ac:dyDescent="0.35">
      <c r="A1" t="s">
        <v>1941</v>
      </c>
      <c r="B1" t="s">
        <v>489</v>
      </c>
      <c r="C1" t="s">
        <v>1942</v>
      </c>
      <c r="D1" t="s">
        <v>1943</v>
      </c>
      <c r="E1" t="s">
        <v>1944</v>
      </c>
      <c r="F1" t="s">
        <v>1945</v>
      </c>
    </row>
    <row r="2" spans="1:6" x14ac:dyDescent="0.35">
      <c r="A2" t="s">
        <v>1946</v>
      </c>
      <c r="B2" t="s">
        <v>1947</v>
      </c>
      <c r="C2" s="7">
        <v>42826</v>
      </c>
      <c r="D2">
        <v>1</v>
      </c>
      <c r="E2" t="s">
        <v>481</v>
      </c>
      <c r="F2" t="s">
        <v>1915</v>
      </c>
    </row>
    <row r="3" spans="1:6" x14ac:dyDescent="0.35">
      <c r="A3" t="s">
        <v>1946</v>
      </c>
      <c r="B3" t="s">
        <v>1948</v>
      </c>
      <c r="C3" s="7">
        <v>42826</v>
      </c>
      <c r="D3">
        <v>1</v>
      </c>
      <c r="E3" t="s">
        <v>481</v>
      </c>
      <c r="F3" t="s">
        <v>1949</v>
      </c>
    </row>
    <row r="4" spans="1:6" x14ac:dyDescent="0.35">
      <c r="A4" t="s">
        <v>1946</v>
      </c>
      <c r="B4" t="s">
        <v>1950</v>
      </c>
      <c r="C4" s="7">
        <v>42826</v>
      </c>
      <c r="D4">
        <v>1</v>
      </c>
      <c r="E4" t="s">
        <v>481</v>
      </c>
      <c r="F4" t="s">
        <v>1951</v>
      </c>
    </row>
    <row r="5" spans="1:6" x14ac:dyDescent="0.35">
      <c r="A5" t="s">
        <v>1946</v>
      </c>
      <c r="B5" t="s">
        <v>1952</v>
      </c>
      <c r="C5" s="7">
        <v>42826</v>
      </c>
      <c r="D5">
        <v>1</v>
      </c>
      <c r="E5" t="s">
        <v>481</v>
      </c>
      <c r="F5" t="s">
        <v>1953</v>
      </c>
    </row>
    <row r="6" spans="1:6" x14ac:dyDescent="0.35">
      <c r="A6" t="s">
        <v>1954</v>
      </c>
      <c r="B6" t="s">
        <v>1955</v>
      </c>
      <c r="C6" s="7">
        <v>42826</v>
      </c>
      <c r="D6">
        <v>1</v>
      </c>
      <c r="E6" t="s">
        <v>481</v>
      </c>
      <c r="F6" t="s">
        <v>1956</v>
      </c>
    </row>
    <row r="7" spans="1:6" x14ac:dyDescent="0.35">
      <c r="A7" t="s">
        <v>1946</v>
      </c>
      <c r="B7" t="s">
        <v>1957</v>
      </c>
      <c r="C7" s="7">
        <v>42826</v>
      </c>
      <c r="D7">
        <v>1</v>
      </c>
      <c r="E7" t="s">
        <v>481</v>
      </c>
      <c r="F7" t="s">
        <v>1958</v>
      </c>
    </row>
    <row r="8" spans="1:6" x14ac:dyDescent="0.35">
      <c r="A8" t="s">
        <v>1946</v>
      </c>
      <c r="B8" t="s">
        <v>1959</v>
      </c>
      <c r="C8" s="7">
        <v>42826</v>
      </c>
      <c r="D8">
        <v>1</v>
      </c>
      <c r="E8" t="s">
        <v>481</v>
      </c>
      <c r="F8" t="s">
        <v>105</v>
      </c>
    </row>
    <row r="9" spans="1:6" x14ac:dyDescent="0.35">
      <c r="A9" t="s">
        <v>1946</v>
      </c>
      <c r="B9" t="s">
        <v>1933</v>
      </c>
      <c r="C9" s="7">
        <v>42826</v>
      </c>
      <c r="D9">
        <v>1</v>
      </c>
      <c r="E9" t="s">
        <v>481</v>
      </c>
      <c r="F9" t="s">
        <v>1960</v>
      </c>
    </row>
    <row r="10" spans="1:6" x14ac:dyDescent="0.35">
      <c r="A10" t="s">
        <v>1946</v>
      </c>
      <c r="B10" t="s">
        <v>1934</v>
      </c>
      <c r="C10" s="7">
        <v>42826</v>
      </c>
      <c r="D10">
        <v>1</v>
      </c>
      <c r="E10" t="s">
        <v>481</v>
      </c>
      <c r="F10" t="s">
        <v>1961</v>
      </c>
    </row>
    <row r="11" spans="1:6" x14ac:dyDescent="0.35">
      <c r="A11" t="s">
        <v>1946</v>
      </c>
      <c r="B11" t="s">
        <v>1962</v>
      </c>
      <c r="C11" s="7">
        <v>42826</v>
      </c>
      <c r="D11">
        <v>1</v>
      </c>
      <c r="E11" t="s">
        <v>481</v>
      </c>
      <c r="F11" t="s">
        <v>1961</v>
      </c>
    </row>
    <row r="12" spans="1:6" x14ac:dyDescent="0.35">
      <c r="A12" t="s">
        <v>1954</v>
      </c>
      <c r="B12" t="s">
        <v>1963</v>
      </c>
      <c r="C12" s="7">
        <v>42826</v>
      </c>
      <c r="D12">
        <v>1</v>
      </c>
      <c r="E12" t="s">
        <v>481</v>
      </c>
      <c r="F12" t="s">
        <v>1961</v>
      </c>
    </row>
    <row r="13" spans="1:6" x14ac:dyDescent="0.35">
      <c r="A13" t="s">
        <v>1946</v>
      </c>
      <c r="B13" t="s">
        <v>1964</v>
      </c>
      <c r="C13" s="7">
        <v>42826</v>
      </c>
      <c r="D13">
        <v>1</v>
      </c>
      <c r="E13" t="s">
        <v>481</v>
      </c>
      <c r="F13" t="s">
        <v>1965</v>
      </c>
    </row>
    <row r="14" spans="1:6" x14ac:dyDescent="0.35">
      <c r="A14" t="s">
        <v>1946</v>
      </c>
      <c r="B14" t="s">
        <v>1936</v>
      </c>
      <c r="C14" s="7">
        <v>42826</v>
      </c>
      <c r="D14">
        <v>1</v>
      </c>
      <c r="E14" t="s">
        <v>481</v>
      </c>
      <c r="F14" t="s">
        <v>1965</v>
      </c>
    </row>
    <row r="15" spans="1:6" x14ac:dyDescent="0.35">
      <c r="A15" t="s">
        <v>1946</v>
      </c>
      <c r="B15" t="s">
        <v>1966</v>
      </c>
      <c r="C15" s="7">
        <v>42826</v>
      </c>
      <c r="D15">
        <v>1</v>
      </c>
      <c r="E15" t="s">
        <v>481</v>
      </c>
      <c r="F15" t="s">
        <v>1967</v>
      </c>
    </row>
    <row r="16" spans="1:6" x14ac:dyDescent="0.35">
      <c r="A16" t="s">
        <v>1946</v>
      </c>
      <c r="B16" t="s">
        <v>1935</v>
      </c>
      <c r="C16" s="7">
        <v>42826</v>
      </c>
      <c r="D16">
        <v>1</v>
      </c>
      <c r="E16" t="s">
        <v>481</v>
      </c>
      <c r="F16" t="s">
        <v>1968</v>
      </c>
    </row>
    <row r="17" spans="1:6" x14ac:dyDescent="0.35">
      <c r="A17" t="s">
        <v>1954</v>
      </c>
      <c r="B17" t="s">
        <v>1969</v>
      </c>
      <c r="C17" s="7">
        <v>42826</v>
      </c>
      <c r="D17">
        <v>1</v>
      </c>
      <c r="E17" t="s">
        <v>481</v>
      </c>
      <c r="F17" t="s">
        <v>1968</v>
      </c>
    </row>
    <row r="18" spans="1:6" x14ac:dyDescent="0.35">
      <c r="A18" t="s">
        <v>1954</v>
      </c>
      <c r="B18" t="s">
        <v>1970</v>
      </c>
      <c r="C18" s="7">
        <v>42826</v>
      </c>
      <c r="D18">
        <v>1</v>
      </c>
      <c r="E18" t="s">
        <v>481</v>
      </c>
      <c r="F18" t="s">
        <v>1968</v>
      </c>
    </row>
    <row r="19" spans="1:6" x14ac:dyDescent="0.35">
      <c r="A19" t="s">
        <v>1946</v>
      </c>
      <c r="B19" t="s">
        <v>1971</v>
      </c>
      <c r="C19" s="7">
        <v>42826</v>
      </c>
      <c r="D19">
        <v>1</v>
      </c>
      <c r="E19" t="s">
        <v>481</v>
      </c>
      <c r="F19" t="s">
        <v>1965</v>
      </c>
    </row>
    <row r="20" spans="1:6" x14ac:dyDescent="0.35">
      <c r="A20" t="s">
        <v>1954</v>
      </c>
      <c r="B20" t="s">
        <v>1291</v>
      </c>
      <c r="C20" s="7">
        <v>42826</v>
      </c>
      <c r="D20">
        <v>1</v>
      </c>
      <c r="E20" t="s">
        <v>481</v>
      </c>
      <c r="F20" t="s">
        <v>1965</v>
      </c>
    </row>
    <row r="21" spans="1:6" x14ac:dyDescent="0.35">
      <c r="A21" t="s">
        <v>1954</v>
      </c>
      <c r="B21" t="s">
        <v>1972</v>
      </c>
      <c r="C21" s="7">
        <v>42826</v>
      </c>
      <c r="D21">
        <v>1</v>
      </c>
      <c r="E21" t="s">
        <v>481</v>
      </c>
      <c r="F21" t="s">
        <v>1965</v>
      </c>
    </row>
    <row r="22" spans="1:6" x14ac:dyDescent="0.35">
      <c r="A22" t="s">
        <v>1954</v>
      </c>
      <c r="B22" t="s">
        <v>1973</v>
      </c>
      <c r="C22" s="7">
        <v>42826</v>
      </c>
      <c r="D22">
        <v>1</v>
      </c>
      <c r="E22" t="s">
        <v>481</v>
      </c>
      <c r="F22" t="s">
        <v>1965</v>
      </c>
    </row>
    <row r="23" spans="1:6" x14ac:dyDescent="0.35">
      <c r="A23" t="s">
        <v>1954</v>
      </c>
      <c r="B23" t="s">
        <v>1974</v>
      </c>
      <c r="C23" s="7">
        <v>42826</v>
      </c>
      <c r="D23">
        <v>1</v>
      </c>
      <c r="E23" t="s">
        <v>481</v>
      </c>
      <c r="F23" t="s">
        <v>1965</v>
      </c>
    </row>
    <row r="24" spans="1:6" x14ac:dyDescent="0.35">
      <c r="A24" t="s">
        <v>1954</v>
      </c>
      <c r="B24" t="s">
        <v>1975</v>
      </c>
      <c r="C24" s="7">
        <v>42826</v>
      </c>
      <c r="D24">
        <v>1</v>
      </c>
      <c r="E24" t="s">
        <v>481</v>
      </c>
      <c r="F24" t="s">
        <v>1965</v>
      </c>
    </row>
    <row r="25" spans="1:6" x14ac:dyDescent="0.35">
      <c r="A25" t="s">
        <v>1954</v>
      </c>
      <c r="B25" t="s">
        <v>1976</v>
      </c>
      <c r="C25" s="7">
        <v>42826</v>
      </c>
      <c r="D25">
        <v>1</v>
      </c>
      <c r="E25" t="s">
        <v>481</v>
      </c>
      <c r="F25" t="s">
        <v>1965</v>
      </c>
    </row>
    <row r="26" spans="1:6" x14ac:dyDescent="0.35">
      <c r="A26" t="s">
        <v>1954</v>
      </c>
      <c r="B26" t="s">
        <v>1977</v>
      </c>
      <c r="C26" s="7">
        <v>42826</v>
      </c>
      <c r="D26">
        <v>1</v>
      </c>
      <c r="E26" t="s">
        <v>481</v>
      </c>
      <c r="F26" t="s">
        <v>1965</v>
      </c>
    </row>
    <row r="27" spans="1:6" x14ac:dyDescent="0.35">
      <c r="A27" t="s">
        <v>1954</v>
      </c>
      <c r="B27" t="s">
        <v>1978</v>
      </c>
      <c r="C27" s="7">
        <v>42826</v>
      </c>
      <c r="D27">
        <v>1</v>
      </c>
      <c r="E27" t="s">
        <v>481</v>
      </c>
      <c r="F27" t="s">
        <v>1965</v>
      </c>
    </row>
    <row r="28" spans="1:6" x14ac:dyDescent="0.35">
      <c r="A28" t="s">
        <v>1954</v>
      </c>
      <c r="B28" t="s">
        <v>1979</v>
      </c>
      <c r="C28" s="7">
        <v>42826</v>
      </c>
      <c r="D28">
        <v>1</v>
      </c>
      <c r="E28" t="s">
        <v>481</v>
      </c>
      <c r="F28" t="s">
        <v>1965</v>
      </c>
    </row>
    <row r="29" spans="1:6" x14ac:dyDescent="0.35">
      <c r="A29" t="s">
        <v>1954</v>
      </c>
      <c r="B29" t="s">
        <v>1980</v>
      </c>
      <c r="C29" s="7">
        <v>42826</v>
      </c>
      <c r="D29">
        <v>1</v>
      </c>
      <c r="E29" t="s">
        <v>481</v>
      </c>
      <c r="F29" t="s">
        <v>1965</v>
      </c>
    </row>
    <row r="30" spans="1:6" x14ac:dyDescent="0.35">
      <c r="A30" t="s">
        <v>1946</v>
      </c>
      <c r="B30" t="s">
        <v>1981</v>
      </c>
      <c r="C30" s="7">
        <v>42826</v>
      </c>
      <c r="D30">
        <v>1</v>
      </c>
      <c r="E30" t="s">
        <v>481</v>
      </c>
      <c r="F30" t="s">
        <v>1965</v>
      </c>
    </row>
    <row r="31" spans="1:6" x14ac:dyDescent="0.35">
      <c r="A31" t="s">
        <v>1946</v>
      </c>
      <c r="B31" t="s">
        <v>1982</v>
      </c>
      <c r="C31" s="7">
        <v>42826</v>
      </c>
      <c r="D31">
        <v>1</v>
      </c>
      <c r="E31" t="s">
        <v>481</v>
      </c>
      <c r="F31" t="s">
        <v>1983</v>
      </c>
    </row>
    <row r="32" spans="1:6" x14ac:dyDescent="0.35">
      <c r="A32" t="s">
        <v>1954</v>
      </c>
      <c r="B32" t="s">
        <v>1937</v>
      </c>
      <c r="C32" s="7">
        <v>42826</v>
      </c>
      <c r="D32">
        <v>1</v>
      </c>
      <c r="E32" t="s">
        <v>481</v>
      </c>
      <c r="F32" t="s">
        <v>1984</v>
      </c>
    </row>
    <row r="33" spans="1:6" x14ac:dyDescent="0.35">
      <c r="A33" t="s">
        <v>1946</v>
      </c>
      <c r="B33" t="s">
        <v>1931</v>
      </c>
      <c r="C33" s="7">
        <v>42826</v>
      </c>
      <c r="D33">
        <v>1</v>
      </c>
      <c r="E33" t="s">
        <v>481</v>
      </c>
      <c r="F33" t="s">
        <v>1985</v>
      </c>
    </row>
    <row r="34" spans="1:6" x14ac:dyDescent="0.35">
      <c r="A34" t="s">
        <v>1954</v>
      </c>
      <c r="B34" t="s">
        <v>1986</v>
      </c>
      <c r="C34" s="7">
        <v>42826</v>
      </c>
      <c r="D34">
        <v>1</v>
      </c>
      <c r="E34" t="s">
        <v>481</v>
      </c>
      <c r="F34" t="s">
        <v>1985</v>
      </c>
    </row>
    <row r="35" spans="1:6" x14ac:dyDescent="0.35">
      <c r="A35" t="s">
        <v>1954</v>
      </c>
      <c r="B35" t="s">
        <v>1987</v>
      </c>
      <c r="C35" s="7">
        <v>42826</v>
      </c>
      <c r="D35">
        <v>1</v>
      </c>
      <c r="E35" t="s">
        <v>481</v>
      </c>
      <c r="F35" t="s">
        <v>1985</v>
      </c>
    </row>
    <row r="36" spans="1:6" x14ac:dyDescent="0.35">
      <c r="A36" t="s">
        <v>1954</v>
      </c>
      <c r="B36" t="s">
        <v>1988</v>
      </c>
      <c r="C36" s="7">
        <v>42826</v>
      </c>
      <c r="D36">
        <v>1</v>
      </c>
      <c r="E36" t="s">
        <v>481</v>
      </c>
      <c r="F36" t="s">
        <v>1989</v>
      </c>
    </row>
    <row r="37" spans="1:6" x14ac:dyDescent="0.35">
      <c r="A37" t="s">
        <v>1954</v>
      </c>
      <c r="B37" t="s">
        <v>1990</v>
      </c>
      <c r="C37" s="7">
        <v>43294</v>
      </c>
      <c r="D37">
        <v>335000</v>
      </c>
      <c r="E37" t="s">
        <v>481</v>
      </c>
      <c r="F37" t="s">
        <v>1989</v>
      </c>
    </row>
    <row r="38" spans="1:6" x14ac:dyDescent="0.35">
      <c r="A38" t="s">
        <v>1946</v>
      </c>
      <c r="B38" t="s">
        <v>1991</v>
      </c>
      <c r="C38" s="7">
        <v>42826</v>
      </c>
      <c r="D38">
        <v>1</v>
      </c>
      <c r="E38" t="s">
        <v>481</v>
      </c>
      <c r="F38" t="s">
        <v>1133</v>
      </c>
    </row>
    <row r="39" spans="1:6" x14ac:dyDescent="0.35">
      <c r="A39" t="s">
        <v>1946</v>
      </c>
      <c r="B39" t="s">
        <v>1992</v>
      </c>
      <c r="C39" s="7">
        <v>42826</v>
      </c>
      <c r="D39">
        <v>1</v>
      </c>
      <c r="E39" t="s">
        <v>481</v>
      </c>
      <c r="F39" t="s">
        <v>1968</v>
      </c>
    </row>
    <row r="40" spans="1:6" x14ac:dyDescent="0.35">
      <c r="A40" t="s">
        <v>1946</v>
      </c>
      <c r="B40" t="s">
        <v>1993</v>
      </c>
      <c r="C40" s="7">
        <v>42826</v>
      </c>
      <c r="D40">
        <v>1</v>
      </c>
      <c r="E40" t="s">
        <v>481</v>
      </c>
      <c r="F40" t="s">
        <v>1968</v>
      </c>
    </row>
    <row r="41" spans="1:6" x14ac:dyDescent="0.35">
      <c r="A41" t="s">
        <v>1946</v>
      </c>
      <c r="B41" t="s">
        <v>1994</v>
      </c>
      <c r="C41" s="7">
        <v>42826</v>
      </c>
      <c r="D41">
        <v>1</v>
      </c>
      <c r="E41" t="s">
        <v>481</v>
      </c>
      <c r="F41" t="s">
        <v>1995</v>
      </c>
    </row>
    <row r="42" spans="1:6" x14ac:dyDescent="0.35">
      <c r="A42" t="s">
        <v>1946</v>
      </c>
      <c r="B42" t="s">
        <v>1996</v>
      </c>
      <c r="C42" s="7">
        <v>42826</v>
      </c>
      <c r="D42">
        <v>1</v>
      </c>
      <c r="E42" t="s">
        <v>481</v>
      </c>
      <c r="F42" t="s">
        <v>1997</v>
      </c>
    </row>
    <row r="43" spans="1:6" x14ac:dyDescent="0.35">
      <c r="A43" t="s">
        <v>1946</v>
      </c>
      <c r="B43" t="s">
        <v>1998</v>
      </c>
      <c r="C43" s="7">
        <v>42826</v>
      </c>
      <c r="D43">
        <v>1</v>
      </c>
      <c r="E43" t="s">
        <v>481</v>
      </c>
      <c r="F43" t="s">
        <v>1999</v>
      </c>
    </row>
    <row r="44" spans="1:6" x14ac:dyDescent="0.35">
      <c r="A44" t="s">
        <v>1946</v>
      </c>
      <c r="B44" t="s">
        <v>2000</v>
      </c>
      <c r="C44" s="7">
        <v>42826</v>
      </c>
      <c r="D44">
        <v>1</v>
      </c>
      <c r="E44" t="s">
        <v>481</v>
      </c>
      <c r="F44" t="s">
        <v>2001</v>
      </c>
    </row>
    <row r="45" spans="1:6" x14ac:dyDescent="0.35">
      <c r="A45" t="s">
        <v>1954</v>
      </c>
      <c r="B45" t="s">
        <v>2002</v>
      </c>
      <c r="C45" s="7">
        <v>42826</v>
      </c>
      <c r="D45">
        <v>1</v>
      </c>
      <c r="E45" t="s">
        <v>481</v>
      </c>
      <c r="F45" t="s">
        <v>2003</v>
      </c>
    </row>
    <row r="46" spans="1:6" x14ac:dyDescent="0.35">
      <c r="A46" t="s">
        <v>1946</v>
      </c>
      <c r="B46" t="s">
        <v>1932</v>
      </c>
      <c r="C46" s="7">
        <v>42826</v>
      </c>
      <c r="D46">
        <v>1</v>
      </c>
      <c r="E46" t="s">
        <v>481</v>
      </c>
      <c r="F46" t="s">
        <v>2004</v>
      </c>
    </row>
    <row r="47" spans="1:6" x14ac:dyDescent="0.35">
      <c r="A47" t="s">
        <v>1954</v>
      </c>
      <c r="B47" t="s">
        <v>2005</v>
      </c>
      <c r="C47" s="7">
        <v>42826</v>
      </c>
      <c r="D47">
        <v>1</v>
      </c>
      <c r="E47" t="s">
        <v>481</v>
      </c>
      <c r="F47" t="s">
        <v>2004</v>
      </c>
    </row>
    <row r="48" spans="1:6" x14ac:dyDescent="0.35">
      <c r="A48" t="s">
        <v>1954</v>
      </c>
      <c r="B48" t="s">
        <v>2006</v>
      </c>
      <c r="C48" s="7">
        <v>42826</v>
      </c>
      <c r="D48">
        <v>1</v>
      </c>
      <c r="E48" t="s">
        <v>481</v>
      </c>
      <c r="F48" t="s">
        <v>2004</v>
      </c>
    </row>
    <row r="49" spans="1:6" x14ac:dyDescent="0.35">
      <c r="A49" t="s">
        <v>1954</v>
      </c>
      <c r="B49" t="s">
        <v>2007</v>
      </c>
      <c r="C49" s="7">
        <v>42826</v>
      </c>
      <c r="D49">
        <v>1</v>
      </c>
      <c r="E49" t="s">
        <v>481</v>
      </c>
      <c r="F49" t="s">
        <v>2004</v>
      </c>
    </row>
    <row r="50" spans="1:6" x14ac:dyDescent="0.35">
      <c r="A50" t="s">
        <v>1946</v>
      </c>
      <c r="B50" t="s">
        <v>2008</v>
      </c>
      <c r="C50" s="7">
        <v>42826</v>
      </c>
      <c r="D50">
        <v>1</v>
      </c>
      <c r="E50" t="s">
        <v>481</v>
      </c>
      <c r="F50" t="s">
        <v>2004</v>
      </c>
    </row>
    <row r="51" spans="1:6" x14ac:dyDescent="0.35">
      <c r="A51" t="s">
        <v>1946</v>
      </c>
      <c r="B51" t="s">
        <v>2009</v>
      </c>
      <c r="C51" s="7">
        <v>42826</v>
      </c>
      <c r="D51">
        <v>1</v>
      </c>
      <c r="E51" t="s">
        <v>481</v>
      </c>
      <c r="F51" t="s">
        <v>2010</v>
      </c>
    </row>
    <row r="52" spans="1:6" x14ac:dyDescent="0.35">
      <c r="A52" t="s">
        <v>1946</v>
      </c>
      <c r="B52" t="s">
        <v>104</v>
      </c>
      <c r="C52" s="7">
        <v>42826</v>
      </c>
      <c r="D52">
        <v>1</v>
      </c>
      <c r="E52" t="s">
        <v>481</v>
      </c>
      <c r="F52" t="s">
        <v>2011</v>
      </c>
    </row>
    <row r="53" spans="1:6" x14ac:dyDescent="0.35">
      <c r="A53" t="s">
        <v>1946</v>
      </c>
      <c r="B53" t="s">
        <v>2012</v>
      </c>
      <c r="C53" s="7">
        <v>42826</v>
      </c>
      <c r="D53">
        <v>1</v>
      </c>
      <c r="E53" t="s">
        <v>481</v>
      </c>
      <c r="F53" t="s">
        <v>2011</v>
      </c>
    </row>
    <row r="54" spans="1:6" x14ac:dyDescent="0.35">
      <c r="A54" t="s">
        <v>1946</v>
      </c>
      <c r="B54" t="s">
        <v>108</v>
      </c>
      <c r="C54" s="7">
        <v>42826</v>
      </c>
      <c r="D54">
        <v>1</v>
      </c>
      <c r="E54" t="s">
        <v>481</v>
      </c>
      <c r="F54" t="s">
        <v>2013</v>
      </c>
    </row>
    <row r="55" spans="1:6" x14ac:dyDescent="0.35">
      <c r="A55" t="s">
        <v>1954</v>
      </c>
      <c r="B55" t="s">
        <v>2014</v>
      </c>
      <c r="C55" s="7">
        <v>42826</v>
      </c>
      <c r="D55">
        <v>1</v>
      </c>
      <c r="E55" t="s">
        <v>481</v>
      </c>
      <c r="F55" t="s">
        <v>2013</v>
      </c>
    </row>
    <row r="56" spans="1:6" x14ac:dyDescent="0.35">
      <c r="A56" t="s">
        <v>1954</v>
      </c>
      <c r="B56" t="s">
        <v>2015</v>
      </c>
      <c r="C56" s="7">
        <v>42826</v>
      </c>
      <c r="D56">
        <v>1</v>
      </c>
      <c r="E56" t="s">
        <v>481</v>
      </c>
      <c r="F56" t="s">
        <v>2013</v>
      </c>
    </row>
    <row r="57" spans="1:6" x14ac:dyDescent="0.35">
      <c r="A57" t="s">
        <v>1954</v>
      </c>
      <c r="B57" t="s">
        <v>2016</v>
      </c>
      <c r="C57" s="7">
        <v>42826</v>
      </c>
      <c r="D57">
        <v>1</v>
      </c>
      <c r="E57" t="s">
        <v>481</v>
      </c>
      <c r="F57" t="s">
        <v>2013</v>
      </c>
    </row>
    <row r="58" spans="1:6" x14ac:dyDescent="0.35">
      <c r="A58" t="s">
        <v>1954</v>
      </c>
      <c r="B58" t="s">
        <v>2017</v>
      </c>
      <c r="C58" s="7">
        <v>42826</v>
      </c>
      <c r="D58">
        <v>1</v>
      </c>
      <c r="E58" t="s">
        <v>481</v>
      </c>
      <c r="F58" t="s">
        <v>2013</v>
      </c>
    </row>
    <row r="59" spans="1:6" x14ac:dyDescent="0.35">
      <c r="A59" t="s">
        <v>1954</v>
      </c>
      <c r="B59" t="s">
        <v>2018</v>
      </c>
      <c r="C59" s="7">
        <v>42826</v>
      </c>
      <c r="D59">
        <v>1</v>
      </c>
      <c r="E59" t="s">
        <v>481</v>
      </c>
      <c r="F59" t="s">
        <v>2013</v>
      </c>
    </row>
    <row r="60" spans="1:6" x14ac:dyDescent="0.35">
      <c r="A60" t="s">
        <v>1946</v>
      </c>
      <c r="B60" t="s">
        <v>2019</v>
      </c>
      <c r="C60" s="7">
        <v>42826</v>
      </c>
      <c r="D60">
        <v>1</v>
      </c>
      <c r="E60" t="s">
        <v>481</v>
      </c>
      <c r="F60" t="s">
        <v>2020</v>
      </c>
    </row>
    <row r="61" spans="1:6" x14ac:dyDescent="0.35">
      <c r="A61" t="s">
        <v>1946</v>
      </c>
      <c r="B61" t="s">
        <v>2021</v>
      </c>
      <c r="C61" s="7">
        <v>42826</v>
      </c>
      <c r="D61">
        <v>1</v>
      </c>
      <c r="E61" t="s">
        <v>481</v>
      </c>
      <c r="F61" t="s">
        <v>2022</v>
      </c>
    </row>
    <row r="62" spans="1:6" x14ac:dyDescent="0.35">
      <c r="A62" t="s">
        <v>1946</v>
      </c>
      <c r="B62" t="s">
        <v>2023</v>
      </c>
      <c r="C62" s="7">
        <v>42826</v>
      </c>
      <c r="D62">
        <v>1</v>
      </c>
      <c r="E62" t="s">
        <v>481</v>
      </c>
      <c r="F62" t="s">
        <v>2024</v>
      </c>
    </row>
    <row r="63" spans="1:6" x14ac:dyDescent="0.35">
      <c r="A63" t="s">
        <v>1954</v>
      </c>
      <c r="B63" t="s">
        <v>2025</v>
      </c>
      <c r="C63" s="7">
        <v>42826</v>
      </c>
      <c r="D63">
        <v>1</v>
      </c>
      <c r="E63" t="s">
        <v>481</v>
      </c>
      <c r="F63" t="s">
        <v>2026</v>
      </c>
    </row>
    <row r="64" spans="1:6" x14ac:dyDescent="0.35">
      <c r="A64" t="s">
        <v>1946</v>
      </c>
      <c r="B64" t="s">
        <v>2027</v>
      </c>
      <c r="C64" s="7">
        <v>42826</v>
      </c>
      <c r="D64">
        <v>1</v>
      </c>
      <c r="E64" t="s">
        <v>481</v>
      </c>
      <c r="F64" t="s">
        <v>2026</v>
      </c>
    </row>
    <row r="65" spans="1:6" x14ac:dyDescent="0.35">
      <c r="A65" t="s">
        <v>1954</v>
      </c>
      <c r="B65" t="s">
        <v>2028</v>
      </c>
      <c r="C65" s="7">
        <v>42826</v>
      </c>
      <c r="D65">
        <v>1</v>
      </c>
      <c r="E65" t="s">
        <v>481</v>
      </c>
      <c r="F65" t="s">
        <v>2026</v>
      </c>
    </row>
    <row r="66" spans="1:6" x14ac:dyDescent="0.35">
      <c r="A66" t="s">
        <v>1954</v>
      </c>
      <c r="B66" t="s">
        <v>2029</v>
      </c>
      <c r="C66" s="7">
        <v>42826</v>
      </c>
      <c r="D66">
        <v>1</v>
      </c>
      <c r="E66" t="s">
        <v>481</v>
      </c>
      <c r="F66" t="s">
        <v>2030</v>
      </c>
    </row>
    <row r="67" spans="1:6" x14ac:dyDescent="0.35">
      <c r="A67" t="s">
        <v>1946</v>
      </c>
      <c r="B67" t="s">
        <v>2031</v>
      </c>
      <c r="C67" s="7">
        <v>42826</v>
      </c>
      <c r="D67">
        <v>1</v>
      </c>
      <c r="E67" t="s">
        <v>481</v>
      </c>
      <c r="F67" t="s">
        <v>2032</v>
      </c>
    </row>
    <row r="68" spans="1:6" x14ac:dyDescent="0.35">
      <c r="A68" t="s">
        <v>1946</v>
      </c>
      <c r="B68" t="s">
        <v>2033</v>
      </c>
      <c r="C68" s="7">
        <v>42826</v>
      </c>
      <c r="D68">
        <v>1</v>
      </c>
      <c r="E68" t="s">
        <v>481</v>
      </c>
      <c r="F68" t="s">
        <v>2034</v>
      </c>
    </row>
    <row r="69" spans="1:6" x14ac:dyDescent="0.35">
      <c r="A69" t="s">
        <v>1946</v>
      </c>
      <c r="B69" t="s">
        <v>2035</v>
      </c>
      <c r="C69" s="7">
        <v>42826</v>
      </c>
      <c r="D69">
        <v>1</v>
      </c>
      <c r="E69" t="s">
        <v>481</v>
      </c>
      <c r="F69" t="s">
        <v>2036</v>
      </c>
    </row>
    <row r="70" spans="1:6" x14ac:dyDescent="0.35">
      <c r="A70" t="s">
        <v>1946</v>
      </c>
      <c r="B70" t="s">
        <v>2037</v>
      </c>
      <c r="C70" s="7">
        <v>42826</v>
      </c>
      <c r="D70">
        <v>1</v>
      </c>
      <c r="E70" t="s">
        <v>481</v>
      </c>
      <c r="F70" t="s">
        <v>2038</v>
      </c>
    </row>
    <row r="71" spans="1:6" x14ac:dyDescent="0.35">
      <c r="A71" t="s">
        <v>1946</v>
      </c>
      <c r="B71" t="s">
        <v>2039</v>
      </c>
      <c r="C71" s="7">
        <v>42826</v>
      </c>
      <c r="D71">
        <v>1</v>
      </c>
      <c r="E71" t="s">
        <v>481</v>
      </c>
      <c r="F71" t="s">
        <v>2040</v>
      </c>
    </row>
    <row r="72" spans="1:6" x14ac:dyDescent="0.35">
      <c r="A72" t="s">
        <v>1946</v>
      </c>
      <c r="B72" t="s">
        <v>2041</v>
      </c>
      <c r="C72" s="7">
        <v>42826</v>
      </c>
      <c r="D72">
        <v>1</v>
      </c>
      <c r="E72" t="s">
        <v>481</v>
      </c>
      <c r="F72" t="s">
        <v>2041</v>
      </c>
    </row>
    <row r="73" spans="1:6" x14ac:dyDescent="0.35">
      <c r="A73" t="s">
        <v>1954</v>
      </c>
      <c r="B73" t="s">
        <v>2042</v>
      </c>
      <c r="C73" s="7">
        <v>42826</v>
      </c>
      <c r="D73">
        <v>1</v>
      </c>
      <c r="E73" t="s">
        <v>481</v>
      </c>
      <c r="F73" t="s">
        <v>2043</v>
      </c>
    </row>
    <row r="74" spans="1:6" x14ac:dyDescent="0.35">
      <c r="A74" t="s">
        <v>1946</v>
      </c>
      <c r="B74" t="s">
        <v>2044</v>
      </c>
      <c r="C74" s="7">
        <v>42826</v>
      </c>
      <c r="D74">
        <v>1</v>
      </c>
      <c r="E74" t="s">
        <v>481</v>
      </c>
      <c r="F74" t="s">
        <v>2045</v>
      </c>
    </row>
    <row r="75" spans="1:6" x14ac:dyDescent="0.35">
      <c r="A75" t="s">
        <v>1946</v>
      </c>
      <c r="B75" t="s">
        <v>2046</v>
      </c>
      <c r="C75" s="7">
        <v>42826</v>
      </c>
      <c r="D75">
        <v>1</v>
      </c>
      <c r="E75" t="s">
        <v>481</v>
      </c>
      <c r="F75" t="s">
        <v>2047</v>
      </c>
    </row>
    <row r="76" spans="1:6" x14ac:dyDescent="0.35">
      <c r="A76" t="s">
        <v>1946</v>
      </c>
      <c r="B76" t="s">
        <v>2048</v>
      </c>
      <c r="C76" s="7">
        <v>42826</v>
      </c>
      <c r="D76">
        <v>1</v>
      </c>
      <c r="E76" t="s">
        <v>481</v>
      </c>
      <c r="F76" t="s">
        <v>2049</v>
      </c>
    </row>
    <row r="77" spans="1:6" x14ac:dyDescent="0.35">
      <c r="A77" t="s">
        <v>1946</v>
      </c>
      <c r="B77" t="s">
        <v>1913</v>
      </c>
      <c r="C77" s="7">
        <v>42826</v>
      </c>
      <c r="D77">
        <v>1</v>
      </c>
      <c r="E77" t="s">
        <v>481</v>
      </c>
      <c r="F77" t="s">
        <v>2050</v>
      </c>
    </row>
    <row r="78" spans="1:6" x14ac:dyDescent="0.35">
      <c r="A78" t="s">
        <v>1946</v>
      </c>
      <c r="B78" t="s">
        <v>2051</v>
      </c>
      <c r="C78" s="7">
        <v>42826</v>
      </c>
      <c r="D78">
        <v>1</v>
      </c>
      <c r="E78" t="s">
        <v>481</v>
      </c>
      <c r="F78" t="s">
        <v>2052</v>
      </c>
    </row>
    <row r="79" spans="1:6" x14ac:dyDescent="0.35">
      <c r="A79" t="s">
        <v>1946</v>
      </c>
      <c r="B79" t="s">
        <v>2053</v>
      </c>
      <c r="C79" s="7">
        <v>42826</v>
      </c>
      <c r="D79">
        <v>1</v>
      </c>
      <c r="E79" t="s">
        <v>481</v>
      </c>
      <c r="F79" t="s">
        <v>2052</v>
      </c>
    </row>
    <row r="80" spans="1:6" x14ac:dyDescent="0.35">
      <c r="A80" t="s">
        <v>1946</v>
      </c>
      <c r="B80" t="s">
        <v>2054</v>
      </c>
      <c r="C80" s="7">
        <v>42826</v>
      </c>
      <c r="D80">
        <v>1</v>
      </c>
      <c r="E80" t="s">
        <v>481</v>
      </c>
      <c r="F80" t="s">
        <v>2055</v>
      </c>
    </row>
    <row r="81" spans="1:6" x14ac:dyDescent="0.35">
      <c r="A81" t="s">
        <v>1954</v>
      </c>
      <c r="B81" t="s">
        <v>2056</v>
      </c>
      <c r="C81" s="7">
        <v>42826</v>
      </c>
      <c r="D81">
        <v>1</v>
      </c>
      <c r="E81" t="s">
        <v>481</v>
      </c>
      <c r="F81" t="s">
        <v>2057</v>
      </c>
    </row>
    <row r="82" spans="1:6" x14ac:dyDescent="0.35">
      <c r="A82" t="s">
        <v>1954</v>
      </c>
      <c r="B82" t="s">
        <v>2058</v>
      </c>
      <c r="C82" s="7">
        <v>42826</v>
      </c>
      <c r="D82">
        <v>1</v>
      </c>
      <c r="E82" t="s">
        <v>481</v>
      </c>
      <c r="F82" t="s">
        <v>2057</v>
      </c>
    </row>
    <row r="83" spans="1:6" x14ac:dyDescent="0.35">
      <c r="A83" t="s">
        <v>1954</v>
      </c>
      <c r="B83" t="s">
        <v>2059</v>
      </c>
      <c r="C83" s="7">
        <v>42826</v>
      </c>
      <c r="D83">
        <v>1</v>
      </c>
      <c r="E83" t="s">
        <v>481</v>
      </c>
      <c r="F83" t="s">
        <v>2057</v>
      </c>
    </row>
    <row r="84" spans="1:6" x14ac:dyDescent="0.35">
      <c r="A84" t="s">
        <v>1946</v>
      </c>
      <c r="B84" t="s">
        <v>2060</v>
      </c>
      <c r="C84" s="7">
        <v>42826</v>
      </c>
      <c r="D84">
        <v>3</v>
      </c>
      <c r="E84" t="s">
        <v>481</v>
      </c>
      <c r="F84" t="s">
        <v>2061</v>
      </c>
    </row>
    <row r="85" spans="1:6" x14ac:dyDescent="0.35">
      <c r="A85" t="s">
        <v>1946</v>
      </c>
      <c r="B85" t="s">
        <v>2062</v>
      </c>
      <c r="C85" s="7">
        <v>42826</v>
      </c>
      <c r="D85">
        <v>1</v>
      </c>
      <c r="E85" t="s">
        <v>481</v>
      </c>
      <c r="F85" t="s">
        <v>2063</v>
      </c>
    </row>
    <row r="86" spans="1:6" x14ac:dyDescent="0.35">
      <c r="A86" t="s">
        <v>1946</v>
      </c>
      <c r="B86" t="s">
        <v>2064</v>
      </c>
      <c r="C86" s="7">
        <v>43901</v>
      </c>
      <c r="D86">
        <v>1</v>
      </c>
      <c r="E86" t="s">
        <v>481</v>
      </c>
      <c r="F86" t="s">
        <v>2065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AF23"/>
  <sheetViews>
    <sheetView zoomScale="90" zoomScaleNormal="90" workbookViewId="0">
      <pane xSplit="1" ySplit="2" topLeftCell="B3" activePane="bottomRight" state="frozen"/>
      <selection activeCell="K13" sqref="K13"/>
      <selection pane="topRight" activeCell="K13" sqref="K13"/>
      <selection pane="bottomLeft" activeCell="K13" sqref="K13"/>
      <selection pane="bottomRight" activeCell="R14" sqref="R14"/>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322</v>
      </c>
      <c r="B1" s="4" t="s">
        <v>346</v>
      </c>
      <c r="C1" s="4" t="s">
        <v>347</v>
      </c>
      <c r="D1" s="159" t="s">
        <v>348</v>
      </c>
      <c r="E1" s="159"/>
      <c r="F1" s="159"/>
      <c r="G1" s="159" t="s">
        <v>349</v>
      </c>
      <c r="H1" s="159"/>
      <c r="I1" s="159"/>
      <c r="J1" s="159" t="s">
        <v>350</v>
      </c>
      <c r="K1" s="159"/>
      <c r="L1" s="159"/>
      <c r="M1" s="159" t="s">
        <v>351</v>
      </c>
      <c r="N1" s="159"/>
      <c r="O1" s="159"/>
      <c r="P1" s="159" t="s">
        <v>352</v>
      </c>
      <c r="Q1" s="159"/>
      <c r="R1" s="159"/>
      <c r="S1" s="159" t="s">
        <v>353</v>
      </c>
      <c r="T1" s="159"/>
      <c r="U1" s="159"/>
      <c r="V1" s="159" t="s">
        <v>354</v>
      </c>
      <c r="W1" s="159"/>
      <c r="X1" s="159"/>
      <c r="Y1" s="159" t="s">
        <v>355</v>
      </c>
      <c r="Z1" s="159"/>
      <c r="AA1" s="159"/>
      <c r="AB1" s="159" t="s">
        <v>356</v>
      </c>
      <c r="AC1" s="159"/>
      <c r="AD1" s="159"/>
      <c r="AE1" s="4" t="s">
        <v>357</v>
      </c>
      <c r="AF1" s="4" t="s">
        <v>358</v>
      </c>
    </row>
    <row r="2" spans="1:32" s="2" customFormat="1" ht="62" x14ac:dyDescent="0.35">
      <c r="D2" s="2" t="s">
        <v>359</v>
      </c>
      <c r="E2" s="2" t="s">
        <v>360</v>
      </c>
      <c r="F2" s="3" t="s">
        <v>361</v>
      </c>
      <c r="G2" s="2" t="s">
        <v>359</v>
      </c>
      <c r="H2" s="2" t="s">
        <v>360</v>
      </c>
      <c r="I2" s="3" t="s">
        <v>361</v>
      </c>
      <c r="J2" s="2" t="s">
        <v>359</v>
      </c>
      <c r="K2" s="3" t="s">
        <v>382</v>
      </c>
      <c r="L2" s="3" t="s">
        <v>363</v>
      </c>
      <c r="M2" s="2" t="s">
        <v>359</v>
      </c>
      <c r="N2" s="2" t="s">
        <v>360</v>
      </c>
      <c r="O2" s="3" t="s">
        <v>361</v>
      </c>
      <c r="P2" s="2" t="s">
        <v>359</v>
      </c>
      <c r="Q2" s="2" t="s">
        <v>360</v>
      </c>
      <c r="R2" s="3" t="s">
        <v>361</v>
      </c>
      <c r="S2" s="2" t="s">
        <v>359</v>
      </c>
      <c r="T2" s="2" t="s">
        <v>360</v>
      </c>
      <c r="U2" s="3" t="s">
        <v>361</v>
      </c>
      <c r="V2" s="2" t="s">
        <v>359</v>
      </c>
      <c r="W2" s="2" t="s">
        <v>360</v>
      </c>
      <c r="X2" s="3" t="s">
        <v>361</v>
      </c>
      <c r="Y2" s="2" t="s">
        <v>359</v>
      </c>
      <c r="Z2" s="2" t="s">
        <v>360</v>
      </c>
      <c r="AA2" s="3" t="s">
        <v>361</v>
      </c>
      <c r="AB2" s="2" t="s">
        <v>359</v>
      </c>
      <c r="AC2" s="2" t="s">
        <v>360</v>
      </c>
      <c r="AD2" s="3" t="s">
        <v>361</v>
      </c>
    </row>
    <row r="3" spans="1:32" x14ac:dyDescent="0.35">
      <c r="A3" s="1" t="s">
        <v>418</v>
      </c>
      <c r="B3" s="24" t="s">
        <v>419</v>
      </c>
      <c r="J3" s="1">
        <f>'2-Community Halls'!E2</f>
        <v>24730.95</v>
      </c>
      <c r="K3" s="1">
        <f>'2-Community Halls'!F2</f>
        <v>-10085.129999999999</v>
      </c>
      <c r="M3" s="1">
        <f>'2-Community Halls'!I2</f>
        <v>-7708</v>
      </c>
      <c r="N3" s="1">
        <f>'2-Community Halls'!J2</f>
        <v>0</v>
      </c>
      <c r="P3" s="1">
        <f>'2-Community Halls'!M2</f>
        <v>14389</v>
      </c>
      <c r="Q3" s="1">
        <f>'2-Community Halls'!N2</f>
        <v>1757.85</v>
      </c>
      <c r="S3" s="1">
        <f>'2-Community Halls'!Q2</f>
        <v>0</v>
      </c>
    </row>
    <row r="4" spans="1:32" x14ac:dyDescent="0.35">
      <c r="A4" s="1" t="s">
        <v>185</v>
      </c>
      <c r="B4" s="24" t="s">
        <v>419</v>
      </c>
      <c r="J4" s="1">
        <f>'2-Community Halls'!E7</f>
        <v>5019.8899999999994</v>
      </c>
      <c r="K4" s="1">
        <f>'2-Community Halls'!F7</f>
        <v>1531.6200000000001</v>
      </c>
      <c r="M4" s="1">
        <f>'2-Community Halls'!I7</f>
        <v>18039</v>
      </c>
      <c r="N4" s="1">
        <f>'2-Community Halls'!J7</f>
        <v>5229.6099999999997</v>
      </c>
      <c r="P4" s="1">
        <f>'2-Community Halls'!M7</f>
        <v>13111</v>
      </c>
      <c r="Q4" s="1">
        <f>'2-Community Halls'!N7</f>
        <v>1818.1899999999998</v>
      </c>
      <c r="S4" s="1">
        <f>'2-Community Halls'!Q7</f>
        <v>13506</v>
      </c>
    </row>
    <row r="5" spans="1:32" x14ac:dyDescent="0.35">
      <c r="A5" s="1" t="s">
        <v>420</v>
      </c>
      <c r="B5" s="24" t="s">
        <v>421</v>
      </c>
      <c r="J5" s="1">
        <f>'2-Marina Theatre'!E2</f>
        <v>117187.33</v>
      </c>
      <c r="K5" s="1">
        <f>'2-Marina Theatre'!F2</f>
        <v>33521.699999999997</v>
      </c>
      <c r="M5" s="1">
        <f>'2-Marina Theatre'!I2</f>
        <v>91855</v>
      </c>
      <c r="N5" s="1">
        <f>'2-Marina Theatre'!J2</f>
        <v>20500</v>
      </c>
      <c r="P5" s="1">
        <f>'2-Marina Theatre'!M2</f>
        <v>-25632</v>
      </c>
      <c r="Q5" s="1">
        <f>'2-Marina Theatre'!N2</f>
        <v>9006.0499999999993</v>
      </c>
      <c r="S5" s="1">
        <f>'2-Marina Theatre'!Q2</f>
        <v>0</v>
      </c>
    </row>
    <row r="6" spans="1:32" x14ac:dyDescent="0.35">
      <c r="A6" s="1" t="s">
        <v>193</v>
      </c>
      <c r="B6" s="24" t="s">
        <v>421</v>
      </c>
      <c r="J6" s="1">
        <f>'2-Marina Theatre'!E7</f>
        <v>168884</v>
      </c>
      <c r="K6" s="1">
        <f>'2-Marina Theatre'!F7</f>
        <v>154947.07</v>
      </c>
      <c r="M6" s="1">
        <f>'2-Marina Theatre'!I7</f>
        <v>170770</v>
      </c>
      <c r="N6" s="1">
        <f>'2-Marina Theatre'!J7</f>
        <v>158224.79</v>
      </c>
      <c r="P6" s="1">
        <f>'2-Marina Theatre'!M7</f>
        <v>171345</v>
      </c>
      <c r="Q6" s="1">
        <f>'2-Marina Theatre'!N7</f>
        <v>157424.42000000001</v>
      </c>
      <c r="S6" s="1">
        <f>'2-Marina Theatre'!Q7</f>
        <v>176487</v>
      </c>
    </row>
    <row r="7" spans="1:32" x14ac:dyDescent="0.35">
      <c r="A7" s="1" t="s">
        <v>422</v>
      </c>
      <c r="B7" s="24" t="s">
        <v>423</v>
      </c>
      <c r="J7" s="1">
        <f>'2-Town Hall'!E2</f>
        <v>-57373.96</v>
      </c>
      <c r="K7" s="1">
        <f>'2-Town Hall'!F2</f>
        <v>10000</v>
      </c>
      <c r="M7" s="1">
        <f>'2-Town Hall'!I2</f>
        <v>-58853</v>
      </c>
      <c r="N7" s="1">
        <f>'2-Town Hall'!J2</f>
        <v>92382.720000000001</v>
      </c>
      <c r="P7" s="1">
        <f>'2-Town Hall'!M2</f>
        <v>144717</v>
      </c>
      <c r="Q7" s="1">
        <f>'2-Town Hall'!N2</f>
        <v>0</v>
      </c>
      <c r="S7" s="1">
        <f>'2-Town Hall'!Q2</f>
        <v>460371</v>
      </c>
    </row>
    <row r="8" spans="1:32" x14ac:dyDescent="0.35">
      <c r="A8" s="1" t="s">
        <v>201</v>
      </c>
      <c r="B8" s="24" t="s">
        <v>423</v>
      </c>
      <c r="J8" s="1">
        <f>'2-Town Hall'!E6</f>
        <v>61049.29</v>
      </c>
      <c r="K8" s="1">
        <f>'2-Town Hall'!F6</f>
        <v>219957.37999999998</v>
      </c>
      <c r="M8" s="1">
        <f>'2-Town Hall'!I6</f>
        <v>58853</v>
      </c>
      <c r="N8" s="1">
        <f>'2-Town Hall'!J6</f>
        <v>-116650.74000000005</v>
      </c>
      <c r="P8" s="1">
        <f>'2-Town Hall'!M6</f>
        <v>-125409</v>
      </c>
      <c r="Q8" s="1">
        <f>'2-Town Hall'!N6</f>
        <v>1391.47</v>
      </c>
      <c r="S8" s="1">
        <f>'2-Town Hall'!Q6</f>
        <v>-440483</v>
      </c>
    </row>
    <row r="9" spans="1:32" x14ac:dyDescent="0.35">
      <c r="A9" s="1" t="s">
        <v>3015</v>
      </c>
      <c r="B9" s="24" t="s">
        <v>424</v>
      </c>
      <c r="J9" s="1">
        <f>'2-Hamilton House'!E2</f>
        <v>-13150</v>
      </c>
      <c r="K9" s="1">
        <f>'2-Hamilton House'!F2</f>
        <v>-60020</v>
      </c>
      <c r="M9" s="1">
        <f>'2-Hamilton House'!I2</f>
        <v>-211004</v>
      </c>
      <c r="N9" s="1">
        <f>'2-Hamilton House'!J2</f>
        <v>8433.2999999999993</v>
      </c>
      <c r="P9" s="1">
        <f>'2-Hamilton House'!M2</f>
        <v>0</v>
      </c>
      <c r="Q9" s="1">
        <f>'2-Hamilton House'!N2</f>
        <v>2849</v>
      </c>
      <c r="S9" s="1">
        <f>'2-Hamilton House'!Q2</f>
        <v>0</v>
      </c>
    </row>
    <row r="10" spans="1:32" x14ac:dyDescent="0.35">
      <c r="A10" s="1" t="s">
        <v>3016</v>
      </c>
      <c r="B10" s="24" t="s">
        <v>424</v>
      </c>
      <c r="J10" s="1">
        <f>'2-Hamilton House'!E8</f>
        <v>118359.81000000001</v>
      </c>
      <c r="K10" s="1">
        <f>'2-Hamilton House'!F8</f>
        <v>112389.87999999999</v>
      </c>
      <c r="M10" s="1">
        <f>'2-Hamilton House'!I8</f>
        <v>137671</v>
      </c>
      <c r="N10" s="1">
        <f>'2-Hamilton House'!J8</f>
        <v>113575.51</v>
      </c>
      <c r="P10" s="1">
        <f>'2-Hamilton House'!M8</f>
        <v>126323</v>
      </c>
      <c r="Q10" s="1">
        <f>'2-Hamilton House'!N8</f>
        <v>80379.33</v>
      </c>
      <c r="S10" s="1">
        <f>'2-Hamilton House'!Q2</f>
        <v>0</v>
      </c>
    </row>
    <row r="11" spans="1:32" x14ac:dyDescent="0.35">
      <c r="A11" s="1" t="s">
        <v>3017</v>
      </c>
      <c r="B11" s="24"/>
      <c r="J11" s="1">
        <f>'2-Unit Two'!E2</f>
        <v>0</v>
      </c>
      <c r="K11" s="1">
        <f>'2-Unit Two'!F2</f>
        <v>0</v>
      </c>
      <c r="M11" s="1">
        <f>'2-Unit Two'!I2</f>
        <v>0</v>
      </c>
      <c r="N11" s="1">
        <f>'2-Unit Two'!J2</f>
        <v>0</v>
      </c>
      <c r="P11" s="1">
        <f>'2-Unit Two'!M2</f>
        <v>0</v>
      </c>
      <c r="Q11" s="1">
        <f>'2-Unit Two'!N2</f>
        <v>0</v>
      </c>
      <c r="S11" s="1">
        <f>'2-Unit Two'!Q2</f>
        <v>0</v>
      </c>
    </row>
    <row r="12" spans="1:32" x14ac:dyDescent="0.35">
      <c r="A12" s="1" t="s">
        <v>3018</v>
      </c>
      <c r="B12" s="24"/>
      <c r="J12" s="1">
        <f>'2-Unit Two'!E5</f>
        <v>0</v>
      </c>
      <c r="K12" s="1">
        <f>'2-Unit Two'!F5</f>
        <v>0</v>
      </c>
      <c r="M12" s="1">
        <f>'2-Unit Two'!I5</f>
        <v>72000</v>
      </c>
      <c r="N12" s="1">
        <f>'2-Unit Two'!J5</f>
        <v>59589.301166666672</v>
      </c>
      <c r="P12" s="1">
        <f>'2-Unit Two'!M5</f>
        <v>34110</v>
      </c>
      <c r="Q12" s="1">
        <f>'2-Unit Two'!N5</f>
        <v>31808.080000000002</v>
      </c>
      <c r="S12" s="1">
        <f>'2-Unit Two'!Q2</f>
        <v>0</v>
      </c>
    </row>
    <row r="13" spans="1:32" x14ac:dyDescent="0.35">
      <c r="A13" s="1" t="s">
        <v>3013</v>
      </c>
      <c r="B13" s="24"/>
      <c r="J13" s="1">
        <f>'2-Grounds Maintenance'!E2</f>
        <v>0</v>
      </c>
      <c r="K13" s="1">
        <f>'2-Grounds Maintenance'!F2</f>
        <v>-60020</v>
      </c>
      <c r="M13" s="1">
        <f>'2-Grounds Maintenance'!I2</f>
        <v>0</v>
      </c>
      <c r="N13" s="1">
        <f>'2-Grounds Maintenance'!J2</f>
        <v>0</v>
      </c>
      <c r="P13" s="1">
        <f>'2-Grounds Maintenance'!M2</f>
        <v>0</v>
      </c>
      <c r="Q13" s="1">
        <f>'2-Grounds Maintenance'!N2</f>
        <v>0</v>
      </c>
      <c r="S13" s="1">
        <f>'2-Grounds Maintenance'!Q2</f>
        <v>0</v>
      </c>
    </row>
    <row r="14" spans="1:32" x14ac:dyDescent="0.35">
      <c r="A14" s="1" t="s">
        <v>3014</v>
      </c>
      <c r="B14" s="24"/>
      <c r="J14" s="1">
        <f>'2-Grounds Maintenance'!E5</f>
        <v>0</v>
      </c>
      <c r="K14" s="1">
        <f>'2-Grounds Maintenance'!F5</f>
        <v>0</v>
      </c>
      <c r="M14" s="1">
        <f>'2-Grounds Maintenance'!I5</f>
        <v>190000</v>
      </c>
      <c r="N14" s="1">
        <f>'2-Grounds Maintenance'!J5</f>
        <v>205602.56999999992</v>
      </c>
      <c r="P14" s="1">
        <f>'2-Grounds Maintenance'!M5</f>
        <v>43050</v>
      </c>
      <c r="Q14" s="1">
        <f>'2-Grounds Maintenance'!N5</f>
        <v>22371.68</v>
      </c>
      <c r="S14" s="1">
        <f>'2-Grounds Maintenance'!Q5</f>
        <v>0</v>
      </c>
    </row>
    <row r="15" spans="1:32" x14ac:dyDescent="0.35">
      <c r="A15" s="1" t="s">
        <v>425</v>
      </c>
      <c r="B15" s="24" t="s">
        <v>426</v>
      </c>
      <c r="J15" s="1">
        <f>'2-Staff'!E2</f>
        <v>-140893.70000000001</v>
      </c>
      <c r="K15" s="1">
        <f>'2-Staff'!F2</f>
        <v>0</v>
      </c>
      <c r="M15" s="1">
        <f>'2-Staff'!I2</f>
        <v>-102000</v>
      </c>
      <c r="N15" s="1">
        <f>'2-Staff'!J2</f>
        <v>100</v>
      </c>
      <c r="P15" s="1">
        <f>'2-Staff'!M2</f>
        <v>-70000</v>
      </c>
      <c r="Q15" s="1">
        <f>'2-Staff'!N2</f>
        <v>-20000</v>
      </c>
      <c r="S15" s="1">
        <f>'2-Staff'!Q2</f>
        <v>0</v>
      </c>
    </row>
    <row r="16" spans="1:32" x14ac:dyDescent="0.35">
      <c r="A16" s="1" t="s">
        <v>427</v>
      </c>
      <c r="B16" s="24" t="s">
        <v>426</v>
      </c>
      <c r="J16" s="1">
        <f>'2-Staff'!E5</f>
        <v>398174.7</v>
      </c>
      <c r="K16" s="1">
        <f>'2-Staff'!F5</f>
        <v>396157.81999999995</v>
      </c>
      <c r="M16" s="1">
        <f>'2-Staff'!I5</f>
        <v>730562</v>
      </c>
      <c r="N16" s="1">
        <f>'2-Staff'!J5</f>
        <v>693620.94000000006</v>
      </c>
      <c r="P16" s="1">
        <f>'2-Staff'!M5</f>
        <v>983377</v>
      </c>
      <c r="Q16" s="1">
        <f>'2-Staff'!N5</f>
        <v>987471</v>
      </c>
      <c r="S16" s="1">
        <f>'2-Staff'!Q5</f>
        <v>997140</v>
      </c>
    </row>
    <row r="17" spans="1:19" x14ac:dyDescent="0.35">
      <c r="A17" s="1" t="s">
        <v>216</v>
      </c>
      <c r="B17" s="24" t="s">
        <v>428</v>
      </c>
      <c r="J17" s="1">
        <f>'2-Training'!E2</f>
        <v>-15943.37</v>
      </c>
      <c r="K17" s="1">
        <f>'2-Training'!F2</f>
        <v>0</v>
      </c>
      <c r="M17" s="1">
        <f>'2-Training'!I2</f>
        <v>-36000</v>
      </c>
      <c r="N17" s="1">
        <f>'2-Training'!J2</f>
        <v>0</v>
      </c>
      <c r="P17" s="1">
        <f>'2-Training'!M2</f>
        <v>-12500</v>
      </c>
      <c r="Q17" s="1">
        <f>'2-Training'!N2</f>
        <v>0</v>
      </c>
      <c r="S17" s="1">
        <f>'2-Training'!Q2</f>
        <v>0</v>
      </c>
    </row>
    <row r="18" spans="1:19" x14ac:dyDescent="0.35">
      <c r="A18" s="1" t="s">
        <v>429</v>
      </c>
      <c r="B18" s="24" t="s">
        <v>428</v>
      </c>
      <c r="J18" s="1">
        <f>'2-Training'!E5</f>
        <v>30943.370000000003</v>
      </c>
      <c r="K18" s="1">
        <f>'2-Training'!F5</f>
        <v>12947.89</v>
      </c>
      <c r="M18" s="1">
        <f>'2-Training'!I5</f>
        <v>36000</v>
      </c>
      <c r="N18" s="1">
        <f>'2-Training'!J5</f>
        <v>18398.099999999999</v>
      </c>
      <c r="P18" s="1">
        <f>'2-Training'!M5</f>
        <v>24750</v>
      </c>
      <c r="Q18" s="1">
        <f>'2-Training'!N5</f>
        <v>7506.5</v>
      </c>
      <c r="S18" s="1">
        <f>'2-Training'!Q5</f>
        <v>25493</v>
      </c>
    </row>
    <row r="19" spans="1:19" x14ac:dyDescent="0.35">
      <c r="A19" s="1" t="s">
        <v>430</v>
      </c>
      <c r="B19" s="24" t="s">
        <v>431</v>
      </c>
      <c r="J19" s="1">
        <f>'2-Professional Services'!E2</f>
        <v>-3677.6099999999997</v>
      </c>
      <c r="K19" s="1">
        <f>'2-Professional Services'!F2</f>
        <v>-101</v>
      </c>
      <c r="M19" s="1">
        <f>'2-Professional Services'!I2</f>
        <v>-71658</v>
      </c>
      <c r="N19" s="1">
        <f>'2-Professional Services'!J2</f>
        <v>0</v>
      </c>
      <c r="P19" s="1">
        <f>'2-Professional Services'!M2</f>
        <v>-22000</v>
      </c>
      <c r="Q19" s="1">
        <f>'2-Professional Services'!N2</f>
        <v>-2290.89</v>
      </c>
      <c r="S19" s="1">
        <f>'2-Professional Services'!Q2</f>
        <v>0</v>
      </c>
    </row>
    <row r="20" spans="1:19" x14ac:dyDescent="0.35">
      <c r="A20" s="1" t="s">
        <v>246</v>
      </c>
      <c r="B20" s="24" t="s">
        <v>431</v>
      </c>
      <c r="J20" s="1">
        <f>'2-Professional Services'!E7</f>
        <v>58579.56</v>
      </c>
      <c r="K20" s="1">
        <f>'2-Professional Services'!F7</f>
        <v>68385.420000000013</v>
      </c>
      <c r="M20" s="1">
        <f>'2-Professional Services'!I7</f>
        <v>106680</v>
      </c>
      <c r="N20" s="1">
        <f>'2-Professional Services'!J7</f>
        <v>81396.109999999986</v>
      </c>
      <c r="P20" s="1">
        <f>'2-Professional Services'!M7</f>
        <v>81338</v>
      </c>
      <c r="Q20" s="1">
        <f>'2-Professional Services'!N7</f>
        <v>48097.650000000009</v>
      </c>
      <c r="S20" s="1">
        <f>'2-Professional Services'!Q7</f>
        <v>97524.02</v>
      </c>
    </row>
    <row r="21" spans="1:19" x14ac:dyDescent="0.35">
      <c r="A21" s="1" t="s">
        <v>432</v>
      </c>
      <c r="B21" s="24" t="s">
        <v>433</v>
      </c>
      <c r="J21" s="1">
        <f>'2-Consultancy and H&amp;S'!E2</f>
        <v>7171</v>
      </c>
      <c r="K21" s="1">
        <f>'2-Consultancy and H&amp;S'!F2</f>
        <v>0</v>
      </c>
      <c r="M21" s="1">
        <f>'2-Consultancy and H&amp;S'!I2</f>
        <v>-21400</v>
      </c>
      <c r="N21" s="1">
        <f>'2-Consultancy and H&amp;S'!J2</f>
        <v>755</v>
      </c>
      <c r="P21" s="83">
        <f>'2-Consultancy and H&amp;S'!M2</f>
        <v>-19000</v>
      </c>
      <c r="Q21" s="83">
        <f>'2-Consultancy and H&amp;S'!N2</f>
        <v>0</v>
      </c>
      <c r="S21" s="1">
        <f>'2-Consultancy and H&amp;S'!Q2</f>
        <v>0</v>
      </c>
    </row>
    <row r="22" spans="1:19" x14ac:dyDescent="0.35">
      <c r="A22" s="1" t="s">
        <v>434</v>
      </c>
      <c r="B22" s="24" t="s">
        <v>433</v>
      </c>
      <c r="J22" s="1">
        <f>'2-Consultancy and H&amp;S'!E5</f>
        <v>30000</v>
      </c>
      <c r="K22" s="1">
        <f>'2-Consultancy and H&amp;S'!F5</f>
        <v>19374.629999999997</v>
      </c>
      <c r="M22" s="1">
        <f>'2-Consultancy and H&amp;S'!I5</f>
        <v>33411</v>
      </c>
      <c r="N22" s="1">
        <f>'2-Consultancy and H&amp;S'!J5</f>
        <v>20473.78</v>
      </c>
      <c r="P22" s="83">
        <f>'2-Consultancy and H&amp;S'!M5</f>
        <v>19000</v>
      </c>
      <c r="Q22" s="83">
        <f>'2-Consultancy and H&amp;S'!N5</f>
        <v>22399.230000000003</v>
      </c>
      <c r="S22" s="1">
        <f>'2-Consultancy and H&amp;S'!Q5</f>
        <v>19570</v>
      </c>
    </row>
    <row r="23" spans="1:19" s="9" customFormat="1" x14ac:dyDescent="0.35">
      <c r="A23" s="9" t="s">
        <v>380</v>
      </c>
      <c r="J23" s="9">
        <f>SUM(J3:J22)</f>
        <v>789061.26</v>
      </c>
      <c r="K23" s="9">
        <f>SUM(K3:K22)</f>
        <v>898987.28</v>
      </c>
      <c r="M23" s="9">
        <f>SUM(M3:M22)</f>
        <v>1137218</v>
      </c>
      <c r="N23" s="9">
        <f>SUM(N3:N22)</f>
        <v>1361630.9911666668</v>
      </c>
      <c r="P23" s="9">
        <f>SUM(P3:P22)</f>
        <v>1380969</v>
      </c>
      <c r="Q23" s="9">
        <f>SUM(Q3:Q22)</f>
        <v>1351989.56</v>
      </c>
      <c r="S23" s="9">
        <f>SUM(S3:S22)</f>
        <v>1349608.02</v>
      </c>
    </row>
  </sheetData>
  <mergeCells count="9">
    <mergeCell ref="V1:X1"/>
    <mergeCell ref="Y1:AA1"/>
    <mergeCell ref="AB1:AD1"/>
    <mergeCell ref="D1:F1"/>
    <mergeCell ref="G1:I1"/>
    <mergeCell ref="J1:L1"/>
    <mergeCell ref="M1:O1"/>
    <mergeCell ref="P1:R1"/>
    <mergeCell ref="S1:U1"/>
  </mergeCells>
  <hyperlinks>
    <hyperlink ref="B3" location="'2-Community Halls'!A1" display="2-Community Halls" xr:uid="{00000000-0004-0000-0500-000000000000}"/>
    <hyperlink ref="B4" location="'2-Community Halls'!A1" display="2-Community Halls" xr:uid="{00000000-0004-0000-0500-000001000000}"/>
    <hyperlink ref="B5" location="'2-Marina Theatre'!A1" display="2-Marina Theatre" xr:uid="{00000000-0004-0000-0500-000002000000}"/>
    <hyperlink ref="B6" location="'2-Marina Theatre'!A1" display="2-Marina Theatre" xr:uid="{00000000-0004-0000-0500-000003000000}"/>
    <hyperlink ref="B7" location="'2-Town Hall'!A1" display="2-Town Hall" xr:uid="{00000000-0004-0000-0500-000004000000}"/>
    <hyperlink ref="B8" location="'2-Town Hall'!A1" display="2-Town Hall" xr:uid="{00000000-0004-0000-0500-000005000000}"/>
    <hyperlink ref="B15" location="'2-Staff'!A1" display="2-Staff" xr:uid="{00000000-0004-0000-0500-000008000000}"/>
    <hyperlink ref="B16" location="'2-Staff'!A1" display="2-Staff" xr:uid="{00000000-0004-0000-0500-000009000000}"/>
    <hyperlink ref="B17" location="'2-Training'!A1" display="2-Training" xr:uid="{00000000-0004-0000-0500-00000A000000}"/>
    <hyperlink ref="B18" location="'2-Training'!A1" display="2-Training" xr:uid="{00000000-0004-0000-0500-00000B000000}"/>
    <hyperlink ref="B19" location="'2-Professional Services'!A1" display="2-Professional Services" xr:uid="{00000000-0004-0000-0500-00000C000000}"/>
    <hyperlink ref="B20" location="'2-Professional Services'!A1" display="2-Professional Services" xr:uid="{00000000-0004-0000-0500-00000D000000}"/>
    <hyperlink ref="B21" location="'2-Consultancy'!A1" display="2-Consultancy" xr:uid="{00000000-0004-0000-0500-00000E000000}"/>
    <hyperlink ref="B22" location="'2-Consultancy'!A1" display="2-Consultancy" xr:uid="{00000000-0004-0000-0500-00000F000000}"/>
    <hyperlink ref="B9" location="'2-Hamilton House'!A1" display="2-Hamilton House" xr:uid="{B6592D0E-5649-4D4E-BBE6-5BC06D2EDB4D}"/>
    <hyperlink ref="B10" location="'2-Hamilton House'!A1" display="2-Hamilton House" xr:uid="{C2773696-6B76-4C3D-B0F0-E9C1640F2551}"/>
  </hyperlinks>
  <pageMargins left="0.7" right="0.7" top="0.75" bottom="0.75" header="0.3" footer="0.3"/>
  <pageSetup paperSize="9" scale="6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13"/>
  <sheetViews>
    <sheetView workbookViewId="0">
      <selection activeCell="H24" sqref="H24"/>
    </sheetView>
  </sheetViews>
  <sheetFormatPr defaultRowHeight="14.5" x14ac:dyDescent="0.35"/>
  <cols>
    <col min="1" max="1" width="14" bestFit="1" customWidth="1"/>
    <col min="5" max="8" width="0" hidden="1" customWidth="1"/>
  </cols>
  <sheetData>
    <row r="1" spans="1:3" x14ac:dyDescent="0.35">
      <c r="B1" t="s">
        <v>2066</v>
      </c>
      <c r="C1" t="s">
        <v>485</v>
      </c>
    </row>
    <row r="2" spans="1:3" x14ac:dyDescent="0.35">
      <c r="A2" t="s">
        <v>2067</v>
      </c>
      <c r="B2">
        <v>10</v>
      </c>
    </row>
    <row r="3" spans="1:3" x14ac:dyDescent="0.35">
      <c r="A3" t="s">
        <v>2068</v>
      </c>
      <c r="B3">
        <v>0</v>
      </c>
    </row>
    <row r="4" spans="1:3" x14ac:dyDescent="0.35">
      <c r="A4" t="s">
        <v>2069</v>
      </c>
      <c r="B4">
        <v>0</v>
      </c>
    </row>
    <row r="5" spans="1:3" x14ac:dyDescent="0.35">
      <c r="A5" t="s">
        <v>2070</v>
      </c>
    </row>
    <row r="6" spans="1:3" x14ac:dyDescent="0.35">
      <c r="A6" t="s">
        <v>2071</v>
      </c>
    </row>
    <row r="7" spans="1:3" x14ac:dyDescent="0.35">
      <c r="A7" t="s">
        <v>2072</v>
      </c>
    </row>
    <row r="8" spans="1:3" x14ac:dyDescent="0.35">
      <c r="A8" t="s">
        <v>2073</v>
      </c>
    </row>
    <row r="9" spans="1:3" x14ac:dyDescent="0.35">
      <c r="A9" t="s">
        <v>2074</v>
      </c>
    </row>
    <row r="10" spans="1:3" x14ac:dyDescent="0.35">
      <c r="A10" t="s">
        <v>2075</v>
      </c>
    </row>
    <row r="11" spans="1:3" x14ac:dyDescent="0.35">
      <c r="A11" t="s">
        <v>577</v>
      </c>
    </row>
    <row r="12" spans="1:3" x14ac:dyDescent="0.35">
      <c r="A12" t="s">
        <v>2076</v>
      </c>
    </row>
    <row r="13" spans="1:3" x14ac:dyDescent="0.35">
      <c r="A13" t="s">
        <v>2077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A1:D5"/>
  <sheetViews>
    <sheetView workbookViewId="0">
      <selection activeCell="A3" sqref="A3"/>
    </sheetView>
  </sheetViews>
  <sheetFormatPr defaultRowHeight="14.5" x14ac:dyDescent="0.35"/>
  <cols>
    <col min="1" max="1" width="22.453125" bestFit="1" customWidth="1"/>
    <col min="2" max="2" width="22.54296875" bestFit="1" customWidth="1"/>
    <col min="3" max="3" width="12.453125" style="1" bestFit="1" customWidth="1"/>
    <col min="4" max="4" width="14.453125" bestFit="1" customWidth="1"/>
    <col min="5" max="8" width="0" hidden="1" customWidth="1"/>
  </cols>
  <sheetData>
    <row r="1" spans="1:4" x14ac:dyDescent="0.35">
      <c r="A1" t="s">
        <v>102</v>
      </c>
      <c r="B1" t="s">
        <v>2078</v>
      </c>
      <c r="C1" s="1" t="s">
        <v>2079</v>
      </c>
      <c r="D1" t="s">
        <v>2080</v>
      </c>
    </row>
    <row r="2" spans="1:4" x14ac:dyDescent="0.35">
      <c r="A2" t="s">
        <v>2081</v>
      </c>
      <c r="B2" s="7">
        <v>45108</v>
      </c>
      <c r="C2" s="1">
        <v>100000</v>
      </c>
    </row>
    <row r="3" spans="1:4" x14ac:dyDescent="0.35">
      <c r="A3" t="s">
        <v>2082</v>
      </c>
      <c r="B3" s="7">
        <v>45108</v>
      </c>
      <c r="D3" t="s">
        <v>2083</v>
      </c>
    </row>
    <row r="4" spans="1:4" x14ac:dyDescent="0.35">
      <c r="A4" t="s">
        <v>2084</v>
      </c>
      <c r="B4" s="7">
        <v>45108</v>
      </c>
      <c r="D4" t="s">
        <v>2085</v>
      </c>
    </row>
    <row r="5" spans="1:4" x14ac:dyDescent="0.35">
      <c r="A5" t="s">
        <v>2086</v>
      </c>
      <c r="B5" t="s">
        <v>2087</v>
      </c>
      <c r="C5" s="1">
        <v>7000</v>
      </c>
      <c r="D5" t="s">
        <v>2088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F1"/>
  <sheetViews>
    <sheetView workbookViewId="0">
      <selection activeCell="F15" sqref="F15"/>
    </sheetView>
  </sheetViews>
  <sheetFormatPr defaultRowHeight="14.5" x14ac:dyDescent="0.35"/>
  <cols>
    <col min="5" max="8" width="0" hidden="1" customWidth="1"/>
  </cols>
  <sheetData>
    <row r="1" spans="1:6" x14ac:dyDescent="0.35">
      <c r="A1" t="s">
        <v>2089</v>
      </c>
      <c r="B1" t="s">
        <v>2090</v>
      </c>
      <c r="C1" t="s">
        <v>2091</v>
      </c>
      <c r="D1" t="s">
        <v>2092</v>
      </c>
      <c r="E1" t="s">
        <v>2093</v>
      </c>
      <c r="F1" t="s">
        <v>2094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F15"/>
  <sheetViews>
    <sheetView zoomScale="90" zoomScaleNormal="110" workbookViewId="0">
      <pane xSplit="1" ySplit="2" topLeftCell="K3" activePane="bottomRight" state="frozen"/>
      <selection activeCell="K13" sqref="K13"/>
      <selection pane="topRight" activeCell="K13" sqref="K13"/>
      <selection pane="bottomLeft" activeCell="K13" sqref="K13"/>
      <selection pane="bottomRight" activeCell="R7" sqref="R7"/>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435</v>
      </c>
      <c r="B1" s="4" t="s">
        <v>346</v>
      </c>
      <c r="C1" s="4" t="s">
        <v>347</v>
      </c>
      <c r="D1" s="159" t="s">
        <v>348</v>
      </c>
      <c r="E1" s="159"/>
      <c r="F1" s="159"/>
      <c r="G1" s="159" t="s">
        <v>349</v>
      </c>
      <c r="H1" s="159"/>
      <c r="I1" s="159"/>
      <c r="J1" s="159" t="s">
        <v>350</v>
      </c>
      <c r="K1" s="159"/>
      <c r="L1" s="159"/>
      <c r="M1" s="159" t="s">
        <v>351</v>
      </c>
      <c r="N1" s="159"/>
      <c r="O1" s="159"/>
      <c r="P1" s="159" t="s">
        <v>352</v>
      </c>
      <c r="Q1" s="159"/>
      <c r="R1" s="159"/>
      <c r="S1" s="159" t="s">
        <v>353</v>
      </c>
      <c r="T1" s="159"/>
      <c r="U1" s="159"/>
      <c r="V1" s="159" t="s">
        <v>354</v>
      </c>
      <c r="W1" s="159"/>
      <c r="X1" s="159"/>
      <c r="Y1" s="159" t="s">
        <v>355</v>
      </c>
      <c r="Z1" s="159"/>
      <c r="AA1" s="159"/>
      <c r="AB1" s="159" t="s">
        <v>356</v>
      </c>
      <c r="AC1" s="159"/>
      <c r="AD1" s="159"/>
      <c r="AE1" s="4" t="s">
        <v>357</v>
      </c>
      <c r="AF1" s="4" t="s">
        <v>358</v>
      </c>
    </row>
    <row r="2" spans="1:32" s="2" customFormat="1" ht="62" x14ac:dyDescent="0.35">
      <c r="D2" s="2" t="s">
        <v>359</v>
      </c>
      <c r="E2" s="2" t="s">
        <v>360</v>
      </c>
      <c r="F2" s="3" t="s">
        <v>361</v>
      </c>
      <c r="G2" s="2" t="s">
        <v>359</v>
      </c>
      <c r="H2" s="2" t="s">
        <v>360</v>
      </c>
      <c r="I2" s="3" t="s">
        <v>361</v>
      </c>
      <c r="J2" s="2" t="s">
        <v>359</v>
      </c>
      <c r="K2" s="3" t="s">
        <v>382</v>
      </c>
      <c r="L2" s="3" t="s">
        <v>363</v>
      </c>
      <c r="M2" s="2" t="s">
        <v>359</v>
      </c>
      <c r="N2" s="2" t="s">
        <v>360</v>
      </c>
      <c r="O2" s="3" t="s">
        <v>361</v>
      </c>
      <c r="P2" s="2" t="s">
        <v>359</v>
      </c>
      <c r="Q2" s="2" t="s">
        <v>360</v>
      </c>
      <c r="R2" s="3" t="s">
        <v>361</v>
      </c>
      <c r="S2" s="2" t="s">
        <v>359</v>
      </c>
      <c r="T2" s="2" t="s">
        <v>360</v>
      </c>
      <c r="U2" s="3" t="s">
        <v>361</v>
      </c>
      <c r="V2" s="2" t="s">
        <v>359</v>
      </c>
      <c r="W2" s="2" t="s">
        <v>360</v>
      </c>
      <c r="X2" s="3" t="s">
        <v>361</v>
      </c>
      <c r="Y2" s="2" t="s">
        <v>359</v>
      </c>
      <c r="Z2" s="2" t="s">
        <v>360</v>
      </c>
      <c r="AA2" s="3" t="s">
        <v>361</v>
      </c>
      <c r="AB2" s="2" t="s">
        <v>359</v>
      </c>
      <c r="AC2" s="2" t="s">
        <v>360</v>
      </c>
      <c r="AD2" s="3" t="s">
        <v>361</v>
      </c>
    </row>
    <row r="3" spans="1:32" x14ac:dyDescent="0.35">
      <c r="A3" s="1" t="s">
        <v>436</v>
      </c>
      <c r="B3" s="24" t="s">
        <v>437</v>
      </c>
      <c r="J3" s="1">
        <f>'2-Civic'!E2</f>
        <v>0</v>
      </c>
      <c r="K3" s="1">
        <f>'2-Civic'!F2</f>
        <v>4000</v>
      </c>
      <c r="M3" s="1">
        <f>'2-Civic'!I2</f>
        <v>-400</v>
      </c>
      <c r="N3" s="1">
        <f>'2-Civic'!J2</f>
        <v>171.65</v>
      </c>
      <c r="P3" s="1">
        <f>'2-Civic'!M2</f>
        <v>1000</v>
      </c>
      <c r="Q3" s="1">
        <f>'2-Civic'!N2</f>
        <v>0</v>
      </c>
      <c r="S3" s="1">
        <f>'2-Civic'!Q2</f>
        <v>0</v>
      </c>
    </row>
    <row r="4" spans="1:32" x14ac:dyDescent="0.35">
      <c r="A4" s="1" t="s">
        <v>292</v>
      </c>
      <c r="B4" s="24" t="s">
        <v>437</v>
      </c>
      <c r="J4" s="1">
        <f>'2-Civic'!E6</f>
        <v>0</v>
      </c>
      <c r="K4" s="1">
        <f>'2-Civic'!F6</f>
        <v>0</v>
      </c>
      <c r="M4" s="1">
        <f>'2-Civic'!I6</f>
        <v>400</v>
      </c>
      <c r="N4" s="1">
        <f>'2-Civic'!J6</f>
        <v>351.25000000000006</v>
      </c>
      <c r="P4" s="1">
        <f>'2-Civic'!M6</f>
        <v>1000</v>
      </c>
      <c r="Q4" s="1">
        <f>'2-Civic'!N6</f>
        <v>6.75</v>
      </c>
      <c r="S4" s="1">
        <f>'2-Civic'!Q6</f>
        <v>1030</v>
      </c>
    </row>
    <row r="5" spans="1:32" x14ac:dyDescent="0.35">
      <c r="A5" s="1" t="s">
        <v>438</v>
      </c>
      <c r="B5" s="24" t="s">
        <v>439</v>
      </c>
      <c r="J5" s="1">
        <f>'2-Events'!E2</f>
        <v>-45000</v>
      </c>
      <c r="K5" s="1">
        <f>'2-Events'!F2</f>
        <v>0</v>
      </c>
      <c r="M5" s="1">
        <f>'2-Events'!I2</f>
        <v>-9699</v>
      </c>
      <c r="N5" s="1">
        <f>'2-Events'!J2</f>
        <v>-60</v>
      </c>
      <c r="P5" s="1">
        <f>'2-Events'!M2</f>
        <v>-12109</v>
      </c>
      <c r="Q5" s="1">
        <f>'2-Events'!N2</f>
        <v>4000</v>
      </c>
      <c r="S5" s="1">
        <f>'2-Events'!Q2</f>
        <v>0</v>
      </c>
    </row>
    <row r="6" spans="1:32" x14ac:dyDescent="0.35">
      <c r="A6" s="1" t="s">
        <v>258</v>
      </c>
      <c r="B6" s="24" t="s">
        <v>439</v>
      </c>
      <c r="J6" s="1">
        <f>'2-Events'!E5</f>
        <v>55000</v>
      </c>
      <c r="K6" s="1">
        <f>'2-Events'!F5</f>
        <v>34149.549999999996</v>
      </c>
      <c r="M6" s="1">
        <f>'2-Events'!I5</f>
        <v>63921</v>
      </c>
      <c r="N6" s="1">
        <f>'2-Events'!J5</f>
        <v>43882.64</v>
      </c>
      <c r="P6" s="1">
        <f>'2-Events'!M5</f>
        <v>73599</v>
      </c>
      <c r="Q6" s="1">
        <f>'2-Events'!N5</f>
        <v>39048.11</v>
      </c>
      <c r="S6" s="1">
        <f>'2-Events'!Q5</f>
        <v>54177</v>
      </c>
    </row>
    <row r="7" spans="1:32" x14ac:dyDescent="0.35">
      <c r="A7" s="1" t="s">
        <v>440</v>
      </c>
      <c r="B7" s="24" t="s">
        <v>441</v>
      </c>
      <c r="J7" s="1">
        <f>'2-Festive Lights'!E2</f>
        <v>2078.54</v>
      </c>
      <c r="K7" s="1">
        <v>0</v>
      </c>
      <c r="M7" s="1">
        <v>-6745</v>
      </c>
      <c r="N7" s="1">
        <v>-6745</v>
      </c>
      <c r="P7" s="1">
        <f>'2-Festive Lights'!M2</f>
        <v>-6745</v>
      </c>
      <c r="Q7" s="1">
        <f>'2-Festive Lights'!N2</f>
        <v>0</v>
      </c>
      <c r="S7" s="1">
        <f>'2-Festive Lights'!Q2</f>
        <v>0</v>
      </c>
    </row>
    <row r="8" spans="1:32" x14ac:dyDescent="0.35">
      <c r="A8" s="1" t="s">
        <v>286</v>
      </c>
      <c r="B8" s="24" t="s">
        <v>441</v>
      </c>
      <c r="J8" s="1">
        <f>'2-Festive Lights'!E5</f>
        <v>6294.8</v>
      </c>
      <c r="K8" s="1">
        <v>6294.8</v>
      </c>
      <c r="M8" s="1">
        <v>6745</v>
      </c>
      <c r="N8" s="1">
        <v>6745</v>
      </c>
      <c r="P8" s="1">
        <f>'2-Festive Lights'!M5</f>
        <v>7689</v>
      </c>
      <c r="Q8" s="1">
        <f>'2-Festive Lights'!N5</f>
        <v>480</v>
      </c>
      <c r="S8" s="1">
        <f>'2-Festive Lights'!Q5</f>
        <v>7921</v>
      </c>
    </row>
    <row r="9" spans="1:32" x14ac:dyDescent="0.35">
      <c r="A9" s="1" t="s">
        <v>442</v>
      </c>
      <c r="B9" s="24" t="s">
        <v>443</v>
      </c>
      <c r="J9" s="1">
        <f>'2-Grants'!E2</f>
        <v>-60000</v>
      </c>
      <c r="K9" s="1">
        <f>'2-Grants'!F2</f>
        <v>-40598.160000000003</v>
      </c>
      <c r="M9" s="1">
        <f>'2-Grants'!I2</f>
        <v>0</v>
      </c>
      <c r="N9" s="1">
        <f>'2-Grants'!J2</f>
        <v>0</v>
      </c>
      <c r="P9" s="1">
        <f>'2-Grants'!M2</f>
        <v>0</v>
      </c>
      <c r="Q9" s="1">
        <f>'2-Grants'!N2</f>
        <v>-3000</v>
      </c>
      <c r="S9" s="1">
        <f>'2-Grants'!Q2</f>
        <v>0</v>
      </c>
    </row>
    <row r="10" spans="1:32" x14ac:dyDescent="0.35">
      <c r="A10" s="1" t="s">
        <v>271</v>
      </c>
      <c r="B10" s="24" t="s">
        <v>443</v>
      </c>
      <c r="J10" s="1">
        <f>'2-Grants'!E5</f>
        <v>50000</v>
      </c>
      <c r="K10" s="1">
        <f>'2-Grants'!F5</f>
        <v>43300.33</v>
      </c>
      <c r="M10" s="1">
        <f>'2-Grants'!I5</f>
        <v>65000</v>
      </c>
      <c r="N10" s="1">
        <f>'2-Grants'!J5</f>
        <v>60727.43</v>
      </c>
      <c r="P10" s="1">
        <f>'2-Grants'!M5</f>
        <v>65000</v>
      </c>
      <c r="Q10" s="1">
        <f>'2-Grants'!N5</f>
        <v>38539.800000000003</v>
      </c>
      <c r="S10" s="1">
        <f>'2-Grants'!Q5</f>
        <v>66950</v>
      </c>
    </row>
    <row r="11" spans="1:32" x14ac:dyDescent="0.35">
      <c r="A11" s="1" t="s">
        <v>444</v>
      </c>
      <c r="B11" s="24" t="s">
        <v>445</v>
      </c>
      <c r="J11" s="1">
        <f>'2-Community Engagement'!E5</f>
        <v>11000</v>
      </c>
      <c r="K11" s="1">
        <f>'2-Community Engagement'!F5</f>
        <v>9578.1</v>
      </c>
      <c r="M11" s="1">
        <f>'2-Community Engagement'!I5</f>
        <v>23908</v>
      </c>
      <c r="N11" s="1">
        <f>'2-Community Engagement'!J5</f>
        <v>23325.54</v>
      </c>
      <c r="P11" s="1">
        <f>'2-Community Engagement'!M5</f>
        <v>45012</v>
      </c>
      <c r="Q11" s="1">
        <f>'2-Community Engagement'!N5</f>
        <v>25720</v>
      </c>
      <c r="S11" s="1">
        <f>'2-Community Engagement'!Q5</f>
        <v>46363</v>
      </c>
    </row>
    <row r="12" spans="1:32" x14ac:dyDescent="0.35">
      <c r="A12" s="1" t="s">
        <v>446</v>
      </c>
      <c r="B12" s="24" t="s">
        <v>445</v>
      </c>
      <c r="J12" s="1">
        <f>'2-Community Engagement'!E2</f>
        <v>0</v>
      </c>
      <c r="K12" s="1">
        <f>'2-Community Engagement'!F2</f>
        <v>-1000</v>
      </c>
      <c r="M12" s="1">
        <f>'2-Community Engagement'!I2</f>
        <v>0</v>
      </c>
      <c r="N12" s="1">
        <f>'2-Community Engagement'!J2</f>
        <v>500</v>
      </c>
      <c r="P12" s="1">
        <f>'2-Community Engagement'!M2</f>
        <v>0</v>
      </c>
      <c r="Q12" s="1">
        <f>'2-Community Engagement'!N2</f>
        <v>0</v>
      </c>
      <c r="S12" s="1">
        <f>'2-Community Engagement'!Q2</f>
        <v>0</v>
      </c>
    </row>
    <row r="13" spans="1:32" x14ac:dyDescent="0.35">
      <c r="A13" s="1" t="s">
        <v>447</v>
      </c>
      <c r="B13" s="24" t="s">
        <v>448</v>
      </c>
      <c r="J13" s="1">
        <f>'2-Arts and Heritage'!E2</f>
        <v>11526</v>
      </c>
      <c r="K13" s="1">
        <f>'2-Arts and Heritage'!F2</f>
        <v>-4000</v>
      </c>
      <c r="M13" s="1">
        <f>'2-Arts and Heritage'!I2</f>
        <v>-16598</v>
      </c>
      <c r="N13" s="1">
        <f>'2-Arts and Heritage'!J2</f>
        <v>18968.7</v>
      </c>
      <c r="P13" s="1">
        <f>'2-Arts and Heritage'!M2</f>
        <v>5100</v>
      </c>
      <c r="Q13" s="1">
        <f>'2-Arts and Heritage'!N2</f>
        <v>0</v>
      </c>
      <c r="S13" s="1">
        <f>'2-Arts and Heritage'!Q2</f>
        <v>0</v>
      </c>
    </row>
    <row r="14" spans="1:32" x14ac:dyDescent="0.35">
      <c r="A14" s="1" t="s">
        <v>449</v>
      </c>
      <c r="B14" s="24" t="s">
        <v>448</v>
      </c>
      <c r="J14" s="1">
        <f>'2-Arts and Heritage'!E7</f>
        <v>8472</v>
      </c>
      <c r="K14" s="1">
        <f>'2-Arts and Heritage'!F7</f>
        <v>3340</v>
      </c>
      <c r="M14" s="1">
        <f>'2-Arts and Heritage'!I7</f>
        <v>21400</v>
      </c>
      <c r="N14" s="1">
        <f>'2-Arts and Heritage'!J7</f>
        <v>2400</v>
      </c>
      <c r="P14" s="1">
        <f>'2-Arts and Heritage'!M7</f>
        <v>32400</v>
      </c>
      <c r="Q14" s="1">
        <f>'2-Arts and Heritage'!N7</f>
        <v>7420.5</v>
      </c>
      <c r="S14" s="1">
        <f>'2-Arts and Heritage'!Q7</f>
        <v>33372</v>
      </c>
    </row>
    <row r="15" spans="1:32" s="9" customFormat="1" x14ac:dyDescent="0.35">
      <c r="A15" s="9" t="s">
        <v>380</v>
      </c>
      <c r="J15" s="9">
        <f>SUM(J3:J14)</f>
        <v>39371.339999999997</v>
      </c>
      <c r="K15" s="9">
        <f>SUM(K3:K14)</f>
        <v>55064.619999999995</v>
      </c>
      <c r="M15" s="9">
        <f>SUM(M3:M14)</f>
        <v>147932</v>
      </c>
      <c r="N15" s="9">
        <f>SUM(N3:N14)</f>
        <v>150267.21000000002</v>
      </c>
      <c r="P15" s="9">
        <f>SUM(P3:P14)</f>
        <v>211946</v>
      </c>
      <c r="Q15" s="9">
        <f>SUM(Q3:Q14)</f>
        <v>112215.16</v>
      </c>
      <c r="S15" s="9">
        <f>SUM(S3:S14)</f>
        <v>209813</v>
      </c>
    </row>
  </sheetData>
  <mergeCells count="9">
    <mergeCell ref="V1:X1"/>
    <mergeCell ref="Y1:AA1"/>
    <mergeCell ref="AB1:AD1"/>
    <mergeCell ref="D1:F1"/>
    <mergeCell ref="G1:I1"/>
    <mergeCell ref="J1:L1"/>
    <mergeCell ref="M1:O1"/>
    <mergeCell ref="P1:R1"/>
    <mergeCell ref="S1:U1"/>
  </mergeCells>
  <hyperlinks>
    <hyperlink ref="B3" location="'2-Civic'!A1" display="2-Civic" xr:uid="{00000000-0004-0000-0600-000000000000}"/>
    <hyperlink ref="B4" location="'2-Civic'!A1" display="2-Civic" xr:uid="{00000000-0004-0000-0600-000001000000}"/>
    <hyperlink ref="B5" location="'2-Events'!A1" display="2-Events" xr:uid="{00000000-0004-0000-0600-000002000000}"/>
    <hyperlink ref="B6" location="'2-Events'!A1" display="2-Events" xr:uid="{00000000-0004-0000-0600-000003000000}"/>
    <hyperlink ref="B7" location="'2-Festive Lights'!A1" display="2-Festive Lights" xr:uid="{00000000-0004-0000-0600-000004000000}"/>
    <hyperlink ref="B8" location="'2-Festive Lights'!A1" display="2-Festive Lights" xr:uid="{00000000-0004-0000-0600-000005000000}"/>
    <hyperlink ref="B9" location="'2-Grants'!A1" display="2-Grants" xr:uid="{00000000-0004-0000-0600-000006000000}"/>
    <hyperlink ref="B10" location="'2-Grants'!A1" display="2-Grants" xr:uid="{00000000-0004-0000-0600-000007000000}"/>
    <hyperlink ref="B11" location="'2-Community Engagement'!A1" display="2-Community Engagement" xr:uid="{00000000-0004-0000-0600-000008000000}"/>
    <hyperlink ref="B12" location="'2-Community Engagement'!A1" display="2-Community Engagement" xr:uid="{00000000-0004-0000-0600-000009000000}"/>
    <hyperlink ref="B13" location="'2-Arts'!A1" display="2-Arts" xr:uid="{00000000-0004-0000-0600-00000A000000}"/>
    <hyperlink ref="B14" location="'2-Arts'!A1" display="2-Arts" xr:uid="{00000000-0004-0000-0600-00000B000000}"/>
  </hyperlinks>
  <pageMargins left="0.7" right="0.7" top="0.75" bottom="0.75" header="0.3" footer="0.3"/>
  <pageSetup paperSize="9"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9">
    <pageSetUpPr fitToPage="1"/>
  </sheetPr>
  <dimension ref="A1:AF92"/>
  <sheetViews>
    <sheetView zoomScaleNormal="100" workbookViewId="0">
      <pane xSplit="1" ySplit="1" topLeftCell="B2" activePane="bottomRight" state="frozen"/>
      <selection pane="topRight" activeCell="B1" sqref="B1"/>
      <selection pane="bottomLeft" activeCell="A2" sqref="A2"/>
      <selection pane="bottomRight" activeCell="I20" sqref="I20"/>
    </sheetView>
  </sheetViews>
  <sheetFormatPr defaultColWidth="13.81640625" defaultRowHeight="14.5" x14ac:dyDescent="0.35"/>
  <cols>
    <col min="1" max="1" width="29.453125" customWidth="1"/>
    <col min="2" max="2" width="11" bestFit="1" customWidth="1"/>
    <col min="4" max="4" width="19.54296875" bestFit="1" customWidth="1"/>
    <col min="5" max="5" width="12.453125" customWidth="1"/>
    <col min="6" max="6" width="19.1796875" customWidth="1"/>
    <col min="7" max="7" width="13.81640625" customWidth="1"/>
    <col min="8" max="10" width="19.54296875" customWidth="1"/>
    <col min="11" max="11" width="13.81640625" customWidth="1"/>
    <col min="12" max="12" width="19.54296875" customWidth="1"/>
    <col min="13" max="13" width="12.453125" bestFit="1" customWidth="1"/>
    <col min="14" max="14" width="13.1796875" customWidth="1"/>
    <col min="15" max="15" width="13.81640625" customWidth="1"/>
    <col min="16" max="16" width="19.54296875" customWidth="1"/>
    <col min="17" max="17" width="11" customWidth="1"/>
    <col min="18" max="18" width="13.1796875" customWidth="1"/>
    <col min="19" max="19" width="13.81640625" customWidth="1"/>
    <col min="20" max="20" width="19.54296875" customWidth="1"/>
    <col min="21" max="21" width="11" customWidth="1"/>
    <col min="22" max="22" width="13.1796875" customWidth="1"/>
    <col min="23" max="23" width="13.81640625" customWidth="1"/>
    <col min="24" max="24" width="19.54296875" customWidth="1"/>
    <col min="25" max="25" width="11" customWidth="1"/>
    <col min="26" max="26" width="13.1796875" customWidth="1"/>
    <col min="27" max="27" width="13.81640625" customWidth="1"/>
    <col min="28" max="28" width="19.54296875" customWidth="1"/>
    <col min="29" max="29" width="12.453125" customWidth="1"/>
    <col min="30" max="30" width="13.1796875" customWidth="1"/>
    <col min="31" max="31" width="12.453125" style="1" bestFit="1" customWidth="1"/>
    <col min="32" max="32" width="13.81640625" style="1"/>
  </cols>
  <sheetData>
    <row r="1" spans="1:32" s="21" customFormat="1" ht="36" customHeight="1" x14ac:dyDescent="0.35">
      <c r="A1" s="5"/>
      <c r="B1" s="5" t="s">
        <v>2</v>
      </c>
      <c r="C1" s="5" t="s">
        <v>3</v>
      </c>
      <c r="D1" s="5" t="s">
        <v>4</v>
      </c>
      <c r="E1" s="5" t="s">
        <v>5</v>
      </c>
      <c r="F1" s="5" t="s">
        <v>450</v>
      </c>
      <c r="G1" s="5" t="s">
        <v>6</v>
      </c>
      <c r="H1" s="5" t="s">
        <v>7</v>
      </c>
      <c r="I1" s="5" t="s">
        <v>8</v>
      </c>
      <c r="J1" s="5" t="s">
        <v>9</v>
      </c>
      <c r="K1" s="5" t="s">
        <v>451</v>
      </c>
      <c r="L1" s="5" t="s">
        <v>452</v>
      </c>
      <c r="M1" s="5" t="s">
        <v>453</v>
      </c>
      <c r="N1" s="5" t="s">
        <v>454</v>
      </c>
      <c r="O1" s="5" t="s">
        <v>455</v>
      </c>
      <c r="P1" s="5" t="s">
        <v>456</v>
      </c>
      <c r="Q1" s="5" t="s">
        <v>457</v>
      </c>
      <c r="R1" s="5" t="s">
        <v>458</v>
      </c>
      <c r="S1" s="5" t="s">
        <v>459</v>
      </c>
      <c r="T1" s="5" t="s">
        <v>460</v>
      </c>
      <c r="U1" s="5" t="s">
        <v>461</v>
      </c>
      <c r="V1" s="5" t="s">
        <v>462</v>
      </c>
      <c r="W1" s="5" t="s">
        <v>463</v>
      </c>
      <c r="X1" s="5" t="s">
        <v>464</v>
      </c>
      <c r="Y1" s="5" t="s">
        <v>465</v>
      </c>
      <c r="Z1" s="5" t="s">
        <v>466</v>
      </c>
      <c r="AA1" s="5" t="s">
        <v>467</v>
      </c>
      <c r="AB1" s="5" t="s">
        <v>468</v>
      </c>
      <c r="AC1" s="5" t="s">
        <v>469</v>
      </c>
      <c r="AD1" s="5" t="s">
        <v>470</v>
      </c>
      <c r="AE1" s="5" t="s">
        <v>471</v>
      </c>
      <c r="AF1" s="5" t="s">
        <v>472</v>
      </c>
    </row>
    <row r="2" spans="1:32" x14ac:dyDescent="0.35">
      <c r="A2" s="79" t="s">
        <v>11</v>
      </c>
      <c r="B2" s="79">
        <f>IF('2-General Reserves'!D3&lt;&gt; "",'2-General Reserves'!D3, "")</f>
        <v>96977.1</v>
      </c>
      <c r="C2" s="79">
        <f>IF('2-General Reserves'!E3&lt;&gt; "",'2-General Reserves'!E3, "")</f>
        <v>157292</v>
      </c>
      <c r="D2" s="79">
        <f>IF('2-General Reserves'!F3&lt;&gt; "",'2-General Reserves'!F3, "")</f>
        <v>0</v>
      </c>
      <c r="E2" s="79">
        <f>IF('2-General Reserves'!G3&lt;&gt; "",'2-General Reserves'!G3, "")</f>
        <v>243262.38</v>
      </c>
      <c r="F2" s="79" t="str">
        <f>IF('2-General Reserves'!H3&lt;&gt; "",'2-General Reserves'!H3, "")</f>
        <v/>
      </c>
      <c r="G2" s="79">
        <f>IF('2-General Reserves'!I3&lt;&gt; "",'2-General Reserves'!I3, "")</f>
        <v>109902</v>
      </c>
      <c r="H2" s="79">
        <f>IF('2-General Reserves'!J3&lt;&gt; "",'2-General Reserves'!J3, "")</f>
        <v>450</v>
      </c>
      <c r="I2" s="79">
        <f>IF('2-General Reserves'!K3&lt;&gt; "",'2-General Reserves'!K3, "")</f>
        <v>341076.20999999996</v>
      </c>
      <c r="J2" s="79" t="str">
        <f>IF('2-General Reserves'!L3&lt;&gt; "",'2-General Reserves'!L3, "")</f>
        <v>Budgetted for next year</v>
      </c>
      <c r="K2" s="79">
        <f>IF('2-General Reserves'!M3&lt;&gt; "",'2-General Reserves'!M3, "")</f>
        <v>101212</v>
      </c>
      <c r="L2" s="79">
        <f>IF('2-General Reserves'!N3&lt;&gt; "",'2-General Reserves'!N3, "")</f>
        <v>-26888.770000000062</v>
      </c>
      <c r="M2" s="79">
        <f>IF('2-General Reserves'!O3&lt;&gt; "",'2-General Reserves'!O3, "")</f>
        <v>469176.98000000004</v>
      </c>
      <c r="N2" s="79" t="str">
        <f>IF('2-General Reserves'!P3&lt;&gt; "",'2-General Reserves'!P3, "")</f>
        <v>Allow £61,240 for replacement of cricket nets, £21,551.15 towards cost of thatching Belle Vue Park cottage, and £70K for capital purchase of vehicles for grounds maintenance.</v>
      </c>
      <c r="O2" s="79">
        <f>IF('2-General Reserves'!Q3&lt;&gt; "",'2-General Reserves'!Q3, "")</f>
        <v>161249</v>
      </c>
      <c r="P2" s="79">
        <f>IF('2-General Reserves'!R3&lt;&gt; "",'2-General Reserves'!R3, "")</f>
        <v>0</v>
      </c>
      <c r="Q2" s="79">
        <f>IF('2-General Reserves'!S3&lt;&gt; "",'2-General Reserves'!S3, "")</f>
        <v>630425.98</v>
      </c>
      <c r="R2" s="79" t="str">
        <f>IF('2-General Reserves'!T3&lt;&gt; "",'2-General Reserves'!T3, "")</f>
        <v/>
      </c>
      <c r="S2" s="79">
        <f>IF('2-General Reserves'!U3&lt;&gt; "",'2-General Reserves'!U3, "")</f>
        <v>107377</v>
      </c>
      <c r="T2" s="79">
        <f>IF('2-General Reserves'!V3&lt;&gt; "",'2-General Reserves'!V3, "")</f>
        <v>0</v>
      </c>
      <c r="U2" s="79">
        <f>IF('2-General Reserves'!W3&lt;&gt; "",'2-General Reserves'!W3, "")</f>
        <v>737802.98</v>
      </c>
      <c r="V2" s="79" t="str">
        <f>IF('2-General Reserves'!X3&lt;&gt; "",'2-General Reserves'!X3, "")</f>
        <v/>
      </c>
      <c r="W2" s="79">
        <f>IF('2-General Reserves'!Y3&lt;&gt; "",'2-General Reserves'!Y3, "")</f>
        <v>110599</v>
      </c>
      <c r="X2" s="79">
        <f>IF('2-General Reserves'!Z3&lt;&gt; "",'2-General Reserves'!Z3, "")</f>
        <v>0</v>
      </c>
      <c r="Y2" s="79">
        <f>IF('2-General Reserves'!AA3&lt;&gt; "",'2-General Reserves'!AA3, "")</f>
        <v>848401.98</v>
      </c>
      <c r="Z2" s="79" t="str">
        <f>IF('2-General Reserves'!AB3&lt;&gt; "",'2-General Reserves'!AB3, "")</f>
        <v/>
      </c>
      <c r="AA2" s="79">
        <f>IF('2-General Reserves'!AC3&lt;&gt; "",'2-General Reserves'!AC3, "")</f>
        <v>113917</v>
      </c>
      <c r="AB2" s="79">
        <f>IF('2-General Reserves'!AD3&lt;&gt; "",'2-General Reserves'!AD3, "")</f>
        <v>0</v>
      </c>
      <c r="AC2" s="79">
        <f>IF('2-General Reserves'!AE3&lt;&gt; "",'2-General Reserves'!AE3, "")</f>
        <v>962318.98</v>
      </c>
      <c r="AD2" s="80" t="str">
        <f>IF('2-General Reserves'!AF3&lt;&gt; "",'2-General Reserves'!AF3, "")</f>
        <v/>
      </c>
      <c r="AE2" s="79">
        <f>IF('2-General Reserves'!AG3&lt;&gt; "",'2-General Reserves'!AG3, "")</f>
        <v>1000000</v>
      </c>
      <c r="AF2" s="79">
        <f>AE2</f>
        <v>1000000</v>
      </c>
    </row>
    <row r="3" spans="1:32" x14ac:dyDescent="0.35">
      <c r="A3" s="1" t="s">
        <v>15</v>
      </c>
      <c r="B3" s="1">
        <f>IF('2-Repairs and Maintenance'!D3&lt;&gt; "",'2-Repairs and Maintenance'!D3, "")</f>
        <v>78133.02</v>
      </c>
      <c r="C3" s="1">
        <f>IF('2-Repairs and Maintenance'!E3&lt;&gt; "",'2-Repairs and Maintenance'!E3, "")</f>
        <v>-44166</v>
      </c>
      <c r="D3" s="1">
        <f>IF('2-Repairs and Maintenance'!F3&lt;&gt; "",'2-Repairs and Maintenance'!F3, "")</f>
        <v>-144000</v>
      </c>
      <c r="E3" s="1">
        <f>IF('2-Repairs and Maintenance'!G3&lt;&gt; "",'2-Repairs and Maintenance'!G3, "")</f>
        <v>147703.46</v>
      </c>
      <c r="F3" s="1" t="str">
        <f>IF('2-Repairs and Maintenance'!H3&lt;&gt; "",'2-Repairs and Maintenance'!H3, "")</f>
        <v/>
      </c>
      <c r="G3" s="1">
        <f>IF('2-Repairs and Maintenance'!I3&lt;&gt; "",'2-Repairs and Maintenance'!I3, "")</f>
        <v>-100155</v>
      </c>
      <c r="H3" s="1">
        <f>IF('2-Repairs and Maintenance'!J3&lt;&gt; "",'2-Repairs and Maintenance'!J3, "")</f>
        <v>-2400</v>
      </c>
      <c r="I3" s="1">
        <f>IF('2-Repairs and Maintenance'!K3&lt;&gt; "",'2-Repairs and Maintenance'!K3, "")</f>
        <v>136037.25799999983</v>
      </c>
      <c r="J3" s="1" t="str">
        <f>IF('2-Repairs and Maintenance'!L3&lt;&gt; "",'2-Repairs and Maintenance'!L3, "")</f>
        <v>£55K offset against Goods budget, £45,155 offset against main R&amp;M budget</v>
      </c>
      <c r="K3" s="1">
        <f>IF('2-Repairs and Maintenance'!M3&lt;&gt; "",'2-Repairs and Maintenance'!M3, "")</f>
        <v>-110000</v>
      </c>
      <c r="L3" s="1">
        <f>IF('2-Repairs and Maintenance'!N3&lt;&gt; "",'2-Repairs and Maintenance'!N3, "")</f>
        <v>0</v>
      </c>
      <c r="M3" s="1">
        <f>IF('2-Repairs and Maintenance'!O3&lt;&gt; "",'2-Repairs and Maintenance'!O3, "")</f>
        <v>164584.50099999984</v>
      </c>
      <c r="N3" s="1" t="str">
        <f>IF('2-Repairs and Maintenance'!P3&lt;&gt; "",'2-Repairs and Maintenance'!P3, "")</f>
        <v>This currently gives £220,352 to spend on all R&amp;M between October 2023 and April 2025 and would leave nothing in reserves. Current YE estimate for 2023-2024 is £106,600</v>
      </c>
      <c r="O3" s="1" t="str">
        <f>IF('2-Repairs and Maintenance'!Q3&lt;&gt; "",'2-Repairs and Maintenance'!Q3, "")</f>
        <v/>
      </c>
      <c r="P3" s="1">
        <f>IF('2-Repairs and Maintenance'!R3&lt;&gt; "",'2-Repairs and Maintenance'!R3, "")</f>
        <v>0</v>
      </c>
      <c r="Q3" s="1">
        <f>IF('2-Repairs and Maintenance'!S3&lt;&gt; "",'2-Repairs and Maintenance'!S3, "")</f>
        <v>164584.50099999981</v>
      </c>
      <c r="R3" s="1" t="str">
        <f>IF('2-Repairs and Maintenance'!T3&lt;&gt; "",'2-Repairs and Maintenance'!T3, "")</f>
        <v/>
      </c>
      <c r="S3" s="1" t="str">
        <f>IF('2-Repairs and Maintenance'!U3&lt;&gt; "",'2-Repairs and Maintenance'!U3, "")</f>
        <v/>
      </c>
      <c r="T3" s="1">
        <f>IF('2-Repairs and Maintenance'!V3&lt;&gt; "",'2-Repairs and Maintenance'!V3, "")</f>
        <v>0</v>
      </c>
      <c r="U3" s="1">
        <f>IF('2-Repairs and Maintenance'!W3&lt;&gt; "",'2-Repairs and Maintenance'!W3, "")</f>
        <v>164584.50099999981</v>
      </c>
      <c r="V3" s="1" t="str">
        <f>IF('2-Repairs and Maintenance'!X3&lt;&gt; "",'2-Repairs and Maintenance'!X3, "")</f>
        <v/>
      </c>
      <c r="W3" s="1" t="str">
        <f>IF('2-Repairs and Maintenance'!Y3&lt;&gt; "",'2-Repairs and Maintenance'!Y3, "")</f>
        <v/>
      </c>
      <c r="X3" s="1">
        <f>IF('2-Repairs and Maintenance'!Z3&lt;&gt; "",'2-Repairs and Maintenance'!Z3, "")</f>
        <v>0</v>
      </c>
      <c r="Y3" s="1">
        <f>IF('2-Repairs and Maintenance'!AA3&lt;&gt; "",'2-Repairs and Maintenance'!AA3, "")</f>
        <v>164584.50099999981</v>
      </c>
      <c r="Z3" s="1" t="str">
        <f>IF('2-Repairs and Maintenance'!AB3&lt;&gt; "",'2-Repairs and Maintenance'!AB3, "")</f>
        <v/>
      </c>
      <c r="AA3" s="1" t="str">
        <f>IF('2-Repairs and Maintenance'!AC3&lt;&gt; "",'2-Repairs and Maintenance'!AC3, "")</f>
        <v/>
      </c>
      <c r="AB3" s="1">
        <f>IF('2-Repairs and Maintenance'!AD3&lt;&gt; "",'2-Repairs and Maintenance'!AD3, "")</f>
        <v>0</v>
      </c>
      <c r="AC3" s="1">
        <f>IF('2-Repairs and Maintenance'!AE3&lt;&gt; "",'2-Repairs and Maintenance'!AE3, "")</f>
        <v>164584.50099999981</v>
      </c>
      <c r="AD3" t="str">
        <f>IF('2-Repairs and Maintenance'!AF3&lt;&gt; "",'2-Repairs and Maintenance'!AF3, "")</f>
        <v/>
      </c>
      <c r="AE3" s="1">
        <f>IF('2-Repairs and Maintenance'!AG3&lt;&gt; "",'2-Repairs and Maintenance'!AG3, "")</f>
        <v>300000</v>
      </c>
      <c r="AF3" s="1">
        <f>AE3</f>
        <v>300000</v>
      </c>
    </row>
    <row r="4" spans="1:32" x14ac:dyDescent="0.35">
      <c r="A4" s="79" t="s">
        <v>27</v>
      </c>
      <c r="B4" s="79">
        <f>IF('2-Compliance'!D3&lt;&gt; "",'2-Compliance'!D3, "")</f>
        <v>0</v>
      </c>
      <c r="C4" s="79">
        <f>IF('2-Compliance'!E3&lt;&gt; "",'2-Compliance'!E3, "")</f>
        <v>0</v>
      </c>
      <c r="D4" s="79">
        <f>IF('2-Compliance'!F3&lt;&gt; "",'2-Compliance'!F3, "")</f>
        <v>0</v>
      </c>
      <c r="E4" s="79">
        <f>IF('2-Compliance'!G3&lt;&gt; "",'2-Compliance'!G3, "")</f>
        <v>10302.700000000001</v>
      </c>
      <c r="F4" s="79" t="str">
        <f>IF('2-Compliance'!H3&lt;&gt; "",'2-Compliance'!H3, "")</f>
        <v/>
      </c>
      <c r="G4" s="79" t="str">
        <f>IF('2-Compliance'!I3&lt;&gt; "",'2-Compliance'!I3, "")</f>
        <v/>
      </c>
      <c r="H4" s="79">
        <f>IF('2-Compliance'!J3&lt;&gt; "",'2-Compliance'!J3, "")</f>
        <v>0</v>
      </c>
      <c r="I4" s="79">
        <f>IF('2-Compliance'!K3&lt;&gt; "",'2-Compliance'!K3, "")</f>
        <v>40080.39</v>
      </c>
      <c r="J4" s="79" t="str">
        <f>IF('2-Compliance'!L3&lt;&gt; "",'2-Compliance'!L3, "")</f>
        <v/>
      </c>
      <c r="K4" s="79">
        <f>IF('2-Compliance'!M3&lt;&gt; "",'2-Compliance'!M3, "")</f>
        <v>-20000</v>
      </c>
      <c r="L4" s="81"/>
      <c r="M4" s="79">
        <f>IF('2-Compliance'!O3&lt;&gt; "",'2-Compliance'!O3, "")</f>
        <v>8525.8500000000058</v>
      </c>
      <c r="N4" s="79" t="str">
        <f>IF('2-Compliance'!P3&lt;&gt; "",'2-Compliance'!P3, "")</f>
        <v/>
      </c>
      <c r="O4" s="79" t="str">
        <f>IF('2-Compliance'!Q3&lt;&gt; "",'2-Compliance'!Q3, "")</f>
        <v/>
      </c>
      <c r="P4" s="79">
        <f>IF('2-Compliance'!R3&lt;&gt; "",'2-Compliance'!R3, "")</f>
        <v>0</v>
      </c>
      <c r="Q4" s="79">
        <f>IF('2-Compliance'!S3&lt;&gt; "",'2-Compliance'!S3, "")</f>
        <v>10585.850000000006</v>
      </c>
      <c r="R4" s="79" t="str">
        <f>IF('2-Compliance'!T3&lt;&gt; "",'2-Compliance'!T3, "")</f>
        <v/>
      </c>
      <c r="S4" s="79" t="str">
        <f>IF('2-Compliance'!U3&lt;&gt; "",'2-Compliance'!U3, "")</f>
        <v/>
      </c>
      <c r="T4" s="79">
        <f>IF('2-Compliance'!V3&lt;&gt; "",'2-Compliance'!V3, "")</f>
        <v>0</v>
      </c>
      <c r="U4" s="79">
        <f>IF('2-Compliance'!W3&lt;&gt; "",'2-Compliance'!W3, "")</f>
        <v>12707.850000000006</v>
      </c>
      <c r="V4" s="79" t="str">
        <f>IF('2-Compliance'!X3&lt;&gt; "",'2-Compliance'!X3, "")</f>
        <v/>
      </c>
      <c r="W4" s="79" t="str">
        <f>IF('2-Compliance'!Y3&lt;&gt; "",'2-Compliance'!Y3, "")</f>
        <v/>
      </c>
      <c r="X4" s="79">
        <f>IF('2-Compliance'!Z3&lt;&gt; "",'2-Compliance'!Z3, "")</f>
        <v>0</v>
      </c>
      <c r="Y4" s="79">
        <f>IF('2-Compliance'!AA3&lt;&gt; "",'2-Compliance'!AA3, "")</f>
        <v>14893.850000000006</v>
      </c>
      <c r="Z4" s="79" t="str">
        <f>IF('2-Compliance'!AB3&lt;&gt; "",'2-Compliance'!AB3, "")</f>
        <v/>
      </c>
      <c r="AA4" s="79" t="str">
        <f>IF('2-Compliance'!AC3&lt;&gt; "",'2-Compliance'!AC3, "")</f>
        <v/>
      </c>
      <c r="AB4" s="79">
        <f>IF('2-Compliance'!AD3&lt;&gt; "",'2-Compliance'!AD3, "")</f>
        <v>0</v>
      </c>
      <c r="AC4" s="79">
        <f>IF('2-Compliance'!AE3&lt;&gt; "",'2-Compliance'!AE3, "")</f>
        <v>17145.850000000006</v>
      </c>
      <c r="AD4" s="80" t="str">
        <f>IF('2-Compliance'!AF3&lt;&gt; "",'2-Compliance'!AF3, "")</f>
        <v/>
      </c>
      <c r="AE4" s="79" t="str">
        <f>IF('2-Compliance'!AG3&lt;&gt; "",'2-Compliance'!AG3, "")</f>
        <v/>
      </c>
      <c r="AF4" s="79">
        <v>30000</v>
      </c>
    </row>
    <row r="5" spans="1:32" x14ac:dyDescent="0.35">
      <c r="A5" s="1" t="s">
        <v>28</v>
      </c>
      <c r="B5" s="1">
        <f>IF('2-Compliance'!D4&lt;&gt; "",'2-Compliance'!D4, "")</f>
        <v>0</v>
      </c>
      <c r="C5" s="1">
        <f>IF('2-Compliance'!E4&lt;&gt; "",'2-Compliance'!E4, "")</f>
        <v>0</v>
      </c>
      <c r="D5" s="1">
        <f>IF('2-Compliance'!F4&lt;&gt; "",'2-Compliance'!F4, "")</f>
        <v>0</v>
      </c>
      <c r="E5" s="1">
        <f>IF('2-Compliance'!G4&lt;&gt; "",'2-Compliance'!G4, "")</f>
        <v>0</v>
      </c>
      <c r="F5" s="1" t="str">
        <f>IF('2-Compliance'!H4&lt;&gt; "",'2-Compliance'!H4, "")</f>
        <v/>
      </c>
      <c r="G5" s="1" t="str">
        <f>IF('2-Compliance'!I4&lt;&gt; "",'2-Compliance'!I4, "")</f>
        <v/>
      </c>
      <c r="H5" s="1">
        <f>IF('2-Compliance'!J4&lt;&gt; "",'2-Compliance'!J4, "")</f>
        <v>0</v>
      </c>
      <c r="I5" s="1">
        <f>IF('2-Compliance'!K4&lt;&gt; "",'2-Compliance'!K4, "")</f>
        <v>0</v>
      </c>
      <c r="J5" s="1" t="str">
        <f>IF('2-Compliance'!L4&lt;&gt; "",'2-Compliance'!L4, "")</f>
        <v/>
      </c>
      <c r="K5" s="1" t="str">
        <f>IF('2-Compliance'!M4&lt;&gt; "",'2-Compliance'!M4, "")</f>
        <v/>
      </c>
      <c r="L5" s="5"/>
      <c r="M5" s="1">
        <f>IF('2-Compliance'!O4&lt;&gt; "",'2-Compliance'!O4, "")</f>
        <v>0</v>
      </c>
      <c r="N5" s="1" t="str">
        <f>IF('2-Compliance'!P4&lt;&gt; "",'2-Compliance'!P4, "")</f>
        <v/>
      </c>
      <c r="O5" s="1" t="str">
        <f>IF('2-Compliance'!Q4&lt;&gt; "",'2-Compliance'!Q4, "")</f>
        <v/>
      </c>
      <c r="P5" s="1">
        <f>IF('2-Compliance'!R4&lt;&gt; "",'2-Compliance'!R4, "")</f>
        <v>0</v>
      </c>
      <c r="Q5" s="1">
        <f>IF('2-Compliance'!S4&lt;&gt; "",'2-Compliance'!S4, "")</f>
        <v>0</v>
      </c>
      <c r="R5" s="1" t="str">
        <f>IF('2-Compliance'!T4&lt;&gt; "",'2-Compliance'!T4, "")</f>
        <v/>
      </c>
      <c r="S5" s="1" t="str">
        <f>IF('2-Compliance'!U4&lt;&gt; "",'2-Compliance'!U4, "")</f>
        <v/>
      </c>
      <c r="T5" s="1">
        <f>IF('2-Compliance'!V4&lt;&gt; "",'2-Compliance'!V4, "")</f>
        <v>0</v>
      </c>
      <c r="U5" s="1">
        <f>IF('2-Compliance'!W4&lt;&gt; "",'2-Compliance'!W4, "")</f>
        <v>0</v>
      </c>
      <c r="V5" s="1" t="str">
        <f>IF('2-Compliance'!X4&lt;&gt; "",'2-Compliance'!X4, "")</f>
        <v/>
      </c>
      <c r="W5" s="1" t="str">
        <f>IF('2-Compliance'!Y4&lt;&gt; "",'2-Compliance'!Y4, "")</f>
        <v/>
      </c>
      <c r="X5" s="1">
        <f>IF('2-Compliance'!Z4&lt;&gt; "",'2-Compliance'!Z4, "")</f>
        <v>0</v>
      </c>
      <c r="Y5" s="1">
        <f>IF('2-Compliance'!AA4&lt;&gt; "",'2-Compliance'!AA4, "")</f>
        <v>0</v>
      </c>
      <c r="Z5" s="1" t="str">
        <f>IF('2-Compliance'!AB4&lt;&gt; "",'2-Compliance'!AB4, "")</f>
        <v/>
      </c>
      <c r="AA5" s="1" t="str">
        <f>IF('2-Compliance'!AC4&lt;&gt; "",'2-Compliance'!AC4, "")</f>
        <v/>
      </c>
      <c r="AB5" s="1">
        <f>IF('2-Compliance'!AD4&lt;&gt; "",'2-Compliance'!AD4, "")</f>
        <v>0</v>
      </c>
      <c r="AC5" s="1">
        <f>IF('2-Compliance'!AE4&lt;&gt; "",'2-Compliance'!AE4, "")</f>
        <v>0</v>
      </c>
      <c r="AD5" t="str">
        <f>IF('2-Compliance'!AF4&lt;&gt; "",'2-Compliance'!AF4, "")</f>
        <v/>
      </c>
      <c r="AE5" s="1" t="str">
        <f>IF('2-Compliance'!AG4&lt;&gt; "",'2-Compliance'!AG4, "")</f>
        <v/>
      </c>
      <c r="AF5" s="1" t="s">
        <v>473</v>
      </c>
    </row>
    <row r="6" spans="1:32" x14ac:dyDescent="0.35">
      <c r="A6" s="79" t="s">
        <v>29</v>
      </c>
      <c r="B6" s="79">
        <f>IF('2-Compliance'!D5&lt;&gt; "",'2-Compliance'!D5, "")</f>
        <v>0</v>
      </c>
      <c r="C6" s="79">
        <f>IF('2-Compliance'!E5&lt;&gt; "",'2-Compliance'!E5, "")</f>
        <v>0</v>
      </c>
      <c r="D6" s="79">
        <f>IF('2-Compliance'!F5&lt;&gt; "",'2-Compliance'!F5, "")</f>
        <v>0</v>
      </c>
      <c r="E6" s="79">
        <f>IF('2-Compliance'!G5&lt;&gt; "",'2-Compliance'!G5, "")</f>
        <v>0</v>
      </c>
      <c r="F6" s="79" t="str">
        <f>IF('2-Compliance'!H5&lt;&gt; "",'2-Compliance'!H5, "")</f>
        <v/>
      </c>
      <c r="G6" s="79" t="str">
        <f>IF('2-Compliance'!I5&lt;&gt; "",'2-Compliance'!I5, "")</f>
        <v/>
      </c>
      <c r="H6" s="79">
        <f>IF('2-Compliance'!J5&lt;&gt; "",'2-Compliance'!J5, "")</f>
        <v>0</v>
      </c>
      <c r="I6" s="79">
        <f>IF('2-Compliance'!K5&lt;&gt; "",'2-Compliance'!K5, "")</f>
        <v>0</v>
      </c>
      <c r="J6" s="79" t="str">
        <f>IF('2-Compliance'!L5&lt;&gt; "",'2-Compliance'!L5, "")</f>
        <v/>
      </c>
      <c r="K6" s="79" t="str">
        <f>IF('2-Compliance'!M5&lt;&gt; "",'2-Compliance'!M5, "")</f>
        <v/>
      </c>
      <c r="L6" s="81"/>
      <c r="M6" s="79">
        <f>IF('2-Compliance'!O5&lt;&gt; "",'2-Compliance'!O5, "")</f>
        <v>0</v>
      </c>
      <c r="N6" s="79" t="str">
        <f>IF('2-Compliance'!P5&lt;&gt; "",'2-Compliance'!P5, "")</f>
        <v/>
      </c>
      <c r="O6" s="79" t="str">
        <f>IF('2-Compliance'!Q5&lt;&gt; "",'2-Compliance'!Q5, "")</f>
        <v/>
      </c>
      <c r="P6" s="79">
        <f>IF('2-Compliance'!R5&lt;&gt; "",'2-Compliance'!R5, "")</f>
        <v>0</v>
      </c>
      <c r="Q6" s="79">
        <f>IF('2-Compliance'!S5&lt;&gt; "",'2-Compliance'!S5, "")</f>
        <v>0</v>
      </c>
      <c r="R6" s="79" t="str">
        <f>IF('2-Compliance'!T5&lt;&gt; "",'2-Compliance'!T5, "")</f>
        <v/>
      </c>
      <c r="S6" s="79" t="str">
        <f>IF('2-Compliance'!U5&lt;&gt; "",'2-Compliance'!U5, "")</f>
        <v/>
      </c>
      <c r="T6" s="79">
        <f>IF('2-Compliance'!V5&lt;&gt; "",'2-Compliance'!V5, "")</f>
        <v>0</v>
      </c>
      <c r="U6" s="79">
        <f>IF('2-Compliance'!W5&lt;&gt; "",'2-Compliance'!W5, "")</f>
        <v>0</v>
      </c>
      <c r="V6" s="79" t="str">
        <f>IF('2-Compliance'!X5&lt;&gt; "",'2-Compliance'!X5, "")</f>
        <v/>
      </c>
      <c r="W6" s="79" t="str">
        <f>IF('2-Compliance'!Y5&lt;&gt; "",'2-Compliance'!Y5, "")</f>
        <v/>
      </c>
      <c r="X6" s="79">
        <f>IF('2-Compliance'!Z5&lt;&gt; "",'2-Compliance'!Z5, "")</f>
        <v>0</v>
      </c>
      <c r="Y6" s="79">
        <f>IF('2-Compliance'!AA5&lt;&gt; "",'2-Compliance'!AA5, "")</f>
        <v>0</v>
      </c>
      <c r="Z6" s="79" t="str">
        <f>IF('2-Compliance'!AB5&lt;&gt; "",'2-Compliance'!AB5, "")</f>
        <v/>
      </c>
      <c r="AA6" s="79" t="str">
        <f>IF('2-Compliance'!AC5&lt;&gt; "",'2-Compliance'!AC5, "")</f>
        <v/>
      </c>
      <c r="AB6" s="79">
        <f>IF('2-Compliance'!AD5&lt;&gt; "",'2-Compliance'!AD5, "")</f>
        <v>0</v>
      </c>
      <c r="AC6" s="79">
        <f>IF('2-Compliance'!AE5&lt;&gt; "",'2-Compliance'!AE5, "")</f>
        <v>0</v>
      </c>
      <c r="AD6" s="80" t="str">
        <f>IF('2-Compliance'!AF5&lt;&gt; "",'2-Compliance'!AF5, "")</f>
        <v/>
      </c>
      <c r="AE6" s="79" t="str">
        <f>IF('2-Compliance'!AG5&lt;&gt; "",'2-Compliance'!AG5, "")</f>
        <v/>
      </c>
      <c r="AF6" s="79" t="s">
        <v>473</v>
      </c>
    </row>
    <row r="7" spans="1:32" x14ac:dyDescent="0.35">
      <c r="A7" s="1" t="s">
        <v>30</v>
      </c>
      <c r="B7" s="1">
        <f>IF('2-Compliance'!D6&lt;&gt; "",'2-Compliance'!D6, "")</f>
        <v>0</v>
      </c>
      <c r="C7" s="1">
        <f>IF('2-Compliance'!E6&lt;&gt; "",'2-Compliance'!E6, "")</f>
        <v>0</v>
      </c>
      <c r="D7" s="1">
        <f>IF('2-Compliance'!F6&lt;&gt; "",'2-Compliance'!F6, "")</f>
        <v>0</v>
      </c>
      <c r="E7" s="1">
        <f>IF('2-Compliance'!G6&lt;&gt; "",'2-Compliance'!G6, "")</f>
        <v>0</v>
      </c>
      <c r="F7" s="1" t="str">
        <f>IF('2-Compliance'!H6&lt;&gt; "",'2-Compliance'!H6, "")</f>
        <v/>
      </c>
      <c r="G7" s="1" t="str">
        <f>IF('2-Compliance'!I6&lt;&gt; "",'2-Compliance'!I6, "")</f>
        <v/>
      </c>
      <c r="H7" s="1">
        <f>IF('2-Compliance'!J6&lt;&gt; "",'2-Compliance'!J6, "")</f>
        <v>0</v>
      </c>
      <c r="I7" s="1">
        <f>IF('2-Compliance'!K6&lt;&gt; "",'2-Compliance'!K6, "")</f>
        <v>0</v>
      </c>
      <c r="J7" s="1" t="str">
        <f>IF('2-Compliance'!L6&lt;&gt; "",'2-Compliance'!L6, "")</f>
        <v/>
      </c>
      <c r="K7" s="1" t="str">
        <f>IF('2-Compliance'!M6&lt;&gt; "",'2-Compliance'!M6, "")</f>
        <v/>
      </c>
      <c r="L7" s="5"/>
      <c r="M7" s="1">
        <f>IF('2-Compliance'!O6&lt;&gt; "",'2-Compliance'!O6, "")</f>
        <v>0</v>
      </c>
      <c r="N7" s="1" t="str">
        <f>IF('2-Compliance'!P6&lt;&gt; "",'2-Compliance'!P6, "")</f>
        <v/>
      </c>
      <c r="O7" s="1" t="str">
        <f>IF('2-Compliance'!Q6&lt;&gt; "",'2-Compliance'!Q6, "")</f>
        <v/>
      </c>
      <c r="P7" s="1">
        <f>IF('2-Compliance'!R6&lt;&gt; "",'2-Compliance'!R6, "")</f>
        <v>0</v>
      </c>
      <c r="Q7" s="1">
        <f>IF('2-Compliance'!S6&lt;&gt; "",'2-Compliance'!S6, "")</f>
        <v>0</v>
      </c>
      <c r="R7" s="1" t="str">
        <f>IF('2-Compliance'!T6&lt;&gt; "",'2-Compliance'!T6, "")</f>
        <v/>
      </c>
      <c r="S7" s="1" t="str">
        <f>IF('2-Compliance'!U6&lt;&gt; "",'2-Compliance'!U6, "")</f>
        <v/>
      </c>
      <c r="T7" s="1">
        <f>IF('2-Compliance'!V6&lt;&gt; "",'2-Compliance'!V6, "")</f>
        <v>0</v>
      </c>
      <c r="U7" s="1">
        <f>IF('2-Compliance'!W6&lt;&gt; "",'2-Compliance'!W6, "")</f>
        <v>0</v>
      </c>
      <c r="V7" s="1" t="str">
        <f>IF('2-Compliance'!X6&lt;&gt; "",'2-Compliance'!X6, "")</f>
        <v/>
      </c>
      <c r="W7" s="1" t="str">
        <f>IF('2-Compliance'!Y6&lt;&gt; "",'2-Compliance'!Y6, "")</f>
        <v/>
      </c>
      <c r="X7" s="1">
        <f>IF('2-Compliance'!Z6&lt;&gt; "",'2-Compliance'!Z6, "")</f>
        <v>0</v>
      </c>
      <c r="Y7" s="1">
        <f>IF('2-Compliance'!AA6&lt;&gt; "",'2-Compliance'!AA6, "")</f>
        <v>0</v>
      </c>
      <c r="Z7" s="1" t="str">
        <f>IF('2-Compliance'!AB6&lt;&gt; "",'2-Compliance'!AB6, "")</f>
        <v/>
      </c>
      <c r="AA7" s="1" t="str">
        <f>IF('2-Compliance'!AC6&lt;&gt; "",'2-Compliance'!AC6, "")</f>
        <v/>
      </c>
      <c r="AB7" s="1">
        <f>IF('2-Compliance'!AD6&lt;&gt; "",'2-Compliance'!AD6, "")</f>
        <v>0</v>
      </c>
      <c r="AC7" s="1">
        <f>IF('2-Compliance'!AE6&lt;&gt; "",'2-Compliance'!AE6, "")</f>
        <v>0</v>
      </c>
      <c r="AD7" t="str">
        <f>IF('2-Compliance'!AF6&lt;&gt; "",'2-Compliance'!AF6, "")</f>
        <v/>
      </c>
      <c r="AE7" s="1" t="str">
        <f>IF('2-Compliance'!AG6&lt;&gt; "",'2-Compliance'!AG6, "")</f>
        <v/>
      </c>
      <c r="AF7" s="1" t="s">
        <v>473</v>
      </c>
    </row>
    <row r="8" spans="1:32" x14ac:dyDescent="0.35">
      <c r="A8" s="79" t="s">
        <v>44</v>
      </c>
      <c r="B8" s="79">
        <f>IF('2-Consultancy and H&amp;S'!D3&lt;&gt; "",'2-Consultancy and H&amp;S'!D3, "")</f>
        <v>16133</v>
      </c>
      <c r="C8" s="79">
        <f>IF('2-Consultancy and H&amp;S'!E3&lt;&gt; "",'2-Consultancy and H&amp;S'!E3, "")</f>
        <v>7171</v>
      </c>
      <c r="D8" s="79">
        <f>IF('2-Consultancy and H&amp;S'!F3&lt;&gt; "",'2-Consultancy and H&amp;S'!F3, "")</f>
        <v>0</v>
      </c>
      <c r="E8" s="79">
        <f>IF('2-Consultancy and H&amp;S'!G3&lt;&gt; "",'2-Consultancy and H&amp;S'!G3, "")</f>
        <v>33929.370000000003</v>
      </c>
      <c r="F8" s="79" t="str">
        <f>IF('2-Consultancy and H&amp;S'!H3&lt;&gt; "",'2-Consultancy and H&amp;S'!H3, "")</f>
        <v/>
      </c>
      <c r="G8" s="79">
        <f>IF('2-Consultancy and H&amp;S'!I3&lt;&gt; "",'2-Consultancy and H&amp;S'!I3, "")</f>
        <v>-21400</v>
      </c>
      <c r="H8" s="79">
        <f>IF('2-Consultancy and H&amp;S'!J3&lt;&gt; "",'2-Consultancy and H&amp;S'!J3, "")</f>
        <v>755</v>
      </c>
      <c r="I8" s="79">
        <f>IF('2-Consultancy and H&amp;S'!K3&lt;&gt; "",'2-Consultancy and H&amp;S'!K3, "")</f>
        <v>24711.590000000004</v>
      </c>
      <c r="J8" s="79" t="str">
        <f>IF('2-Consultancy and H&amp;S'!L3&lt;&gt; "",'2-Consultancy and H&amp;S'!L3, "")</f>
        <v>£20K offset against H&amp;S budget; £1K offset against Neighbourhood Plan budget; £400 offset against Ethical Advice/Support budget</v>
      </c>
      <c r="K8" s="79">
        <f>IF('2-Consultancy and H&amp;S'!M3&lt;&gt; "",'2-Consultancy and H&amp;S'!M3, "")</f>
        <v>-19000</v>
      </c>
      <c r="L8" s="79">
        <f>IF('2-Consultancy and H&amp;S'!N3&lt;&gt; "",'2-Consultancy and H&amp;S'!N3, "")</f>
        <v>0</v>
      </c>
      <c r="M8" s="79">
        <f>IF('2-Consultancy and H&amp;S'!O3&lt;&gt; "",'2-Consultancy and H&amp;S'!O3, "")</f>
        <v>2312.3600000000006</v>
      </c>
      <c r="N8" s="79" t="str">
        <f>IF('2-Consultancy and H&amp;S'!P3&lt;&gt; "",'2-Consultancy and H&amp;S'!P3, "")</f>
        <v/>
      </c>
      <c r="O8" s="79" t="str">
        <f>IF('2-Consultancy and H&amp;S'!Q3&lt;&gt; "",'2-Consultancy and H&amp;S'!Q3, "")</f>
        <v/>
      </c>
      <c r="P8" s="79">
        <f>IF('2-Consultancy and H&amp;S'!R3&lt;&gt; "",'2-Consultancy and H&amp;S'!R3, "")</f>
        <v>0</v>
      </c>
      <c r="Q8" s="79">
        <f>IF('2-Consultancy and H&amp;S'!S3&lt;&gt; "",'2-Consultancy and H&amp;S'!S3, "")</f>
        <v>2312.3600000000006</v>
      </c>
      <c r="R8" s="79" t="str">
        <f>IF('2-Consultancy and H&amp;S'!T3&lt;&gt; "",'2-Consultancy and H&amp;S'!T3, "")</f>
        <v/>
      </c>
      <c r="S8" s="79" t="str">
        <f>IF('2-Consultancy and H&amp;S'!U3&lt;&gt; "",'2-Consultancy and H&amp;S'!U3, "")</f>
        <v/>
      </c>
      <c r="T8" s="79">
        <f>IF('2-Consultancy and H&amp;S'!V3&lt;&gt; "",'2-Consultancy and H&amp;S'!V3, "")</f>
        <v>0</v>
      </c>
      <c r="U8" s="79">
        <f>IF('2-Consultancy and H&amp;S'!W3&lt;&gt; "",'2-Consultancy and H&amp;S'!W3, "")</f>
        <v>2312.3600000000006</v>
      </c>
      <c r="V8" s="79" t="str">
        <f>IF('2-Consultancy and H&amp;S'!X3&lt;&gt; "",'2-Consultancy and H&amp;S'!X3, "")</f>
        <v/>
      </c>
      <c r="W8" s="79" t="str">
        <f>IF('2-Consultancy and H&amp;S'!Y3&lt;&gt; "",'2-Consultancy and H&amp;S'!Y3, "")</f>
        <v/>
      </c>
      <c r="X8" s="79">
        <f>IF('2-Consultancy and H&amp;S'!Z3&lt;&gt; "",'2-Consultancy and H&amp;S'!Z3, "")</f>
        <v>0</v>
      </c>
      <c r="Y8" s="79">
        <f>IF('2-Consultancy and H&amp;S'!AA3&lt;&gt; "",'2-Consultancy and H&amp;S'!AA3, "")</f>
        <v>2312.3600000000006</v>
      </c>
      <c r="Z8" s="79" t="str">
        <f>IF('2-Consultancy and H&amp;S'!AB3&lt;&gt; "",'2-Consultancy and H&amp;S'!AB3, "")</f>
        <v/>
      </c>
      <c r="AA8" s="79" t="str">
        <f>IF('2-Consultancy and H&amp;S'!AC3&lt;&gt; "",'2-Consultancy and H&amp;S'!AC3, "")</f>
        <v/>
      </c>
      <c r="AB8" s="79">
        <f>IF('2-Consultancy and H&amp;S'!AD3&lt;&gt; "",'2-Consultancy and H&amp;S'!AD3, "")</f>
        <v>0</v>
      </c>
      <c r="AC8" s="79">
        <f>IF('2-Consultancy and H&amp;S'!AE3&lt;&gt; "",'2-Consultancy and H&amp;S'!AE3, "")</f>
        <v>2312.3600000000006</v>
      </c>
      <c r="AD8" s="80" t="str">
        <f>IF('2-Consultancy and H&amp;S'!AF3&lt;&gt; "",'2-Consultancy and H&amp;S'!AF3, "")</f>
        <v/>
      </c>
      <c r="AE8" s="79">
        <f>IF('2-Consultancy and H&amp;S'!AG3&lt;&gt; "",'2-Consultancy and H&amp;S'!AG3, "")</f>
        <v>60000</v>
      </c>
      <c r="AF8" s="79">
        <f>AE8</f>
        <v>60000</v>
      </c>
    </row>
    <row r="9" spans="1:32" x14ac:dyDescent="0.35">
      <c r="A9" s="1" t="s">
        <v>22</v>
      </c>
      <c r="B9" s="1">
        <f>IF('2-Capital'!D3&lt;&gt; "",'2-Capital'!D3, "")</f>
        <v>75324</v>
      </c>
      <c r="C9" s="1">
        <f>IF('2-Capital'!E3&lt;&gt; "",'2-Capital'!E3, "")</f>
        <v>33542.67</v>
      </c>
      <c r="D9" s="1">
        <f>IF('2-Capital'!F3&lt;&gt; "",'2-Capital'!F3, "")</f>
        <v>80853</v>
      </c>
      <c r="E9" s="1">
        <f>IF('2-Capital'!G3&lt;&gt; "",'2-Capital'!G3, "")</f>
        <v>28013.67</v>
      </c>
      <c r="F9" s="1" t="str">
        <f>IF('2-Capital'!H3&lt;&gt; "",'2-Capital'!H3, "")</f>
        <v/>
      </c>
      <c r="G9" s="1">
        <f>IF('2-Capital'!I3&lt;&gt; "",'2-Capital'!I3, "")</f>
        <v>0</v>
      </c>
      <c r="H9" s="1">
        <f>IF('2-Capital'!J3&lt;&gt; "",'2-Capital'!J3, "")</f>
        <v>-1346.2700000000004</v>
      </c>
      <c r="I9" s="1">
        <f>IF('2-Capital'!K3&lt;&gt; "",'2-Capital'!K3, "")</f>
        <v>29359.94</v>
      </c>
      <c r="J9" s="1" t="str">
        <f>IF('2-Capital'!L3&lt;&gt; "",'2-Capital'!L3, "")</f>
        <v/>
      </c>
      <c r="K9" s="1">
        <f>IF('2-Capital'!M3&lt;&gt; "",'2-Capital'!M3, "")</f>
        <v>35000</v>
      </c>
      <c r="L9" s="1">
        <f>IF('2-Capital'!N3&lt;&gt; "",'2-Capital'!N3, "")</f>
        <v>20755</v>
      </c>
      <c r="M9" s="1">
        <f>IF('2-Capital'!O3&lt;&gt; "",'2-Capital'!O3, "")</f>
        <v>43604.94</v>
      </c>
      <c r="N9" s="1" t="str">
        <f>IF('2-Capital'!P3&lt;&gt; "",'2-Capital'!P3, "")</f>
        <v xml:space="preserve">Precept £35K to Capital EMR in 2024/25. Allow £20K to go out for purchase of ride on mower (existing ride on mower inherited from Norse is approaching end of life). </v>
      </c>
      <c r="O9" s="1" t="str">
        <f>IF('2-Capital'!Q3&lt;&gt; "",'2-Capital'!Q3, "")</f>
        <v/>
      </c>
      <c r="P9" s="1">
        <f>IF('2-Capital'!R3&lt;&gt; "",'2-Capital'!R3, "")</f>
        <v>0</v>
      </c>
      <c r="Q9" s="1">
        <f>IF('2-Capital'!S3&lt;&gt; "",'2-Capital'!S3, "")</f>
        <v>43604.94</v>
      </c>
      <c r="R9" s="1" t="str">
        <f>IF('2-Capital'!T3&lt;&gt; "",'2-Capital'!T3, "")</f>
        <v/>
      </c>
      <c r="S9" s="1" t="str">
        <f>IF('2-Capital'!U3&lt;&gt; "",'2-Capital'!U3, "")</f>
        <v/>
      </c>
      <c r="T9" s="1">
        <f>IF('2-Capital'!V3&lt;&gt; "",'2-Capital'!V3, "")</f>
        <v>0</v>
      </c>
      <c r="U9" s="1">
        <f>IF('2-Capital'!W3&lt;&gt; "",'2-Capital'!W3, "")</f>
        <v>43604.94</v>
      </c>
      <c r="V9" s="1" t="str">
        <f>IF('2-Capital'!X3&lt;&gt; "",'2-Capital'!X3, "")</f>
        <v/>
      </c>
      <c r="W9" s="1" t="str">
        <f>IF('2-Capital'!Y3&lt;&gt; "",'2-Capital'!Y3, "")</f>
        <v/>
      </c>
      <c r="X9" s="1">
        <f>IF('2-Capital'!Z3&lt;&gt; "",'2-Capital'!Z3, "")</f>
        <v>0</v>
      </c>
      <c r="Y9" s="1">
        <f>IF('2-Capital'!AA3&lt;&gt; "",'2-Capital'!AA3, "")</f>
        <v>43604.94</v>
      </c>
      <c r="Z9" s="1" t="str">
        <f>IF('2-Capital'!AB3&lt;&gt; "",'2-Capital'!AB3, "")</f>
        <v/>
      </c>
      <c r="AA9" s="1" t="str">
        <f>IF('2-Capital'!AC3&lt;&gt; "",'2-Capital'!AC3, "")</f>
        <v/>
      </c>
      <c r="AB9" s="1">
        <f>IF('2-Capital'!AD3&lt;&gt; "",'2-Capital'!AD3, "")</f>
        <v>0</v>
      </c>
      <c r="AC9" s="1">
        <f>IF('2-Capital'!AE3&lt;&gt; "",'2-Capital'!AE3, "")</f>
        <v>43604.94</v>
      </c>
      <c r="AD9" t="str">
        <f>IF('2-Capital'!AF3&lt;&gt; "",'2-Capital'!AF3, "")</f>
        <v/>
      </c>
      <c r="AE9" s="1">
        <f>IF('2-Capital'!AG3&lt;&gt; "",'2-Capital'!AG3, "")</f>
        <v>500000</v>
      </c>
      <c r="AF9" s="1">
        <v>300000</v>
      </c>
    </row>
    <row r="10" spans="1:32" s="27" customFormat="1" x14ac:dyDescent="0.35">
      <c r="A10" s="79" t="s">
        <v>24</v>
      </c>
      <c r="B10" s="79">
        <f>IF('2-Capital'!D4&lt;&gt; "",'2-Capital'!D4, "")</f>
        <v>0</v>
      </c>
      <c r="C10" s="79">
        <f>IF('2-Capital'!E4&lt;&gt; "",'2-Capital'!E4, "")</f>
        <v>0</v>
      </c>
      <c r="D10" s="79">
        <f>IF('2-Capital'!F4&lt;&gt; "",'2-Capital'!F4, "")</f>
        <v>-50000</v>
      </c>
      <c r="E10" s="79">
        <f>IF('2-Capital'!G4&lt;&gt; "",'2-Capital'!G4, "")</f>
        <v>50000</v>
      </c>
      <c r="F10" s="79" t="str">
        <f>IF('2-Capital'!H4&lt;&gt; "",'2-Capital'!H4, "")</f>
        <v/>
      </c>
      <c r="G10" s="79">
        <f>IF('2-Capital'!I4&lt;&gt; "",'2-Capital'!I4, "")</f>
        <v>0</v>
      </c>
      <c r="H10" s="79">
        <f>IF('2-Capital'!J4&lt;&gt; "",'2-Capital'!J4, "")</f>
        <v>0</v>
      </c>
      <c r="I10" s="79">
        <f>IF('2-Capital'!K4&lt;&gt; "",'2-Capital'!K4, "")</f>
        <v>50000</v>
      </c>
      <c r="J10" s="79" t="str">
        <f>IF('2-Capital'!L4&lt;&gt; "",'2-Capital'!L4, "")</f>
        <v/>
      </c>
      <c r="K10" s="79">
        <f>IF('2-Capital'!M4&lt;&gt; "",'2-Capital'!M4, "")</f>
        <v>0</v>
      </c>
      <c r="L10" s="79">
        <f>IF('2-Capital'!N4&lt;&gt; "",'2-Capital'!N4, "")</f>
        <v>0</v>
      </c>
      <c r="M10" s="79">
        <f>IF('2-Capital'!O4&lt;&gt; "",'2-Capital'!O4, "")</f>
        <v>50000</v>
      </c>
      <c r="N10" s="79" t="str">
        <f>IF('2-Capital'!P4&lt;&gt; "",'2-Capital'!P4, "")</f>
        <v>The ride on mower is coming from the office tab in 2023/2024 as part of grounds maintenance</v>
      </c>
      <c r="O10" s="79">
        <f>IF('2-Capital'!Q4&lt;&gt; "",'2-Capital'!Q4, "")</f>
        <v>0</v>
      </c>
      <c r="P10" s="79">
        <f>IF('2-Capital'!R4&lt;&gt; "",'2-Capital'!R4, "")</f>
        <v>0</v>
      </c>
      <c r="Q10" s="79">
        <f>IF('2-Capital'!S4&lt;&gt; "",'2-Capital'!S4, "")</f>
        <v>50000</v>
      </c>
      <c r="R10" s="79" t="str">
        <f>IF('2-Capital'!T4&lt;&gt; "",'2-Capital'!T4, "")</f>
        <v/>
      </c>
      <c r="S10" s="79">
        <f>IF('2-Capital'!U4&lt;&gt; "",'2-Capital'!U4, "")</f>
        <v>0</v>
      </c>
      <c r="T10" s="79">
        <f>IF('2-Capital'!V4&lt;&gt; "",'2-Capital'!V4, "")</f>
        <v>0</v>
      </c>
      <c r="U10" s="79">
        <f>IF('2-Capital'!W4&lt;&gt; "",'2-Capital'!W4, "")</f>
        <v>50000</v>
      </c>
      <c r="V10" s="79" t="str">
        <f>IF('2-Capital'!X4&lt;&gt; "",'2-Capital'!X4, "")</f>
        <v/>
      </c>
      <c r="W10" s="79">
        <f>IF('2-Capital'!Y4&lt;&gt; "",'2-Capital'!Y4, "")</f>
        <v>0</v>
      </c>
      <c r="X10" s="79">
        <f>IF('2-Capital'!Z4&lt;&gt; "",'2-Capital'!Z4, "")</f>
        <v>0</v>
      </c>
      <c r="Y10" s="79">
        <f>IF('2-Capital'!AA4&lt;&gt; "",'2-Capital'!AA4, "")</f>
        <v>50000</v>
      </c>
      <c r="Z10" s="79" t="str">
        <f>IF('2-Capital'!AB4&lt;&gt; "",'2-Capital'!AB4, "")</f>
        <v/>
      </c>
      <c r="AA10" s="79">
        <f>IF('2-Capital'!AC4&lt;&gt; "",'2-Capital'!AC4, "")</f>
        <v>0</v>
      </c>
      <c r="AB10" s="79">
        <f>IF('2-Capital'!AD4&lt;&gt; "",'2-Capital'!AD4, "")</f>
        <v>0</v>
      </c>
      <c r="AC10" s="79">
        <f>IF('2-Capital'!AE4&lt;&gt; "",'2-Capital'!AE4, "")</f>
        <v>50000</v>
      </c>
      <c r="AD10" s="80" t="str">
        <f>IF('2-Capital'!AF4&lt;&gt; "",'2-Capital'!AF4, "")</f>
        <v/>
      </c>
      <c r="AE10" s="79">
        <f>IF('2-Capital'!AG4&lt;&gt; "",'2-Capital'!AG4, "")</f>
        <v>0</v>
      </c>
      <c r="AF10" s="79">
        <v>60000</v>
      </c>
    </row>
    <row r="11" spans="1:32" x14ac:dyDescent="0.35">
      <c r="A11" s="1" t="s">
        <v>52</v>
      </c>
      <c r="B11" s="1">
        <f>IF('2-Community Safety'!D3&lt;&gt; "",'2-Community Safety'!D3, "")</f>
        <v>85000</v>
      </c>
      <c r="C11" s="1">
        <f>IF('2-Community Safety'!E3&lt;&gt; "",'2-Community Safety'!E3, "")</f>
        <v>15000</v>
      </c>
      <c r="D11" s="1">
        <f>IF('2-Community Safety'!F3&lt;&gt; "",'2-Community Safety'!F3, "")</f>
        <v>27220.959999999999</v>
      </c>
      <c r="E11" s="1">
        <f>IF('2-Community Safety'!G3&lt;&gt; "",'2-Community Safety'!G3, "")</f>
        <v>72779.040000000008</v>
      </c>
      <c r="F11" s="1" t="str">
        <f>IF('2-Community Safety'!H3&lt;&gt; "",'2-Community Safety'!H3, "")</f>
        <v/>
      </c>
      <c r="G11" s="1">
        <f>IF('2-Community Safety'!I3&lt;&gt; "",'2-Community Safety'!I3, "")</f>
        <v>0</v>
      </c>
      <c r="H11" s="1">
        <f>IF('2-Community Safety'!J3&lt;&gt; "",'2-Community Safety'!J3, "")</f>
        <v>65174.5</v>
      </c>
      <c r="I11" s="1">
        <f>IF('2-Community Safety'!K3&lt;&gt; "",'2-Community Safety'!K3, "")</f>
        <v>7604.5400000000081</v>
      </c>
      <c r="J11" s="1" t="str">
        <f>IF('2-Community Safety'!L3&lt;&gt; "",'2-Community Safety'!L3, "")</f>
        <v/>
      </c>
      <c r="K11" s="1">
        <f>IF('2-Community Safety'!M3&lt;&gt; "",'2-Community Safety'!M3, "")</f>
        <v>10000</v>
      </c>
      <c r="L11" s="1">
        <f>IF('2-Community Safety'!N3&lt;&gt; "",'2-Community Safety'!N3, "")</f>
        <v>2232.2799999999988</v>
      </c>
      <c r="M11" s="1">
        <f>IF('2-Community Safety'!O3&lt;&gt; "",'2-Community Safety'!O3, "")</f>
        <v>14546.260000000009</v>
      </c>
      <c r="N11" s="1" t="str">
        <f>IF('2-Community Safety'!P3&lt;&gt; "",'2-Community Safety'!P3, "")</f>
        <v/>
      </c>
      <c r="O11" s="1" t="str">
        <f>IF('2-Community Safety'!Q3&lt;&gt; "",'2-Community Safety'!Q3, "")</f>
        <v/>
      </c>
      <c r="P11" s="1">
        <f>IF('2-Community Safety'!R3&lt;&gt; "",'2-Community Safety'!R3, "")</f>
        <v>0</v>
      </c>
      <c r="Q11" s="1">
        <f>IF('2-Community Safety'!S3&lt;&gt; "",'2-Community Safety'!S3, "")</f>
        <v>14546.260000000009</v>
      </c>
      <c r="R11" s="1" t="str">
        <f>IF('2-Community Safety'!T3&lt;&gt; "",'2-Community Safety'!T3, "")</f>
        <v/>
      </c>
      <c r="S11" s="1" t="str">
        <f>IF('2-Community Safety'!U3&lt;&gt; "",'2-Community Safety'!U3, "")</f>
        <v/>
      </c>
      <c r="T11" s="1">
        <f>IF('2-Community Safety'!V3&lt;&gt; "",'2-Community Safety'!V3, "")</f>
        <v>0</v>
      </c>
      <c r="U11" s="1">
        <f>IF('2-Community Safety'!W3&lt;&gt; "",'2-Community Safety'!W3, "")</f>
        <v>14546.260000000009</v>
      </c>
      <c r="V11" s="1" t="str">
        <f>IF('2-Community Safety'!X3&lt;&gt; "",'2-Community Safety'!X3, "")</f>
        <v/>
      </c>
      <c r="W11" s="1" t="str">
        <f>IF('2-Community Safety'!Y3&lt;&gt; "",'2-Community Safety'!Y3, "")</f>
        <v/>
      </c>
      <c r="X11" s="1">
        <f>IF('2-Community Safety'!Z3&lt;&gt; "",'2-Community Safety'!Z3, "")</f>
        <v>0</v>
      </c>
      <c r="Y11" s="1">
        <f>IF('2-Community Safety'!AA3&lt;&gt; "",'2-Community Safety'!AA3, "")</f>
        <v>14546.260000000009</v>
      </c>
      <c r="Z11" s="1" t="str">
        <f>IF('2-Community Safety'!AB3&lt;&gt; "",'2-Community Safety'!AB3, "")</f>
        <v/>
      </c>
      <c r="AA11" s="1" t="str">
        <f>IF('2-Community Safety'!AC3&lt;&gt; "",'2-Community Safety'!AC3, "")</f>
        <v/>
      </c>
      <c r="AB11" s="1">
        <f>IF('2-Community Safety'!AD3&lt;&gt; "",'2-Community Safety'!AD3, "")</f>
        <v>0</v>
      </c>
      <c r="AC11" s="1">
        <f>IF('2-Community Safety'!AE3&lt;&gt; "",'2-Community Safety'!AE3, "")</f>
        <v>14546.260000000009</v>
      </c>
      <c r="AD11" t="str">
        <f>IF('2-Community Safety'!AF3&lt;&gt; "",'2-Community Safety'!AF3, "")</f>
        <v/>
      </c>
      <c r="AE11" s="1">
        <f>IF('2-Community Safety'!AG3&lt;&gt; "",'2-Community Safety'!AG3, "")</f>
        <v>100000</v>
      </c>
      <c r="AF11" s="1">
        <f>AE11</f>
        <v>100000</v>
      </c>
    </row>
    <row r="12" spans="1:32" x14ac:dyDescent="0.35">
      <c r="A12" s="79" t="s">
        <v>53</v>
      </c>
      <c r="B12" s="79">
        <f>IF('2-Community Safety'!D4&lt;&gt; "",'2-Community Safety'!D4, "")</f>
        <v>7873</v>
      </c>
      <c r="C12" s="79">
        <f>IF('2-Community Safety'!E4&lt;&gt; "",'2-Community Safety'!E4, "")</f>
        <v>0</v>
      </c>
      <c r="D12" s="79">
        <f>IF('2-Community Safety'!F4&lt;&gt; "",'2-Community Safety'!F4, "")</f>
        <v>0</v>
      </c>
      <c r="E12" s="79">
        <f>IF('2-Community Safety'!G4&lt;&gt; "",'2-Community Safety'!G4, "")</f>
        <v>12327.720000000001</v>
      </c>
      <c r="F12" s="79" t="str">
        <f>IF('2-Community Safety'!H4&lt;&gt; "",'2-Community Safety'!H4, "")</f>
        <v/>
      </c>
      <c r="G12" s="79">
        <f>IF('2-Community Safety'!I4&lt;&gt; "",'2-Community Safety'!I4, "")</f>
        <v>9485</v>
      </c>
      <c r="H12" s="79">
        <f>IF('2-Community Safety'!J4&lt;&gt; "",'2-Community Safety'!J4, "")</f>
        <v>0</v>
      </c>
      <c r="I12" s="79">
        <f>IF('2-Community Safety'!K4&lt;&gt; "",'2-Community Safety'!K4, "")</f>
        <v>23067.72</v>
      </c>
      <c r="J12" s="79" t="str">
        <f>IF('2-Community Safety'!L4&lt;&gt; "",'2-Community Safety'!L4, "")</f>
        <v/>
      </c>
      <c r="K12" s="79">
        <f>IF('2-Community Safety'!M4&lt;&gt; "",'2-Community Safety'!M4, "")</f>
        <v>-10300</v>
      </c>
      <c r="L12" s="81"/>
      <c r="M12" s="79">
        <f>IF('2-Community Safety'!O4&lt;&gt; "",'2-Community Safety'!O4, "")</f>
        <v>10300.000000000002</v>
      </c>
      <c r="N12" s="79" t="str">
        <f>IF('2-Community Safety'!P4&lt;&gt; "",'2-Community Safety'!P4, "")</f>
        <v/>
      </c>
      <c r="O12" s="79" t="str">
        <f>IF('2-Community Safety'!Q4&lt;&gt; "",'2-Community Safety'!Q4, "")</f>
        <v/>
      </c>
      <c r="P12" s="79">
        <f>IF('2-Community Safety'!R4&lt;&gt; "",'2-Community Safety'!R4, "")</f>
        <v>0</v>
      </c>
      <c r="Q12" s="79" t="str">
        <f>IF('2-Community Safety'!S4&lt;&gt; "",'2-Community Safety'!S4, "")</f>
        <v/>
      </c>
      <c r="R12" s="79" t="str">
        <f>IF('2-Community Safety'!T4&lt;&gt; "",'2-Community Safety'!T4, "")</f>
        <v/>
      </c>
      <c r="S12" s="79" t="str">
        <f>IF('2-Community Safety'!U4&lt;&gt; "",'2-Community Safety'!U4, "")</f>
        <v/>
      </c>
      <c r="T12" s="79">
        <f>IF('2-Community Safety'!V4&lt;&gt; "",'2-Community Safety'!V4, "")</f>
        <v>0</v>
      </c>
      <c r="U12" s="79" t="str">
        <f>IF('2-Community Safety'!W4&lt;&gt; "",'2-Community Safety'!W4, "")</f>
        <v/>
      </c>
      <c r="V12" s="79" t="str">
        <f>IF('2-Community Safety'!X4&lt;&gt; "",'2-Community Safety'!X4, "")</f>
        <v/>
      </c>
      <c r="W12" s="79" t="str">
        <f>IF('2-Community Safety'!Y4&lt;&gt; "",'2-Community Safety'!Y4, "")</f>
        <v/>
      </c>
      <c r="X12" s="79">
        <f>IF('2-Community Safety'!Z4&lt;&gt; "",'2-Community Safety'!Z4, "")</f>
        <v>0</v>
      </c>
      <c r="Y12" s="79" t="str">
        <f>IF('2-Community Safety'!AA4&lt;&gt; "",'2-Community Safety'!AA4, "")</f>
        <v/>
      </c>
      <c r="Z12" s="79" t="str">
        <f>IF('2-Community Safety'!AB4&lt;&gt; "",'2-Community Safety'!AB4, "")</f>
        <v/>
      </c>
      <c r="AA12" s="79" t="str">
        <f>IF('2-Community Safety'!AC4&lt;&gt; "",'2-Community Safety'!AC4, "")</f>
        <v/>
      </c>
      <c r="AB12" s="79">
        <f>IF('2-Community Safety'!AD4&lt;&gt; "",'2-Community Safety'!AD4, "")</f>
        <v>0</v>
      </c>
      <c r="AC12" s="79" t="str">
        <f>IF('2-Community Safety'!AE4&lt;&gt; "",'2-Community Safety'!AE4, "")</f>
        <v/>
      </c>
      <c r="AD12" s="80" t="str">
        <f>IF('2-Community Safety'!AF4&lt;&gt; "",'2-Community Safety'!AF4, "")</f>
        <v/>
      </c>
      <c r="AE12" s="79">
        <f>IF('2-Community Safety'!AG4&lt;&gt; "",'2-Community Safety'!AG4, "")</f>
        <v>20000</v>
      </c>
      <c r="AF12" s="79">
        <f>AE12</f>
        <v>20000</v>
      </c>
    </row>
    <row r="13" spans="1:32" x14ac:dyDescent="0.35">
      <c r="A13" s="1" t="s">
        <v>57</v>
      </c>
      <c r="B13" s="1">
        <f>IF('2-Climate &amp; Ecological'!D3&lt;&gt; "",'2-Climate &amp; Ecological'!D3, "")</f>
        <v>21500</v>
      </c>
      <c r="C13" s="1">
        <f>IF('2-Climate &amp; Ecological'!E3&lt;&gt; "",'2-Climate &amp; Ecological'!E3, "")</f>
        <v>0</v>
      </c>
      <c r="D13" s="1">
        <f>IF('2-Climate &amp; Ecological'!F3&lt;&gt; "",'2-Climate &amp; Ecological'!F3, "")</f>
        <v>15449.47</v>
      </c>
      <c r="E13" s="1">
        <f>IF('2-Climate &amp; Ecological'!G3&lt;&gt; "",'2-Climate &amp; Ecological'!G3, "")</f>
        <v>3200.9799999999996</v>
      </c>
      <c r="F13" s="1" t="str">
        <f>IF('2-Climate &amp; Ecological'!H3&lt;&gt; "",'2-Climate &amp; Ecological'!H3, "")</f>
        <v/>
      </c>
      <c r="G13" s="1">
        <f>IF('2-Climate &amp; Ecological'!I3&lt;&gt; "",'2-Climate &amp; Ecological'!I3, "")</f>
        <v>0</v>
      </c>
      <c r="H13" s="1">
        <f>IF('2-Climate &amp; Ecological'!J3&lt;&gt; "",'2-Climate &amp; Ecological'!J3, "")</f>
        <v>0</v>
      </c>
      <c r="I13" s="1">
        <f>IF('2-Climate &amp; Ecological'!K3&lt;&gt; "",'2-Climate &amp; Ecological'!K3, "")</f>
        <v>67606.06</v>
      </c>
      <c r="J13" s="1" t="str">
        <f>IF('2-Climate &amp; Ecological'!L3&lt;&gt; "",'2-Climate &amp; Ecological'!L3, "")</f>
        <v/>
      </c>
      <c r="K13" s="1">
        <f>IF('2-Climate &amp; Ecological'!M3&lt;&gt; "",'2-Climate &amp; Ecological'!M3, "")</f>
        <v>-50000</v>
      </c>
      <c r="L13" s="5"/>
      <c r="M13" s="1">
        <f>IF('2-Climate &amp; Ecological'!O3&lt;&gt; "",'2-Climate &amp; Ecological'!O3, "")</f>
        <v>28199.80333333333</v>
      </c>
      <c r="N13" s="1" t="str">
        <f>IF('2-Climate &amp; Ecological'!P3&lt;&gt; "",'2-Climate &amp; Ecological'!P3, "")</f>
        <v/>
      </c>
      <c r="O13" s="1" t="str">
        <f>IF('2-Climate &amp; Ecological'!Q3&lt;&gt; "",'2-Climate &amp; Ecological'!Q3, "")</f>
        <v/>
      </c>
      <c r="P13" s="1">
        <f>IF('2-Climate &amp; Ecological'!R3&lt;&gt; "",'2-Climate &amp; Ecological'!R3, "")</f>
        <v>0</v>
      </c>
      <c r="Q13" s="1">
        <f>IF('2-Climate &amp; Ecological'!S3&lt;&gt; "",'2-Climate &amp; Ecological'!S3, "")</f>
        <v>37060.80333333333</v>
      </c>
      <c r="R13" s="1" t="str">
        <f>IF('2-Climate &amp; Ecological'!T3&lt;&gt; "",'2-Climate &amp; Ecological'!T3, "")</f>
        <v/>
      </c>
      <c r="S13" s="1" t="str">
        <f>IF('2-Climate &amp; Ecological'!U3&lt;&gt; "",'2-Climate &amp; Ecological'!U3, "")</f>
        <v/>
      </c>
      <c r="T13" s="1">
        <f>IF('2-Climate &amp; Ecological'!V3&lt;&gt; "",'2-Climate &amp; Ecological'!V3, "")</f>
        <v>0</v>
      </c>
      <c r="U13" s="1">
        <f>IF('2-Climate &amp; Ecological'!W3&lt;&gt; "",'2-Climate &amp; Ecological'!W3, "")</f>
        <v>46187.80333333333</v>
      </c>
      <c r="V13" s="1" t="str">
        <f>IF('2-Climate &amp; Ecological'!X3&lt;&gt; "",'2-Climate &amp; Ecological'!X3, "")</f>
        <v/>
      </c>
      <c r="W13" s="1" t="str">
        <f>IF('2-Climate &amp; Ecological'!Y3&lt;&gt; "",'2-Climate &amp; Ecological'!Y3, "")</f>
        <v/>
      </c>
      <c r="X13" s="1">
        <f>IF('2-Climate &amp; Ecological'!Z3&lt;&gt; "",'2-Climate &amp; Ecological'!Z3, "")</f>
        <v>0</v>
      </c>
      <c r="Y13" s="1">
        <f>IF('2-Climate &amp; Ecological'!AA3&lt;&gt; "",'2-Climate &amp; Ecological'!AA3, "")</f>
        <v>55586.80333333333</v>
      </c>
      <c r="Z13" s="1" t="str">
        <f>IF('2-Climate &amp; Ecological'!AB3&lt;&gt; "",'2-Climate &amp; Ecological'!AB3, "")</f>
        <v/>
      </c>
      <c r="AA13" s="1" t="str">
        <f>IF('2-Climate &amp; Ecological'!AC3&lt;&gt; "",'2-Climate &amp; Ecological'!AC3, "")</f>
        <v/>
      </c>
      <c r="AB13" s="1">
        <f>IF('2-Climate &amp; Ecological'!AD3&lt;&gt; "",'2-Climate &amp; Ecological'!AD3, "")</f>
        <v>0</v>
      </c>
      <c r="AC13" s="1">
        <f>IF('2-Climate &amp; Ecological'!AE3&lt;&gt; "",'2-Climate &amp; Ecological'!AE3, "")</f>
        <v>65266.80333333333</v>
      </c>
      <c r="AD13" t="str">
        <f>IF('2-Climate &amp; Ecological'!AF3&lt;&gt; "",'2-Climate &amp; Ecological'!AF3, "")</f>
        <v/>
      </c>
      <c r="AE13" s="1">
        <f>IF('2-Climate &amp; Ecological'!AG3&lt;&gt; "",'2-Climate &amp; Ecological'!AG3, "")</f>
        <v>50000</v>
      </c>
      <c r="AF13" s="1">
        <f>AE13</f>
        <v>50000</v>
      </c>
    </row>
    <row r="14" spans="1:32" x14ac:dyDescent="0.35">
      <c r="A14" s="79" t="s">
        <v>58</v>
      </c>
      <c r="B14" s="79">
        <f>IF('2-Climate &amp; Ecological'!D4&lt;&gt; "",'2-Climate &amp; Ecological'!D4, "")</f>
        <v>7140</v>
      </c>
      <c r="C14" s="79">
        <f>IF('2-Climate &amp; Ecological'!E4&lt;&gt; "",'2-Climate &amp; Ecological'!E4, "")</f>
        <v>0</v>
      </c>
      <c r="D14" s="79">
        <f>IF('2-Climate &amp; Ecological'!F4&lt;&gt; "",'2-Climate &amp; Ecological'!F4, "")</f>
        <v>0</v>
      </c>
      <c r="E14" s="79">
        <f>IF('2-Climate &amp; Ecological'!G4&lt;&gt; "",'2-Climate &amp; Ecological'!G4, "")</f>
        <v>13583.59</v>
      </c>
      <c r="F14" s="79" t="str">
        <f>IF('2-Climate &amp; Ecological'!H4&lt;&gt; "",'2-Climate &amp; Ecological'!H4, "")</f>
        <v/>
      </c>
      <c r="G14" s="79">
        <f>IF('2-Climate &amp; Ecological'!I4&lt;&gt; "",'2-Climate &amp; Ecological'!I4, "")</f>
        <v>-7500</v>
      </c>
      <c r="H14" s="79">
        <f>IF('2-Climate &amp; Ecological'!J4&lt;&gt; "",'2-Climate &amp; Ecological'!J4, "")</f>
        <v>0</v>
      </c>
      <c r="I14" s="79">
        <f>IF('2-Climate &amp; Ecological'!K4&lt;&gt; "",'2-Climate &amp; Ecological'!K4, "")</f>
        <v>4115.9700000000048</v>
      </c>
      <c r="J14" s="79" t="str">
        <f>IF('2-Climate &amp; Ecological'!L4&lt;&gt; "",'2-Climate &amp; Ecological'!L4, "")</f>
        <v/>
      </c>
      <c r="K14" s="79">
        <f>IF('2-Climate &amp; Ecological'!M4&lt;&gt; "",'2-Climate &amp; Ecological'!M4, "")</f>
        <v>-2000</v>
      </c>
      <c r="L14" s="81"/>
      <c r="M14" s="79">
        <f>IF('2-Climate &amp; Ecological'!O4&lt;&gt; "",'2-Climate &amp; Ecological'!O4, "")</f>
        <v>9046.7800000000043</v>
      </c>
      <c r="N14" s="79" t="str">
        <f>IF('2-Climate &amp; Ecological'!P4&lt;&gt; "",'2-Climate &amp; Ecological'!P4, "")</f>
        <v/>
      </c>
      <c r="O14" s="79" t="str">
        <f>IF('2-Climate &amp; Ecological'!Q4&lt;&gt; "",'2-Climate &amp; Ecological'!Q4, "")</f>
        <v/>
      </c>
      <c r="P14" s="79">
        <f>IF('2-Climate &amp; Ecological'!R4&lt;&gt; "",'2-Climate &amp; Ecological'!R4, "")</f>
        <v>0</v>
      </c>
      <c r="Q14" s="79">
        <f>IF('2-Climate &amp; Ecological'!S4&lt;&gt; "",'2-Climate &amp; Ecological'!S4, "")</f>
        <v>9046.7800000000061</v>
      </c>
      <c r="R14" s="79" t="str">
        <f>IF('2-Climate &amp; Ecological'!T4&lt;&gt; "",'2-Climate &amp; Ecological'!T4, "")</f>
        <v/>
      </c>
      <c r="S14" s="79" t="str">
        <f>IF('2-Climate &amp; Ecological'!U4&lt;&gt; "",'2-Climate &amp; Ecological'!U4, "")</f>
        <v/>
      </c>
      <c r="T14" s="79">
        <f>IF('2-Climate &amp; Ecological'!V4&lt;&gt; "",'2-Climate &amp; Ecological'!V4, "")</f>
        <v>0</v>
      </c>
      <c r="U14" s="79">
        <f>IF('2-Climate &amp; Ecological'!W4&lt;&gt; "",'2-Climate &amp; Ecological'!W4, "")</f>
        <v>9046.7800000000061</v>
      </c>
      <c r="V14" s="79" t="str">
        <f>IF('2-Climate &amp; Ecological'!X4&lt;&gt; "",'2-Climate &amp; Ecological'!X4, "")</f>
        <v/>
      </c>
      <c r="W14" s="79" t="str">
        <f>IF('2-Climate &amp; Ecological'!Y4&lt;&gt; "",'2-Climate &amp; Ecological'!Y4, "")</f>
        <v/>
      </c>
      <c r="X14" s="79">
        <f>IF('2-Climate &amp; Ecological'!Z4&lt;&gt; "",'2-Climate &amp; Ecological'!Z4, "")</f>
        <v>0</v>
      </c>
      <c r="Y14" s="79">
        <f>IF('2-Climate &amp; Ecological'!AA4&lt;&gt; "",'2-Climate &amp; Ecological'!AA4, "")</f>
        <v>9046.7800000000061</v>
      </c>
      <c r="Z14" s="79" t="str">
        <f>IF('2-Climate &amp; Ecological'!AB4&lt;&gt; "",'2-Climate &amp; Ecological'!AB4, "")</f>
        <v/>
      </c>
      <c r="AA14" s="79" t="str">
        <f>IF('2-Climate &amp; Ecological'!AC4&lt;&gt; "",'2-Climate &amp; Ecological'!AC4, "")</f>
        <v/>
      </c>
      <c r="AB14" s="79">
        <f>IF('2-Climate &amp; Ecological'!AD4&lt;&gt; "",'2-Climate &amp; Ecological'!AD4, "")</f>
        <v>0</v>
      </c>
      <c r="AC14" s="79">
        <f>IF('2-Climate &amp; Ecological'!AE4&lt;&gt; "",'2-Climate &amp; Ecological'!AE4, "")</f>
        <v>9046.7800000000061</v>
      </c>
      <c r="AD14" s="80" t="str">
        <f>IF('2-Climate &amp; Ecological'!AF4&lt;&gt; "",'2-Climate &amp; Ecological'!AF4, "")</f>
        <v/>
      </c>
      <c r="AE14" s="79">
        <f>IF('2-Climate &amp; Ecological'!AG4&lt;&gt; "",'2-Climate &amp; Ecological'!AG4, "")</f>
        <v>50000</v>
      </c>
      <c r="AF14" s="79">
        <f>AE14</f>
        <v>50000</v>
      </c>
    </row>
    <row r="15" spans="1:32" x14ac:dyDescent="0.35">
      <c r="A15" s="1" t="s">
        <v>70</v>
      </c>
      <c r="B15" s="1">
        <f>IF('2-Parks and Open Spaces'!D3&lt;&gt; "",'2-Parks and Open Spaces'!D3, "")</f>
        <v>153089.19</v>
      </c>
      <c r="C15" s="1">
        <f>IF('2-Parks and Open Spaces'!E3&lt;&gt; "",'2-Parks and Open Spaces'!E3, "")</f>
        <v>22646</v>
      </c>
      <c r="D15" s="1">
        <f>IF('2-Parks and Open Spaces'!F3&lt;&gt; "",'2-Parks and Open Spaces'!F3, "")</f>
        <v>41480.71</v>
      </c>
      <c r="E15" s="1">
        <f>IF('2-Parks and Open Spaces'!G3&lt;&gt; "",'2-Parks and Open Spaces'!G3, "")</f>
        <v>116977.90000000001</v>
      </c>
      <c r="F15" s="1" t="str">
        <f>IF('2-Parks and Open Spaces'!H3&lt;&gt; "",'2-Parks and Open Spaces'!H3, "")</f>
        <v/>
      </c>
      <c r="G15" s="1">
        <f>IF('2-Parks and Open Spaces'!I3&lt;&gt; "",'2-Parks and Open Spaces'!I3, "")</f>
        <v>-62975</v>
      </c>
      <c r="H15" s="1">
        <f>IF('2-Parks and Open Spaces'!J3&lt;&gt; "",'2-Parks and Open Spaces'!J3, "")</f>
        <v>45844.04</v>
      </c>
      <c r="I15" s="1">
        <f>IF('2-Parks and Open Spaces'!K3&lt;&gt; "",'2-Parks and Open Spaces'!K3, "")</f>
        <v>55367.850000000013</v>
      </c>
      <c r="J15" s="1" t="str">
        <f>IF('2-Parks and Open Spaces'!L3&lt;&gt; "",'2-Parks and Open Spaces'!L3, "")</f>
        <v xml:space="preserve">£25K offset against R&amp;M budget; £37,975 offset against Capital budget </v>
      </c>
      <c r="K15" s="1">
        <f>IF('2-Parks and Open Spaces'!M3&lt;&gt; "",'2-Parks and Open Spaces'!M3, "")</f>
        <v>-37000</v>
      </c>
      <c r="L15" s="5"/>
      <c r="M15" s="1">
        <f>IF('2-Parks and Open Spaces'!O3&lt;&gt; "",'2-Parks and Open Spaces'!O3, "")</f>
        <v>66179.580000000016</v>
      </c>
      <c r="N15" s="1" t="str">
        <f>IF('2-Parks and Open Spaces'!P3&lt;&gt; "",'2-Parks and Open Spaces'!P3, "")</f>
        <v/>
      </c>
      <c r="O15" s="1" t="str">
        <f>IF('2-Parks and Open Spaces'!Q3&lt;&gt; "",'2-Parks and Open Spaces'!Q3, "")</f>
        <v/>
      </c>
      <c r="P15" s="1">
        <f>IF('2-Parks and Open Spaces'!R3&lt;&gt; "",'2-Parks and Open Spaces'!R3, "")</f>
        <v>0</v>
      </c>
      <c r="Q15" s="1">
        <f>IF('2-Parks and Open Spaces'!S3&lt;&gt; "",'2-Parks and Open Spaces'!S3, "")</f>
        <v>66179.580000000016</v>
      </c>
      <c r="R15" s="1" t="str">
        <f>IF('2-Parks and Open Spaces'!T3&lt;&gt; "",'2-Parks and Open Spaces'!T3, "")</f>
        <v/>
      </c>
      <c r="S15" s="1" t="str">
        <f>IF('2-Parks and Open Spaces'!U3&lt;&gt; "",'2-Parks and Open Spaces'!U3, "")</f>
        <v/>
      </c>
      <c r="T15" s="1">
        <f>IF('2-Parks and Open Spaces'!V3&lt;&gt; "",'2-Parks and Open Spaces'!V3, "")</f>
        <v>0</v>
      </c>
      <c r="U15" s="1">
        <f>IF('2-Parks and Open Spaces'!W3&lt;&gt; "",'2-Parks and Open Spaces'!W3, "")</f>
        <v>66179.580000000016</v>
      </c>
      <c r="V15" s="1" t="str">
        <f>IF('2-Parks and Open Spaces'!X3&lt;&gt; "",'2-Parks and Open Spaces'!X3, "")</f>
        <v/>
      </c>
      <c r="W15" s="1" t="str">
        <f>IF('2-Parks and Open Spaces'!Y3&lt;&gt; "",'2-Parks and Open Spaces'!Y3, "")</f>
        <v/>
      </c>
      <c r="X15" s="1">
        <f>IF('2-Parks and Open Spaces'!Z3&lt;&gt; "",'2-Parks and Open Spaces'!Z3, "")</f>
        <v>0</v>
      </c>
      <c r="Y15" s="1">
        <f>IF('2-Parks and Open Spaces'!AA3&lt;&gt; "",'2-Parks and Open Spaces'!AA3, "")</f>
        <v>66179.580000000016</v>
      </c>
      <c r="Z15" s="1" t="str">
        <f>IF('2-Parks and Open Spaces'!AB3&lt;&gt; "",'2-Parks and Open Spaces'!AB3, "")</f>
        <v/>
      </c>
      <c r="AA15" s="1" t="str">
        <f>IF('2-Parks and Open Spaces'!AC3&lt;&gt; "",'2-Parks and Open Spaces'!AC3, "")</f>
        <v/>
      </c>
      <c r="AB15" s="1">
        <f>IF('2-Parks and Open Spaces'!AD3&lt;&gt; "",'2-Parks and Open Spaces'!AD3, "")</f>
        <v>0</v>
      </c>
      <c r="AC15" s="1">
        <f>IF('2-Parks and Open Spaces'!AE3&lt;&gt; "",'2-Parks and Open Spaces'!AE3, "")</f>
        <v>66179.580000000016</v>
      </c>
      <c r="AD15" t="str">
        <f>IF('2-Parks and Open Spaces'!AF3&lt;&gt; "",'2-Parks and Open Spaces'!AF3, "")</f>
        <v/>
      </c>
      <c r="AE15" s="1">
        <f>IF('2-Parks and Open Spaces'!AG3&lt;&gt; "",'2-Parks and Open Spaces'!AG3, "")</f>
        <v>200000</v>
      </c>
      <c r="AF15" s="1">
        <f>AE15</f>
        <v>200000</v>
      </c>
    </row>
    <row r="16" spans="1:32" x14ac:dyDescent="0.35">
      <c r="A16" s="79" t="s">
        <v>82</v>
      </c>
      <c r="B16" s="79">
        <f>IF('2-Play Areas'!D5&lt;&gt; "",'2-Play Areas'!D5, "")</f>
        <v>52000</v>
      </c>
      <c r="C16" s="79">
        <f>IF('2-Play Areas'!E5&lt;&gt; "",'2-Play Areas'!E5, "")</f>
        <v>0</v>
      </c>
      <c r="D16" s="79">
        <f>IF('2-Play Areas'!F5&lt;&gt; "",'2-Play Areas'!F5, "")</f>
        <v>42344</v>
      </c>
      <c r="E16" s="79">
        <f>IF('2-Play Areas'!G5&lt;&gt; "",'2-Play Areas'!G5, "")</f>
        <v>9656</v>
      </c>
      <c r="F16" s="79" t="str">
        <f>IF('2-Play Areas'!H5&lt;&gt; "",'2-Play Areas'!H5, "")</f>
        <v/>
      </c>
      <c r="G16" s="79" t="str">
        <f>IF('2-Play Areas'!I5&lt;&gt; "",'2-Play Areas'!I5, "")</f>
        <v/>
      </c>
      <c r="H16" s="79">
        <f>IF('2-Play Areas'!J5&lt;&gt; "",'2-Play Areas'!J5, "")</f>
        <v>0</v>
      </c>
      <c r="I16" s="79">
        <f>IF('2-Play Areas'!K5&lt;&gt; "",'2-Play Areas'!K5, "")</f>
        <v>9656</v>
      </c>
      <c r="J16" s="79" t="str">
        <f>IF('2-Play Areas'!L5&lt;&gt; "",'2-Play Areas'!L5, "")</f>
        <v/>
      </c>
      <c r="K16" s="79" t="str">
        <f>IF('2-Play Areas'!M5&lt;&gt; "",'2-Play Areas'!M5, "")</f>
        <v/>
      </c>
      <c r="L16" s="81"/>
      <c r="M16" s="79">
        <f>IF('2-Play Areas'!O5&lt;&gt; "",'2-Play Areas'!O5, "")</f>
        <v>9656</v>
      </c>
      <c r="N16" s="79" t="str">
        <f>IF('2-Play Areas'!P5&lt;&gt; "",'2-Play Areas'!P5, "")</f>
        <v/>
      </c>
      <c r="O16" s="79" t="str">
        <f>IF('2-Play Areas'!Q5&lt;&gt; "",'2-Play Areas'!Q5, "")</f>
        <v/>
      </c>
      <c r="P16" s="79">
        <f>IF('2-Play Areas'!R5&lt;&gt; "",'2-Play Areas'!R5, "")</f>
        <v>0</v>
      </c>
      <c r="Q16" s="79">
        <f>IF('2-Play Areas'!S5&lt;&gt; "",'2-Play Areas'!S5, "")</f>
        <v>9656</v>
      </c>
      <c r="R16" s="79" t="str">
        <f>IF('2-Play Areas'!T5&lt;&gt; "",'2-Play Areas'!T5, "")</f>
        <v/>
      </c>
      <c r="S16" s="79" t="str">
        <f>IF('2-Play Areas'!U5&lt;&gt; "",'2-Play Areas'!U5, "")</f>
        <v/>
      </c>
      <c r="T16" s="79">
        <f>IF('2-Play Areas'!V5&lt;&gt; "",'2-Play Areas'!V5, "")</f>
        <v>0</v>
      </c>
      <c r="U16" s="79">
        <f>IF('2-Play Areas'!W5&lt;&gt; "",'2-Play Areas'!W5, "")</f>
        <v>9656</v>
      </c>
      <c r="V16" s="79" t="str">
        <f>IF('2-Play Areas'!X5&lt;&gt; "",'2-Play Areas'!X5, "")</f>
        <v/>
      </c>
      <c r="W16" s="79" t="str">
        <f>IF('2-Play Areas'!Y5&lt;&gt; "",'2-Play Areas'!Y5, "")</f>
        <v/>
      </c>
      <c r="X16" s="79">
        <f>IF('2-Play Areas'!Z5&lt;&gt; "",'2-Play Areas'!Z5, "")</f>
        <v>0</v>
      </c>
      <c r="Y16" s="79">
        <f>IF('2-Play Areas'!AA5&lt;&gt; "",'2-Play Areas'!AA5, "")</f>
        <v>9656</v>
      </c>
      <c r="Z16" s="79" t="str">
        <f>IF('2-Play Areas'!AB5&lt;&gt; "",'2-Play Areas'!AB5, "")</f>
        <v/>
      </c>
      <c r="AA16" s="79" t="str">
        <f>IF('2-Play Areas'!AC5&lt;&gt; "",'2-Play Areas'!AC5, "")</f>
        <v/>
      </c>
      <c r="AB16" s="79">
        <f>IF('2-Play Areas'!AD5&lt;&gt; "",'2-Play Areas'!AD5, "")</f>
        <v>0</v>
      </c>
      <c r="AC16" s="79">
        <f>IF('2-Play Areas'!AE5&lt;&gt; "",'2-Play Areas'!AE5, "")</f>
        <v>9656</v>
      </c>
      <c r="AD16" s="80" t="str">
        <f>IF('2-Play Areas'!AF5&lt;&gt; "",'2-Play Areas'!AF5, "")</f>
        <v/>
      </c>
      <c r="AE16" s="79">
        <f>IF('2-Play Areas'!AG5&lt;&gt; "",'2-Play Areas'!AG5, "")</f>
        <v>75000</v>
      </c>
      <c r="AF16" s="79">
        <v>10000</v>
      </c>
    </row>
    <row r="17" spans="1:32" x14ac:dyDescent="0.35">
      <c r="A17" s="1" t="s">
        <v>72</v>
      </c>
      <c r="B17" s="1">
        <f>IF('2-Parks and Open Spaces'!D4&lt;&gt; "",'2-Parks and Open Spaces'!D4, "")</f>
        <v>0</v>
      </c>
      <c r="C17" s="1">
        <f>IF('2-Parks and Open Spaces'!E4&lt;&gt; "",'2-Parks and Open Spaces'!E4, "")</f>
        <v>0</v>
      </c>
      <c r="D17" s="1">
        <f>IF('2-Parks and Open Spaces'!F4&lt;&gt; "",'2-Parks and Open Spaces'!F4, "")</f>
        <v>0</v>
      </c>
      <c r="E17" s="1">
        <f>IF('2-Parks and Open Spaces'!G4&lt;&gt; "",'2-Parks and Open Spaces'!G4, "")</f>
        <v>0</v>
      </c>
      <c r="F17" s="1" t="str">
        <f>IF('2-Parks and Open Spaces'!H4&lt;&gt; "",'2-Parks and Open Spaces'!H4, "")</f>
        <v/>
      </c>
      <c r="G17" s="1" t="str">
        <f>IF('2-Parks and Open Spaces'!I4&lt;&gt; "",'2-Parks and Open Spaces'!I4, "")</f>
        <v/>
      </c>
      <c r="H17" s="1">
        <f>IF('2-Parks and Open Spaces'!J4&lt;&gt; "",'2-Parks and Open Spaces'!J4, "")</f>
        <v>0</v>
      </c>
      <c r="I17" s="1">
        <f>IF('2-Parks and Open Spaces'!K4&lt;&gt; "",'2-Parks and Open Spaces'!K4, "")</f>
        <v>0</v>
      </c>
      <c r="J17" s="1" t="str">
        <f>IF('2-Parks and Open Spaces'!L4&lt;&gt; "",'2-Parks and Open Spaces'!L4, "")</f>
        <v/>
      </c>
      <c r="K17" s="1" t="str">
        <f>IF('2-Parks and Open Spaces'!M4&lt;&gt; "",'2-Parks and Open Spaces'!M4, "")</f>
        <v/>
      </c>
      <c r="L17" s="5"/>
      <c r="M17" s="1">
        <f>IF('2-Parks and Open Spaces'!O4&lt;&gt; "",'2-Parks and Open Spaces'!O4, "")</f>
        <v>0</v>
      </c>
      <c r="N17" s="1" t="str">
        <f>IF('2-Parks and Open Spaces'!P4&lt;&gt; "",'2-Parks and Open Spaces'!P4, "")</f>
        <v/>
      </c>
      <c r="O17" s="1" t="str">
        <f>IF('2-Parks and Open Spaces'!Q4&lt;&gt; "",'2-Parks and Open Spaces'!Q4, "")</f>
        <v/>
      </c>
      <c r="P17" s="1">
        <f>IF('2-Parks and Open Spaces'!R4&lt;&gt; "",'2-Parks and Open Spaces'!R4, "")</f>
        <v>0</v>
      </c>
      <c r="Q17" s="1">
        <f>IF('2-Parks and Open Spaces'!S4&lt;&gt; "",'2-Parks and Open Spaces'!S4, "")</f>
        <v>0</v>
      </c>
      <c r="R17" s="1" t="str">
        <f>IF('2-Parks and Open Spaces'!T4&lt;&gt; "",'2-Parks and Open Spaces'!T4, "")</f>
        <v/>
      </c>
      <c r="S17" s="1" t="str">
        <f>IF('2-Parks and Open Spaces'!U4&lt;&gt; "",'2-Parks and Open Spaces'!U4, "")</f>
        <v/>
      </c>
      <c r="T17" s="1">
        <f>IF('2-Parks and Open Spaces'!V4&lt;&gt; "",'2-Parks and Open Spaces'!V4, "")</f>
        <v>0</v>
      </c>
      <c r="U17" s="1">
        <f>IF('2-Parks and Open Spaces'!W4&lt;&gt; "",'2-Parks and Open Spaces'!W4, "")</f>
        <v>0</v>
      </c>
      <c r="V17" s="1" t="str">
        <f>IF('2-Parks and Open Spaces'!X4&lt;&gt; "",'2-Parks and Open Spaces'!X4, "")</f>
        <v/>
      </c>
      <c r="W17" s="1" t="str">
        <f>IF('2-Parks and Open Spaces'!Y4&lt;&gt; "",'2-Parks and Open Spaces'!Y4, "")</f>
        <v/>
      </c>
      <c r="X17" s="1">
        <f>IF('2-Parks and Open Spaces'!Z4&lt;&gt; "",'2-Parks and Open Spaces'!Z4, "")</f>
        <v>0</v>
      </c>
      <c r="Y17" s="1">
        <f>IF('2-Parks and Open Spaces'!AA4&lt;&gt; "",'2-Parks and Open Spaces'!AA4, "")</f>
        <v>0</v>
      </c>
      <c r="Z17" s="1" t="str">
        <f>IF('2-Parks and Open Spaces'!AB4&lt;&gt; "",'2-Parks and Open Spaces'!AB4, "")</f>
        <v/>
      </c>
      <c r="AA17" s="1" t="str">
        <f>IF('2-Parks and Open Spaces'!AC4&lt;&gt; "",'2-Parks and Open Spaces'!AC4, "")</f>
        <v/>
      </c>
      <c r="AB17" s="1">
        <f>IF('2-Parks and Open Spaces'!AD4&lt;&gt; "",'2-Parks and Open Spaces'!AD4, "")</f>
        <v>0</v>
      </c>
      <c r="AC17" s="1">
        <f>IF('2-Parks and Open Spaces'!AE4&lt;&gt; "",'2-Parks and Open Spaces'!AE4, "")</f>
        <v>0</v>
      </c>
      <c r="AD17" t="str">
        <f>IF('2-Parks and Open Spaces'!AF4&lt;&gt; "",'2-Parks and Open Spaces'!AF4, "")</f>
        <v/>
      </c>
      <c r="AE17" s="1" t="str">
        <f>IF('2-Parks and Open Spaces'!AG4&lt;&gt; "",'2-Parks and Open Spaces'!AG4, "")</f>
        <v/>
      </c>
      <c r="AF17" s="1" t="s">
        <v>476</v>
      </c>
    </row>
    <row r="18" spans="1:32" x14ac:dyDescent="0.35">
      <c r="A18" s="79" t="s">
        <v>84</v>
      </c>
      <c r="B18" s="79">
        <f>IF('2-Horticulture'!D3&lt;&gt; "",'2-Horticulture'!D3, "")</f>
        <v>0</v>
      </c>
      <c r="C18" s="79">
        <f>IF('2-Horticulture'!E3&lt;&gt; "",'2-Horticulture'!E3, "")</f>
        <v>0</v>
      </c>
      <c r="D18" s="79">
        <f>IF('2-Horticulture'!F3&lt;&gt; "",'2-Horticulture'!F3, "")</f>
        <v>-27025</v>
      </c>
      <c r="E18" s="79">
        <f>IF('2-Horticulture'!G3&lt;&gt; "",'2-Horticulture'!G3, "")</f>
        <v>45485.69</v>
      </c>
      <c r="F18" s="79" t="str">
        <f>IF('2-Horticulture'!H3&lt;&gt; "",'2-Horticulture'!H3, "")</f>
        <v/>
      </c>
      <c r="G18" s="79">
        <f>IF('2-Horticulture'!I3&lt;&gt; "",'2-Horticulture'!I3, "")</f>
        <v>-33525</v>
      </c>
      <c r="H18" s="79">
        <f>IF('2-Horticulture'!J3&lt;&gt; "",'2-Horticulture'!J3, "")</f>
        <v>3518.6499999999996</v>
      </c>
      <c r="I18" s="79">
        <f>IF('2-Horticulture'!K3&lt;&gt; "",'2-Horticulture'!K3, "")</f>
        <v>32581.810000000012</v>
      </c>
      <c r="J18" s="79" t="str">
        <f>IF('2-Horticulture'!L2&lt;&gt; "",'2-Horticulture'!L2, "")</f>
        <v>£10K EMR offset against Tree Planting, £12K EMR offset against Tree works: Audit, £6K EMR offset against Tree Works: Routine inspections, £5,525 EMR offset against Tree Works: Routine works.</v>
      </c>
      <c r="K18" s="79">
        <f>IF('2-Horticulture'!M3&lt;&gt; "",'2-Horticulture'!M3, "")</f>
        <v>-28000</v>
      </c>
      <c r="L18" s="81"/>
      <c r="M18" s="79">
        <f>IF('2-Horticulture'!O3&lt;&gt; "",'2-Horticulture'!O3, "")</f>
        <v>60488.380000000012</v>
      </c>
      <c r="N18" s="79" t="str">
        <f>IF('2-Horticulture'!P3&lt;&gt; "",'2-Horticulture'!P3, "")</f>
        <v/>
      </c>
      <c r="O18" s="79" t="str">
        <f>IF('2-Horticulture'!Q3&lt;&gt; "",'2-Horticulture'!Q3, "")</f>
        <v/>
      </c>
      <c r="P18" s="79">
        <f>IF('2-Horticulture'!R3&lt;&gt; "",'2-Horticulture'!R3, "")</f>
        <v>0</v>
      </c>
      <c r="Q18" s="79">
        <f>IF('2-Horticulture'!S3&lt;&gt; "",'2-Horticulture'!S3, "")</f>
        <v>122288.38</v>
      </c>
      <c r="R18" s="79" t="str">
        <f>IF('2-Horticulture'!T3&lt;&gt; "",'2-Horticulture'!T3, "")</f>
        <v/>
      </c>
      <c r="S18" s="79" t="str">
        <f>IF('2-Horticulture'!U3&lt;&gt; "",'2-Horticulture'!U3, "")</f>
        <v/>
      </c>
      <c r="T18" s="79">
        <f>IF('2-Horticulture'!V3&lt;&gt; "",'2-Horticulture'!V3, "")</f>
        <v>0</v>
      </c>
      <c r="U18" s="79">
        <f>IF('2-Horticulture'!W3&lt;&gt; "",'2-Horticulture'!W3, "")</f>
        <v>185943.38</v>
      </c>
      <c r="V18" s="79" t="str">
        <f>IF('2-Horticulture'!X3&lt;&gt; "",'2-Horticulture'!X3, "")</f>
        <v/>
      </c>
      <c r="W18" s="79" t="str">
        <f>IF('2-Horticulture'!Y3&lt;&gt; "",'2-Horticulture'!Y3, "")</f>
        <v/>
      </c>
      <c r="X18" s="79">
        <f>IF('2-Horticulture'!Z3&lt;&gt; "",'2-Horticulture'!Z3, "")</f>
        <v>0</v>
      </c>
      <c r="Y18" s="79">
        <f>IF('2-Horticulture'!AA3&lt;&gt; "",'2-Horticulture'!AA3, "")</f>
        <v>251509.38</v>
      </c>
      <c r="Z18" s="79" t="str">
        <f>IF('2-Horticulture'!AB3&lt;&gt; "",'2-Horticulture'!AB3, "")</f>
        <v/>
      </c>
      <c r="AA18" s="79" t="str">
        <f>IF('2-Horticulture'!AC3&lt;&gt; "",'2-Horticulture'!AC3, "")</f>
        <v/>
      </c>
      <c r="AB18" s="79">
        <f>IF('2-Horticulture'!AD3&lt;&gt; "",'2-Horticulture'!AD3, "")</f>
        <v>0</v>
      </c>
      <c r="AC18" s="79">
        <f>IF('2-Horticulture'!AE3&lt;&gt; "",'2-Horticulture'!AE3, "")</f>
        <v>319043.38</v>
      </c>
      <c r="AD18" s="80" t="str">
        <f>IF('2-Horticulture'!AF3&lt;&gt; "",'2-Horticulture'!AF3, "")</f>
        <v/>
      </c>
      <c r="AE18" s="79" t="str">
        <f>IF('2-Horticulture'!AG3&lt;&gt; "",'2-Horticulture'!AG3, "")</f>
        <v/>
      </c>
      <c r="AF18" s="79">
        <v>10000</v>
      </c>
    </row>
    <row r="19" spans="1:32" x14ac:dyDescent="0.35">
      <c r="A19" s="1" t="s">
        <v>97</v>
      </c>
      <c r="B19" s="1">
        <f>IF('2-Waterways and Ponds'!D3&lt;&gt; "",'2-Waterways and Ponds'!D3, "")</f>
        <v>27871</v>
      </c>
      <c r="C19" s="1">
        <f>IF('2-Waterways and Ponds'!E3&lt;&gt; "",'2-Waterways and Ponds'!E3, "")</f>
        <v>0</v>
      </c>
      <c r="D19" s="1">
        <f>IF('2-Waterways and Ponds'!F3&lt;&gt; "",'2-Waterways and Ponds'!F3, "")</f>
        <v>10580</v>
      </c>
      <c r="E19" s="1">
        <f>IF('2-Waterways and Ponds'!G3&lt;&gt; "",'2-Waterways and Ponds'!G3, "")</f>
        <v>17291</v>
      </c>
      <c r="F19" s="1" t="str">
        <f>IF('2-Waterways and Ponds'!H3&lt;&gt; "",'2-Waterways and Ponds'!H3, "")</f>
        <v/>
      </c>
      <c r="G19" s="1">
        <f>IF('2-Waterways and Ponds'!I3&lt;&gt; "",'2-Waterways and Ponds'!I3, "")</f>
        <v>-18924</v>
      </c>
      <c r="H19" s="1">
        <f>IF('2-Waterways and Ponds'!J3&lt;&gt; "",'2-Waterways and Ponds'!J3, "")</f>
        <v>0</v>
      </c>
      <c r="I19" s="1">
        <f>IF('2-Waterways and Ponds'!K3&lt;&gt; "",'2-Waterways and Ponds'!K3, "")</f>
        <v>43910.29</v>
      </c>
      <c r="J19" s="1" t="str">
        <f>IF('2-Waterways and Ponds'!L3&lt;&gt; "",'2-Waterways and Ponds'!L3, "")</f>
        <v>£7,473 offset against Fen Park budget; £11,451.83 offset against R&amp;M budget</v>
      </c>
      <c r="K19" s="1">
        <f>IF('2-Waterways and Ponds'!M3&lt;&gt; "",'2-Waterways and Ponds'!M3, "")</f>
        <v>-38170</v>
      </c>
      <c r="L19" s="5"/>
      <c r="M19" s="1">
        <f>IF('2-Waterways and Ponds'!O3&lt;&gt; "",'2-Waterways and Ponds'!O3, "")</f>
        <v>45890.29</v>
      </c>
      <c r="N19" s="1" t="str">
        <f>IF('2-Waterways and Ponds'!P3&lt;&gt; "",'2-Waterways and Ponds'!P3, "")</f>
        <v/>
      </c>
      <c r="O19" s="1" t="str">
        <f>IF('2-Waterways and Ponds'!Q3&lt;&gt; "",'2-Waterways and Ponds'!Q3, "")</f>
        <v/>
      </c>
      <c r="P19" s="1">
        <f>IF('2-Waterways and Ponds'!R3&lt;&gt; "",'2-Waterways and Ponds'!R3, "")</f>
        <v>0</v>
      </c>
      <c r="Q19" s="1">
        <f>IF('2-Waterways and Ponds'!S3&lt;&gt; "",'2-Waterways and Ponds'!S3, "")</f>
        <v>45890.290000000008</v>
      </c>
      <c r="R19" s="1" t="str">
        <f>IF('2-Waterways and Ponds'!T3&lt;&gt; "",'2-Waterways and Ponds'!T3, "")</f>
        <v/>
      </c>
      <c r="S19" s="1" t="str">
        <f>IF('2-Waterways and Ponds'!U3&lt;&gt; "",'2-Waterways and Ponds'!U3, "")</f>
        <v/>
      </c>
      <c r="T19" s="1">
        <f>IF('2-Waterways and Ponds'!V3&lt;&gt; "",'2-Waterways and Ponds'!V3, "")</f>
        <v>0</v>
      </c>
      <c r="U19" s="1">
        <f>IF('2-Waterways and Ponds'!W3&lt;&gt; "",'2-Waterways and Ponds'!W3, "")</f>
        <v>45890.290000000008</v>
      </c>
      <c r="V19" s="1" t="str">
        <f>IF('2-Waterways and Ponds'!X3&lt;&gt; "",'2-Waterways and Ponds'!X3, "")</f>
        <v/>
      </c>
      <c r="W19" s="1" t="str">
        <f>IF('2-Waterways and Ponds'!Y3&lt;&gt; "",'2-Waterways and Ponds'!Y3, "")</f>
        <v/>
      </c>
      <c r="X19" s="1">
        <f>IF('2-Waterways and Ponds'!Z3&lt;&gt; "",'2-Waterways and Ponds'!Z3, "")</f>
        <v>0</v>
      </c>
      <c r="Y19" s="1">
        <f>IF('2-Waterways and Ponds'!AA3&lt;&gt; "",'2-Waterways and Ponds'!AA3, "")</f>
        <v>45890.290000000008</v>
      </c>
      <c r="Z19" s="1" t="str">
        <f>IF('2-Waterways and Ponds'!AB3&lt;&gt; "",'2-Waterways and Ponds'!AB3, "")</f>
        <v/>
      </c>
      <c r="AA19" s="1" t="str">
        <f>IF('2-Waterways and Ponds'!AC3&lt;&gt; "",'2-Waterways and Ponds'!AC3, "")</f>
        <v/>
      </c>
      <c r="AB19" s="1">
        <f>IF('2-Waterways and Ponds'!AD3&lt;&gt; "",'2-Waterways and Ponds'!AD3, "")</f>
        <v>0</v>
      </c>
      <c r="AC19" s="1">
        <f>IF('2-Waterways and Ponds'!AE3&lt;&gt; "",'2-Waterways and Ponds'!AE3, "")</f>
        <v>45890.290000000008</v>
      </c>
      <c r="AD19" t="str">
        <f>IF('2-Waterways and Ponds'!AF3&lt;&gt; "",'2-Waterways and Ponds'!AF3, "")</f>
        <v/>
      </c>
      <c r="AE19" s="1">
        <f>IF('2-Waterways and Ponds'!AG3&lt;&gt; "",'2-Waterways and Ponds'!AG3, "")</f>
        <v>75000</v>
      </c>
      <c r="AF19" s="1">
        <v>10000</v>
      </c>
    </row>
    <row r="20" spans="1:32" x14ac:dyDescent="0.35">
      <c r="A20" s="79" t="s">
        <v>99</v>
      </c>
      <c r="B20" s="79">
        <f>IF('2-Waterways and Ponds'!D4&lt;&gt; "",'2-Waterways and Ponds'!D4, "")</f>
        <v>17527</v>
      </c>
      <c r="C20" s="79">
        <f>IF('2-Waterways and Ponds'!E4&lt;&gt; "",'2-Waterways and Ponds'!E4, "")</f>
        <v>0</v>
      </c>
      <c r="D20" s="79">
        <f>IF('2-Waterways and Ponds'!F4&lt;&gt; "",'2-Waterways and Ponds'!F4, "")</f>
        <v>17527</v>
      </c>
      <c r="E20" s="79">
        <f>IF('2-Waterways and Ponds'!G4&lt;&gt; "",'2-Waterways and Ponds'!G4, "")</f>
        <v>0</v>
      </c>
      <c r="F20" s="79" t="str">
        <f>IF('2-Waterways and Ponds'!H4&lt;&gt; "",'2-Waterways and Ponds'!H4, "")</f>
        <v/>
      </c>
      <c r="G20" s="79">
        <f>IF('2-Waterways and Ponds'!I4&lt;&gt; "",'2-Waterways and Ponds'!I4, "")</f>
        <v>-17527</v>
      </c>
      <c r="H20" s="79">
        <f>IF('2-Waterways and Ponds'!J4&lt;&gt; "",'2-Waterways and Ponds'!J4, "")</f>
        <v>0</v>
      </c>
      <c r="I20" s="79">
        <f>IF('2-Waterways and Ponds'!K4&lt;&gt; "",'2-Waterways and Ponds'!K4, "")</f>
        <v>1980</v>
      </c>
      <c r="J20" s="79" t="str">
        <f>IF('2-Waterways and Ponds'!L4&lt;&gt; "",'2-Waterways and Ponds'!L4, "")</f>
        <v>£17,527 offset against Fen Park budget</v>
      </c>
      <c r="K20" s="79">
        <f>IF('2-Waterways and Ponds'!M4&lt;&gt; "",'2-Waterways and Ponds'!M4, "")</f>
        <v>-2630</v>
      </c>
      <c r="L20" s="81"/>
      <c r="M20" s="79">
        <f>IF('2-Waterways and Ponds'!O4&lt;&gt; "",'2-Waterways and Ponds'!O4, "")</f>
        <v>0</v>
      </c>
      <c r="N20" s="79" t="str">
        <f>IF('2-Waterways and Ponds'!P4&lt;&gt; "",'2-Waterways and Ponds'!P4, "")</f>
        <v/>
      </c>
      <c r="O20" s="79" t="str">
        <f>IF('2-Waterways and Ponds'!Q4&lt;&gt; "",'2-Waterways and Ponds'!Q4, "")</f>
        <v/>
      </c>
      <c r="P20" s="79">
        <f>IF('2-Waterways and Ponds'!R4&lt;&gt; "",'2-Waterways and Ponds'!R4, "")</f>
        <v>0</v>
      </c>
      <c r="Q20" s="79">
        <f>IF('2-Waterways and Ponds'!S4&lt;&gt; "",'2-Waterways and Ponds'!S4, "")</f>
        <v>0</v>
      </c>
      <c r="R20" s="79" t="str">
        <f>IF('2-Waterways and Ponds'!T4&lt;&gt; "",'2-Waterways and Ponds'!T4, "")</f>
        <v/>
      </c>
      <c r="S20" s="79" t="str">
        <f>IF('2-Waterways and Ponds'!U4&lt;&gt; "",'2-Waterways and Ponds'!U4, "")</f>
        <v/>
      </c>
      <c r="T20" s="79">
        <f>IF('2-Waterways and Ponds'!V4&lt;&gt; "",'2-Waterways and Ponds'!V4, "")</f>
        <v>0</v>
      </c>
      <c r="U20" s="79">
        <f>IF('2-Waterways and Ponds'!W4&lt;&gt; "",'2-Waterways and Ponds'!W4, "")</f>
        <v>0</v>
      </c>
      <c r="V20" s="79" t="str">
        <f>IF('2-Waterways and Ponds'!X4&lt;&gt; "",'2-Waterways and Ponds'!X4, "")</f>
        <v/>
      </c>
      <c r="W20" s="79" t="str">
        <f>IF('2-Waterways and Ponds'!Y4&lt;&gt; "",'2-Waterways and Ponds'!Y4, "")</f>
        <v/>
      </c>
      <c r="X20" s="79">
        <f>IF('2-Waterways and Ponds'!Z4&lt;&gt; "",'2-Waterways and Ponds'!Z4, "")</f>
        <v>0</v>
      </c>
      <c r="Y20" s="79">
        <f>IF('2-Waterways and Ponds'!AA4&lt;&gt; "",'2-Waterways and Ponds'!AA4, "")</f>
        <v>0</v>
      </c>
      <c r="Z20" s="79" t="str">
        <f>IF('2-Waterways and Ponds'!AB4&lt;&gt; "",'2-Waterways and Ponds'!AB4, "")</f>
        <v/>
      </c>
      <c r="AA20" s="79" t="str">
        <f>IF('2-Waterways and Ponds'!AC4&lt;&gt; "",'2-Waterways and Ponds'!AC4, "")</f>
        <v/>
      </c>
      <c r="AB20" s="79">
        <f>IF('2-Waterways and Ponds'!AD4&lt;&gt; "",'2-Waterways and Ponds'!AD4, "")</f>
        <v>0</v>
      </c>
      <c r="AC20" s="79">
        <f>IF('2-Waterways and Ponds'!AE4&lt;&gt; "",'2-Waterways and Ponds'!AE4, "")</f>
        <v>0</v>
      </c>
      <c r="AD20" s="80" t="str">
        <f>IF('2-Waterways and Ponds'!AF4&lt;&gt; "",'2-Waterways and Ponds'!AF4, "")</f>
        <v/>
      </c>
      <c r="AE20" s="79" t="str">
        <f>IF('2-Waterways and Ponds'!AG4&lt;&gt; "",'2-Waterways and Ponds'!AG4, "")</f>
        <v/>
      </c>
      <c r="AF20" s="79" t="s">
        <v>476</v>
      </c>
    </row>
    <row r="21" spans="1:32" x14ac:dyDescent="0.35">
      <c r="A21" s="1" t="s">
        <v>110</v>
      </c>
      <c r="B21" s="1">
        <f>IF('2-Play Areas'!D3&lt;&gt; "",'2-Play Areas'!D3, "")</f>
        <v>98377.42</v>
      </c>
      <c r="C21" s="1">
        <f>IF('2-Play Areas'!E3&lt;&gt; "",'2-Play Areas'!E3, "")</f>
        <v>22770</v>
      </c>
      <c r="D21" s="1">
        <f>IF('2-Play Areas'!F3&lt;&gt; "",'2-Play Areas'!F3, "")</f>
        <v>-80607.839999999997</v>
      </c>
      <c r="E21" s="1">
        <f>IF('2-Play Areas'!G3&lt;&gt; "",'2-Play Areas'!G3, "")</f>
        <v>205639.25</v>
      </c>
      <c r="F21" s="1" t="str">
        <f>IF('2-Play Areas'!H3&lt;&gt; "",'2-Play Areas'!H3, "")</f>
        <v/>
      </c>
      <c r="G21" s="1">
        <f>IF('2-Play Areas'!I3&lt;&gt; "",'2-Play Areas'!I3, "")</f>
        <v>-123800</v>
      </c>
      <c r="H21" s="1">
        <f>IF('2-Play Areas'!J3&lt;&gt; "",'2-Play Areas'!J3, "")</f>
        <v>38724.080000000002</v>
      </c>
      <c r="I21" s="1">
        <f>IF('2-Play Areas'!K3&lt;&gt; "",'2-Play Areas'!K3, "")</f>
        <v>133653.43</v>
      </c>
      <c r="J21" s="1" t="str">
        <f>IF('2-Play Areas'!L3&lt;&gt; "",'2-Play Areas'!L3, "")</f>
        <v>£48.8K offset against R&amp;M budget, £75K offset against Refurb budget</v>
      </c>
      <c r="K21" s="1">
        <f>IF('2-Play Areas'!M3&lt;&gt; "",'2-Play Areas'!M3, "")</f>
        <v>-125000</v>
      </c>
      <c r="L21" s="5"/>
      <c r="M21" s="1">
        <f>IF('2-Play Areas'!O3&lt;&gt; "",'2-Play Areas'!O3, "")</f>
        <v>33653.429999999993</v>
      </c>
      <c r="N21" s="1" t="str">
        <f>IF('2-Play Areas'!P3&lt;&gt; "",'2-Play Areas'!P3, "")</f>
        <v/>
      </c>
      <c r="O21" s="1" t="str">
        <f>IF('2-Play Areas'!Q3&lt;&gt; "",'2-Play Areas'!Q3, "")</f>
        <v/>
      </c>
      <c r="P21" s="1">
        <f>IF('2-Play Areas'!R3&lt;&gt; "",'2-Play Areas'!R3, "")</f>
        <v>0</v>
      </c>
      <c r="Q21" s="1">
        <f>IF('2-Play Areas'!S3&lt;&gt; "",'2-Play Areas'!S3, "")</f>
        <v>33653.429999999993</v>
      </c>
      <c r="R21" s="1" t="str">
        <f>IF('2-Play Areas'!T3&lt;&gt; "",'2-Play Areas'!T3, "")</f>
        <v/>
      </c>
      <c r="S21" s="1" t="str">
        <f>IF('2-Play Areas'!U3&lt;&gt; "",'2-Play Areas'!U3, "")</f>
        <v/>
      </c>
      <c r="T21" s="1">
        <f>IF('2-Play Areas'!V3&lt;&gt; "",'2-Play Areas'!V3, "")</f>
        <v>0</v>
      </c>
      <c r="U21" s="1">
        <f>IF('2-Play Areas'!W3&lt;&gt; "",'2-Play Areas'!W3, "")</f>
        <v>33653.429999999993</v>
      </c>
      <c r="V21" s="1" t="str">
        <f>IF('2-Play Areas'!X3&lt;&gt; "",'2-Play Areas'!X3, "")</f>
        <v/>
      </c>
      <c r="W21" s="1" t="str">
        <f>IF('2-Play Areas'!Y3&lt;&gt; "",'2-Play Areas'!Y3, "")</f>
        <v/>
      </c>
      <c r="X21" s="1">
        <f>IF('2-Play Areas'!Z3&lt;&gt; "",'2-Play Areas'!Z3, "")</f>
        <v>0</v>
      </c>
      <c r="Y21" s="1">
        <f>IF('2-Play Areas'!AA3&lt;&gt; "",'2-Play Areas'!AA3, "")</f>
        <v>33653.429999999993</v>
      </c>
      <c r="Z21" s="1" t="str">
        <f>IF('2-Play Areas'!AB3&lt;&gt; "",'2-Play Areas'!AB3, "")</f>
        <v/>
      </c>
      <c r="AA21" s="1" t="str">
        <f>IF('2-Play Areas'!AC3&lt;&gt; "",'2-Play Areas'!AC3, "")</f>
        <v/>
      </c>
      <c r="AB21" s="1">
        <f>IF('2-Play Areas'!AD3&lt;&gt; "",'2-Play Areas'!AD3, "")</f>
        <v>0</v>
      </c>
      <c r="AC21" s="1">
        <f>IF('2-Play Areas'!AE3&lt;&gt; "",'2-Play Areas'!AE3, "")</f>
        <v>33653.429999999993</v>
      </c>
      <c r="AD21" t="str">
        <f>IF('2-Play Areas'!AF3&lt;&gt; "",'2-Play Areas'!AF3, "")</f>
        <v/>
      </c>
      <c r="AE21" s="1">
        <f>IF('2-Play Areas'!AG3&lt;&gt; "",'2-Play Areas'!AG3, "")</f>
        <v>150000</v>
      </c>
      <c r="AF21" s="1">
        <v>250000</v>
      </c>
    </row>
    <row r="22" spans="1:32" x14ac:dyDescent="0.35">
      <c r="A22" s="79" t="s">
        <v>112</v>
      </c>
      <c r="B22" s="79">
        <f>IF('2-Play Areas'!D4&lt;&gt; "",'2-Play Areas'!D4, "")</f>
        <v>55960</v>
      </c>
      <c r="C22" s="79">
        <f>IF('2-Play Areas'!E4&lt;&gt; "",'2-Play Areas'!E4, "")</f>
        <v>0</v>
      </c>
      <c r="D22" s="79">
        <f>IF('2-Play Areas'!F4&lt;&gt; "",'2-Play Areas'!F4, "")</f>
        <v>49940.24</v>
      </c>
      <c r="E22" s="79">
        <f>IF('2-Play Areas'!G4&lt;&gt; "",'2-Play Areas'!G4, "")</f>
        <v>6019.760000000002</v>
      </c>
      <c r="F22" s="79" t="str">
        <f>IF('2-Play Areas'!H4&lt;&gt; "",'2-Play Areas'!H4, "")</f>
        <v/>
      </c>
      <c r="G22" s="79" t="str">
        <f>IF('2-Play Areas'!I4&lt;&gt; "",'2-Play Areas'!I4, "")</f>
        <v/>
      </c>
      <c r="H22" s="79">
        <f>IF('2-Play Areas'!J4&lt;&gt; "",'2-Play Areas'!J4, "")</f>
        <v>6019.76</v>
      </c>
      <c r="I22" s="79">
        <f>IF('2-Play Areas'!K4&lt;&gt; "",'2-Play Areas'!K4, "")</f>
        <v>1.8189894035458565E-12</v>
      </c>
      <c r="J22" s="79" t="str">
        <f>IF('2-Play Areas'!L4&lt;&gt; "",'2-Play Areas'!L4, "")</f>
        <v/>
      </c>
      <c r="K22" s="79" t="str">
        <f>IF('2-Play Areas'!M4&lt;&gt; "",'2-Play Areas'!M4, "")</f>
        <v/>
      </c>
      <c r="L22" s="81"/>
      <c r="M22" s="79">
        <f>IF('2-Play Areas'!O4&lt;&gt; "",'2-Play Areas'!O4, "")</f>
        <v>1.8189894035458565E-12</v>
      </c>
      <c r="N22" s="79" t="str">
        <f>IF('2-Play Areas'!P4&lt;&gt; "",'2-Play Areas'!P4, "")</f>
        <v/>
      </c>
      <c r="O22" s="79" t="str">
        <f>IF('2-Play Areas'!Q4&lt;&gt; "",'2-Play Areas'!Q4, "")</f>
        <v/>
      </c>
      <c r="P22" s="79">
        <f>IF('2-Play Areas'!R4&lt;&gt; "",'2-Play Areas'!R4, "")</f>
        <v>0</v>
      </c>
      <c r="Q22" s="79">
        <f>IF('2-Play Areas'!S4&lt;&gt; "",'2-Play Areas'!S4, "")</f>
        <v>1.8189894035458565E-12</v>
      </c>
      <c r="R22" s="79" t="str">
        <f>IF('2-Play Areas'!T4&lt;&gt; "",'2-Play Areas'!T4, "")</f>
        <v/>
      </c>
      <c r="S22" s="79" t="str">
        <f>IF('2-Play Areas'!U4&lt;&gt; "",'2-Play Areas'!U4, "")</f>
        <v/>
      </c>
      <c r="T22" s="79">
        <f>IF('2-Play Areas'!V4&lt;&gt; "",'2-Play Areas'!V4, "")</f>
        <v>0</v>
      </c>
      <c r="U22" s="79">
        <f>IF('2-Play Areas'!W4&lt;&gt; "",'2-Play Areas'!W4, "")</f>
        <v>1.8189894035458565E-12</v>
      </c>
      <c r="V22" s="79" t="str">
        <f>IF('2-Play Areas'!X4&lt;&gt; "",'2-Play Areas'!X4, "")</f>
        <v/>
      </c>
      <c r="W22" s="79" t="str">
        <f>IF('2-Play Areas'!Y4&lt;&gt; "",'2-Play Areas'!Y4, "")</f>
        <v/>
      </c>
      <c r="X22" s="79">
        <f>IF('2-Play Areas'!Z4&lt;&gt; "",'2-Play Areas'!Z4, "")</f>
        <v>0</v>
      </c>
      <c r="Y22" s="79">
        <f>IF('2-Play Areas'!AA4&lt;&gt; "",'2-Play Areas'!AA4, "")</f>
        <v>1.8189894035458565E-12</v>
      </c>
      <c r="Z22" s="79" t="str">
        <f>IF('2-Play Areas'!AB4&lt;&gt; "",'2-Play Areas'!AB4, "")</f>
        <v/>
      </c>
      <c r="AA22" s="79" t="str">
        <f>IF('2-Play Areas'!AC4&lt;&gt; "",'2-Play Areas'!AC4, "")</f>
        <v/>
      </c>
      <c r="AB22" s="79">
        <f>IF('2-Play Areas'!AD4&lt;&gt; "",'2-Play Areas'!AD4, "")</f>
        <v>0</v>
      </c>
      <c r="AC22" s="79">
        <f>IF('2-Play Areas'!AE4&lt;&gt; "",'2-Play Areas'!AE4, "")</f>
        <v>1.8189894035458565E-12</v>
      </c>
      <c r="AD22" s="80" t="str">
        <f>IF('2-Play Areas'!AF4&lt;&gt; "",'2-Play Areas'!AF4, "")</f>
        <v/>
      </c>
      <c r="AE22" s="79" t="str">
        <f>IF('2-Play Areas'!AG4&lt;&gt; "",'2-Play Areas'!AG4, "")</f>
        <v/>
      </c>
      <c r="AF22" s="79" t="s">
        <v>476</v>
      </c>
    </row>
    <row r="23" spans="1:32" x14ac:dyDescent="0.35">
      <c r="A23" s="1" t="s">
        <v>72</v>
      </c>
      <c r="B23" s="1">
        <f>IF('2-Play Areas'!D6&lt;&gt; "",'2-Play Areas'!D6, "")</f>
        <v>0</v>
      </c>
      <c r="C23" s="1">
        <f>IF('2-Play Areas'!E6&lt;&gt; "",'2-Play Areas'!E6, "")</f>
        <v>0</v>
      </c>
      <c r="D23" s="1">
        <f>IF('2-Play Areas'!F6&lt;&gt; "",'2-Play Areas'!F6, "")</f>
        <v>0</v>
      </c>
      <c r="E23" s="1">
        <f>IF('2-Play Areas'!G6&lt;&gt; "",'2-Play Areas'!G6, "")</f>
        <v>44842.31</v>
      </c>
      <c r="F23" s="1" t="str">
        <f>IF('2-Play Areas'!H6&lt;&gt; "",'2-Play Areas'!H6, "")</f>
        <v/>
      </c>
      <c r="G23" s="1" t="str">
        <f>IF('2-Play Areas'!I6&lt;&gt; "",'2-Play Areas'!I6, "")</f>
        <v/>
      </c>
      <c r="H23" s="1">
        <f>IF('2-Play Areas'!J6&lt;&gt; "",'2-Play Areas'!J6, "")</f>
        <v>44842.31</v>
      </c>
      <c r="I23" s="1">
        <f>IF('2-Play Areas'!K6&lt;&gt; "",'2-Play Areas'!K6, "")</f>
        <v>90000</v>
      </c>
      <c r="J23" s="1" t="str">
        <f>IF('2-Play Areas'!L6&lt;&gt; "",'2-Play Areas'!L6, "")</f>
        <v/>
      </c>
      <c r="K23" s="1" t="str">
        <f>IF('2-Play Areas'!M6&lt;&gt; "",'2-Play Areas'!M6, "")</f>
        <v/>
      </c>
      <c r="L23" s="5"/>
      <c r="M23" s="1">
        <f>IF('2-Play Areas'!O6&lt;&gt; "",'2-Play Areas'!O6, "")</f>
        <v>130000</v>
      </c>
      <c r="N23" s="1" t="str">
        <f>IF('2-Play Areas'!P6&lt;&gt; "",'2-Play Areas'!P6, "")</f>
        <v/>
      </c>
      <c r="O23" s="1" t="str">
        <f>IF('2-Play Areas'!Q6&lt;&gt; "",'2-Play Areas'!Q6, "")</f>
        <v/>
      </c>
      <c r="P23" s="1">
        <f>IF('2-Play Areas'!R6&lt;&gt; "",'2-Play Areas'!R6, "")</f>
        <v>0</v>
      </c>
      <c r="Q23" s="1">
        <f>IF('2-Play Areas'!S6&lt;&gt; "",'2-Play Areas'!S6, "")</f>
        <v>130000</v>
      </c>
      <c r="R23" s="1" t="str">
        <f>IF('2-Play Areas'!T6&lt;&gt; "",'2-Play Areas'!T6, "")</f>
        <v/>
      </c>
      <c r="S23" s="1" t="str">
        <f>IF('2-Play Areas'!U6&lt;&gt; "",'2-Play Areas'!U6, "")</f>
        <v/>
      </c>
      <c r="T23" s="1">
        <f>IF('2-Play Areas'!V6&lt;&gt; "",'2-Play Areas'!V6, "")</f>
        <v>0</v>
      </c>
      <c r="U23" s="1">
        <f>IF('2-Play Areas'!W6&lt;&gt; "",'2-Play Areas'!W6, "")</f>
        <v>130000</v>
      </c>
      <c r="V23" s="1" t="str">
        <f>IF('2-Play Areas'!X6&lt;&gt; "",'2-Play Areas'!X6, "")</f>
        <v/>
      </c>
      <c r="W23" s="1" t="str">
        <f>IF('2-Play Areas'!Y6&lt;&gt; "",'2-Play Areas'!Y6, "")</f>
        <v/>
      </c>
      <c r="X23" s="1">
        <f>IF('2-Play Areas'!Z6&lt;&gt; "",'2-Play Areas'!Z6, "")</f>
        <v>0</v>
      </c>
      <c r="Y23" s="1">
        <f>IF('2-Play Areas'!AA6&lt;&gt; "",'2-Play Areas'!AA6, "")</f>
        <v>130000</v>
      </c>
      <c r="Z23" s="1" t="str">
        <f>IF('2-Play Areas'!AB6&lt;&gt; "",'2-Play Areas'!AB6, "")</f>
        <v/>
      </c>
      <c r="AA23" s="1" t="str">
        <f>IF('2-Play Areas'!AC6&lt;&gt; "",'2-Play Areas'!AC6, "")</f>
        <v/>
      </c>
      <c r="AB23" s="1">
        <f>IF('2-Play Areas'!AD6&lt;&gt; "",'2-Play Areas'!AD6, "")</f>
        <v>0</v>
      </c>
      <c r="AC23" s="1">
        <f>IF('2-Play Areas'!AE6&lt;&gt; "",'2-Play Areas'!AE6, "")</f>
        <v>130000</v>
      </c>
      <c r="AD23" t="str">
        <f>IF('2-Play Areas'!AF6&lt;&gt; "",'2-Play Areas'!AF6, "")</f>
        <v/>
      </c>
      <c r="AE23" s="1" t="str">
        <f>IF('2-Play Areas'!AG6&lt;&gt; "",'2-Play Areas'!AG6, "")</f>
        <v/>
      </c>
      <c r="AF23" s="1" t="s">
        <v>476</v>
      </c>
    </row>
    <row r="24" spans="1:32" x14ac:dyDescent="0.35">
      <c r="A24" s="79" t="s">
        <v>119</v>
      </c>
      <c r="B24" s="79">
        <f>IF('2-Public Conveniences'!D3&lt;&gt; "",'2-Public Conveniences'!D3, "")</f>
        <v>76163</v>
      </c>
      <c r="C24" s="79">
        <f>IF('2-Public Conveniences'!E3&lt;&gt; "",'2-Public Conveniences'!E3, "")</f>
        <v>20213</v>
      </c>
      <c r="D24" s="79">
        <f>IF('2-Public Conveniences'!F3&lt;&gt; "",'2-Public Conveniences'!F3, "")</f>
        <v>0</v>
      </c>
      <c r="E24" s="79">
        <f>IF('2-Public Conveniences'!G3&lt;&gt; "",'2-Public Conveniences'!G3, "")</f>
        <v>88237.32</v>
      </c>
      <c r="F24" s="79" t="str">
        <f>IF('2-Public Conveniences'!H3&lt;&gt; "",'2-Public Conveniences'!H3, "")</f>
        <v>£23,643 for FP</v>
      </c>
      <c r="G24" s="79" t="str">
        <f>IF('2-Public Conveniences'!I3&lt;&gt; "",'2-Public Conveniences'!I3, "")</f>
        <v/>
      </c>
      <c r="H24" s="79">
        <f>IF('2-Public Conveniences'!J3&lt;&gt; "",'2-Public Conveniences'!J3, "")</f>
        <v>30000</v>
      </c>
      <c r="I24" s="79">
        <f>IF('2-Public Conveniences'!K3&lt;&gt; "",'2-Public Conveniences'!K3, "")</f>
        <v>105821.33000000002</v>
      </c>
      <c r="J24" s="79" t="str">
        <f>IF('2-Public Conveniences'!L3&lt;&gt; "",'2-Public Conveniences'!L3, "")</f>
        <v/>
      </c>
      <c r="K24" s="79">
        <f>IF('2-Public Conveniences'!M3&lt;&gt; "",'2-Public Conveniences'!M3, "")</f>
        <v>-45271</v>
      </c>
      <c r="L24" s="81"/>
      <c r="M24" s="79">
        <f>IF('2-Public Conveniences'!O3&lt;&gt; "",'2-Public Conveniences'!O3, "")</f>
        <v>14714.160000000009</v>
      </c>
      <c r="N24" s="79" t="str">
        <f>IF('2-Public Conveniences'!P3&lt;&gt; "",'2-Public Conveniences'!P3, "")</f>
        <v/>
      </c>
      <c r="O24" s="79" t="str">
        <f>IF('2-Public Conveniences'!Q3&lt;&gt; "",'2-Public Conveniences'!Q3, "")</f>
        <v/>
      </c>
      <c r="P24" s="79">
        <f>IF('2-Public Conveniences'!R3&lt;&gt; "",'2-Public Conveniences'!R3, "")</f>
        <v>0</v>
      </c>
      <c r="Q24" s="79">
        <f>IF('2-Public Conveniences'!S3&lt;&gt; "",'2-Public Conveniences'!S3, "")</f>
        <v>14714.160000000011</v>
      </c>
      <c r="R24" s="79" t="str">
        <f>IF('2-Public Conveniences'!T3&lt;&gt; "",'2-Public Conveniences'!T3, "")</f>
        <v/>
      </c>
      <c r="S24" s="79" t="str">
        <f>IF('2-Public Conveniences'!U3&lt;&gt; "",'2-Public Conveniences'!U3, "")</f>
        <v/>
      </c>
      <c r="T24" s="79">
        <f>IF('2-Public Conveniences'!V3&lt;&gt; "",'2-Public Conveniences'!V3, "")</f>
        <v>0</v>
      </c>
      <c r="U24" s="79">
        <f>IF('2-Public Conveniences'!W3&lt;&gt; "",'2-Public Conveniences'!W3, "")</f>
        <v>14714.160000000011</v>
      </c>
      <c r="V24" s="79" t="str">
        <f>IF('2-Public Conveniences'!X3&lt;&gt; "",'2-Public Conveniences'!X3, "")</f>
        <v/>
      </c>
      <c r="W24" s="79" t="str">
        <f>IF('2-Public Conveniences'!Y3&lt;&gt; "",'2-Public Conveniences'!Y3, "")</f>
        <v/>
      </c>
      <c r="X24" s="79">
        <f>IF('2-Public Conveniences'!Z3&lt;&gt; "",'2-Public Conveniences'!Z3, "")</f>
        <v>0</v>
      </c>
      <c r="Y24" s="79">
        <f>IF('2-Public Conveniences'!AA3&lt;&gt; "",'2-Public Conveniences'!AA3, "")</f>
        <v>14714.160000000011</v>
      </c>
      <c r="Z24" s="79" t="str">
        <f>IF('2-Public Conveniences'!AB3&lt;&gt; "",'2-Public Conveniences'!AB3, "")</f>
        <v/>
      </c>
      <c r="AA24" s="79" t="str">
        <f>IF('2-Public Conveniences'!AC3&lt;&gt; "",'2-Public Conveniences'!AC3, "")</f>
        <v/>
      </c>
      <c r="AB24" s="79">
        <f>IF('2-Public Conveniences'!AD3&lt;&gt; "",'2-Public Conveniences'!AD3, "")</f>
        <v>0</v>
      </c>
      <c r="AC24" s="79">
        <f>IF('2-Public Conveniences'!AE3&lt;&gt; "",'2-Public Conveniences'!AE3, "")</f>
        <v>14714.160000000011</v>
      </c>
      <c r="AD24" s="80" t="str">
        <f>IF('2-Public Conveniences'!AF3&lt;&gt; "",'2-Public Conveniences'!AF3, "")</f>
        <v/>
      </c>
      <c r="AE24" s="79">
        <f>IF('2-Public Conveniences'!AG3&lt;&gt; "",'2-Public Conveniences'!AG3, "")</f>
        <v>100000</v>
      </c>
      <c r="AF24" s="79">
        <v>200000</v>
      </c>
    </row>
    <row r="25" spans="1:32" x14ac:dyDescent="0.35">
      <c r="A25" s="1" t="s">
        <v>72</v>
      </c>
      <c r="B25" s="1">
        <f>IF('2-Public Conveniences'!D4&lt;&gt; "",'2-Public Conveniences'!D4, "")</f>
        <v>0</v>
      </c>
      <c r="C25" s="1">
        <f>IF('2-Public Conveniences'!E4&lt;&gt; "",'2-Public Conveniences'!E4, "")</f>
        <v>0</v>
      </c>
      <c r="D25" s="1">
        <f>IF('2-Public Conveniences'!F4&lt;&gt; "",'2-Public Conveniences'!F4, "")</f>
        <v>-27141.11</v>
      </c>
      <c r="E25" s="1">
        <f>IF('2-Public Conveniences'!G4&lt;&gt; "",'2-Public Conveniences'!G4, "")</f>
        <v>107141.11</v>
      </c>
      <c r="F25" s="1" t="str">
        <f>IF('2-Public Conveniences'!H4&lt;&gt; "",'2-Public Conveniences'!H4, "")</f>
        <v/>
      </c>
      <c r="G25" s="1">
        <f>IF('2-Public Conveniences'!I4&lt;&gt; "",'2-Public Conveniences'!I4, "")</f>
        <v>0</v>
      </c>
      <c r="H25" s="1">
        <f>IF('2-Public Conveniences'!J4&lt;&gt; "",'2-Public Conveniences'!J4, "")</f>
        <v>89270</v>
      </c>
      <c r="I25" s="1">
        <f>IF('2-Public Conveniences'!K4&lt;&gt; "",'2-Public Conveniences'!K4, "")</f>
        <v>17871.11</v>
      </c>
      <c r="J25" s="1" t="str">
        <f>IF('2-Public Conveniences'!L4&lt;&gt; "",'2-Public Conveniences'!L4, "")</f>
        <v/>
      </c>
      <c r="K25" s="1" t="str">
        <f>IF('2-Public Conveniences'!M4&lt;&gt; "",'2-Public Conveniences'!M4, "")</f>
        <v/>
      </c>
      <c r="L25" s="5"/>
      <c r="M25" s="1">
        <f>IF('2-Public Conveniences'!O4&lt;&gt; "",'2-Public Conveniences'!O4, "")</f>
        <v>84921.11</v>
      </c>
      <c r="N25" s="1" t="str">
        <f>IF('2-Public Conveniences'!P4&lt;&gt; "",'2-Public Conveniences'!P4, "")</f>
        <v/>
      </c>
      <c r="O25" s="1" t="str">
        <f>IF('2-Public Conveniences'!Q4&lt;&gt; "",'2-Public Conveniences'!Q4, "")</f>
        <v/>
      </c>
      <c r="P25" s="1">
        <f>IF('2-Public Conveniences'!R4&lt;&gt; "",'2-Public Conveniences'!R4, "")</f>
        <v>0</v>
      </c>
      <c r="Q25" s="1">
        <f>IF('2-Public Conveniences'!S4&lt;&gt; "",'2-Public Conveniences'!S4, "")</f>
        <v>84921.109999999986</v>
      </c>
      <c r="R25" s="1" t="str">
        <f>IF('2-Public Conveniences'!T4&lt;&gt; "",'2-Public Conveniences'!T4, "")</f>
        <v/>
      </c>
      <c r="S25" s="1" t="str">
        <f>IF('2-Public Conveniences'!U4&lt;&gt; "",'2-Public Conveniences'!U4, "")</f>
        <v/>
      </c>
      <c r="T25" s="1">
        <f>IF('2-Public Conveniences'!V4&lt;&gt; "",'2-Public Conveniences'!V4, "")</f>
        <v>0</v>
      </c>
      <c r="U25" s="1">
        <f>IF('2-Public Conveniences'!W4&lt;&gt; "",'2-Public Conveniences'!W4, "")</f>
        <v>84921.109999999986</v>
      </c>
      <c r="V25" s="1" t="str">
        <f>IF('2-Public Conveniences'!X4&lt;&gt; "",'2-Public Conveniences'!X4, "")</f>
        <v/>
      </c>
      <c r="W25" s="1" t="str">
        <f>IF('2-Public Conveniences'!Y4&lt;&gt; "",'2-Public Conveniences'!Y4, "")</f>
        <v/>
      </c>
      <c r="X25" s="1">
        <f>IF('2-Public Conveniences'!Z4&lt;&gt; "",'2-Public Conveniences'!Z4, "")</f>
        <v>0</v>
      </c>
      <c r="Y25" s="1">
        <f>IF('2-Public Conveniences'!AA4&lt;&gt; "",'2-Public Conveniences'!AA4, "")</f>
        <v>84921.109999999986</v>
      </c>
      <c r="Z25" s="1" t="str">
        <f>IF('2-Public Conveniences'!AB4&lt;&gt; "",'2-Public Conveniences'!AB4, "")</f>
        <v/>
      </c>
      <c r="AA25" s="1" t="str">
        <f>IF('2-Public Conveniences'!AC4&lt;&gt; "",'2-Public Conveniences'!AC4, "")</f>
        <v/>
      </c>
      <c r="AB25" s="1">
        <f>IF('2-Public Conveniences'!AD4&lt;&gt; "",'2-Public Conveniences'!AD4, "")</f>
        <v>0</v>
      </c>
      <c r="AC25" s="1">
        <f>IF('2-Public Conveniences'!AE4&lt;&gt; "",'2-Public Conveniences'!AE4, "")</f>
        <v>84921.109999999986</v>
      </c>
      <c r="AD25" t="str">
        <f>IF('2-Public Conveniences'!AF4&lt;&gt; "",'2-Public Conveniences'!AF4, "")</f>
        <v/>
      </c>
      <c r="AE25" s="1" t="str">
        <f>IF('2-Public Conveniences'!AG4&lt;&gt; "",'2-Public Conveniences'!AG4, "")</f>
        <v/>
      </c>
      <c r="AF25" s="1" t="s">
        <v>476</v>
      </c>
    </row>
    <row r="26" spans="1:32" x14ac:dyDescent="0.35">
      <c r="A26" s="79" t="s">
        <v>125</v>
      </c>
      <c r="B26" s="79">
        <f>IF('2-Triangle Market'!D3&lt;&gt; "",'2-Triangle Market'!D3, "")</f>
        <v>59029.5</v>
      </c>
      <c r="C26" s="79">
        <f>IF('2-Triangle Market'!E3&lt;&gt; "",'2-Triangle Market'!E3, "")</f>
        <v>13321</v>
      </c>
      <c r="D26" s="79">
        <f>IF('2-Triangle Market'!F3&lt;&gt; "",'2-Triangle Market'!F3, "")</f>
        <v>34690.65</v>
      </c>
      <c r="E26" s="79">
        <f>IF('2-Triangle Market'!G3&lt;&gt; "",'2-Triangle Market'!G3, "")</f>
        <v>27084.94</v>
      </c>
      <c r="F26" s="79" t="str">
        <f>IF('2-Triangle Market'!H3&lt;&gt; "",'2-Triangle Market'!H3, "")</f>
        <v/>
      </c>
      <c r="G26" s="79">
        <f>IF('2-Triangle Market'!I3&lt;&gt; "",'2-Triangle Market'!I3, "")</f>
        <v>21700</v>
      </c>
      <c r="H26" s="79">
        <f>IF('2-Triangle Market'!J3&lt;&gt; "",'2-Triangle Market'!J3, "")</f>
        <v>11157.16</v>
      </c>
      <c r="I26" s="79">
        <f>IF('2-Triangle Market'!K3&lt;&gt; "",'2-Triangle Market'!K3, "")</f>
        <v>37407.1</v>
      </c>
      <c r="J26" s="79" t="str">
        <f>IF('2-Triangle Market'!L3&lt;&gt; "",'2-Triangle Market'!L3, "")</f>
        <v/>
      </c>
      <c r="K26" s="79">
        <f>IF('2-Triangle Market'!M3&lt;&gt; "",'2-Triangle Market'!M3, "")</f>
        <v>-10356</v>
      </c>
      <c r="L26" s="81"/>
      <c r="M26" s="79">
        <f>IF('2-Triangle Market'!O3&lt;&gt; "",'2-Triangle Market'!O3, "")</f>
        <v>18830.78</v>
      </c>
      <c r="N26" s="79" t="str">
        <f>IF('2-Triangle Market'!P3&lt;&gt; "",'2-Triangle Market'!P3, "")</f>
        <v/>
      </c>
      <c r="O26" s="79" t="str">
        <f>IF('2-Triangle Market'!Q3&lt;&gt; "",'2-Triangle Market'!Q3, "")</f>
        <v/>
      </c>
      <c r="P26" s="79">
        <f>IF('2-Triangle Market'!R3&lt;&gt; "",'2-Triangle Market'!R3, "")</f>
        <v>0</v>
      </c>
      <c r="Q26" s="79">
        <f>IF('2-Triangle Market'!S3&lt;&gt; "",'2-Triangle Market'!S3, "")</f>
        <v>18830.78</v>
      </c>
      <c r="R26" s="79" t="str">
        <f>IF('2-Triangle Market'!T3&lt;&gt; "",'2-Triangle Market'!T3, "")</f>
        <v/>
      </c>
      <c r="S26" s="79" t="str">
        <f>IF('2-Triangle Market'!U3&lt;&gt; "",'2-Triangle Market'!U3, "")</f>
        <v/>
      </c>
      <c r="T26" s="79">
        <f>IF('2-Triangle Market'!V3&lt;&gt; "",'2-Triangle Market'!V3, "")</f>
        <v>0</v>
      </c>
      <c r="U26" s="79">
        <f>IF('2-Triangle Market'!W3&lt;&gt; "",'2-Triangle Market'!W3, "")</f>
        <v>18830.78</v>
      </c>
      <c r="V26" s="79" t="str">
        <f>IF('2-Triangle Market'!X3&lt;&gt; "",'2-Triangle Market'!X3, "")</f>
        <v/>
      </c>
      <c r="W26" s="79" t="str">
        <f>IF('2-Triangle Market'!Y3&lt;&gt; "",'2-Triangle Market'!Y3, "")</f>
        <v/>
      </c>
      <c r="X26" s="79">
        <f>IF('2-Triangle Market'!Z3&lt;&gt; "",'2-Triangle Market'!Z3, "")</f>
        <v>0</v>
      </c>
      <c r="Y26" s="79">
        <f>IF('2-Triangle Market'!AA3&lt;&gt; "",'2-Triangle Market'!AA3, "")</f>
        <v>18830.78</v>
      </c>
      <c r="Z26" s="79" t="str">
        <f>IF('2-Triangle Market'!AB3&lt;&gt; "",'2-Triangle Market'!AB3, "")</f>
        <v/>
      </c>
      <c r="AA26" s="79" t="str">
        <f>IF('2-Triangle Market'!AC3&lt;&gt; "",'2-Triangle Market'!AC3, "")</f>
        <v/>
      </c>
      <c r="AB26" s="79">
        <f>IF('2-Triangle Market'!AD3&lt;&gt; "",'2-Triangle Market'!AD3, "")</f>
        <v>0</v>
      </c>
      <c r="AC26" s="79">
        <f>IF('2-Triangle Market'!AE3&lt;&gt; "",'2-Triangle Market'!AE3, "")</f>
        <v>18830.78</v>
      </c>
      <c r="AD26" s="80" t="str">
        <f>IF('2-Triangle Market'!AF3&lt;&gt; "",'2-Triangle Market'!AF3, "")</f>
        <v/>
      </c>
      <c r="AE26" s="79">
        <f>IF('2-Triangle Market'!AG3&lt;&gt; "",'2-Triangle Market'!AG3, "")</f>
        <v>75000</v>
      </c>
      <c r="AF26" s="79">
        <f>AE26</f>
        <v>75000</v>
      </c>
    </row>
    <row r="27" spans="1:32" x14ac:dyDescent="0.35">
      <c r="A27" s="1" t="s">
        <v>126</v>
      </c>
      <c r="B27" s="1">
        <f>IF('2-Triangle Market'!D4&lt;&gt; "",'2-Triangle Market'!D4, "")</f>
        <v>0</v>
      </c>
      <c r="C27" s="1">
        <f>IF('2-Triangle Market'!E4&lt;&gt; "",'2-Triangle Market'!E4, "")</f>
        <v>0</v>
      </c>
      <c r="D27" s="1">
        <f>IF('2-Triangle Market'!F4&lt;&gt; "",'2-Triangle Market'!F4, "")</f>
        <v>-15000</v>
      </c>
      <c r="E27" s="1">
        <f>IF('2-Triangle Market'!G4&lt;&gt; "",'2-Triangle Market'!G4, "")</f>
        <v>15000</v>
      </c>
      <c r="F27" s="1" t="str">
        <f>IF('2-Triangle Market'!H4&lt;&gt; "",'2-Triangle Market'!H4, "")</f>
        <v/>
      </c>
      <c r="G27" s="1">
        <f>IF('2-Triangle Market'!I4&lt;&gt; "",'2-Triangle Market'!I4, "")</f>
        <v>-15000</v>
      </c>
      <c r="H27" s="1">
        <f>IF('2-Triangle Market'!J4&lt;&gt; "",'2-Triangle Market'!J4, "")</f>
        <v>0</v>
      </c>
      <c r="I27" s="1">
        <f>IF('2-Triangle Market'!K4&lt;&gt; "",'2-Triangle Market'!K4, "")</f>
        <v>0</v>
      </c>
      <c r="J27" s="1" t="str">
        <f>IF('2-Triangle Market'!L4&lt;&gt; "",'2-Triangle Market'!L4, "")</f>
        <v>EMR offset against TM Capital budget</v>
      </c>
      <c r="K27" s="1" t="str">
        <f>IF('2-Triangle Market'!M4&lt;&gt; "",'2-Triangle Market'!M4, "")</f>
        <v/>
      </c>
      <c r="L27" s="5"/>
      <c r="M27" s="1">
        <f>IF('2-Triangle Market'!O4&lt;&gt; "",'2-Triangle Market'!O4, "")</f>
        <v>0</v>
      </c>
      <c r="N27" s="1" t="str">
        <f>IF('2-Triangle Market'!P4&lt;&gt; "",'2-Triangle Market'!P4, "")</f>
        <v/>
      </c>
      <c r="O27" s="1" t="str">
        <f>IF('2-Triangle Market'!Q4&lt;&gt; "",'2-Triangle Market'!Q4, "")</f>
        <v/>
      </c>
      <c r="P27" s="1">
        <f>IF('2-Triangle Market'!R4&lt;&gt; "",'2-Triangle Market'!R4, "")</f>
        <v>0</v>
      </c>
      <c r="Q27" s="1">
        <f>IF('2-Triangle Market'!S4&lt;&gt; "",'2-Triangle Market'!S4, "")</f>
        <v>0</v>
      </c>
      <c r="R27" s="1" t="str">
        <f>IF('2-Triangle Market'!T4&lt;&gt; "",'2-Triangle Market'!T4, "")</f>
        <v/>
      </c>
      <c r="S27" s="1" t="str">
        <f>IF('2-Triangle Market'!U4&lt;&gt; "",'2-Triangle Market'!U4, "")</f>
        <v/>
      </c>
      <c r="T27" s="1">
        <f>IF('2-Triangle Market'!V4&lt;&gt; "",'2-Triangle Market'!V4, "")</f>
        <v>0</v>
      </c>
      <c r="U27" s="1">
        <f>IF('2-Triangle Market'!W4&lt;&gt; "",'2-Triangle Market'!W4, "")</f>
        <v>0</v>
      </c>
      <c r="V27" s="1" t="str">
        <f>IF('2-Triangle Market'!X4&lt;&gt; "",'2-Triangle Market'!X4, "")</f>
        <v/>
      </c>
      <c r="W27" s="1" t="str">
        <f>IF('2-Triangle Market'!Y4&lt;&gt; "",'2-Triangle Market'!Y4, "")</f>
        <v/>
      </c>
      <c r="X27" s="1">
        <f>IF('2-Triangle Market'!Z4&lt;&gt; "",'2-Triangle Market'!Z4, "")</f>
        <v>0</v>
      </c>
      <c r="Y27" s="1">
        <f>IF('2-Triangle Market'!AA4&lt;&gt; "",'2-Triangle Market'!AA4, "")</f>
        <v>0</v>
      </c>
      <c r="Z27" s="1" t="str">
        <f>IF('2-Triangle Market'!AB4&lt;&gt; "",'2-Triangle Market'!AB4, "")</f>
        <v/>
      </c>
      <c r="AA27" s="1" t="str">
        <f>IF('2-Triangle Market'!AC4&lt;&gt; "",'2-Triangle Market'!AC4, "")</f>
        <v/>
      </c>
      <c r="AB27" s="1">
        <f>IF('2-Triangle Market'!AD4&lt;&gt; "",'2-Triangle Market'!AD4, "")</f>
        <v>0</v>
      </c>
      <c r="AC27" s="1">
        <f>IF('2-Triangle Market'!AE4&lt;&gt; "",'2-Triangle Market'!AE4, "")</f>
        <v>0</v>
      </c>
      <c r="AD27" t="str">
        <f>IF('2-Triangle Market'!AF4&lt;&gt; "",'2-Triangle Market'!AF4, "")</f>
        <v/>
      </c>
      <c r="AE27" s="1" t="str">
        <f>IF('2-Triangle Market'!AG4&lt;&gt; "",'2-Triangle Market'!AG4, "")</f>
        <v/>
      </c>
      <c r="AF27" s="1" t="s">
        <v>476</v>
      </c>
    </row>
    <row r="28" spans="1:32" x14ac:dyDescent="0.35">
      <c r="A28" s="79" t="s">
        <v>132</v>
      </c>
      <c r="B28" s="79">
        <f>IF('2-Allotments'!D3&lt;&gt; "",'2-Allotments'!D3, "")</f>
        <v>20933</v>
      </c>
      <c r="C28" s="79">
        <f>IF('2-Allotments'!E3&lt;&gt; "",'2-Allotments'!E3, "")</f>
        <v>283</v>
      </c>
      <c r="D28" s="79">
        <f>IF('2-Allotments'!F3&lt;&gt; "",'2-Allotments'!F3, "")</f>
        <v>9674.31</v>
      </c>
      <c r="E28" s="79">
        <f>IF('2-Allotments'!G3&lt;&gt; "",'2-Allotments'!G3, "")</f>
        <v>21253.690000000002</v>
      </c>
      <c r="F28" s="79" t="str">
        <f>IF('2-Allotments'!H3&lt;&gt; "",'2-Allotments'!H3, "")</f>
        <v>rpi from 214 to 356.2</v>
      </c>
      <c r="G28" s="79">
        <f>IF('2-Allotments'!I3&lt;&gt; "",'2-Allotments'!I3, "")</f>
        <v>-19658</v>
      </c>
      <c r="H28" s="79">
        <f>IF('2-Allotments'!J3&lt;&gt; "",'2-Allotments'!J3, "")</f>
        <v>0</v>
      </c>
      <c r="I28" s="79">
        <f>IF('2-Allotments'!K3&lt;&gt; "",'2-Allotments'!K3, "")</f>
        <v>17360.61</v>
      </c>
      <c r="J28" s="79" t="str">
        <f>IF('2-Allotments'!L3&lt;&gt; "",'2-Allotments'!L3, "")</f>
        <v>Delegated to Allotments Sub-Committee, £1,665 EMR offset against Management Fee budget; £1K EMR offset against Administration budget; £17,576.69 EMR offset against R&amp;M budget</v>
      </c>
      <c r="K28" s="79">
        <f>IF('2-Allotments'!M3&lt;&gt; "",'2-Allotments'!M3, "")</f>
        <v>-15000</v>
      </c>
      <c r="L28" s="81"/>
      <c r="M28" s="79">
        <f>IF('2-Allotments'!O3&lt;&gt; "",'2-Allotments'!O3, "")</f>
        <v>19071.61</v>
      </c>
      <c r="N28" s="79" t="str">
        <f>IF('2-Allotments'!P3&lt;&gt; "",'2-Allotments'!P3, "")</f>
        <v/>
      </c>
      <c r="O28" s="79" t="str">
        <f>IF('2-Allotments'!Q3&lt;&gt; "",'2-Allotments'!Q3, "")</f>
        <v/>
      </c>
      <c r="P28" s="79">
        <f>IF('2-Allotments'!R3&lt;&gt; "",'2-Allotments'!R3, "")</f>
        <v>0</v>
      </c>
      <c r="Q28" s="79">
        <f>IF('2-Allotments'!S3&lt;&gt; "",'2-Allotments'!S3, "")</f>
        <v>19071.61</v>
      </c>
      <c r="R28" s="79" t="str">
        <f>IF('2-Allotments'!T3&lt;&gt; "",'2-Allotments'!T3, "")</f>
        <v/>
      </c>
      <c r="S28" s="79" t="str">
        <f>IF('2-Allotments'!U3&lt;&gt; "",'2-Allotments'!U3, "")</f>
        <v/>
      </c>
      <c r="T28" s="79">
        <f>IF('2-Allotments'!V3&lt;&gt; "",'2-Allotments'!V3, "")</f>
        <v>0</v>
      </c>
      <c r="U28" s="79">
        <f>IF('2-Allotments'!W3&lt;&gt; "",'2-Allotments'!W3, "")</f>
        <v>19071.61</v>
      </c>
      <c r="V28" s="79" t="str">
        <f>IF('2-Allotments'!X3&lt;&gt; "",'2-Allotments'!X3, "")</f>
        <v/>
      </c>
      <c r="W28" s="79" t="str">
        <f>IF('2-Allotments'!Y3&lt;&gt; "",'2-Allotments'!Y3, "")</f>
        <v/>
      </c>
      <c r="X28" s="79">
        <f>IF('2-Allotments'!Z3&lt;&gt; "",'2-Allotments'!Z3, "")</f>
        <v>0</v>
      </c>
      <c r="Y28" s="79">
        <f>IF('2-Allotments'!AA3&lt;&gt; "",'2-Allotments'!AA3, "")</f>
        <v>19071.61</v>
      </c>
      <c r="Z28" s="79" t="str">
        <f>IF('2-Allotments'!AB3&lt;&gt; "",'2-Allotments'!AB3, "")</f>
        <v/>
      </c>
      <c r="AA28" s="79" t="str">
        <f>IF('2-Allotments'!AC3&lt;&gt; "",'2-Allotments'!AC3, "")</f>
        <v/>
      </c>
      <c r="AB28" s="79">
        <f>IF('2-Allotments'!AD3&lt;&gt; "",'2-Allotments'!AD3, "")</f>
        <v>0</v>
      </c>
      <c r="AC28" s="79">
        <f>IF('2-Allotments'!AE3&lt;&gt; "",'2-Allotments'!AE3, "")</f>
        <v>19071.61</v>
      </c>
      <c r="AD28" s="80" t="str">
        <f>IF('2-Allotments'!AF3&lt;&gt; "",'2-Allotments'!AF3, "")</f>
        <v/>
      </c>
      <c r="AE28" s="79">
        <f>IF('2-Allotments'!AG3&lt;&gt; "",'2-Allotments'!AG3, "")</f>
        <v>75000</v>
      </c>
      <c r="AF28" s="79">
        <f>AE28</f>
        <v>75000</v>
      </c>
    </row>
    <row r="29" spans="1:32" x14ac:dyDescent="0.35">
      <c r="A29" s="1" t="s">
        <v>139</v>
      </c>
      <c r="B29" s="1">
        <f>IF('2-Normanston Park'!D3&lt;&gt; "",'2-Normanston Park'!D3, "")</f>
        <v>36187</v>
      </c>
      <c r="C29" s="1">
        <f>IF('2-Normanston Park'!E3&lt;&gt; "",'2-Normanston Park'!E3, "")</f>
        <v>6250</v>
      </c>
      <c r="D29" s="1">
        <f>IF('2-Normanston Park'!F3&lt;&gt; "",'2-Normanston Park'!F3, "")</f>
        <v>8277.89</v>
      </c>
      <c r="E29" s="1">
        <f>IF('2-Normanston Park'!G3&lt;&gt; "",'2-Normanston Park'!G3, "")</f>
        <v>33722.189999999988</v>
      </c>
      <c r="F29" s="1" t="str">
        <f>IF('2-Normanston Park'!H3&lt;&gt; "",'2-Normanston Park'!H3, "")</f>
        <v/>
      </c>
      <c r="G29" s="1">
        <f>IF('2-Normanston Park'!I3&lt;&gt; "",'2-Normanston Park'!I3, "")</f>
        <v>-35090</v>
      </c>
      <c r="H29" s="1">
        <f>IF('2-Normanston Park'!J3&lt;&gt; "",'2-Normanston Park'!J3, "")</f>
        <v>-5483.16</v>
      </c>
      <c r="I29" s="1">
        <f>IF('2-Normanston Park'!K3&lt;&gt; "",'2-Normanston Park'!K3, "")</f>
        <v>0</v>
      </c>
      <c r="J29" s="1" t="str">
        <f>IF('2-Normanston Park'!L3&lt;&gt; "",'2-Normanston Park'!L3, "")</f>
        <v/>
      </c>
      <c r="K29" s="1">
        <f>IF('2-Normanston Park'!M3&lt;&gt; "",'2-Normanston Park'!M3, "")</f>
        <v>0</v>
      </c>
      <c r="L29" s="5"/>
      <c r="M29" s="1">
        <f>IF('2-Normanston Park'!O3&lt;&gt; "",'2-Normanston Park'!O3, "")</f>
        <v>5284.27</v>
      </c>
      <c r="N29" s="1" t="str">
        <f>IF('2-Normanston Park'!P3&lt;&gt; "",'2-Normanston Park'!P3, "")</f>
        <v/>
      </c>
      <c r="O29" s="1" t="str">
        <f>IF('2-Normanston Park'!Q3&lt;&gt; "",'2-Normanston Park'!Q3, "")</f>
        <v/>
      </c>
      <c r="P29" s="1">
        <f>IF('2-Normanston Park'!R3&lt;&gt; "",'2-Normanston Park'!R3, "")</f>
        <v>0</v>
      </c>
      <c r="Q29" s="1">
        <f>IF('2-Normanston Park'!S3&lt;&gt; "",'2-Normanston Park'!S3, "")</f>
        <v>5284.27</v>
      </c>
      <c r="R29" s="1" t="str">
        <f>IF('2-Normanston Park'!T3&lt;&gt; "",'2-Normanston Park'!T3, "")</f>
        <v/>
      </c>
      <c r="S29" s="1" t="str">
        <f>IF('2-Normanston Park'!U3&lt;&gt; "",'2-Normanston Park'!U3, "")</f>
        <v/>
      </c>
      <c r="T29" s="1">
        <f>IF('2-Normanston Park'!V3&lt;&gt; "",'2-Normanston Park'!V3, "")</f>
        <v>0</v>
      </c>
      <c r="U29" s="1">
        <f>IF('2-Normanston Park'!W3&lt;&gt; "",'2-Normanston Park'!W3, "")</f>
        <v>5284.27</v>
      </c>
      <c r="V29" s="1" t="str">
        <f>IF('2-Normanston Park'!X3&lt;&gt; "",'2-Normanston Park'!X3, "")</f>
        <v/>
      </c>
      <c r="W29" s="1" t="str">
        <f>IF('2-Normanston Park'!Y3&lt;&gt; "",'2-Normanston Park'!Y3, "")</f>
        <v/>
      </c>
      <c r="X29" s="1">
        <f>IF('2-Normanston Park'!Z3&lt;&gt; "",'2-Normanston Park'!Z3, "")</f>
        <v>0</v>
      </c>
      <c r="Y29" s="1">
        <f>IF('2-Normanston Park'!AA3&lt;&gt; "",'2-Normanston Park'!AA3, "")</f>
        <v>5284.27</v>
      </c>
      <c r="Z29" s="1" t="str">
        <f>IF('2-Normanston Park'!AB3&lt;&gt; "",'2-Normanston Park'!AB3, "")</f>
        <v/>
      </c>
      <c r="AA29" s="1" t="str">
        <f>IF('2-Normanston Park'!AC3&lt;&gt; "",'2-Normanston Park'!AC3, "")</f>
        <v/>
      </c>
      <c r="AB29" s="1">
        <f>IF('2-Normanston Park'!AD3&lt;&gt; "",'2-Normanston Park'!AD3, "")</f>
        <v>0</v>
      </c>
      <c r="AC29" s="1">
        <f>IF('2-Normanston Park'!AE3&lt;&gt; "",'2-Normanston Park'!AE3, "")</f>
        <v>5284.27</v>
      </c>
      <c r="AD29" t="str">
        <f>IF('2-Normanston Park'!AF3&lt;&gt; "",'2-Normanston Park'!AF3, "")</f>
        <v/>
      </c>
      <c r="AE29" s="1">
        <f>IF('2-Normanston Park'!AG3&lt;&gt; "",'2-Normanston Park'!AG3, "")</f>
        <v>50000</v>
      </c>
      <c r="AF29" s="1">
        <f>AE29</f>
        <v>50000</v>
      </c>
    </row>
    <row r="30" spans="1:32" x14ac:dyDescent="0.35">
      <c r="A30" s="79" t="s">
        <v>72</v>
      </c>
      <c r="B30" s="79">
        <f>IF('2-Normanston Park'!D4&lt;&gt; "",'2-Normanston Park'!D4, "")</f>
        <v>0</v>
      </c>
      <c r="C30" s="79">
        <f>IF('2-Normanston Park'!E4&lt;&gt; "",'2-Normanston Park'!E4, "")</f>
        <v>0</v>
      </c>
      <c r="D30" s="79">
        <f>IF('2-Normanston Park'!F4&lt;&gt; "",'2-Normanston Park'!F4, "")</f>
        <v>0</v>
      </c>
      <c r="E30" s="79">
        <f>IF('2-Normanston Park'!G4&lt;&gt; "",'2-Normanston Park'!G4, "")</f>
        <v>0</v>
      </c>
      <c r="F30" s="79" t="str">
        <f>IF('2-Normanston Park'!H4&lt;&gt; "",'2-Normanston Park'!H4, "")</f>
        <v/>
      </c>
      <c r="G30" s="79" t="str">
        <f>IF('2-Normanston Park'!I4&lt;&gt; "",'2-Normanston Park'!I4, "")</f>
        <v/>
      </c>
      <c r="H30" s="79">
        <f>IF('2-Normanston Park'!J4&lt;&gt; "",'2-Normanston Park'!J4, "")</f>
        <v>0</v>
      </c>
      <c r="I30" s="79">
        <f>IF('2-Normanston Park'!K4&lt;&gt; "",'2-Normanston Park'!K4, "")</f>
        <v>0</v>
      </c>
      <c r="J30" s="79" t="str">
        <f>IF('2-Normanston Park'!L4&lt;&gt; "",'2-Normanston Park'!L4, "")</f>
        <v/>
      </c>
      <c r="K30" s="79">
        <f>IF('2-Normanston Park'!M4&lt;&gt; "",'2-Normanston Park'!M4, "")</f>
        <v>0</v>
      </c>
      <c r="L30" s="81"/>
      <c r="M30" s="79">
        <f>IF('2-Normanston Park'!O4&lt;&gt; "",'2-Normanston Park'!O4, "")</f>
        <v>0</v>
      </c>
      <c r="N30" s="79" t="str">
        <f>IF('2-Normanston Park'!P4&lt;&gt; "",'2-Normanston Park'!P4, "")</f>
        <v/>
      </c>
      <c r="O30" s="79" t="str">
        <f>IF('2-Normanston Park'!Q4&lt;&gt; "",'2-Normanston Park'!Q4, "")</f>
        <v/>
      </c>
      <c r="P30" s="79">
        <f>IF('2-Normanston Park'!R4&lt;&gt; "",'2-Normanston Park'!R4, "")</f>
        <v>0</v>
      </c>
      <c r="Q30" s="79">
        <f>IF('2-Normanston Park'!S4&lt;&gt; "",'2-Normanston Park'!S4, "")</f>
        <v>0</v>
      </c>
      <c r="R30" s="79" t="str">
        <f>IF('2-Normanston Park'!T4&lt;&gt; "",'2-Normanston Park'!T4, "")</f>
        <v/>
      </c>
      <c r="S30" s="79" t="str">
        <f>IF('2-Normanston Park'!U4&lt;&gt; "",'2-Normanston Park'!U4, "")</f>
        <v/>
      </c>
      <c r="T30" s="79">
        <f>IF('2-Normanston Park'!V4&lt;&gt; "",'2-Normanston Park'!V4, "")</f>
        <v>0</v>
      </c>
      <c r="U30" s="79">
        <f>IF('2-Normanston Park'!W4&lt;&gt; "",'2-Normanston Park'!W4, "")</f>
        <v>0</v>
      </c>
      <c r="V30" s="79" t="str">
        <f>IF('2-Normanston Park'!X4&lt;&gt; "",'2-Normanston Park'!X4, "")</f>
        <v/>
      </c>
      <c r="W30" s="79" t="str">
        <f>IF('2-Normanston Park'!Y4&lt;&gt; "",'2-Normanston Park'!Y4, "")</f>
        <v/>
      </c>
      <c r="X30" s="79">
        <f>IF('2-Normanston Park'!Z4&lt;&gt; "",'2-Normanston Park'!Z4, "")</f>
        <v>0</v>
      </c>
      <c r="Y30" s="79">
        <f>IF('2-Normanston Park'!AA4&lt;&gt; "",'2-Normanston Park'!AA4, "")</f>
        <v>0</v>
      </c>
      <c r="Z30" s="79" t="str">
        <f>IF('2-Normanston Park'!AB4&lt;&gt; "",'2-Normanston Park'!AB4, "")</f>
        <v/>
      </c>
      <c r="AA30" s="79" t="str">
        <f>IF('2-Normanston Park'!AC4&lt;&gt; "",'2-Normanston Park'!AC4, "")</f>
        <v/>
      </c>
      <c r="AB30" s="79">
        <f>IF('2-Normanston Park'!AD4&lt;&gt; "",'2-Normanston Park'!AD4, "")</f>
        <v>0</v>
      </c>
      <c r="AC30" s="79">
        <f>IF('2-Normanston Park'!AE4&lt;&gt; "",'2-Normanston Park'!AE4, "")</f>
        <v>0</v>
      </c>
      <c r="AD30" s="80" t="str">
        <f>IF('2-Normanston Park'!AF4&lt;&gt; "",'2-Normanston Park'!AF4, "")</f>
        <v/>
      </c>
      <c r="AE30" s="79" t="str">
        <f>IF('2-Normanston Park'!AG4&lt;&gt; "",'2-Normanston Park'!AG4, "")</f>
        <v/>
      </c>
      <c r="AF30" s="79" t="s">
        <v>476</v>
      </c>
    </row>
    <row r="31" spans="1:32" x14ac:dyDescent="0.35">
      <c r="A31" s="1" t="s">
        <v>140</v>
      </c>
      <c r="B31" s="1">
        <f>IF('2-Normanston Park'!D5&lt;&gt; "",'2-Normanston Park'!D5, "")</f>
        <v>34372</v>
      </c>
      <c r="C31" s="1">
        <f>IF('2-Normanston Park'!E5&lt;&gt; "",'2-Normanston Park'!E5, "")</f>
        <v>0</v>
      </c>
      <c r="D31" s="1">
        <f>IF('2-Normanston Park'!F5&lt;&gt; "",'2-Normanston Park'!F5, "")</f>
        <v>33664.5</v>
      </c>
      <c r="E31" s="1">
        <f>IF('2-Normanston Park'!G5&lt;&gt; "",'2-Normanston Park'!G5, "")</f>
        <v>765.82999999999993</v>
      </c>
      <c r="F31" s="1" t="str">
        <f>IF('2-Normanston Park'!H5&lt;&gt; "",'2-Normanston Park'!H5, "")</f>
        <v/>
      </c>
      <c r="G31" s="1">
        <f>IF('2-Normanston Park'!I5&lt;&gt; "",'2-Normanston Park'!I5, "")</f>
        <v>39002</v>
      </c>
      <c r="H31" s="1">
        <f>IF('2-Normanston Park'!J5&lt;&gt; "",'2-Normanston Park'!J5, "")</f>
        <v>-3824.1100000000006</v>
      </c>
      <c r="I31" s="1">
        <f>IF('2-Normanston Park'!K5&lt;&gt; "",'2-Normanston Park'!K5, "")</f>
        <v>44101.94</v>
      </c>
      <c r="J31" s="1" t="str">
        <f>IF('2-Normanston Park'!L5&lt;&gt; "",'2-Normanston Park'!L5, "")</f>
        <v/>
      </c>
      <c r="K31" s="1">
        <f>IF('2-Normanston Park'!M5&lt;&gt; "",'2-Normanston Park'!M5, "")</f>
        <v>0</v>
      </c>
      <c r="L31" s="1">
        <f>IF('2-Normanston Park'!N5&lt;&gt; "",'2-Normanston Park'!N5, "")</f>
        <v>45531.37</v>
      </c>
      <c r="M31" s="1">
        <f>IF('2-Normanston Park'!O5&lt;&gt; "",'2-Normanston Park'!O5, "")</f>
        <v>77435.570000000007</v>
      </c>
      <c r="N31" s="1" t="str">
        <f>IF('2-Normanston Park'!P5&lt;&gt; "",'2-Normanston Park'!P5, "")</f>
        <v/>
      </c>
      <c r="O31" s="1" t="str">
        <f>IF('2-Normanston Park'!Q5&lt;&gt; "",'2-Normanston Park'!Q5, "")</f>
        <v/>
      </c>
      <c r="P31" s="1">
        <f>IF('2-Normanston Park'!R5&lt;&gt; "",'2-Normanston Park'!R5, "")</f>
        <v>0</v>
      </c>
      <c r="Q31" s="1">
        <f>IF('2-Normanston Park'!S5&lt;&gt; "",'2-Normanston Park'!S5, "")</f>
        <v>77435.570000000007</v>
      </c>
      <c r="R31" s="1" t="str">
        <f>IF('2-Normanston Park'!T5&lt;&gt; "",'2-Normanston Park'!T5, "")</f>
        <v/>
      </c>
      <c r="S31" s="1" t="str">
        <f>IF('2-Normanston Park'!U5&lt;&gt; "",'2-Normanston Park'!U5, "")</f>
        <v/>
      </c>
      <c r="T31" s="1">
        <f>IF('2-Normanston Park'!V5&lt;&gt; "",'2-Normanston Park'!V5, "")</f>
        <v>0</v>
      </c>
      <c r="U31" s="1">
        <f>IF('2-Normanston Park'!W5&lt;&gt; "",'2-Normanston Park'!W5, "")</f>
        <v>77435.570000000007</v>
      </c>
      <c r="V31" s="1" t="str">
        <f>IF('2-Normanston Park'!X5&lt;&gt; "",'2-Normanston Park'!X5, "")</f>
        <v/>
      </c>
      <c r="W31" s="1" t="str">
        <f>IF('2-Normanston Park'!Y5&lt;&gt; "",'2-Normanston Park'!Y5, "")</f>
        <v/>
      </c>
      <c r="X31" s="1">
        <f>IF('2-Normanston Park'!Z5&lt;&gt; "",'2-Normanston Park'!Z5, "")</f>
        <v>0</v>
      </c>
      <c r="Y31" s="1">
        <f>IF('2-Normanston Park'!AA5&lt;&gt; "",'2-Normanston Park'!AA5, "")</f>
        <v>77435.570000000007</v>
      </c>
      <c r="Z31" s="1" t="str">
        <f>IF('2-Normanston Park'!AB5&lt;&gt; "",'2-Normanston Park'!AB5, "")</f>
        <v/>
      </c>
      <c r="AA31" s="1" t="str">
        <f>IF('2-Normanston Park'!AC5&lt;&gt; "",'2-Normanston Park'!AC5, "")</f>
        <v/>
      </c>
      <c r="AB31" s="1">
        <f>IF('2-Normanston Park'!AD5&lt;&gt; "",'2-Normanston Park'!AD5, "")</f>
        <v>0</v>
      </c>
      <c r="AC31" s="1">
        <f>IF('2-Normanston Park'!AE5&lt;&gt; "",'2-Normanston Park'!AE5, "")</f>
        <v>77435.570000000007</v>
      </c>
      <c r="AD31" t="str">
        <f>IF('2-Normanston Park'!AF5&lt;&gt; "",'2-Normanston Park'!AF5, "")</f>
        <v/>
      </c>
      <c r="AE31" s="1" t="str">
        <f>IF('2-Normanston Park'!AG5&lt;&gt; "",'2-Normanston Park'!AG5, "")</f>
        <v/>
      </c>
      <c r="AF31" s="1" t="s">
        <v>476</v>
      </c>
    </row>
    <row r="32" spans="1:32" x14ac:dyDescent="0.35">
      <c r="A32" s="79" t="s">
        <v>145</v>
      </c>
      <c r="B32" s="79">
        <f>IF('2-GELP'!D3&lt;&gt; "",'2-GELP'!D3, "")</f>
        <v>167</v>
      </c>
      <c r="C32" s="79">
        <f>IF('2-GELP'!E3&lt;&gt; "",'2-GELP'!E3, "")</f>
        <v>30</v>
      </c>
      <c r="D32" s="79">
        <f>IF('2-GELP'!F3&lt;&gt; "",'2-GELP'!F3, "")</f>
        <v>0</v>
      </c>
      <c r="E32" s="79">
        <f>IF('2-GELP'!G3&lt;&gt; "",'2-GELP'!G3, "")</f>
        <v>147.97999999999956</v>
      </c>
      <c r="F32" s="79" t="str">
        <f>IF('2-GELP'!H3&lt;&gt; "",'2-GELP'!H3, "")</f>
        <v/>
      </c>
      <c r="G32" s="79">
        <f>IF('2-GELP'!I3&lt;&gt; "",'2-GELP'!I3, "")</f>
        <v>-23</v>
      </c>
      <c r="H32" s="79">
        <f>IF('2-GELP'!J3&lt;&gt; "",'2-GELP'!J3, "")</f>
        <v>0</v>
      </c>
      <c r="I32" s="79">
        <f>IF('2-GELP'!K3&lt;&gt; "",'2-GELP'!K3, "")</f>
        <v>147.97999999999956</v>
      </c>
      <c r="J32" s="79" t="str">
        <f>IF('2-GELP'!L3&lt;&gt; "",'2-GELP'!L3, "")</f>
        <v/>
      </c>
      <c r="K32" s="79">
        <f>IF('2-GELP'!M3&lt;&gt; "",'2-GELP'!M3, "")</f>
        <v>-24</v>
      </c>
      <c r="L32" s="79">
        <f>IF('2-GELP'!N3&lt;&gt; "",'2-GELP'!N3, "")</f>
        <v>0</v>
      </c>
      <c r="M32" s="79">
        <f>IF('2-GELP'!O3&lt;&gt; "",'2-GELP'!O3, "")</f>
        <v>123.97999999999956</v>
      </c>
      <c r="N32" s="79" t="str">
        <f>IF('2-GELP'!P3&lt;&gt; "",'2-GELP'!P3, "")</f>
        <v/>
      </c>
      <c r="O32" s="79" t="str">
        <f>IF('2-GELP'!Q3&lt;&gt; "",'2-GELP'!Q3, "")</f>
        <v/>
      </c>
      <c r="P32" s="79">
        <f>IF('2-GELP'!R3&lt;&gt; "",'2-GELP'!R3, "")</f>
        <v>0</v>
      </c>
      <c r="Q32" s="79">
        <f>IF('2-GELP'!S3&lt;&gt; "",'2-GELP'!S3, "")</f>
        <v>123.97999999999956</v>
      </c>
      <c r="R32" s="79" t="str">
        <f>IF('2-GELP'!T3&lt;&gt; "",'2-GELP'!T3, "")</f>
        <v/>
      </c>
      <c r="S32" s="79" t="str">
        <f>IF('2-GELP'!U3&lt;&gt; "",'2-GELP'!U3, "")</f>
        <v/>
      </c>
      <c r="T32" s="79">
        <f>IF('2-GELP'!V3&lt;&gt; "",'2-GELP'!V3, "")</f>
        <v>0</v>
      </c>
      <c r="U32" s="79">
        <f>IF('2-GELP'!W3&lt;&gt; "",'2-GELP'!W3, "")</f>
        <v>123.97999999999956</v>
      </c>
      <c r="V32" s="79" t="str">
        <f>IF('2-GELP'!X3&lt;&gt; "",'2-GELP'!X3, "")</f>
        <v/>
      </c>
      <c r="W32" s="79" t="str">
        <f>IF('2-GELP'!Y3&lt;&gt; "",'2-GELP'!Y3, "")</f>
        <v/>
      </c>
      <c r="X32" s="79">
        <f>IF('2-GELP'!Z3&lt;&gt; "",'2-GELP'!Z3, "")</f>
        <v>0</v>
      </c>
      <c r="Y32" s="79">
        <f>IF('2-GELP'!AA3&lt;&gt; "",'2-GELP'!AA3, "")</f>
        <v>123.97999999999956</v>
      </c>
      <c r="Z32" s="79" t="str">
        <f>IF('2-GELP'!AB3&lt;&gt; "",'2-GELP'!AB3, "")</f>
        <v/>
      </c>
      <c r="AA32" s="79" t="str">
        <f>IF('2-GELP'!AC3&lt;&gt; "",'2-GELP'!AC3, "")</f>
        <v/>
      </c>
      <c r="AB32" s="79">
        <f>IF('2-GELP'!AD3&lt;&gt; "",'2-GELP'!AD3, "")</f>
        <v>0</v>
      </c>
      <c r="AC32" s="79">
        <f>IF('2-GELP'!AE3&lt;&gt; "",'2-GELP'!AE3, "")</f>
        <v>123.97999999999956</v>
      </c>
      <c r="AD32" s="80" t="str">
        <f>IF('2-GELP'!AF3&lt;&gt; "",'2-GELP'!AF3, "")</f>
        <v/>
      </c>
      <c r="AE32" s="79">
        <f>IF('2-GELP'!AG3&lt;&gt; "",'2-GELP'!AG3, "")</f>
        <v>25000</v>
      </c>
      <c r="AF32" s="79">
        <f>AE32</f>
        <v>25000</v>
      </c>
    </row>
    <row r="33" spans="1:32" x14ac:dyDescent="0.35">
      <c r="A33" s="1" t="s">
        <v>72</v>
      </c>
      <c r="B33" s="1">
        <f>IF('2-GELP'!D4&lt;&gt; "",'2-GELP'!D4, "")</f>
        <v>0</v>
      </c>
      <c r="C33" s="1">
        <f>IF('2-GELP'!E4&lt;&gt; "",'2-GELP'!E4, "")</f>
        <v>0</v>
      </c>
      <c r="D33" s="1">
        <f>IF('2-GELP'!F4&lt;&gt; "",'2-GELP'!F4, "")</f>
        <v>0</v>
      </c>
      <c r="E33" s="1">
        <f>IF('2-GELP'!G4&lt;&gt; "",'2-GELP'!G4, "")</f>
        <v>0</v>
      </c>
      <c r="F33" s="1" t="str">
        <f>IF('2-GELP'!H4&lt;&gt; "",'2-GELP'!H4, "")</f>
        <v/>
      </c>
      <c r="G33" s="1" t="str">
        <f>IF('2-GELP'!I4&lt;&gt; "",'2-GELP'!I4, "")</f>
        <v/>
      </c>
      <c r="H33" s="1">
        <f>IF('2-GELP'!J4&lt;&gt; "",'2-GELP'!J4, "")</f>
        <v>0</v>
      </c>
      <c r="I33" s="1">
        <f>IF('2-GELP'!K4&lt;&gt; "",'2-GELP'!K4, "")</f>
        <v>0</v>
      </c>
      <c r="J33" s="1" t="str">
        <f>IF('2-GELP'!L4&lt;&gt; "",'2-GELP'!L4, "")</f>
        <v/>
      </c>
      <c r="K33" s="1" t="str">
        <f>IF('2-GELP'!M4&lt;&gt; "",'2-GELP'!M4, "")</f>
        <v/>
      </c>
      <c r="L33" s="1">
        <f>IF('2-GELP'!N4&lt;&gt; "",'2-GELP'!N4, "")</f>
        <v>0</v>
      </c>
      <c r="M33" s="1">
        <f>IF('2-GELP'!O4&lt;&gt; "",'2-GELP'!O4, "")</f>
        <v>0</v>
      </c>
      <c r="N33" s="1" t="str">
        <f>IF('2-GELP'!P4&lt;&gt; "",'2-GELP'!P4, "")</f>
        <v/>
      </c>
      <c r="O33" s="1" t="str">
        <f>IF('2-GELP'!Q4&lt;&gt; "",'2-GELP'!Q4, "")</f>
        <v/>
      </c>
      <c r="P33" s="1">
        <f>IF('2-GELP'!R4&lt;&gt; "",'2-GELP'!R4, "")</f>
        <v>0</v>
      </c>
      <c r="Q33" s="1">
        <f>IF('2-GELP'!S4&lt;&gt; "",'2-GELP'!S4, "")</f>
        <v>0</v>
      </c>
      <c r="R33" s="1" t="str">
        <f>IF('2-GELP'!T4&lt;&gt; "",'2-GELP'!T4, "")</f>
        <v/>
      </c>
      <c r="S33" s="1" t="str">
        <f>IF('2-GELP'!U4&lt;&gt; "",'2-GELP'!U4, "")</f>
        <v/>
      </c>
      <c r="T33" s="1">
        <f>IF('2-GELP'!V4&lt;&gt; "",'2-GELP'!V4, "")</f>
        <v>0</v>
      </c>
      <c r="U33" s="1">
        <f>IF('2-GELP'!W4&lt;&gt; "",'2-GELP'!W4, "")</f>
        <v>0</v>
      </c>
      <c r="V33" s="1" t="str">
        <f>IF('2-GELP'!X4&lt;&gt; "",'2-GELP'!X4, "")</f>
        <v/>
      </c>
      <c r="W33" s="1" t="str">
        <f>IF('2-GELP'!Y4&lt;&gt; "",'2-GELP'!Y4, "")</f>
        <v/>
      </c>
      <c r="X33" s="1">
        <f>IF('2-GELP'!Z4&lt;&gt; "",'2-GELP'!Z4, "")</f>
        <v>0</v>
      </c>
      <c r="Y33" s="1">
        <f>IF('2-GELP'!AA4&lt;&gt; "",'2-GELP'!AA4, "")</f>
        <v>0</v>
      </c>
      <c r="Z33" s="1" t="str">
        <f>IF('2-GELP'!AB4&lt;&gt; "",'2-GELP'!AB4, "")</f>
        <v/>
      </c>
      <c r="AA33" s="1" t="str">
        <f>IF('2-GELP'!AC4&lt;&gt; "",'2-GELP'!AC4, "")</f>
        <v/>
      </c>
      <c r="AB33" s="1">
        <f>IF('2-GELP'!AD4&lt;&gt; "",'2-GELP'!AD4, "")</f>
        <v>0</v>
      </c>
      <c r="AC33" s="1">
        <f>IF('2-GELP'!AE4&lt;&gt; "",'2-GELP'!AE4, "")</f>
        <v>0</v>
      </c>
      <c r="AD33" t="str">
        <f>IF('2-GELP'!AF4&lt;&gt; "",'2-GELP'!AF4, "")</f>
        <v/>
      </c>
      <c r="AE33" s="1" t="str">
        <f>IF('2-GELP'!AG4&lt;&gt; "",'2-GELP'!AG4, "")</f>
        <v/>
      </c>
      <c r="AF33" s="1" t="s">
        <v>476</v>
      </c>
    </row>
    <row r="34" spans="1:32" x14ac:dyDescent="0.35">
      <c r="A34" s="79" t="s">
        <v>148</v>
      </c>
      <c r="B34" s="79">
        <f>IF('2-Links Road Car Park'!D3&lt;&gt; "",'2-Links Road Car Park'!D3, "")</f>
        <v>8353</v>
      </c>
      <c r="C34" s="79">
        <f>IF('2-Links Road Car Park'!E3&lt;&gt; "",'2-Links Road Car Park'!E3, "")</f>
        <v>3277.5200000000004</v>
      </c>
      <c r="D34" s="79">
        <f>IF('2-Links Road Car Park'!F3&lt;&gt; "",'2-Links Road Car Park'!F3, "")</f>
        <v>632.20000000000005</v>
      </c>
      <c r="E34" s="79">
        <f>IF('2-Links Road Car Park'!G3&lt;&gt; "",'2-Links Road Car Park'!G3, "")</f>
        <v>17167.059999999998</v>
      </c>
      <c r="F34" s="79" t="str">
        <f>IF('2-Links Road Car Park'!H3&lt;&gt; "",'2-Links Road Car Park'!H3, "")</f>
        <v/>
      </c>
      <c r="G34" s="79">
        <f>IF('2-Links Road Car Park'!I3&lt;&gt; "",'2-Links Road Car Park'!I3, "")</f>
        <v>-2121</v>
      </c>
      <c r="H34" s="79">
        <f>IF('2-Links Road Car Park'!J3&lt;&gt; "",'2-Links Road Car Park'!J3, "")</f>
        <v>10000</v>
      </c>
      <c r="I34" s="79">
        <f>IF('2-Links Road Car Park'!K3&lt;&gt; "",'2-Links Road Car Park'!K3, "")</f>
        <v>7382.2499999999982</v>
      </c>
      <c r="J34" s="79" t="str">
        <f>IF('2-Links Road Car Park'!L3&lt;&gt; "",'2-Links Road Car Park'!L3, "")</f>
        <v/>
      </c>
      <c r="K34" s="79">
        <f>IF('2-Links Road Car Park'!M3&lt;&gt; "",'2-Links Road Car Park'!M3, "")</f>
        <v>-2185</v>
      </c>
      <c r="L34" s="79">
        <f>IF('2-Links Road Car Park'!N3&lt;&gt; "",'2-Links Road Car Park'!N3, "")</f>
        <v>0</v>
      </c>
      <c r="M34" s="79">
        <f>IF('2-Links Road Car Park'!O3&lt;&gt; "",'2-Links Road Car Park'!O3, "")</f>
        <v>5261.4999999999982</v>
      </c>
      <c r="N34" s="79" t="str">
        <f>IF('2-Links Road Car Park'!P3&lt;&gt; "",'2-Links Road Car Park'!P3, "")</f>
        <v/>
      </c>
      <c r="O34" s="79" t="str">
        <f>IF('2-Links Road Car Park'!Q3&lt;&gt; "",'2-Links Road Car Park'!Q3, "")</f>
        <v/>
      </c>
      <c r="P34" s="79">
        <f>IF('2-Links Road Car Park'!R3&lt;&gt; "",'2-Links Road Car Park'!R3, "")</f>
        <v>0</v>
      </c>
      <c r="Q34" s="79">
        <f>IF('2-Links Road Car Park'!S3&lt;&gt; "",'2-Links Road Car Park'!S3, "")</f>
        <v>5261.4999999999982</v>
      </c>
      <c r="R34" s="79" t="str">
        <f>IF('2-Links Road Car Park'!T3&lt;&gt; "",'2-Links Road Car Park'!T3, "")</f>
        <v/>
      </c>
      <c r="S34" s="79" t="str">
        <f>IF('2-Links Road Car Park'!U3&lt;&gt; "",'2-Links Road Car Park'!U3, "")</f>
        <v/>
      </c>
      <c r="T34" s="79">
        <f>IF('2-Links Road Car Park'!V3&lt;&gt; "",'2-Links Road Car Park'!V3, "")</f>
        <v>0</v>
      </c>
      <c r="U34" s="79">
        <f>IF('2-Links Road Car Park'!W3&lt;&gt; "",'2-Links Road Car Park'!W3, "")</f>
        <v>5261.4999999999982</v>
      </c>
      <c r="V34" s="79" t="str">
        <f>IF('2-Links Road Car Park'!X3&lt;&gt; "",'2-Links Road Car Park'!X3, "")</f>
        <v/>
      </c>
      <c r="W34" s="79" t="str">
        <f>IF('2-Links Road Car Park'!Y3&lt;&gt; "",'2-Links Road Car Park'!Y3, "")</f>
        <v/>
      </c>
      <c r="X34" s="79">
        <f>IF('2-Links Road Car Park'!Z3&lt;&gt; "",'2-Links Road Car Park'!Z3, "")</f>
        <v>0</v>
      </c>
      <c r="Y34" s="79">
        <f>IF('2-Links Road Car Park'!AA3&lt;&gt; "",'2-Links Road Car Park'!AA3, "")</f>
        <v>5261.4999999999982</v>
      </c>
      <c r="Z34" s="79" t="str">
        <f>IF('2-Links Road Car Park'!AB3&lt;&gt; "",'2-Links Road Car Park'!AB3, "")</f>
        <v/>
      </c>
      <c r="AA34" s="79" t="str">
        <f>IF('2-Links Road Car Park'!AC3&lt;&gt; "",'2-Links Road Car Park'!AC3, "")</f>
        <v/>
      </c>
      <c r="AB34" s="79">
        <f>IF('2-Links Road Car Park'!AD3&lt;&gt; "",'2-Links Road Car Park'!AD3, "")</f>
        <v>0</v>
      </c>
      <c r="AC34" s="79">
        <f>IF('2-Links Road Car Park'!AE3&lt;&gt; "",'2-Links Road Car Park'!AE3, "")</f>
        <v>5261.4999999999982</v>
      </c>
      <c r="AD34" s="80" t="str">
        <f>IF('2-Links Road Car Park'!AF3&lt;&gt; "",'2-Links Road Car Park'!AF3, "")</f>
        <v/>
      </c>
      <c r="AE34" s="79">
        <f>IF('2-Links Road Car Park'!AG3&lt;&gt; "",'2-Links Road Car Park'!AG3, "")</f>
        <v>25000</v>
      </c>
      <c r="AF34" s="79">
        <f>AE34</f>
        <v>25000</v>
      </c>
    </row>
    <row r="35" spans="1:32" x14ac:dyDescent="0.35">
      <c r="A35" s="1" t="s">
        <v>149</v>
      </c>
      <c r="B35" s="1">
        <f>IF('2-Links Road Car Park'!D4&lt;&gt; "",'2-Links Road Car Park'!D4, "")</f>
        <v>0</v>
      </c>
      <c r="C35" s="1">
        <f>IF('2-Links Road Car Park'!E4&lt;&gt; "",'2-Links Road Car Park'!E4, "")</f>
        <v>0</v>
      </c>
      <c r="D35" s="1">
        <f>IF('2-Links Road Car Park'!F4&lt;&gt; "",'2-Links Road Car Park'!F4, "")</f>
        <v>0</v>
      </c>
      <c r="E35" s="1">
        <f>IF('2-Links Road Car Park'!G4&lt;&gt; "",'2-Links Road Car Park'!G4, "")</f>
        <v>0</v>
      </c>
      <c r="F35" s="1" t="str">
        <f>IF('2-Links Road Car Park'!H4&lt;&gt; "",'2-Links Road Car Park'!H4, "")</f>
        <v/>
      </c>
      <c r="G35" s="1" t="str">
        <f>IF('2-Links Road Car Park'!I4&lt;&gt; "",'2-Links Road Car Park'!I4, "")</f>
        <v/>
      </c>
      <c r="H35" s="1">
        <f>IF('2-Links Road Car Park'!J4&lt;&gt; "",'2-Links Road Car Park'!J4, "")</f>
        <v>0</v>
      </c>
      <c r="I35" s="1">
        <f>IF('2-Links Road Car Park'!K4&lt;&gt; "",'2-Links Road Car Park'!K4, "")</f>
        <v>0</v>
      </c>
      <c r="J35" s="1" t="str">
        <f>IF('2-Links Road Car Park'!L4&lt;&gt; "",'2-Links Road Car Park'!L4, "")</f>
        <v/>
      </c>
      <c r="K35" s="1" t="str">
        <f>IF('2-Links Road Car Park'!M4&lt;&gt; "",'2-Links Road Car Park'!M4, "")</f>
        <v/>
      </c>
      <c r="L35" s="1">
        <f>IF('2-Links Road Car Park'!N4&lt;&gt; "",'2-Links Road Car Park'!N4, "")</f>
        <v>0</v>
      </c>
      <c r="M35" s="1">
        <f>IF('2-Links Road Car Park'!O4&lt;&gt; "",'2-Links Road Car Park'!O4, "")</f>
        <v>0</v>
      </c>
      <c r="N35" s="1" t="str">
        <f>IF('2-Links Road Car Park'!P4&lt;&gt; "",'2-Links Road Car Park'!P4, "")</f>
        <v/>
      </c>
      <c r="O35" s="1" t="str">
        <f>IF('2-Links Road Car Park'!Q4&lt;&gt; "",'2-Links Road Car Park'!Q4, "")</f>
        <v/>
      </c>
      <c r="P35" s="1">
        <f>IF('2-Links Road Car Park'!R4&lt;&gt; "",'2-Links Road Car Park'!R4, "")</f>
        <v>0</v>
      </c>
      <c r="Q35" s="1">
        <f>IF('2-Links Road Car Park'!S4&lt;&gt; "",'2-Links Road Car Park'!S4, "")</f>
        <v>0</v>
      </c>
      <c r="R35" s="1" t="str">
        <f>IF('2-Links Road Car Park'!T4&lt;&gt; "",'2-Links Road Car Park'!T4, "")</f>
        <v/>
      </c>
      <c r="S35" s="1" t="str">
        <f>IF('2-Links Road Car Park'!U4&lt;&gt; "",'2-Links Road Car Park'!U4, "")</f>
        <v/>
      </c>
      <c r="T35" s="1">
        <f>IF('2-Links Road Car Park'!V4&lt;&gt; "",'2-Links Road Car Park'!V4, "")</f>
        <v>0</v>
      </c>
      <c r="U35" s="1">
        <f>IF('2-Links Road Car Park'!W4&lt;&gt; "",'2-Links Road Car Park'!W4, "")</f>
        <v>0</v>
      </c>
      <c r="V35" s="1" t="str">
        <f>IF('2-Links Road Car Park'!X4&lt;&gt; "",'2-Links Road Car Park'!X4, "")</f>
        <v/>
      </c>
      <c r="W35" s="1" t="str">
        <f>IF('2-Links Road Car Park'!Y4&lt;&gt; "",'2-Links Road Car Park'!Y4, "")</f>
        <v/>
      </c>
      <c r="X35" s="1">
        <f>IF('2-Links Road Car Park'!Z4&lt;&gt; "",'2-Links Road Car Park'!Z4, "")</f>
        <v>0</v>
      </c>
      <c r="Y35" s="1">
        <f>IF('2-Links Road Car Park'!AA4&lt;&gt; "",'2-Links Road Car Park'!AA4, "")</f>
        <v>0</v>
      </c>
      <c r="Z35" s="1" t="str">
        <f>IF('2-Links Road Car Park'!AB4&lt;&gt; "",'2-Links Road Car Park'!AB4, "")</f>
        <v/>
      </c>
      <c r="AA35" s="1" t="str">
        <f>IF('2-Links Road Car Park'!AC4&lt;&gt; "",'2-Links Road Car Park'!AC4, "")</f>
        <v/>
      </c>
      <c r="AB35" s="1">
        <f>IF('2-Links Road Car Park'!AD4&lt;&gt; "",'2-Links Road Car Park'!AD4, "")</f>
        <v>0</v>
      </c>
      <c r="AC35" s="1">
        <f>IF('2-Links Road Car Park'!AE4&lt;&gt; "",'2-Links Road Car Park'!AE4, "")</f>
        <v>0</v>
      </c>
      <c r="AD35" t="str">
        <f>IF('2-Links Road Car Park'!AF4&lt;&gt; "",'2-Links Road Car Park'!AF4, "")</f>
        <v/>
      </c>
      <c r="AE35" s="1" t="str">
        <f>IF('2-Links Road Car Park'!AG4&lt;&gt; "",'2-Links Road Car Park'!AG4, "")</f>
        <v/>
      </c>
      <c r="AF35" s="1" t="s">
        <v>476</v>
      </c>
    </row>
    <row r="36" spans="1:32" x14ac:dyDescent="0.35">
      <c r="A36" s="79" t="s">
        <v>152</v>
      </c>
      <c r="B36" s="79">
        <f>IF('2-Denes Oval'!D3&lt;&gt; "",'2-Denes Oval'!D3, "")</f>
        <v>78781</v>
      </c>
      <c r="C36" s="79">
        <f>IF('2-Denes Oval'!E3&lt;&gt; "",'2-Denes Oval'!E3, "")</f>
        <v>26912.149999999998</v>
      </c>
      <c r="D36" s="79">
        <f>IF('2-Denes Oval'!F3&lt;&gt; "",'2-Denes Oval'!F3, "")</f>
        <v>94286.71</v>
      </c>
      <c r="E36" s="79">
        <f>IF('2-Denes Oval'!G3&lt;&gt; "",'2-Denes Oval'!G3, "")</f>
        <v>424.75999999998021</v>
      </c>
      <c r="F36" s="79" t="str">
        <f>IF('2-Denes Oval'!H3&lt;&gt; "",'2-Denes Oval'!H3, "")</f>
        <v/>
      </c>
      <c r="G36" s="79">
        <f>IF('2-Denes Oval'!I3&lt;&gt; "",'2-Denes Oval'!I3, "")</f>
        <v>0</v>
      </c>
      <c r="H36" s="79">
        <f>IF('2-Denes Oval'!J3&lt;&gt; "",'2-Denes Oval'!J3, "")</f>
        <v>-2535.4899999999998</v>
      </c>
      <c r="I36" s="79">
        <f>IF('2-Denes Oval'!K3&lt;&gt; "",'2-Denes Oval'!K3, "")</f>
        <v>0</v>
      </c>
      <c r="J36" s="79" t="str">
        <f>IF('2-Denes Oval'!L3&lt;&gt; "",'2-Denes Oval'!L3, "")</f>
        <v/>
      </c>
      <c r="K36" s="79" t="str">
        <f>IF('2-Denes Oval'!M3&lt;&gt; "",'2-Denes Oval'!M3, "")</f>
        <v/>
      </c>
      <c r="L36" s="79">
        <f>IF('2-Denes Oval'!N3&lt;&gt; "",'2-Denes Oval'!N3, "")</f>
        <v>0</v>
      </c>
      <c r="M36" s="79">
        <f>IF('2-Denes Oval'!O3&lt;&gt; "",'2-Denes Oval'!O3, "")</f>
        <v>5374.64</v>
      </c>
      <c r="N36" s="79" t="str">
        <f>IF('2-Denes Oval'!P3&lt;&gt; "",'2-Denes Oval'!P3, "")</f>
        <v/>
      </c>
      <c r="O36" s="79" t="str">
        <f>IF('2-Denes Oval'!Q3&lt;&gt; "",'2-Denes Oval'!Q3, "")</f>
        <v/>
      </c>
      <c r="P36" s="79">
        <f>IF('2-Denes Oval'!R3&lt;&gt; "",'2-Denes Oval'!R3, "")</f>
        <v>0</v>
      </c>
      <c r="Q36" s="79">
        <f>IF('2-Denes Oval'!S3&lt;&gt; "",'2-Denes Oval'!S3, "")</f>
        <v>5374.6399999999994</v>
      </c>
      <c r="R36" s="79" t="str">
        <f>IF('2-Denes Oval'!T3&lt;&gt; "",'2-Denes Oval'!T3, "")</f>
        <v/>
      </c>
      <c r="S36" s="79" t="str">
        <f>IF('2-Denes Oval'!U3&lt;&gt; "",'2-Denes Oval'!U3, "")</f>
        <v/>
      </c>
      <c r="T36" s="79">
        <f>IF('2-Denes Oval'!V3&lt;&gt; "",'2-Denes Oval'!V3, "")</f>
        <v>0</v>
      </c>
      <c r="U36" s="79">
        <f>IF('2-Denes Oval'!W3&lt;&gt; "",'2-Denes Oval'!W3, "")</f>
        <v>5374.6399999999994</v>
      </c>
      <c r="V36" s="79" t="str">
        <f>IF('2-Denes Oval'!X3&lt;&gt; "",'2-Denes Oval'!X3, "")</f>
        <v/>
      </c>
      <c r="W36" s="79" t="str">
        <f>IF('2-Denes Oval'!Y3&lt;&gt; "",'2-Denes Oval'!Y3, "")</f>
        <v/>
      </c>
      <c r="X36" s="79">
        <f>IF('2-Denes Oval'!Z3&lt;&gt; "",'2-Denes Oval'!Z3, "")</f>
        <v>0</v>
      </c>
      <c r="Y36" s="79">
        <f>IF('2-Denes Oval'!AA3&lt;&gt; "",'2-Denes Oval'!AA3, "")</f>
        <v>5374.6399999999994</v>
      </c>
      <c r="Z36" s="79" t="str">
        <f>IF('2-Denes Oval'!AB3&lt;&gt; "",'2-Denes Oval'!AB3, "")</f>
        <v/>
      </c>
      <c r="AA36" s="79" t="str">
        <f>IF('2-Denes Oval'!AC3&lt;&gt; "",'2-Denes Oval'!AC3, "")</f>
        <v/>
      </c>
      <c r="AB36" s="79">
        <f>IF('2-Denes Oval'!AD3&lt;&gt; "",'2-Denes Oval'!AD3, "")</f>
        <v>0</v>
      </c>
      <c r="AC36" s="79">
        <f>IF('2-Denes Oval'!AE3&lt;&gt; "",'2-Denes Oval'!AE3, "")</f>
        <v>5374.6399999999994</v>
      </c>
      <c r="AD36" s="80" t="str">
        <f>IF('2-Denes Oval'!AF3&lt;&gt; "",'2-Denes Oval'!AF3, "")</f>
        <v/>
      </c>
      <c r="AE36" s="79">
        <f>IF('2-Denes Oval'!AG3&lt;&gt; "",'2-Denes Oval'!AG3, "")</f>
        <v>150000</v>
      </c>
      <c r="AF36" s="79">
        <f>AE36</f>
        <v>150000</v>
      </c>
    </row>
    <row r="37" spans="1:32" x14ac:dyDescent="0.35">
      <c r="A37" s="1" t="s">
        <v>72</v>
      </c>
      <c r="B37" s="1">
        <f>IF('2-Denes Oval'!D4&lt;&gt; "",'2-Denes Oval'!D4, "")</f>
        <v>0</v>
      </c>
      <c r="C37" s="1">
        <f>IF('2-Denes Oval'!E4&lt;&gt; "",'2-Denes Oval'!E4, "")</f>
        <v>0</v>
      </c>
      <c r="D37" s="1">
        <f>IF('2-Denes Oval'!F4&lt;&gt; "",'2-Denes Oval'!F4, "")</f>
        <v>0</v>
      </c>
      <c r="E37" s="1">
        <f>IF('2-Denes Oval'!G4&lt;&gt; "",'2-Denes Oval'!G4, "")</f>
        <v>0</v>
      </c>
      <c r="F37" s="1" t="str">
        <f>IF('2-Denes Oval'!H4&lt;&gt; "",'2-Denes Oval'!H4, "")</f>
        <v/>
      </c>
      <c r="G37" s="1">
        <f>IF('2-Denes Oval'!I4&lt;&gt; "",'2-Denes Oval'!I4, "")</f>
        <v>0</v>
      </c>
      <c r="H37" s="1">
        <f>IF('2-Denes Oval'!J4&lt;&gt; "",'2-Denes Oval'!J4, "")</f>
        <v>0</v>
      </c>
      <c r="I37" s="1">
        <f>IF('2-Denes Oval'!K4&lt;&gt; "",'2-Denes Oval'!K4, "")</f>
        <v>0</v>
      </c>
      <c r="J37" s="1" t="str">
        <f>IF('2-Denes Oval'!L4&lt;&gt; "",'2-Denes Oval'!L4, "")</f>
        <v/>
      </c>
      <c r="K37" s="1">
        <f>IF('2-Denes Oval'!M4&lt;&gt; "",'2-Denes Oval'!M4, "")</f>
        <v>0</v>
      </c>
      <c r="L37" s="1">
        <f>IF('2-Denes Oval'!N4&lt;&gt; "",'2-Denes Oval'!N4, "")</f>
        <v>0</v>
      </c>
      <c r="M37" s="1">
        <f>IF('2-Denes Oval'!O4&lt;&gt; "",'2-Denes Oval'!O4, "")</f>
        <v>0</v>
      </c>
      <c r="N37" s="1" t="str">
        <f>IF('2-Denes Oval'!P4&lt;&gt; "",'2-Denes Oval'!P4, "")</f>
        <v/>
      </c>
      <c r="O37" s="1" t="str">
        <f>IF('2-Denes Oval'!Q4&lt;&gt; "",'2-Denes Oval'!Q4, "")</f>
        <v/>
      </c>
      <c r="P37" s="1">
        <f>IF('2-Denes Oval'!R4&lt;&gt; "",'2-Denes Oval'!R4, "")</f>
        <v>0</v>
      </c>
      <c r="Q37" s="1">
        <f>IF('2-Denes Oval'!S4&lt;&gt; "",'2-Denes Oval'!S4, "")</f>
        <v>0</v>
      </c>
      <c r="R37" s="1" t="str">
        <f>IF('2-Denes Oval'!T4&lt;&gt; "",'2-Denes Oval'!T4, "")</f>
        <v/>
      </c>
      <c r="S37" s="1" t="str">
        <f>IF('2-Denes Oval'!U4&lt;&gt; "",'2-Denes Oval'!U4, "")</f>
        <v/>
      </c>
      <c r="T37" s="1">
        <f>IF('2-Denes Oval'!V4&lt;&gt; "",'2-Denes Oval'!V4, "")</f>
        <v>0</v>
      </c>
      <c r="U37" s="1">
        <f>IF('2-Denes Oval'!W4&lt;&gt; "",'2-Denes Oval'!W4, "")</f>
        <v>0</v>
      </c>
      <c r="V37" s="1" t="str">
        <f>IF('2-Denes Oval'!X4&lt;&gt; "",'2-Denes Oval'!X4, "")</f>
        <v/>
      </c>
      <c r="W37" s="1" t="str">
        <f>IF('2-Denes Oval'!Y4&lt;&gt; "",'2-Denes Oval'!Y4, "")</f>
        <v/>
      </c>
      <c r="X37" s="1">
        <f>IF('2-Denes Oval'!Z4&lt;&gt; "",'2-Denes Oval'!Z4, "")</f>
        <v>0</v>
      </c>
      <c r="Y37" s="1">
        <f>IF('2-Denes Oval'!AA4&lt;&gt; "",'2-Denes Oval'!AA4, "")</f>
        <v>0</v>
      </c>
      <c r="Z37" s="1" t="str">
        <f>IF('2-Denes Oval'!AB4&lt;&gt; "",'2-Denes Oval'!AB4, "")</f>
        <v/>
      </c>
      <c r="AA37" s="1" t="str">
        <f>IF('2-Denes Oval'!AC4&lt;&gt; "",'2-Denes Oval'!AC4, "")</f>
        <v/>
      </c>
      <c r="AB37" s="1">
        <f>IF('2-Denes Oval'!AD4&lt;&gt; "",'2-Denes Oval'!AD4, "")</f>
        <v>0</v>
      </c>
      <c r="AC37" s="1">
        <f>IF('2-Denes Oval'!AE4&lt;&gt; "",'2-Denes Oval'!AE4, "")</f>
        <v>0</v>
      </c>
      <c r="AD37" t="str">
        <f>IF('2-Denes Oval'!AF4&lt;&gt; "",'2-Denes Oval'!AF4, "")</f>
        <v/>
      </c>
      <c r="AE37" s="1" t="str">
        <f>IF('2-Denes Oval'!AG4&lt;&gt; "",'2-Denes Oval'!AG4, "")</f>
        <v/>
      </c>
      <c r="AF37" s="1" t="s">
        <v>476</v>
      </c>
    </row>
    <row r="38" spans="1:32" x14ac:dyDescent="0.35">
      <c r="A38" s="79" t="s">
        <v>153</v>
      </c>
      <c r="B38" s="79">
        <f>IF('2-Denes Oval'!D5&lt;&gt; "",'2-Denes Oval'!D5, "")</f>
        <v>0</v>
      </c>
      <c r="C38" s="79">
        <f>IF('2-Denes Oval'!E5&lt;&gt; "",'2-Denes Oval'!E5, "")</f>
        <v>0</v>
      </c>
      <c r="D38" s="79">
        <f>IF('2-Denes Oval'!F5&lt;&gt; "",'2-Denes Oval'!F5, "")</f>
        <v>-17341.600000000002</v>
      </c>
      <c r="E38" s="79">
        <f>IF('2-Denes Oval'!G5&lt;&gt; "",'2-Denes Oval'!G5, "")</f>
        <v>17341.600000000002</v>
      </c>
      <c r="F38" s="79" t="str">
        <f>IF('2-Denes Oval'!H5&lt;&gt; "",'2-Denes Oval'!H5, "")</f>
        <v/>
      </c>
      <c r="G38" s="79">
        <f>IF('2-Denes Oval'!I5&lt;&gt; "",'2-Denes Oval'!I5, "")</f>
        <v>53168</v>
      </c>
      <c r="H38" s="79">
        <f>IF('2-Denes Oval'!J5&lt;&gt; "",'2-Denes Oval'!J5, "")</f>
        <v>39580</v>
      </c>
      <c r="I38" s="79">
        <f>IF('2-Denes Oval'!K5&lt;&gt; "",'2-Denes Oval'!K5, "")</f>
        <v>30929.600000000006</v>
      </c>
      <c r="J38" s="79" t="str">
        <f>IF('2-Denes Oval'!L5&lt;&gt; "",'2-Denes Oval'!L5, "")</f>
        <v/>
      </c>
      <c r="K38" s="79" t="str">
        <f>IF('2-Denes Oval'!M5&lt;&gt; "",'2-Denes Oval'!M5, "")</f>
        <v/>
      </c>
      <c r="L38" s="79">
        <f>IF('2-Denes Oval'!N5&lt;&gt; "",'2-Denes Oval'!N5, "")</f>
        <v>30929.599999999999</v>
      </c>
      <c r="M38" s="79">
        <f>IF('2-Denes Oval'!O5&lt;&gt; "",'2-Denes Oval'!O5, "")</f>
        <v>7.2759576141834259E-12</v>
      </c>
      <c r="N38" s="79" t="str">
        <f>IF('2-Denes Oval'!P5&lt;&gt; "",'2-Denes Oval'!P5, "")</f>
        <v/>
      </c>
      <c r="O38" s="79" t="str">
        <f>IF('2-Denes Oval'!Q5&lt;&gt; "",'2-Denes Oval'!Q5, "")</f>
        <v/>
      </c>
      <c r="P38" s="79">
        <f>IF('2-Denes Oval'!R5&lt;&gt; "",'2-Denes Oval'!R5, "")</f>
        <v>0</v>
      </c>
      <c r="Q38" s="79">
        <f>IF('2-Denes Oval'!S5&lt;&gt; "",'2-Denes Oval'!S5, "")</f>
        <v>7.2759576141834259E-12</v>
      </c>
      <c r="R38" s="79" t="str">
        <f>IF('2-Denes Oval'!T5&lt;&gt; "",'2-Denes Oval'!T5, "")</f>
        <v/>
      </c>
      <c r="S38" s="79" t="str">
        <f>IF('2-Denes Oval'!U5&lt;&gt; "",'2-Denes Oval'!U5, "")</f>
        <v/>
      </c>
      <c r="T38" s="79">
        <f>IF('2-Denes Oval'!V5&lt;&gt; "",'2-Denes Oval'!V5, "")</f>
        <v>0</v>
      </c>
      <c r="U38" s="79">
        <f>IF('2-Denes Oval'!W5&lt;&gt; "",'2-Denes Oval'!W5, "")</f>
        <v>7.2759576141834259E-12</v>
      </c>
      <c r="V38" s="79" t="str">
        <f>IF('2-Denes Oval'!X5&lt;&gt; "",'2-Denes Oval'!X5, "")</f>
        <v/>
      </c>
      <c r="W38" s="79" t="str">
        <f>IF('2-Denes Oval'!Y5&lt;&gt; "",'2-Denes Oval'!Y5, "")</f>
        <v/>
      </c>
      <c r="X38" s="79">
        <f>IF('2-Denes Oval'!Z5&lt;&gt; "",'2-Denes Oval'!Z5, "")</f>
        <v>0</v>
      </c>
      <c r="Y38" s="79">
        <f>IF('2-Denes Oval'!AA5&lt;&gt; "",'2-Denes Oval'!AA5, "")</f>
        <v>7.2759576141834259E-12</v>
      </c>
      <c r="Z38" s="79" t="str">
        <f>IF('2-Denes Oval'!AB5&lt;&gt; "",'2-Denes Oval'!AB5, "")</f>
        <v/>
      </c>
      <c r="AA38" s="79" t="str">
        <f>IF('2-Denes Oval'!AC5&lt;&gt; "",'2-Denes Oval'!AC5, "")</f>
        <v/>
      </c>
      <c r="AB38" s="79">
        <f>IF('2-Denes Oval'!AD5&lt;&gt; "",'2-Denes Oval'!AD5, "")</f>
        <v>0</v>
      </c>
      <c r="AC38" s="79">
        <f>IF('2-Denes Oval'!AE5&lt;&gt; "",'2-Denes Oval'!AE5, "")</f>
        <v>7.2759576141834259E-12</v>
      </c>
      <c r="AD38" s="80" t="str">
        <f>IF('2-Denes Oval'!AF5&lt;&gt; "",'2-Denes Oval'!AF5, "")</f>
        <v/>
      </c>
      <c r="AE38" s="79" t="str">
        <f>IF('2-Denes Oval'!AG5&lt;&gt; "",'2-Denes Oval'!AG5, "")</f>
        <v/>
      </c>
      <c r="AF38" s="79" t="s">
        <v>477</v>
      </c>
    </row>
    <row r="39" spans="1:32" x14ac:dyDescent="0.35">
      <c r="A39" s="1" t="s">
        <v>157</v>
      </c>
      <c r="B39" s="1">
        <f>IF('2-Belle Vue Park'!D3&lt;&gt; "",'2-Belle Vue Park'!D3, "")</f>
        <v>313189</v>
      </c>
      <c r="C39" s="1">
        <f>IF('2-Belle Vue Park'!E3&lt;&gt; "",'2-Belle Vue Park'!E3, "")</f>
        <v>-563</v>
      </c>
      <c r="D39" s="1">
        <f>IF('2-Belle Vue Park'!F3&lt;&gt; "",'2-Belle Vue Park'!F3, "")</f>
        <v>300319.43</v>
      </c>
      <c r="E39" s="1">
        <f>IF('2-Belle Vue Park'!G3&lt;&gt; "",'2-Belle Vue Park'!G3, "")</f>
        <v>12306.650000000007</v>
      </c>
      <c r="F39" s="1" t="str">
        <f>IF('2-Belle Vue Park'!H3&lt;&gt; "",'2-Belle Vue Park'!H3, "")</f>
        <v/>
      </c>
      <c r="G39" s="1">
        <f>IF('2-Belle Vue Park'!I3&lt;&gt; "",'2-Belle Vue Park'!I3, "")</f>
        <v>2771</v>
      </c>
      <c r="H39" s="1">
        <f>IF('2-Belle Vue Park'!J3&lt;&gt; "",'2-Belle Vue Park'!J3, "")</f>
        <v>0</v>
      </c>
      <c r="I39" s="1">
        <f>IF('2-Belle Vue Park'!K3&lt;&gt; "",'2-Belle Vue Park'!K3, "")</f>
        <v>15077.730000000007</v>
      </c>
      <c r="J39" s="1" t="str">
        <f>IF('2-Belle Vue Park'!L3&lt;&gt; "",'2-Belle Vue Park'!L3, "")</f>
        <v/>
      </c>
      <c r="K39" s="1">
        <f>IF('2-Belle Vue Park'!M3&lt;&gt; "",'2-Belle Vue Park'!M3, "")</f>
        <v>-8077</v>
      </c>
      <c r="L39" s="1">
        <f>IF('2-Belle Vue Park'!N3&lt;&gt; "",'2-Belle Vue Park'!N3, "")</f>
        <v>0</v>
      </c>
      <c r="M39" s="1">
        <f>IF('2-Belle Vue Park'!O3&lt;&gt; "",'2-Belle Vue Park'!O3, "")</f>
        <v>7000.7300000000068</v>
      </c>
      <c r="N39" s="1" t="str">
        <f>IF('2-Belle Vue Park'!P3&lt;&gt; "",'2-Belle Vue Park'!P3, "")</f>
        <v/>
      </c>
      <c r="O39" s="1" t="str">
        <f>IF('2-Belle Vue Park'!Q3&lt;&gt; "",'2-Belle Vue Park'!Q3, "")</f>
        <v/>
      </c>
      <c r="P39" s="1">
        <f>IF('2-Belle Vue Park'!R3&lt;&gt; "",'2-Belle Vue Park'!R3, "")</f>
        <v>0</v>
      </c>
      <c r="Q39" s="1">
        <f>IF('2-Belle Vue Park'!S3&lt;&gt; "",'2-Belle Vue Park'!S3, "")</f>
        <v>7000.7300000000068</v>
      </c>
      <c r="R39" s="1" t="str">
        <f>IF('2-Belle Vue Park'!T3&lt;&gt; "",'2-Belle Vue Park'!T3, "")</f>
        <v/>
      </c>
      <c r="S39" s="1" t="str">
        <f>IF('2-Belle Vue Park'!U3&lt;&gt; "",'2-Belle Vue Park'!U3, "")</f>
        <v/>
      </c>
      <c r="T39" s="1">
        <f>IF('2-Belle Vue Park'!V3&lt;&gt; "",'2-Belle Vue Park'!V3, "")</f>
        <v>0</v>
      </c>
      <c r="U39" s="1">
        <f>IF('2-Belle Vue Park'!W3&lt;&gt; "",'2-Belle Vue Park'!W3, "")</f>
        <v>7000.7300000000068</v>
      </c>
      <c r="V39" s="1" t="str">
        <f>IF('2-Belle Vue Park'!X3&lt;&gt; "",'2-Belle Vue Park'!X3, "")</f>
        <v/>
      </c>
      <c r="W39" s="1" t="str">
        <f>IF('2-Belle Vue Park'!Y3&lt;&gt; "",'2-Belle Vue Park'!Y3, "")</f>
        <v/>
      </c>
      <c r="X39" s="1">
        <f>IF('2-Belle Vue Park'!Z3&lt;&gt; "",'2-Belle Vue Park'!Z3, "")</f>
        <v>0</v>
      </c>
      <c r="Y39" s="1">
        <f>IF('2-Belle Vue Park'!AA3&lt;&gt; "",'2-Belle Vue Park'!AA3, "")</f>
        <v>7000.7300000000068</v>
      </c>
      <c r="Z39" s="1" t="str">
        <f>IF('2-Belle Vue Park'!AB3&lt;&gt; "",'2-Belle Vue Park'!AB3, "")</f>
        <v/>
      </c>
      <c r="AA39" s="1" t="str">
        <f>IF('2-Belle Vue Park'!AC3&lt;&gt; "",'2-Belle Vue Park'!AC3, "")</f>
        <v/>
      </c>
      <c r="AB39" s="1">
        <f>IF('2-Belle Vue Park'!AD3&lt;&gt; "",'2-Belle Vue Park'!AD3, "")</f>
        <v>0</v>
      </c>
      <c r="AC39" s="1">
        <f>IF('2-Belle Vue Park'!AE3&lt;&gt; "",'2-Belle Vue Park'!AE3, "")</f>
        <v>7000.7300000000068</v>
      </c>
      <c r="AD39" t="str">
        <f>IF('2-Belle Vue Park'!AF3&lt;&gt; "",'2-Belle Vue Park'!AF3, "")</f>
        <v/>
      </c>
      <c r="AE39" s="1">
        <f>IF('2-Belle Vue Park'!AG3&lt;&gt; "",'2-Belle Vue Park'!AG3, "")</f>
        <v>150000</v>
      </c>
      <c r="AF39" s="1">
        <f>AE39</f>
        <v>150000</v>
      </c>
    </row>
    <row r="40" spans="1:32" x14ac:dyDescent="0.35">
      <c r="A40" s="79" t="s">
        <v>158</v>
      </c>
      <c r="B40" s="79">
        <f>IF('2-Belle Vue Park'!D4&lt;&gt; "",'2-Belle Vue Park'!D4, "")</f>
        <v>0</v>
      </c>
      <c r="C40" s="79">
        <f>IF('2-Belle Vue Park'!E4&lt;&gt; "",'2-Belle Vue Park'!E4, "")</f>
        <v>40000</v>
      </c>
      <c r="D40" s="79">
        <f>IF('2-Belle Vue Park'!F4&lt;&gt; "",'2-Belle Vue Park'!F4, "")</f>
        <v>40000</v>
      </c>
      <c r="E40" s="79">
        <f>IF('2-Belle Vue Park'!G4&lt;&gt; "",'2-Belle Vue Park'!G4, "")</f>
        <v>0</v>
      </c>
      <c r="F40" s="79" t="str">
        <f>IF('2-Belle Vue Park'!H4&lt;&gt; "",'2-Belle Vue Park'!H4, "")</f>
        <v/>
      </c>
      <c r="G40" s="79">
        <f>IF('2-Belle Vue Park'!I4&lt;&gt; "",'2-Belle Vue Park'!I4, "")</f>
        <v>0</v>
      </c>
      <c r="H40" s="79">
        <f>IF('2-Belle Vue Park'!J4&lt;&gt; "",'2-Belle Vue Park'!J4, "")</f>
        <v>0</v>
      </c>
      <c r="I40" s="79">
        <f>IF('2-Belle Vue Park'!K4&lt;&gt; "",'2-Belle Vue Park'!K4, "")</f>
        <v>0</v>
      </c>
      <c r="J40" s="79" t="str">
        <f>IF('2-Belle Vue Park'!L4&lt;&gt; "",'2-Belle Vue Park'!L4, "")</f>
        <v/>
      </c>
      <c r="K40" s="79">
        <f>IF('2-Belle Vue Park'!M4&lt;&gt; "",'2-Belle Vue Park'!M4, "")</f>
        <v>0</v>
      </c>
      <c r="L40" s="79">
        <f>IF('2-Belle Vue Park'!N4&lt;&gt; "",'2-Belle Vue Park'!N4, "")</f>
        <v>0</v>
      </c>
      <c r="M40" s="79">
        <f>IF('2-Belle Vue Park'!O4&lt;&gt; "",'2-Belle Vue Park'!O4, "")</f>
        <v>0</v>
      </c>
      <c r="N40" s="79" t="str">
        <f>IF('2-Belle Vue Park'!P4&lt;&gt; "",'2-Belle Vue Park'!P4, "")</f>
        <v/>
      </c>
      <c r="O40" s="79" t="str">
        <f>IF('2-Belle Vue Park'!Q4&lt;&gt; "",'2-Belle Vue Park'!Q4, "")</f>
        <v/>
      </c>
      <c r="P40" s="79">
        <f>IF('2-Belle Vue Park'!R4&lt;&gt; "",'2-Belle Vue Park'!R4, "")</f>
        <v>0</v>
      </c>
      <c r="Q40" s="79">
        <f>IF('2-Belle Vue Park'!S4&lt;&gt; "",'2-Belle Vue Park'!S4, "")</f>
        <v>0</v>
      </c>
      <c r="R40" s="79" t="str">
        <f>IF('2-Belle Vue Park'!T4&lt;&gt; "",'2-Belle Vue Park'!T4, "")</f>
        <v/>
      </c>
      <c r="S40" s="79" t="str">
        <f>IF('2-Belle Vue Park'!U4&lt;&gt; "",'2-Belle Vue Park'!U4, "")</f>
        <v/>
      </c>
      <c r="T40" s="79">
        <f>IF('2-Belle Vue Park'!V4&lt;&gt; "",'2-Belle Vue Park'!V4, "")</f>
        <v>0</v>
      </c>
      <c r="U40" s="79">
        <f>IF('2-Belle Vue Park'!W4&lt;&gt; "",'2-Belle Vue Park'!W4, "")</f>
        <v>0</v>
      </c>
      <c r="V40" s="79" t="str">
        <f>IF('2-Belle Vue Park'!X4&lt;&gt; "",'2-Belle Vue Park'!X4, "")</f>
        <v/>
      </c>
      <c r="W40" s="79" t="str">
        <f>IF('2-Belle Vue Park'!Y4&lt;&gt; "",'2-Belle Vue Park'!Y4, "")</f>
        <v/>
      </c>
      <c r="X40" s="79">
        <f>IF('2-Belle Vue Park'!Z4&lt;&gt; "",'2-Belle Vue Park'!Z4, "")</f>
        <v>0</v>
      </c>
      <c r="Y40" s="79">
        <f>IF('2-Belle Vue Park'!AA4&lt;&gt; "",'2-Belle Vue Park'!AA4, "")</f>
        <v>0</v>
      </c>
      <c r="Z40" s="79" t="str">
        <f>IF('2-Belle Vue Park'!AB4&lt;&gt; "",'2-Belle Vue Park'!AB4, "")</f>
        <v/>
      </c>
      <c r="AA40" s="79" t="str">
        <f>IF('2-Belle Vue Park'!AC4&lt;&gt; "",'2-Belle Vue Park'!AC4, "")</f>
        <v/>
      </c>
      <c r="AB40" s="79">
        <f>IF('2-Belle Vue Park'!AD4&lt;&gt; "",'2-Belle Vue Park'!AD4, "")</f>
        <v>0</v>
      </c>
      <c r="AC40" s="79">
        <f>IF('2-Belle Vue Park'!AE4&lt;&gt; "",'2-Belle Vue Park'!AE4, "")</f>
        <v>0</v>
      </c>
      <c r="AD40" s="80" t="str">
        <f>IF('2-Belle Vue Park'!AF4&lt;&gt; "",'2-Belle Vue Park'!AF4, "")</f>
        <v/>
      </c>
      <c r="AE40" s="79" t="str">
        <f>IF('2-Belle Vue Park'!AG4&lt;&gt; "",'2-Belle Vue Park'!AG4, "")</f>
        <v/>
      </c>
      <c r="AF40" s="79" t="s">
        <v>476</v>
      </c>
    </row>
    <row r="41" spans="1:32" x14ac:dyDescent="0.35">
      <c r="A41" s="1" t="s">
        <v>159</v>
      </c>
      <c r="B41" s="1">
        <f>IF('2-Belle Vue Park'!D5&lt;&gt; "",'2-Belle Vue Park'!D5, "")</f>
        <v>0</v>
      </c>
      <c r="C41" s="1">
        <f>IF('2-Belle Vue Park'!E5&lt;&gt; "",'2-Belle Vue Park'!E5, "")</f>
        <v>0</v>
      </c>
      <c r="D41" s="1">
        <f>IF('2-Belle Vue Park'!F5&lt;&gt; "",'2-Belle Vue Park'!F5, "")</f>
        <v>0</v>
      </c>
      <c r="E41" s="1">
        <f>IF('2-Belle Vue Park'!G5&lt;&gt; "",'2-Belle Vue Park'!G5, "")</f>
        <v>0</v>
      </c>
      <c r="F41" s="1" t="str">
        <f>IF('2-Belle Vue Park'!H5&lt;&gt; "",'2-Belle Vue Park'!H5, "")</f>
        <v/>
      </c>
      <c r="G41" s="1">
        <f>IF('2-Belle Vue Park'!I5&lt;&gt; "",'2-Belle Vue Park'!I5, "")</f>
        <v>0</v>
      </c>
      <c r="H41" s="1">
        <f>IF('2-Belle Vue Park'!J5&lt;&gt; "",'2-Belle Vue Park'!J5, "")</f>
        <v>0</v>
      </c>
      <c r="I41" s="1">
        <f>IF('2-Belle Vue Park'!K5&lt;&gt; "",'2-Belle Vue Park'!K5, "")</f>
        <v>0</v>
      </c>
      <c r="J41" s="1" t="str">
        <f>IF('2-Belle Vue Park'!L5&lt;&gt; "",'2-Belle Vue Park'!L5, "")</f>
        <v/>
      </c>
      <c r="K41" s="1" t="str">
        <f>IF('2-Belle Vue Park'!M5&lt;&gt; "",'2-Belle Vue Park'!M5, "")</f>
        <v/>
      </c>
      <c r="L41" s="1">
        <f>IF('2-Belle Vue Park'!N5&lt;&gt; "",'2-Belle Vue Park'!N5, "")</f>
        <v>0</v>
      </c>
      <c r="M41" s="1">
        <f>IF('2-Belle Vue Park'!O5&lt;&gt; "",'2-Belle Vue Park'!O5, "")</f>
        <v>0</v>
      </c>
      <c r="N41" s="1" t="str">
        <f>IF('2-Belle Vue Park'!P5&lt;&gt; "",'2-Belle Vue Park'!P5, "")</f>
        <v/>
      </c>
      <c r="O41" s="1" t="str">
        <f>IF('2-Belle Vue Park'!Q5&lt;&gt; "",'2-Belle Vue Park'!Q5, "")</f>
        <v/>
      </c>
      <c r="P41" s="1">
        <f>IF('2-Belle Vue Park'!R5&lt;&gt; "",'2-Belle Vue Park'!R5, "")</f>
        <v>0</v>
      </c>
      <c r="Q41" s="1">
        <f>IF('2-Belle Vue Park'!S5&lt;&gt; "",'2-Belle Vue Park'!S5, "")</f>
        <v>0</v>
      </c>
      <c r="R41" s="1" t="str">
        <f>IF('2-Belle Vue Park'!T5&lt;&gt; "",'2-Belle Vue Park'!T5, "")</f>
        <v/>
      </c>
      <c r="S41" s="1" t="str">
        <f>IF('2-Belle Vue Park'!U5&lt;&gt; "",'2-Belle Vue Park'!U5, "")</f>
        <v/>
      </c>
      <c r="T41" s="1">
        <f>IF('2-Belle Vue Park'!V5&lt;&gt; "",'2-Belle Vue Park'!V5, "")</f>
        <v>0</v>
      </c>
      <c r="U41" s="1">
        <f>IF('2-Belle Vue Park'!W5&lt;&gt; "",'2-Belle Vue Park'!W5, "")</f>
        <v>0</v>
      </c>
      <c r="V41" s="1" t="str">
        <f>IF('2-Belle Vue Park'!X5&lt;&gt; "",'2-Belle Vue Park'!X5, "")</f>
        <v/>
      </c>
      <c r="W41" s="1" t="str">
        <f>IF('2-Belle Vue Park'!Y5&lt;&gt; "",'2-Belle Vue Park'!Y5, "")</f>
        <v/>
      </c>
      <c r="X41" s="1">
        <f>IF('2-Belle Vue Park'!Z5&lt;&gt; "",'2-Belle Vue Park'!Z5, "")</f>
        <v>0</v>
      </c>
      <c r="Y41" s="1">
        <f>IF('2-Belle Vue Park'!AA5&lt;&gt; "",'2-Belle Vue Park'!AA5, "")</f>
        <v>0</v>
      </c>
      <c r="Z41" s="1" t="str">
        <f>IF('2-Belle Vue Park'!AB5&lt;&gt; "",'2-Belle Vue Park'!AB5, "")</f>
        <v/>
      </c>
      <c r="AA41" s="1" t="str">
        <f>IF('2-Belle Vue Park'!AC5&lt;&gt; "",'2-Belle Vue Park'!AC5, "")</f>
        <v/>
      </c>
      <c r="AB41" s="1">
        <f>IF('2-Belle Vue Park'!AD5&lt;&gt; "",'2-Belle Vue Park'!AD5, "")</f>
        <v>0</v>
      </c>
      <c r="AC41" s="1">
        <f>IF('2-Belle Vue Park'!AE5&lt;&gt; "",'2-Belle Vue Park'!AE5, "")</f>
        <v>0</v>
      </c>
      <c r="AD41" t="str">
        <f>IF('2-Belle Vue Park'!AF5&lt;&gt; "",'2-Belle Vue Park'!AF5, "")</f>
        <v/>
      </c>
      <c r="AE41" s="1" t="str">
        <f>IF('2-Belle Vue Park'!AG5&lt;&gt; "",'2-Belle Vue Park'!AG5, "")</f>
        <v/>
      </c>
      <c r="AF41" s="1" t="s">
        <v>476</v>
      </c>
    </row>
    <row r="42" spans="1:32" x14ac:dyDescent="0.35">
      <c r="A42" s="79" t="s">
        <v>72</v>
      </c>
      <c r="B42" s="79">
        <f>IF('2-Belle Vue Park'!D6&lt;&gt; "",'2-Belle Vue Park'!D6, "")</f>
        <v>0</v>
      </c>
      <c r="C42" s="79">
        <f>IF('2-Belle Vue Park'!E6&lt;&gt; "",'2-Belle Vue Park'!E6, "")</f>
        <v>0</v>
      </c>
      <c r="D42" s="79">
        <f>IF('2-Belle Vue Park'!F6&lt;&gt; "",'2-Belle Vue Park'!F6, "")</f>
        <v>0</v>
      </c>
      <c r="E42" s="79">
        <f>IF('2-Belle Vue Park'!G6&lt;&gt; "",'2-Belle Vue Park'!G6, "")</f>
        <v>0</v>
      </c>
      <c r="F42" s="79" t="str">
        <f>IF('2-Belle Vue Park'!H6&lt;&gt; "",'2-Belle Vue Park'!H6, "")</f>
        <v/>
      </c>
      <c r="G42" s="79">
        <f>IF('2-Belle Vue Park'!I6&lt;&gt; "",'2-Belle Vue Park'!I6, "")</f>
        <v>0</v>
      </c>
      <c r="H42" s="79">
        <f>IF('2-Belle Vue Park'!J6&lt;&gt; "",'2-Belle Vue Park'!J6, "")</f>
        <v>0</v>
      </c>
      <c r="I42" s="79">
        <f>IF('2-Belle Vue Park'!K6&lt;&gt; "",'2-Belle Vue Park'!K6, "")</f>
        <v>0</v>
      </c>
      <c r="J42" s="79" t="str">
        <f>IF('2-Belle Vue Park'!L6&lt;&gt; "",'2-Belle Vue Park'!L6, "")</f>
        <v/>
      </c>
      <c r="K42" s="79" t="str">
        <f>IF('2-Belle Vue Park'!M6&lt;&gt; "",'2-Belle Vue Park'!M6, "")</f>
        <v/>
      </c>
      <c r="L42" s="79">
        <f>IF('2-Belle Vue Park'!N6&lt;&gt; "",'2-Belle Vue Park'!N6, "")</f>
        <v>0</v>
      </c>
      <c r="M42" s="79">
        <f>IF('2-Belle Vue Park'!O6&lt;&gt; "",'2-Belle Vue Park'!O6, "")</f>
        <v>0</v>
      </c>
      <c r="N42" s="79" t="str">
        <f>IF('2-Belle Vue Park'!P6&lt;&gt; "",'2-Belle Vue Park'!P6, "")</f>
        <v/>
      </c>
      <c r="O42" s="79" t="str">
        <f>IF('2-Belle Vue Park'!Q6&lt;&gt; "",'2-Belle Vue Park'!Q6, "")</f>
        <v/>
      </c>
      <c r="P42" s="79">
        <f>IF('2-Belle Vue Park'!R6&lt;&gt; "",'2-Belle Vue Park'!R6, "")</f>
        <v>0</v>
      </c>
      <c r="Q42" s="79">
        <f>IF('2-Belle Vue Park'!S6&lt;&gt; "",'2-Belle Vue Park'!S6, "")</f>
        <v>0</v>
      </c>
      <c r="R42" s="79" t="str">
        <f>IF('2-Belle Vue Park'!T6&lt;&gt; "",'2-Belle Vue Park'!T6, "")</f>
        <v/>
      </c>
      <c r="S42" s="79" t="str">
        <f>IF('2-Belle Vue Park'!U6&lt;&gt; "",'2-Belle Vue Park'!U6, "")</f>
        <v/>
      </c>
      <c r="T42" s="79">
        <f>IF('2-Belle Vue Park'!V6&lt;&gt; "",'2-Belle Vue Park'!V6, "")</f>
        <v>0</v>
      </c>
      <c r="U42" s="79">
        <f>IF('2-Belle Vue Park'!W6&lt;&gt; "",'2-Belle Vue Park'!W6, "")</f>
        <v>0</v>
      </c>
      <c r="V42" s="79" t="str">
        <f>IF('2-Belle Vue Park'!X6&lt;&gt; "",'2-Belle Vue Park'!X6, "")</f>
        <v/>
      </c>
      <c r="W42" s="79" t="str">
        <f>IF('2-Belle Vue Park'!Y6&lt;&gt; "",'2-Belle Vue Park'!Y6, "")</f>
        <v/>
      </c>
      <c r="X42" s="79">
        <f>IF('2-Belle Vue Park'!Z6&lt;&gt; "",'2-Belle Vue Park'!Z6, "")</f>
        <v>0</v>
      </c>
      <c r="Y42" s="79">
        <f>IF('2-Belle Vue Park'!AA6&lt;&gt; "",'2-Belle Vue Park'!AA6, "")</f>
        <v>0</v>
      </c>
      <c r="Z42" s="79" t="str">
        <f>IF('2-Belle Vue Park'!AB6&lt;&gt; "",'2-Belle Vue Park'!AB6, "")</f>
        <v/>
      </c>
      <c r="AA42" s="79" t="str">
        <f>IF('2-Belle Vue Park'!AC6&lt;&gt; "",'2-Belle Vue Park'!AC6, "")</f>
        <v/>
      </c>
      <c r="AB42" s="79">
        <f>IF('2-Belle Vue Park'!AD6&lt;&gt; "",'2-Belle Vue Park'!AD6, "")</f>
        <v>0</v>
      </c>
      <c r="AC42" s="79">
        <f>IF('2-Belle Vue Park'!AE6&lt;&gt; "",'2-Belle Vue Park'!AE6, "")</f>
        <v>0</v>
      </c>
      <c r="AD42" s="80" t="str">
        <f>IF('2-Belle Vue Park'!AF6&lt;&gt; "",'2-Belle Vue Park'!AF6, "")</f>
        <v/>
      </c>
      <c r="AE42" s="79" t="str">
        <f>IF('2-Belle Vue Park'!AG6&lt;&gt; "",'2-Belle Vue Park'!AG6, "")</f>
        <v/>
      </c>
      <c r="AF42" s="79" t="s">
        <v>476</v>
      </c>
    </row>
    <row r="43" spans="1:32" x14ac:dyDescent="0.35">
      <c r="A43" s="1" t="s">
        <v>162</v>
      </c>
      <c r="B43" s="1">
        <f>IF('2-Sparrows Nest'!D3&lt;&gt; "",'2-Sparrows Nest'!D3, "")</f>
        <v>0</v>
      </c>
      <c r="C43" s="1">
        <f>IF('2-Sparrows Nest'!E3&lt;&gt; "",'2-Sparrows Nest'!E3, "")</f>
        <v>17846.62</v>
      </c>
      <c r="D43" s="1">
        <f>IF('2-Sparrows Nest'!F3&lt;&gt; "",'2-Sparrows Nest'!F3, "")</f>
        <v>4476.83</v>
      </c>
      <c r="E43" s="1">
        <f>IF('2-Sparrows Nest'!G3&lt;&gt; "",'2-Sparrows Nest'!G3, "")</f>
        <v>2248.6599999999962</v>
      </c>
      <c r="F43" s="1" t="str">
        <f>IF('2-Sparrows Nest'!H3&lt;&gt; "",'2-Sparrows Nest'!H3, "")</f>
        <v/>
      </c>
      <c r="G43" s="1" t="str">
        <f>IF('2-Sparrows Nest'!I3&lt;&gt; "",'2-Sparrows Nest'!I3, "")</f>
        <v/>
      </c>
      <c r="H43" s="1">
        <f>IF('2-Sparrows Nest'!J3&lt;&gt; "",'2-Sparrows Nest'!J3, "")</f>
        <v>1583.24</v>
      </c>
      <c r="I43" s="1">
        <f>IF('2-Sparrows Nest'!K3&lt;&gt; "",'2-Sparrows Nest'!K3, "")</f>
        <v>-161.56000000000495</v>
      </c>
      <c r="J43" s="1" t="str">
        <f>IF('2-Sparrows Nest'!L3&lt;&gt; "",'2-Sparrows Nest'!L3, "")</f>
        <v/>
      </c>
      <c r="K43" s="1">
        <f>IF('2-Sparrows Nest'!M3&lt;&gt; "",'2-Sparrows Nest'!M3, "")</f>
        <v>1799</v>
      </c>
      <c r="L43" s="1">
        <f>IF('2-Sparrows Nest'!N3&lt;&gt; "",'2-Sparrows Nest'!N3, "")</f>
        <v>-117</v>
      </c>
      <c r="M43" s="1">
        <f>IF('2-Sparrows Nest'!O3&lt;&gt; "",'2-Sparrows Nest'!O3, "")</f>
        <v>-12128.000000000005</v>
      </c>
      <c r="N43" s="1" t="str">
        <f>IF('2-Sparrows Nest'!P3&lt;&gt; "",'2-Sparrows Nest'!P3, "")</f>
        <v/>
      </c>
      <c r="O43" s="1" t="str">
        <f>IF('2-Sparrows Nest'!Q3&lt;&gt; "",'2-Sparrows Nest'!Q3, "")</f>
        <v/>
      </c>
      <c r="P43" s="1">
        <f>IF('2-Sparrows Nest'!R3&lt;&gt; "",'2-Sparrows Nest'!R3, "")</f>
        <v>0</v>
      </c>
      <c r="Q43" s="1">
        <f>IF('2-Sparrows Nest'!S3&lt;&gt; "",'2-Sparrows Nest'!S3, "")</f>
        <v>-12128.000000000007</v>
      </c>
      <c r="R43" s="1" t="str">
        <f>IF('2-Sparrows Nest'!T3&lt;&gt; "",'2-Sparrows Nest'!T3, "")</f>
        <v/>
      </c>
      <c r="S43" s="1" t="str">
        <f>IF('2-Sparrows Nest'!U3&lt;&gt; "",'2-Sparrows Nest'!U3, "")</f>
        <v/>
      </c>
      <c r="T43" s="1">
        <f>IF('2-Sparrows Nest'!V3&lt;&gt; "",'2-Sparrows Nest'!V3, "")</f>
        <v>0</v>
      </c>
      <c r="U43" s="1">
        <f>IF('2-Sparrows Nest'!W3&lt;&gt; "",'2-Sparrows Nest'!W3, "")</f>
        <v>-12128.000000000007</v>
      </c>
      <c r="V43" s="1" t="str">
        <f>IF('2-Sparrows Nest'!X3&lt;&gt; "",'2-Sparrows Nest'!X3, "")</f>
        <v/>
      </c>
      <c r="W43" s="1" t="str">
        <f>IF('2-Sparrows Nest'!Y3&lt;&gt; "",'2-Sparrows Nest'!Y3, "")</f>
        <v/>
      </c>
      <c r="X43" s="1">
        <f>IF('2-Sparrows Nest'!Z3&lt;&gt; "",'2-Sparrows Nest'!Z3, "")</f>
        <v>0</v>
      </c>
      <c r="Y43" s="1">
        <f>IF('2-Sparrows Nest'!AA3&lt;&gt; "",'2-Sparrows Nest'!AA3, "")</f>
        <v>-12128.000000000007</v>
      </c>
      <c r="Z43" s="1" t="str">
        <f>IF('2-Sparrows Nest'!AB3&lt;&gt; "",'2-Sparrows Nest'!AB3, "")</f>
        <v/>
      </c>
      <c r="AA43" s="1" t="str">
        <f>IF('2-Sparrows Nest'!AC3&lt;&gt; "",'2-Sparrows Nest'!AC3, "")</f>
        <v/>
      </c>
      <c r="AB43" s="1">
        <f>IF('2-Sparrows Nest'!AD3&lt;&gt; "",'2-Sparrows Nest'!AD3, "")</f>
        <v>0</v>
      </c>
      <c r="AC43" s="1">
        <f>IF('2-Sparrows Nest'!AE3&lt;&gt; "",'2-Sparrows Nest'!AE3, "")</f>
        <v>-12128.000000000007</v>
      </c>
      <c r="AD43" t="str">
        <f>IF('2-Sparrows Nest'!AF3&lt;&gt; "",'2-Sparrows Nest'!AF3, "")</f>
        <v/>
      </c>
      <c r="AE43" s="1">
        <f>IF('2-Sparrows Nest'!AG3&lt;&gt; "",'2-Sparrows Nest'!AG3, "")</f>
        <v>150000</v>
      </c>
      <c r="AF43" s="1">
        <f>AE43</f>
        <v>150000</v>
      </c>
    </row>
    <row r="44" spans="1:32" x14ac:dyDescent="0.35">
      <c r="A44" s="79" t="s">
        <v>163</v>
      </c>
      <c r="B44" s="79">
        <f>IF('2-Sparrows Nest'!D4&lt;&gt; "",'2-Sparrows Nest'!D4, "")</f>
        <v>31407.3</v>
      </c>
      <c r="C44" s="79">
        <f>IF('2-Sparrows Nest'!E4&lt;&gt; "",'2-Sparrows Nest'!E4, "")</f>
        <v>-31259.3</v>
      </c>
      <c r="D44" s="79">
        <f>IF('2-Sparrows Nest'!F4&lt;&gt; "",'2-Sparrows Nest'!F4, "")</f>
        <v>148</v>
      </c>
      <c r="E44" s="79">
        <f>IF('2-Sparrows Nest'!G4&lt;&gt; "",'2-Sparrows Nest'!G4, "")</f>
        <v>0</v>
      </c>
      <c r="F44" s="79" t="str">
        <f>IF('2-Sparrows Nest'!H4&lt;&gt; "",'2-Sparrows Nest'!H4, "")</f>
        <v/>
      </c>
      <c r="G44" s="79" t="str">
        <f>IF('2-Sparrows Nest'!I4&lt;&gt; "",'2-Sparrows Nest'!I4, "")</f>
        <v/>
      </c>
      <c r="H44" s="79">
        <f>IF('2-Sparrows Nest'!J4&lt;&gt; "",'2-Sparrows Nest'!J4, "")</f>
        <v>0</v>
      </c>
      <c r="I44" s="79">
        <f>IF('2-Sparrows Nest'!K4&lt;&gt; "",'2-Sparrows Nest'!K4, "")</f>
        <v>0</v>
      </c>
      <c r="J44" s="79" t="str">
        <f>IF('2-Sparrows Nest'!L4&lt;&gt; "",'2-Sparrows Nest'!L4, "")</f>
        <v/>
      </c>
      <c r="K44" s="79" t="str">
        <f>IF('2-Sparrows Nest'!M4&lt;&gt; "",'2-Sparrows Nest'!M4, "")</f>
        <v/>
      </c>
      <c r="L44" s="79">
        <f>IF('2-Sparrows Nest'!N4&lt;&gt; "",'2-Sparrows Nest'!N4, "")</f>
        <v>-117</v>
      </c>
      <c r="M44" s="79">
        <f>IF('2-Sparrows Nest'!O4&lt;&gt; "",'2-Sparrows Nest'!O4, "")</f>
        <v>117</v>
      </c>
      <c r="N44" s="79" t="str">
        <f>IF('2-Sparrows Nest'!P4&lt;&gt; "",'2-Sparrows Nest'!P4, "")</f>
        <v/>
      </c>
      <c r="O44" s="79" t="str">
        <f>IF('2-Sparrows Nest'!Q4&lt;&gt; "",'2-Sparrows Nest'!Q4, "")</f>
        <v/>
      </c>
      <c r="P44" s="79">
        <f>IF('2-Sparrows Nest'!R4&lt;&gt; "",'2-Sparrows Nest'!R4, "")</f>
        <v>0</v>
      </c>
      <c r="Q44" s="79">
        <f>IF('2-Sparrows Nest'!S4&lt;&gt; "",'2-Sparrows Nest'!S4, "")</f>
        <v>117</v>
      </c>
      <c r="R44" s="79" t="str">
        <f>IF('2-Sparrows Nest'!T4&lt;&gt; "",'2-Sparrows Nest'!T4, "")</f>
        <v/>
      </c>
      <c r="S44" s="79" t="str">
        <f>IF('2-Sparrows Nest'!U4&lt;&gt; "",'2-Sparrows Nest'!U4, "")</f>
        <v/>
      </c>
      <c r="T44" s="79">
        <f>IF('2-Sparrows Nest'!V4&lt;&gt; "",'2-Sparrows Nest'!V4, "")</f>
        <v>0</v>
      </c>
      <c r="U44" s="79">
        <f>IF('2-Sparrows Nest'!W4&lt;&gt; "",'2-Sparrows Nest'!W4, "")</f>
        <v>117</v>
      </c>
      <c r="V44" s="79" t="str">
        <f>IF('2-Sparrows Nest'!X4&lt;&gt; "",'2-Sparrows Nest'!X4, "")</f>
        <v/>
      </c>
      <c r="W44" s="79" t="str">
        <f>IF('2-Sparrows Nest'!Y4&lt;&gt; "",'2-Sparrows Nest'!Y4, "")</f>
        <v/>
      </c>
      <c r="X44" s="79">
        <f>IF('2-Sparrows Nest'!Z4&lt;&gt; "",'2-Sparrows Nest'!Z4, "")</f>
        <v>0</v>
      </c>
      <c r="Y44" s="79">
        <f>IF('2-Sparrows Nest'!AA4&lt;&gt; "",'2-Sparrows Nest'!AA4, "")</f>
        <v>117</v>
      </c>
      <c r="Z44" s="79" t="str">
        <f>IF('2-Sparrows Nest'!AB4&lt;&gt; "",'2-Sparrows Nest'!AB4, "")</f>
        <v/>
      </c>
      <c r="AA44" s="79" t="str">
        <f>IF('2-Sparrows Nest'!AC4&lt;&gt; "",'2-Sparrows Nest'!AC4, "")</f>
        <v/>
      </c>
      <c r="AB44" s="79">
        <f>IF('2-Sparrows Nest'!AD4&lt;&gt; "",'2-Sparrows Nest'!AD4, "")</f>
        <v>0</v>
      </c>
      <c r="AC44" s="79">
        <f>IF('2-Sparrows Nest'!AE4&lt;&gt; "",'2-Sparrows Nest'!AE4, "")</f>
        <v>117</v>
      </c>
      <c r="AD44" s="80" t="str">
        <f>IF('2-Sparrows Nest'!AF4&lt;&gt; "",'2-Sparrows Nest'!AF4, "")</f>
        <v/>
      </c>
      <c r="AE44" s="79" t="str">
        <f>IF('2-Sparrows Nest'!AG4&lt;&gt; "",'2-Sparrows Nest'!AG4, "")</f>
        <v/>
      </c>
      <c r="AF44" s="79" t="s">
        <v>476</v>
      </c>
    </row>
    <row r="45" spans="1:32" x14ac:dyDescent="0.35">
      <c r="A45" s="1" t="s">
        <v>164</v>
      </c>
      <c r="B45" s="1">
        <f>IF('2-Sparrows Nest'!D5&lt;&gt; "",'2-Sparrows Nest'!D5, "")</f>
        <v>72374.7</v>
      </c>
      <c r="C45" s="1">
        <f>IF('2-Sparrows Nest'!E5&lt;&gt; "",'2-Sparrows Nest'!E5, "")</f>
        <v>-66941.5</v>
      </c>
      <c r="D45" s="1">
        <f>IF('2-Sparrows Nest'!F5&lt;&gt; "",'2-Sparrows Nest'!F5, "")</f>
        <v>-148</v>
      </c>
      <c r="E45" s="1">
        <f>IF('2-Sparrows Nest'!G5&lt;&gt; "",'2-Sparrows Nest'!G5, "")</f>
        <v>103782</v>
      </c>
      <c r="F45" s="1" t="str">
        <f>IF('2-Sparrows Nest'!H5&lt;&gt; "",'2-Sparrows Nest'!H5, "")</f>
        <v>Includes War Memorial Museum</v>
      </c>
      <c r="G45" s="1">
        <f>IF('2-Sparrows Nest'!I5&lt;&gt; "",'2-Sparrows Nest'!I5, "")</f>
        <v>0</v>
      </c>
      <c r="H45" s="1">
        <f>IF('2-Sparrows Nest'!J5&lt;&gt; "",'2-Sparrows Nest'!J5, "")</f>
        <v>22934.190000000002</v>
      </c>
      <c r="I45" s="1">
        <f>IF('2-Sparrows Nest'!K5&lt;&gt; "",'2-Sparrows Nest'!K5, "")</f>
        <v>127940.81</v>
      </c>
      <c r="J45" s="1" t="str">
        <f>IF('2-Sparrows Nest'!L5&lt;&gt; "",'2-Sparrows Nest'!L5, "")</f>
        <v/>
      </c>
      <c r="K45" s="1" t="str">
        <f>IF('2-Sparrows Nest'!M5&lt;&gt; "",'2-Sparrows Nest'!M5, "")</f>
        <v/>
      </c>
      <c r="L45" s="1">
        <f>IF('2-Sparrows Nest'!N5&lt;&gt; "",'2-Sparrows Nest'!N5, "")</f>
        <v>0</v>
      </c>
      <c r="M45" s="1">
        <f>IF('2-Sparrows Nest'!O5&lt;&gt; "",'2-Sparrows Nest'!O5, "")</f>
        <v>187390.81</v>
      </c>
      <c r="N45" s="1" t="str">
        <f>IF('2-Sparrows Nest'!P5&lt;&gt; "",'2-Sparrows Nest'!P5, "")</f>
        <v/>
      </c>
      <c r="O45" s="1" t="str">
        <f>IF('2-Sparrows Nest'!Q5&lt;&gt; "",'2-Sparrows Nest'!Q5, "")</f>
        <v/>
      </c>
      <c r="P45" s="1">
        <f>IF('2-Sparrows Nest'!R5&lt;&gt; "",'2-Sparrows Nest'!R5, "")</f>
        <v>0</v>
      </c>
      <c r="Q45" s="1">
        <f>IF('2-Sparrows Nest'!S5&lt;&gt; "",'2-Sparrows Nest'!S5, "")</f>
        <v>187390.81</v>
      </c>
      <c r="R45" s="1" t="str">
        <f>IF('2-Sparrows Nest'!T5&lt;&gt; "",'2-Sparrows Nest'!T5, "")</f>
        <v/>
      </c>
      <c r="S45" s="1" t="str">
        <f>IF('2-Sparrows Nest'!U5&lt;&gt; "",'2-Sparrows Nest'!U5, "")</f>
        <v/>
      </c>
      <c r="T45" s="1">
        <f>IF('2-Sparrows Nest'!V5&lt;&gt; "",'2-Sparrows Nest'!V5, "")</f>
        <v>0</v>
      </c>
      <c r="U45" s="1">
        <f>IF('2-Sparrows Nest'!W5&lt;&gt; "",'2-Sparrows Nest'!W5, "")</f>
        <v>187390.81</v>
      </c>
      <c r="V45" s="1" t="str">
        <f>IF('2-Sparrows Nest'!X5&lt;&gt; "",'2-Sparrows Nest'!X5, "")</f>
        <v/>
      </c>
      <c r="W45" s="1" t="str">
        <f>IF('2-Sparrows Nest'!Y5&lt;&gt; "",'2-Sparrows Nest'!Y5, "")</f>
        <v/>
      </c>
      <c r="X45" s="1">
        <f>IF('2-Sparrows Nest'!Z5&lt;&gt; "",'2-Sparrows Nest'!Z5, "")</f>
        <v>0</v>
      </c>
      <c r="Y45" s="1">
        <f>IF('2-Sparrows Nest'!AA5&lt;&gt; "",'2-Sparrows Nest'!AA5, "")</f>
        <v>187390.81</v>
      </c>
      <c r="Z45" s="1" t="str">
        <f>IF('2-Sparrows Nest'!AB5&lt;&gt; "",'2-Sparrows Nest'!AB5, "")</f>
        <v/>
      </c>
      <c r="AA45" s="1" t="str">
        <f>IF('2-Sparrows Nest'!AC5&lt;&gt; "",'2-Sparrows Nest'!AC5, "")</f>
        <v/>
      </c>
      <c r="AB45" s="1">
        <f>IF('2-Sparrows Nest'!AD5&lt;&gt; "",'2-Sparrows Nest'!AD5, "")</f>
        <v>0</v>
      </c>
      <c r="AC45" s="1">
        <f>IF('2-Sparrows Nest'!AE5&lt;&gt; "",'2-Sparrows Nest'!AE5, "")</f>
        <v>187390.81</v>
      </c>
      <c r="AD45" t="str">
        <f>IF('2-Sparrows Nest'!AF5&lt;&gt; "",'2-Sparrows Nest'!AF5, "")</f>
        <v/>
      </c>
      <c r="AE45" s="1" t="str">
        <f>IF('2-Sparrows Nest'!AG5&lt;&gt; "",'2-Sparrows Nest'!AG5, "")</f>
        <v/>
      </c>
      <c r="AF45" s="1" t="s">
        <v>476</v>
      </c>
    </row>
    <row r="46" spans="1:32" x14ac:dyDescent="0.35">
      <c r="A46" s="79" t="s">
        <v>72</v>
      </c>
      <c r="B46" s="79">
        <f>IF('2-Sparrows Nest'!D6&lt;&gt; "",'2-Sparrows Nest'!D6, "")</f>
        <v>0</v>
      </c>
      <c r="C46" s="79">
        <f>IF('2-Sparrows Nest'!E6&lt;&gt; "",'2-Sparrows Nest'!E6, "")</f>
        <v>0</v>
      </c>
      <c r="D46" s="79">
        <f>IF('2-Sparrows Nest'!F6&lt;&gt; "",'2-Sparrows Nest'!F6, "")</f>
        <v>0</v>
      </c>
      <c r="E46" s="79">
        <f>IF('2-Sparrows Nest'!G6&lt;&gt; "",'2-Sparrows Nest'!G6, "")</f>
        <v>0</v>
      </c>
      <c r="F46" s="79" t="str">
        <f>IF('2-Sparrows Nest'!H6&lt;&gt; "",'2-Sparrows Nest'!H6, "")</f>
        <v/>
      </c>
      <c r="G46" s="79" t="str">
        <f>IF('2-Sparrows Nest'!I6&lt;&gt; "",'2-Sparrows Nest'!I6, "")</f>
        <v/>
      </c>
      <c r="H46" s="79">
        <f>IF('2-Sparrows Nest'!J6&lt;&gt; "",'2-Sparrows Nest'!J6, "")</f>
        <v>0</v>
      </c>
      <c r="I46" s="79">
        <f>IF('2-Sparrows Nest'!K6&lt;&gt; "",'2-Sparrows Nest'!K6, "")</f>
        <v>0</v>
      </c>
      <c r="J46" s="79" t="str">
        <f>IF('2-Sparrows Nest'!L6&lt;&gt; "",'2-Sparrows Nest'!L6, "")</f>
        <v/>
      </c>
      <c r="K46" s="79" t="str">
        <f>IF('2-Sparrows Nest'!M6&lt;&gt; "",'2-Sparrows Nest'!M6, "")</f>
        <v/>
      </c>
      <c r="L46" s="79">
        <f>IF('2-Sparrows Nest'!N6&lt;&gt; "",'2-Sparrows Nest'!N6, "")</f>
        <v>36666.67</v>
      </c>
      <c r="M46" s="79">
        <f>IF('2-Sparrows Nest'!O6&lt;&gt; "",'2-Sparrows Nest'!O6, "")</f>
        <v>-36666.67</v>
      </c>
      <c r="N46" s="79" t="str">
        <f>IF('2-Sparrows Nest'!P6&lt;&gt; "",'2-Sparrows Nest'!P6, "")</f>
        <v/>
      </c>
      <c r="O46" s="79" t="str">
        <f>IF('2-Sparrows Nest'!Q6&lt;&gt; "",'2-Sparrows Nest'!Q6, "")</f>
        <v/>
      </c>
      <c r="P46" s="79">
        <f>IF('2-Sparrows Nest'!R6&lt;&gt; "",'2-Sparrows Nest'!R6, "")</f>
        <v>0</v>
      </c>
      <c r="Q46" s="79">
        <f>IF('2-Sparrows Nest'!S6&lt;&gt; "",'2-Sparrows Nest'!S6, "")</f>
        <v>-36666.67</v>
      </c>
      <c r="R46" s="79" t="str">
        <f>IF('2-Sparrows Nest'!T6&lt;&gt; "",'2-Sparrows Nest'!T6, "")</f>
        <v/>
      </c>
      <c r="S46" s="79" t="str">
        <f>IF('2-Sparrows Nest'!U6&lt;&gt; "",'2-Sparrows Nest'!U6, "")</f>
        <v/>
      </c>
      <c r="T46" s="79">
        <f>IF('2-Sparrows Nest'!V6&lt;&gt; "",'2-Sparrows Nest'!V6, "")</f>
        <v>0</v>
      </c>
      <c r="U46" s="79">
        <f>IF('2-Sparrows Nest'!W6&lt;&gt; "",'2-Sparrows Nest'!W6, "")</f>
        <v>-36666.67</v>
      </c>
      <c r="V46" s="79" t="str">
        <f>IF('2-Sparrows Nest'!X6&lt;&gt; "",'2-Sparrows Nest'!X6, "")</f>
        <v/>
      </c>
      <c r="W46" s="79" t="str">
        <f>IF('2-Sparrows Nest'!Y6&lt;&gt; "",'2-Sparrows Nest'!Y6, "")</f>
        <v/>
      </c>
      <c r="X46" s="79">
        <f>IF('2-Sparrows Nest'!Z6&lt;&gt; "",'2-Sparrows Nest'!Z6, "")</f>
        <v>0</v>
      </c>
      <c r="Y46" s="79">
        <f>IF('2-Sparrows Nest'!AA6&lt;&gt; "",'2-Sparrows Nest'!AA6, "")</f>
        <v>-36666.67</v>
      </c>
      <c r="Z46" s="79" t="str">
        <f>IF('2-Sparrows Nest'!AB6&lt;&gt; "",'2-Sparrows Nest'!AB6, "")</f>
        <v/>
      </c>
      <c r="AA46" s="79" t="str">
        <f>IF('2-Sparrows Nest'!AC6&lt;&gt; "",'2-Sparrows Nest'!AC6, "")</f>
        <v/>
      </c>
      <c r="AB46" s="79">
        <f>IF('2-Sparrows Nest'!AD6&lt;&gt; "",'2-Sparrows Nest'!AD6, "")</f>
        <v>0</v>
      </c>
      <c r="AC46" s="79">
        <f>IF('2-Sparrows Nest'!AE6&lt;&gt; "",'2-Sparrows Nest'!AE6, "")</f>
        <v>-36666.67</v>
      </c>
      <c r="AD46" s="80" t="str">
        <f>IF('2-Sparrows Nest'!AF6&lt;&gt; "",'2-Sparrows Nest'!AF6, "")</f>
        <v/>
      </c>
      <c r="AE46" s="79" t="str">
        <f>IF('2-Sparrows Nest'!AG6&lt;&gt; "",'2-Sparrows Nest'!AG6, "")</f>
        <v/>
      </c>
      <c r="AF46" s="79" t="s">
        <v>476</v>
      </c>
    </row>
    <row r="47" spans="1:32" x14ac:dyDescent="0.35">
      <c r="A47" s="1" t="s">
        <v>166</v>
      </c>
      <c r="B47" s="1">
        <f>IF('2-The Ness'!D3&lt;&gt; "",'2-The Ness'!D3, "")</f>
        <v>75926</v>
      </c>
      <c r="C47" s="1">
        <f>IF('2-The Ness'!E3&lt;&gt; "",'2-The Ness'!E3, "")</f>
        <v>-11080</v>
      </c>
      <c r="D47" s="1">
        <f>IF('2-The Ness'!F3&lt;&gt; "",'2-The Ness'!F3, "")</f>
        <v>57435.090000000004</v>
      </c>
      <c r="E47" s="1">
        <f>IF('2-The Ness'!G3&lt;&gt; "",'2-The Ness'!G3, "")</f>
        <v>7410.9099999999962</v>
      </c>
      <c r="F47" s="1" t="str">
        <f>IF('2-The Ness'!H3&lt;&gt; "",'2-The Ness'!H3, "")</f>
        <v/>
      </c>
      <c r="G47" s="1">
        <f>IF('2-The Ness'!I3&lt;&gt; "",'2-The Ness'!I3, "")</f>
        <v>0</v>
      </c>
      <c r="H47" s="1">
        <f>IF('2-The Ness'!J3&lt;&gt; "",'2-The Ness'!J3, "")</f>
        <v>3000</v>
      </c>
      <c r="I47" s="1">
        <f>IF('2-The Ness'!K3&lt;&gt; "",'2-The Ness'!K3, "")</f>
        <v>4410.9099999999962</v>
      </c>
      <c r="J47" s="1" t="str">
        <f>IF('2-The Ness'!L3&lt;&gt; "",'2-The Ness'!L3, "")</f>
        <v/>
      </c>
      <c r="K47" s="1" t="str">
        <f>IF('2-The Ness'!M3&lt;&gt; "",'2-The Ness'!M3, "")</f>
        <v/>
      </c>
      <c r="L47" s="1">
        <f>IF('2-The Ness'!N3&lt;&gt; "",'2-The Ness'!N3, "")</f>
        <v>4410.91</v>
      </c>
      <c r="M47" s="1">
        <f>IF('2-The Ness'!O3&lt;&gt; "",'2-The Ness'!O3, "")</f>
        <v>-3.637978807091713E-12</v>
      </c>
      <c r="N47" s="1" t="str">
        <f>IF('2-The Ness'!P3&lt;&gt; "",'2-The Ness'!P3, "")</f>
        <v/>
      </c>
      <c r="O47" s="1" t="str">
        <f>IF('2-The Ness'!Q3&lt;&gt; "",'2-The Ness'!Q3, "")</f>
        <v/>
      </c>
      <c r="P47" s="1">
        <f>IF('2-The Ness'!R3&lt;&gt; "",'2-The Ness'!R3, "")</f>
        <v>0</v>
      </c>
      <c r="Q47" s="1">
        <f>IF('2-The Ness'!S3&lt;&gt; "",'2-The Ness'!S3, "")</f>
        <v>-3.637978807091713E-12</v>
      </c>
      <c r="R47" s="1" t="str">
        <f>IF('2-The Ness'!T3&lt;&gt; "",'2-The Ness'!T3, "")</f>
        <v/>
      </c>
      <c r="S47" s="1" t="str">
        <f>IF('2-The Ness'!U3&lt;&gt; "",'2-The Ness'!U3, "")</f>
        <v/>
      </c>
      <c r="T47" s="1">
        <f>IF('2-The Ness'!V3&lt;&gt; "",'2-The Ness'!V3, "")</f>
        <v>0</v>
      </c>
      <c r="U47" s="1">
        <f>IF('2-The Ness'!W3&lt;&gt; "",'2-The Ness'!W3, "")</f>
        <v>-3.637978807091713E-12</v>
      </c>
      <c r="V47" s="1" t="str">
        <f>IF('2-The Ness'!X3&lt;&gt; "",'2-The Ness'!X3, "")</f>
        <v/>
      </c>
      <c r="W47" s="1" t="str">
        <f>IF('2-The Ness'!Y3&lt;&gt; "",'2-The Ness'!Y3, "")</f>
        <v/>
      </c>
      <c r="X47" s="1">
        <f>IF('2-The Ness'!Z3&lt;&gt; "",'2-The Ness'!Z3, "")</f>
        <v>0</v>
      </c>
      <c r="Y47" s="1">
        <f>IF('2-The Ness'!AA3&lt;&gt; "",'2-The Ness'!AA3, "")</f>
        <v>-3.637978807091713E-12</v>
      </c>
      <c r="Z47" s="1" t="str">
        <f>IF('2-The Ness'!AB3&lt;&gt; "",'2-The Ness'!AB3, "")</f>
        <v/>
      </c>
      <c r="AA47" s="1" t="str">
        <f>IF('2-The Ness'!AC3&lt;&gt; "",'2-The Ness'!AC3, "")</f>
        <v/>
      </c>
      <c r="AB47" s="1">
        <f>IF('2-The Ness'!AD3&lt;&gt; "",'2-The Ness'!AD3, "")</f>
        <v>0</v>
      </c>
      <c r="AC47" s="1">
        <f>IF('2-The Ness'!AE3&lt;&gt; "",'2-The Ness'!AE3, "")</f>
        <v>-3.637978807091713E-12</v>
      </c>
      <c r="AD47" t="str">
        <f>IF('2-The Ness'!AF3&lt;&gt; "",'2-The Ness'!AF3, "")</f>
        <v/>
      </c>
      <c r="AE47" s="1">
        <f>IF('2-The Ness'!AG3&lt;&gt; "",'2-The Ness'!AG3, "")</f>
        <v>100000</v>
      </c>
      <c r="AF47" s="1">
        <v>20000</v>
      </c>
    </row>
    <row r="48" spans="1:32" x14ac:dyDescent="0.35">
      <c r="A48" s="79" t="s">
        <v>167</v>
      </c>
      <c r="B48" s="79">
        <f>IF('2-The Ness'!D4&lt;&gt; "",'2-The Ness'!D4, "")</f>
        <v>50000</v>
      </c>
      <c r="C48" s="79">
        <f>IF('2-The Ness'!E4&lt;&gt; "",'2-The Ness'!E4, "")</f>
        <v>0</v>
      </c>
      <c r="D48" s="79">
        <f>IF('2-The Ness'!F4&lt;&gt; "",'2-The Ness'!F4, "")</f>
        <v>50000</v>
      </c>
      <c r="E48" s="79">
        <f>IF('2-The Ness'!G4&lt;&gt; "",'2-The Ness'!G4, "")</f>
        <v>0</v>
      </c>
      <c r="F48" s="79" t="str">
        <f>IF('2-The Ness'!H4&lt;&gt; "",'2-The Ness'!H4, "")</f>
        <v/>
      </c>
      <c r="G48" s="79">
        <f>IF('2-The Ness'!I4&lt;&gt; "",'2-The Ness'!I4, "")</f>
        <v>0</v>
      </c>
      <c r="H48" s="79">
        <f>IF('2-The Ness'!J4&lt;&gt; "",'2-The Ness'!J4, "")</f>
        <v>0</v>
      </c>
      <c r="I48" s="79">
        <f>IF('2-The Ness'!K4&lt;&gt; "",'2-The Ness'!K4, "")</f>
        <v>0</v>
      </c>
      <c r="J48" s="79" t="str">
        <f>IF('2-The Ness'!L4&lt;&gt; "",'2-The Ness'!L4, "")</f>
        <v/>
      </c>
      <c r="K48" s="79" t="str">
        <f>IF('2-The Ness'!M4&lt;&gt; "",'2-The Ness'!M4, "")</f>
        <v/>
      </c>
      <c r="L48" s="79">
        <f>IF('2-The Ness'!N4&lt;&gt; "",'2-The Ness'!N4, "")</f>
        <v>0</v>
      </c>
      <c r="M48" s="79">
        <f>IF('2-The Ness'!O4&lt;&gt; "",'2-The Ness'!O4, "")</f>
        <v>0</v>
      </c>
      <c r="N48" s="79" t="str">
        <f>IF('2-The Ness'!P4&lt;&gt; "",'2-The Ness'!P4, "")</f>
        <v/>
      </c>
      <c r="O48" s="79" t="str">
        <f>IF('2-The Ness'!Q4&lt;&gt; "",'2-The Ness'!Q4, "")</f>
        <v/>
      </c>
      <c r="P48" s="79">
        <f>IF('2-The Ness'!R4&lt;&gt; "",'2-The Ness'!R4, "")</f>
        <v>0</v>
      </c>
      <c r="Q48" s="79">
        <f>IF('2-The Ness'!S4&lt;&gt; "",'2-The Ness'!S4, "")</f>
        <v>0</v>
      </c>
      <c r="R48" s="79" t="str">
        <f>IF('2-The Ness'!T4&lt;&gt; "",'2-The Ness'!T4, "")</f>
        <v/>
      </c>
      <c r="S48" s="79" t="str">
        <f>IF('2-The Ness'!U4&lt;&gt; "",'2-The Ness'!U4, "")</f>
        <v/>
      </c>
      <c r="T48" s="79">
        <f>IF('2-The Ness'!V4&lt;&gt; "",'2-The Ness'!V4, "")</f>
        <v>0</v>
      </c>
      <c r="U48" s="79">
        <f>IF('2-The Ness'!W4&lt;&gt; "",'2-The Ness'!W4, "")</f>
        <v>0</v>
      </c>
      <c r="V48" s="79" t="str">
        <f>IF('2-The Ness'!X4&lt;&gt; "",'2-The Ness'!X4, "")</f>
        <v/>
      </c>
      <c r="W48" s="79" t="str">
        <f>IF('2-The Ness'!Y4&lt;&gt; "",'2-The Ness'!Y4, "")</f>
        <v/>
      </c>
      <c r="X48" s="79">
        <f>IF('2-The Ness'!Z4&lt;&gt; "",'2-The Ness'!Z4, "")</f>
        <v>0</v>
      </c>
      <c r="Y48" s="79">
        <f>IF('2-The Ness'!AA4&lt;&gt; "",'2-The Ness'!AA4, "")</f>
        <v>0</v>
      </c>
      <c r="Z48" s="79" t="str">
        <f>IF('2-The Ness'!AB4&lt;&gt; "",'2-The Ness'!AB4, "")</f>
        <v/>
      </c>
      <c r="AA48" s="79" t="str">
        <f>IF('2-The Ness'!AC4&lt;&gt; "",'2-The Ness'!AC4, "")</f>
        <v/>
      </c>
      <c r="AB48" s="79">
        <f>IF('2-The Ness'!AD4&lt;&gt; "",'2-The Ness'!AD4, "")</f>
        <v>0</v>
      </c>
      <c r="AC48" s="79">
        <f>IF('2-The Ness'!AE4&lt;&gt; "",'2-The Ness'!AE4, "")</f>
        <v>0</v>
      </c>
      <c r="AD48" s="80" t="str">
        <f>IF('2-The Ness'!AF4&lt;&gt; "",'2-The Ness'!AF4, "")</f>
        <v/>
      </c>
      <c r="AE48" s="79">
        <f>IF('2-The Ness'!AG4&lt;&gt; "",'2-The Ness'!AG4, "")</f>
        <v>50000</v>
      </c>
      <c r="AF48" s="79" t="s">
        <v>476</v>
      </c>
    </row>
    <row r="49" spans="1:32" x14ac:dyDescent="0.35">
      <c r="A49" s="1" t="s">
        <v>168</v>
      </c>
      <c r="B49" s="1">
        <f>IF('2-The Ness'!D5&lt;&gt; "",'2-The Ness'!D5, "")</f>
        <v>50000</v>
      </c>
      <c r="C49" s="1">
        <f>IF('2-The Ness'!E5&lt;&gt; "",'2-The Ness'!E5, "")</f>
        <v>0</v>
      </c>
      <c r="D49" s="1">
        <f>IF('2-The Ness'!F5&lt;&gt; "",'2-The Ness'!F5, "")</f>
        <v>50000</v>
      </c>
      <c r="E49" s="1">
        <f>IF('2-The Ness'!G5&lt;&gt; "",'2-The Ness'!G5, "")</f>
        <v>0</v>
      </c>
      <c r="F49" s="1" t="str">
        <f>IF('2-The Ness'!H5&lt;&gt; "",'2-The Ness'!H5, "")</f>
        <v/>
      </c>
      <c r="G49" s="1">
        <f>IF('2-The Ness'!I5&lt;&gt; "",'2-The Ness'!I5, "")</f>
        <v>0</v>
      </c>
      <c r="H49" s="1">
        <f>IF('2-The Ness'!J5&lt;&gt; "",'2-The Ness'!J5, "")</f>
        <v>0</v>
      </c>
      <c r="I49" s="1">
        <f>IF('2-The Ness'!K5&lt;&gt; "",'2-The Ness'!K5, "")</f>
        <v>0</v>
      </c>
      <c r="J49" s="1" t="str">
        <f>IF('2-The Ness'!L5&lt;&gt; "",'2-The Ness'!L5, "")</f>
        <v/>
      </c>
      <c r="K49" s="1">
        <f>IF('2-The Ness'!M5&lt;&gt; "",'2-The Ness'!M5, "")</f>
        <v>0</v>
      </c>
      <c r="L49" s="1">
        <f>IF('2-The Ness'!N5&lt;&gt; "",'2-The Ness'!N5, "")</f>
        <v>0</v>
      </c>
      <c r="M49" s="1">
        <f>IF('2-The Ness'!O5&lt;&gt; "",'2-The Ness'!O5, "")</f>
        <v>0</v>
      </c>
      <c r="N49" s="1" t="str">
        <f>IF('2-The Ness'!P5&lt;&gt; "",'2-The Ness'!P5, "")</f>
        <v/>
      </c>
      <c r="O49" s="1" t="str">
        <f>IF('2-The Ness'!Q5&lt;&gt; "",'2-The Ness'!Q5, "")</f>
        <v/>
      </c>
      <c r="P49" s="1">
        <f>IF('2-The Ness'!R5&lt;&gt; "",'2-The Ness'!R5, "")</f>
        <v>0</v>
      </c>
      <c r="Q49" s="1">
        <f>IF('2-The Ness'!S5&lt;&gt; "",'2-The Ness'!S5, "")</f>
        <v>0</v>
      </c>
      <c r="R49" s="1" t="str">
        <f>IF('2-The Ness'!T5&lt;&gt; "",'2-The Ness'!T5, "")</f>
        <v/>
      </c>
      <c r="S49" s="1" t="str">
        <f>IF('2-The Ness'!U5&lt;&gt; "",'2-The Ness'!U5, "")</f>
        <v/>
      </c>
      <c r="T49" s="1">
        <f>IF('2-The Ness'!V5&lt;&gt; "",'2-The Ness'!V5, "")</f>
        <v>0</v>
      </c>
      <c r="U49" s="1">
        <f>IF('2-The Ness'!W5&lt;&gt; "",'2-The Ness'!W5, "")</f>
        <v>0</v>
      </c>
      <c r="V49" s="1" t="str">
        <f>IF('2-The Ness'!X5&lt;&gt; "",'2-The Ness'!X5, "")</f>
        <v/>
      </c>
      <c r="W49" s="1" t="str">
        <f>IF('2-The Ness'!Y5&lt;&gt; "",'2-The Ness'!Y5, "")</f>
        <v/>
      </c>
      <c r="X49" s="1">
        <f>IF('2-The Ness'!Z5&lt;&gt; "",'2-The Ness'!Z5, "")</f>
        <v>0</v>
      </c>
      <c r="Y49" s="1">
        <f>IF('2-The Ness'!AA5&lt;&gt; "",'2-The Ness'!AA5, "")</f>
        <v>0</v>
      </c>
      <c r="Z49" s="1" t="str">
        <f>IF('2-The Ness'!AB5&lt;&gt; "",'2-The Ness'!AB5, "")</f>
        <v/>
      </c>
      <c r="AA49" s="1" t="str">
        <f>IF('2-The Ness'!AC5&lt;&gt; "",'2-The Ness'!AC5, "")</f>
        <v/>
      </c>
      <c r="AB49" s="1">
        <f>IF('2-The Ness'!AD5&lt;&gt; "",'2-The Ness'!AD5, "")</f>
        <v>0</v>
      </c>
      <c r="AC49" s="1">
        <f>IF('2-The Ness'!AE5&lt;&gt; "",'2-The Ness'!AE5, "")</f>
        <v>0</v>
      </c>
      <c r="AD49" t="str">
        <f>IF('2-The Ness'!AF5&lt;&gt; "",'2-The Ness'!AF5, "")</f>
        <v/>
      </c>
      <c r="AE49" s="1">
        <f>IF('2-The Ness'!AG5&lt;&gt; "",'2-The Ness'!AG5, "")</f>
        <v>250000</v>
      </c>
      <c r="AF49" s="1" t="s">
        <v>476</v>
      </c>
    </row>
    <row r="50" spans="1:32" x14ac:dyDescent="0.35">
      <c r="A50" s="79" t="s">
        <v>174</v>
      </c>
      <c r="B50" s="79">
        <f>IF('2-Kensington Gardens'!D3&lt;&gt; "",'2-Kensington Gardens'!D3, "")</f>
        <v>8888</v>
      </c>
      <c r="C50" s="79">
        <f>IF('2-Kensington Gardens'!E3&lt;&gt; "",'2-Kensington Gardens'!E3, "")</f>
        <v>1556.83</v>
      </c>
      <c r="D50" s="79">
        <f>IF('2-Kensington Gardens'!F3&lt;&gt; "",'2-Kensington Gardens'!F3, "")</f>
        <v>-869.0300000000002</v>
      </c>
      <c r="E50" s="79">
        <f>IF('2-Kensington Gardens'!G3&lt;&gt; "",'2-Kensington Gardens'!G3, "")</f>
        <v>2921.4700000000012</v>
      </c>
      <c r="F50" s="79" t="str">
        <f>IF('2-Kensington Gardens'!H3&lt;&gt; "",'2-Kensington Gardens'!H3, "")</f>
        <v/>
      </c>
      <c r="G50" s="79">
        <f>IF('2-Kensington Gardens'!I3&lt;&gt; "",'2-Kensington Gardens'!I3, "")</f>
        <v>3145</v>
      </c>
      <c r="H50" s="79">
        <f>IF('2-Kensington Gardens'!J3&lt;&gt; "",'2-Kensington Gardens'!J3, "")</f>
        <v>4632.26</v>
      </c>
      <c r="I50" s="79">
        <f>IF('2-Kensington Gardens'!K3&lt;&gt; "",'2-Kensington Gardens'!K3, "")</f>
        <v>2180.9900000000034</v>
      </c>
      <c r="J50" s="79" t="str">
        <f>IF('2-Kensington Gardens'!L3&lt;&gt; "",'2-Kensington Gardens'!L3, "")</f>
        <v/>
      </c>
      <c r="K50" s="79">
        <f>IF('2-Kensington Gardens'!M3&lt;&gt; "",'2-Kensington Gardens'!M3, "")</f>
        <v>-1855</v>
      </c>
      <c r="L50" s="79">
        <f>IF('2-Kensington Gardens'!N3&lt;&gt; "",'2-Kensington Gardens'!N3, "")</f>
        <v>-9830.5</v>
      </c>
      <c r="M50" s="79">
        <f>IF('2-Kensington Gardens'!O3&lt;&gt; "",'2-Kensington Gardens'!O3, "")</f>
        <v>16251.890000000005</v>
      </c>
      <c r="N50" s="79" t="str">
        <f>IF('2-Kensington Gardens'!P3&lt;&gt; "",'2-Kensington Gardens'!P3, "")</f>
        <v/>
      </c>
      <c r="O50" s="79" t="str">
        <f>IF('2-Kensington Gardens'!Q3&lt;&gt; "",'2-Kensington Gardens'!Q3, "")</f>
        <v/>
      </c>
      <c r="P50" s="79">
        <f>IF('2-Kensington Gardens'!R3&lt;&gt; "",'2-Kensington Gardens'!R3, "")</f>
        <v>0</v>
      </c>
      <c r="Q50" s="79">
        <f>IF('2-Kensington Gardens'!S3&lt;&gt; "",'2-Kensington Gardens'!S3, "")</f>
        <v>16251.890000000007</v>
      </c>
      <c r="R50" s="79" t="str">
        <f>IF('2-Kensington Gardens'!T3&lt;&gt; "",'2-Kensington Gardens'!T3, "")</f>
        <v/>
      </c>
      <c r="S50" s="79" t="str">
        <f>IF('2-Kensington Gardens'!U3&lt;&gt; "",'2-Kensington Gardens'!U3, "")</f>
        <v/>
      </c>
      <c r="T50" s="79">
        <f>IF('2-Kensington Gardens'!V3&lt;&gt; "",'2-Kensington Gardens'!V3, "")</f>
        <v>0</v>
      </c>
      <c r="U50" s="79">
        <f>IF('2-Kensington Gardens'!W3&lt;&gt; "",'2-Kensington Gardens'!W3, "")</f>
        <v>16251.890000000007</v>
      </c>
      <c r="V50" s="79" t="str">
        <f>IF('2-Kensington Gardens'!X3&lt;&gt; "",'2-Kensington Gardens'!X3, "")</f>
        <v/>
      </c>
      <c r="W50" s="79" t="str">
        <f>IF('2-Kensington Gardens'!Y3&lt;&gt; "",'2-Kensington Gardens'!Y3, "")</f>
        <v/>
      </c>
      <c r="X50" s="79">
        <f>IF('2-Kensington Gardens'!Z3&lt;&gt; "",'2-Kensington Gardens'!Z3, "")</f>
        <v>0</v>
      </c>
      <c r="Y50" s="79">
        <f>IF('2-Kensington Gardens'!AA3&lt;&gt; "",'2-Kensington Gardens'!AA3, "")</f>
        <v>16251.890000000007</v>
      </c>
      <c r="Z50" s="79" t="str">
        <f>IF('2-Kensington Gardens'!AB3&lt;&gt; "",'2-Kensington Gardens'!AB3, "")</f>
        <v/>
      </c>
      <c r="AA50" s="79" t="str">
        <f>IF('2-Kensington Gardens'!AC3&lt;&gt; "",'2-Kensington Gardens'!AC3, "")</f>
        <v/>
      </c>
      <c r="AB50" s="79">
        <f>IF('2-Kensington Gardens'!AD3&lt;&gt; "",'2-Kensington Gardens'!AD3, "")</f>
        <v>0</v>
      </c>
      <c r="AC50" s="79">
        <f>IF('2-Kensington Gardens'!AE3&lt;&gt; "",'2-Kensington Gardens'!AE3, "")</f>
        <v>16251.890000000007</v>
      </c>
      <c r="AD50" s="80" t="str">
        <f>IF('2-Kensington Gardens'!AF3&lt;&gt; "",'2-Kensington Gardens'!AF3, "")</f>
        <v/>
      </c>
      <c r="AE50" s="79">
        <f>IF('2-Kensington Gardens'!AG3&lt;&gt; "",'2-Kensington Gardens'!AG3, "")</f>
        <v>50000</v>
      </c>
      <c r="AF50" s="79">
        <f>AE50</f>
        <v>50000</v>
      </c>
    </row>
    <row r="51" spans="1:32" x14ac:dyDescent="0.35">
      <c r="A51" s="1" t="s">
        <v>175</v>
      </c>
      <c r="B51" s="1">
        <f>IF('2-Kensington Gardens'!D4&lt;&gt; "",'2-Kensington Gardens'!D4, "")</f>
        <v>0</v>
      </c>
      <c r="C51" s="1">
        <f>IF('2-Kensington Gardens'!E4&lt;&gt; "",'2-Kensington Gardens'!E4, "")</f>
        <v>0</v>
      </c>
      <c r="D51" s="1">
        <f>IF('2-Kensington Gardens'!F4&lt;&gt; "",'2-Kensington Gardens'!F4, "")</f>
        <v>0</v>
      </c>
      <c r="E51" s="1">
        <f>IF('2-Kensington Gardens'!G4&lt;&gt; "",'2-Kensington Gardens'!G4, "")</f>
        <v>0</v>
      </c>
      <c r="F51" s="1" t="str">
        <f>IF('2-Kensington Gardens'!H4&lt;&gt; "",'2-Kensington Gardens'!H4, "")</f>
        <v/>
      </c>
      <c r="G51" s="1" t="str">
        <f>IF('2-Kensington Gardens'!I4&lt;&gt; "",'2-Kensington Gardens'!I4, "")</f>
        <v/>
      </c>
      <c r="H51" s="1">
        <f>IF('2-Kensington Gardens'!J4&lt;&gt; "",'2-Kensington Gardens'!J4, "")</f>
        <v>2008.3399999999965</v>
      </c>
      <c r="I51" s="1">
        <f>IF('2-Kensington Gardens'!K4&lt;&gt; "",'2-Kensington Gardens'!K4, "")</f>
        <v>491.66000000000349</v>
      </c>
      <c r="J51" s="1" t="str">
        <f>IF('2-Kensington Gardens'!L4&lt;&gt; "",'2-Kensington Gardens'!L4, "")</f>
        <v/>
      </c>
      <c r="K51" s="1" t="str">
        <f>IF('2-Kensington Gardens'!M4&lt;&gt; "",'2-Kensington Gardens'!M4, "")</f>
        <v/>
      </c>
      <c r="L51" s="1">
        <f>IF('2-Kensington Gardens'!N4&lt;&gt; "",'2-Kensington Gardens'!N4, "")</f>
        <v>0</v>
      </c>
      <c r="M51" s="1">
        <f>IF('2-Kensington Gardens'!O4&lt;&gt; "",'2-Kensington Gardens'!O4, "")</f>
        <v>-526.07999999999652</v>
      </c>
      <c r="N51" s="1" t="str">
        <f>IF('2-Kensington Gardens'!P4&lt;&gt; "",'2-Kensington Gardens'!P4, "")</f>
        <v/>
      </c>
      <c r="O51" s="1" t="str">
        <f>IF('2-Kensington Gardens'!Q4&lt;&gt; "",'2-Kensington Gardens'!Q4, "")</f>
        <v/>
      </c>
      <c r="P51" s="1">
        <f>IF('2-Kensington Gardens'!R4&lt;&gt; "",'2-Kensington Gardens'!R4, "")</f>
        <v>0</v>
      </c>
      <c r="Q51" s="1">
        <f>IF('2-Kensington Gardens'!S4&lt;&gt; "",'2-Kensington Gardens'!S4, "")</f>
        <v>-526.07999999999652</v>
      </c>
      <c r="R51" s="1" t="str">
        <f>IF('2-Kensington Gardens'!T4&lt;&gt; "",'2-Kensington Gardens'!T4, "")</f>
        <v/>
      </c>
      <c r="S51" s="1" t="str">
        <f>IF('2-Kensington Gardens'!U4&lt;&gt; "",'2-Kensington Gardens'!U4, "")</f>
        <v/>
      </c>
      <c r="T51" s="1">
        <f>IF('2-Kensington Gardens'!V4&lt;&gt; "",'2-Kensington Gardens'!V4, "")</f>
        <v>0</v>
      </c>
      <c r="U51" s="1">
        <f>IF('2-Kensington Gardens'!W4&lt;&gt; "",'2-Kensington Gardens'!W4, "")</f>
        <v>-526.07999999999652</v>
      </c>
      <c r="V51" s="1" t="str">
        <f>IF('2-Kensington Gardens'!X4&lt;&gt; "",'2-Kensington Gardens'!X4, "")</f>
        <v/>
      </c>
      <c r="W51" s="1" t="str">
        <f>IF('2-Kensington Gardens'!Y4&lt;&gt; "",'2-Kensington Gardens'!Y4, "")</f>
        <v/>
      </c>
      <c r="X51" s="1">
        <f>IF('2-Kensington Gardens'!Z4&lt;&gt; "",'2-Kensington Gardens'!Z4, "")</f>
        <v>0</v>
      </c>
      <c r="Y51" s="1">
        <f>IF('2-Kensington Gardens'!AA4&lt;&gt; "",'2-Kensington Gardens'!AA4, "")</f>
        <v>-526.07999999999652</v>
      </c>
      <c r="Z51" s="1" t="str">
        <f>IF('2-Kensington Gardens'!AB4&lt;&gt; "",'2-Kensington Gardens'!AB4, "")</f>
        <v/>
      </c>
      <c r="AA51" s="1" t="str">
        <f>IF('2-Kensington Gardens'!AC4&lt;&gt; "",'2-Kensington Gardens'!AC4, "")</f>
        <v/>
      </c>
      <c r="AB51" s="1">
        <f>IF('2-Kensington Gardens'!AD4&lt;&gt; "",'2-Kensington Gardens'!AD4, "")</f>
        <v>0</v>
      </c>
      <c r="AC51" s="1">
        <f>IF('2-Kensington Gardens'!AE4&lt;&gt; "",'2-Kensington Gardens'!AE4, "")</f>
        <v>-526.07999999999652</v>
      </c>
      <c r="AD51" t="str">
        <f>IF('2-Kensington Gardens'!AF4&lt;&gt; "",'2-Kensington Gardens'!AF4, "")</f>
        <v/>
      </c>
      <c r="AE51" s="1" t="str">
        <f>IF('2-Kensington Gardens'!AG4&lt;&gt; "",'2-Kensington Gardens'!AG4, "")</f>
        <v/>
      </c>
      <c r="AF51" s="1" t="s">
        <v>476</v>
      </c>
    </row>
    <row r="52" spans="1:32" x14ac:dyDescent="0.35">
      <c r="A52" s="79" t="s">
        <v>72</v>
      </c>
      <c r="B52" s="79">
        <f>IF('2-Kensington Gardens'!D5&lt;&gt; "",'2-Kensington Gardens'!D5, "")</f>
        <v>0</v>
      </c>
      <c r="C52" s="79">
        <f>IF('2-Kensington Gardens'!E5&lt;&gt; "",'2-Kensington Gardens'!E5, "")</f>
        <v>0</v>
      </c>
      <c r="D52" s="79">
        <f>IF('2-Kensington Gardens'!F5&lt;&gt; "",'2-Kensington Gardens'!F5, "")</f>
        <v>0</v>
      </c>
      <c r="E52" s="79">
        <f>IF('2-Kensington Gardens'!G5&lt;&gt; "",'2-Kensington Gardens'!G5, "")</f>
        <v>0</v>
      </c>
      <c r="F52" s="79" t="str">
        <f>IF('2-Kensington Gardens'!H5&lt;&gt; "",'2-Kensington Gardens'!H5, "")</f>
        <v/>
      </c>
      <c r="G52" s="79" t="str">
        <f>IF('2-Kensington Gardens'!I5&lt;&gt; "",'2-Kensington Gardens'!I5, "")</f>
        <v/>
      </c>
      <c r="H52" s="79">
        <f>IF('2-Kensington Gardens'!J5&lt;&gt; "",'2-Kensington Gardens'!J5, "")</f>
        <v>0</v>
      </c>
      <c r="I52" s="79">
        <f>IF('2-Kensington Gardens'!K5&lt;&gt; "",'2-Kensington Gardens'!K5, "")</f>
        <v>0</v>
      </c>
      <c r="J52" s="79" t="str">
        <f>IF('2-Kensington Gardens'!L5&lt;&gt; "",'2-Kensington Gardens'!L5, "")</f>
        <v/>
      </c>
      <c r="K52" s="79" t="str">
        <f>IF('2-Kensington Gardens'!M5&lt;&gt; "",'2-Kensington Gardens'!M5, "")</f>
        <v/>
      </c>
      <c r="L52" s="79">
        <f>IF('2-Kensington Gardens'!N5&lt;&gt; "",'2-Kensington Gardens'!N5, "")</f>
        <v>0</v>
      </c>
      <c r="M52" s="79">
        <f>IF('2-Kensington Gardens'!O5&lt;&gt; "",'2-Kensington Gardens'!O5, "")</f>
        <v>0</v>
      </c>
      <c r="N52" s="79" t="str">
        <f>IF('2-Kensington Gardens'!P5&lt;&gt; "",'2-Kensington Gardens'!P5, "")</f>
        <v/>
      </c>
      <c r="O52" s="79" t="str">
        <f>IF('2-Kensington Gardens'!Q5&lt;&gt; "",'2-Kensington Gardens'!Q5, "")</f>
        <v/>
      </c>
      <c r="P52" s="79">
        <f>IF('2-Kensington Gardens'!R5&lt;&gt; "",'2-Kensington Gardens'!R5, "")</f>
        <v>0</v>
      </c>
      <c r="Q52" s="79">
        <f>IF('2-Kensington Gardens'!S5&lt;&gt; "",'2-Kensington Gardens'!S5, "")</f>
        <v>0</v>
      </c>
      <c r="R52" s="79" t="str">
        <f>IF('2-Kensington Gardens'!T5&lt;&gt; "",'2-Kensington Gardens'!T5, "")</f>
        <v/>
      </c>
      <c r="S52" s="79" t="str">
        <f>IF('2-Kensington Gardens'!U5&lt;&gt; "",'2-Kensington Gardens'!U5, "")</f>
        <v/>
      </c>
      <c r="T52" s="79">
        <f>IF('2-Kensington Gardens'!V5&lt;&gt; "",'2-Kensington Gardens'!V5, "")</f>
        <v>0</v>
      </c>
      <c r="U52" s="79">
        <f>IF('2-Kensington Gardens'!W5&lt;&gt; "",'2-Kensington Gardens'!W5, "")</f>
        <v>0</v>
      </c>
      <c r="V52" s="79" t="str">
        <f>IF('2-Kensington Gardens'!X5&lt;&gt; "",'2-Kensington Gardens'!X5, "")</f>
        <v/>
      </c>
      <c r="W52" s="79" t="str">
        <f>IF('2-Kensington Gardens'!Y5&lt;&gt; "",'2-Kensington Gardens'!Y5, "")</f>
        <v/>
      </c>
      <c r="X52" s="79">
        <f>IF('2-Kensington Gardens'!Z5&lt;&gt; "",'2-Kensington Gardens'!Z5, "")</f>
        <v>0</v>
      </c>
      <c r="Y52" s="79">
        <f>IF('2-Kensington Gardens'!AA5&lt;&gt; "",'2-Kensington Gardens'!AA5, "")</f>
        <v>0</v>
      </c>
      <c r="Z52" s="79" t="str">
        <f>IF('2-Kensington Gardens'!AB5&lt;&gt; "",'2-Kensington Gardens'!AB5, "")</f>
        <v/>
      </c>
      <c r="AA52" s="79" t="str">
        <f>IF('2-Kensington Gardens'!AC5&lt;&gt; "",'2-Kensington Gardens'!AC5, "")</f>
        <v/>
      </c>
      <c r="AB52" s="79">
        <f>IF('2-Kensington Gardens'!AD5&lt;&gt; "",'2-Kensington Gardens'!AD5, "")</f>
        <v>0</v>
      </c>
      <c r="AC52" s="79">
        <f>IF('2-Kensington Gardens'!AE5&lt;&gt; "",'2-Kensington Gardens'!AE5, "")</f>
        <v>0</v>
      </c>
      <c r="AD52" s="80" t="str">
        <f>IF('2-Kensington Gardens'!AF5&lt;&gt; "",'2-Kensington Gardens'!AF5, "")</f>
        <v/>
      </c>
      <c r="AE52" s="79" t="str">
        <f>IF('2-Kensington Gardens'!AG5&lt;&gt; "",'2-Kensington Gardens'!AG5, "")</f>
        <v/>
      </c>
      <c r="AF52" s="79" t="s">
        <v>476</v>
      </c>
    </row>
    <row r="53" spans="1:32" x14ac:dyDescent="0.35">
      <c r="A53" s="1" t="s">
        <v>153</v>
      </c>
      <c r="B53" s="1">
        <f>IF('2-Kensington Gardens'!D6&lt;&gt; "",'2-Kensington Gardens'!D6, "")</f>
        <v>0</v>
      </c>
      <c r="C53" s="1">
        <f>IF('2-Kensington Gardens'!E6&lt;&gt; "",'2-Kensington Gardens'!E6, "")</f>
        <v>0</v>
      </c>
      <c r="D53" s="1">
        <f>IF('2-Kensington Gardens'!F6&lt;&gt; "",'2-Kensington Gardens'!F6, "")</f>
        <v>0</v>
      </c>
      <c r="E53" s="1">
        <f>IF('2-Kensington Gardens'!G6&lt;&gt; "",'2-Kensington Gardens'!G6, "")</f>
        <v>0</v>
      </c>
      <c r="F53" s="1" t="str">
        <f>IF('2-Kensington Gardens'!H6&lt;&gt; "",'2-Kensington Gardens'!H6, "")</f>
        <v/>
      </c>
      <c r="G53" s="1" t="str">
        <f>IF('2-Kensington Gardens'!I6&lt;&gt; "",'2-Kensington Gardens'!I6, "")</f>
        <v/>
      </c>
      <c r="H53" s="1">
        <f>IF('2-Kensington Gardens'!J6&lt;&gt; "",'2-Kensington Gardens'!J6, "")</f>
        <v>0</v>
      </c>
      <c r="I53" s="1">
        <f>IF('2-Kensington Gardens'!K6&lt;&gt; "",'2-Kensington Gardens'!K6, "")</f>
        <v>0</v>
      </c>
      <c r="J53" s="1" t="str">
        <f>IF('2-Kensington Gardens'!L6&lt;&gt; "",'2-Kensington Gardens'!L6, "")</f>
        <v/>
      </c>
      <c r="K53" s="1" t="str">
        <f>IF('2-Kensington Gardens'!M6&lt;&gt; "",'2-Kensington Gardens'!M6, "")</f>
        <v/>
      </c>
      <c r="L53" s="1">
        <f>IF('2-Kensington Gardens'!N6&lt;&gt; "",'2-Kensington Gardens'!N6, "")</f>
        <v>0</v>
      </c>
      <c r="M53" s="1">
        <f>IF('2-Kensington Gardens'!O6&lt;&gt; "",'2-Kensington Gardens'!O6, "")</f>
        <v>0</v>
      </c>
      <c r="N53" s="1" t="str">
        <f>IF('2-Kensington Gardens'!P6&lt;&gt; "",'2-Kensington Gardens'!P6, "")</f>
        <v/>
      </c>
      <c r="O53" s="1" t="str">
        <f>IF('2-Kensington Gardens'!Q6&lt;&gt; "",'2-Kensington Gardens'!Q6, "")</f>
        <v/>
      </c>
      <c r="P53" s="1">
        <f>IF('2-Kensington Gardens'!R6&lt;&gt; "",'2-Kensington Gardens'!R6, "")</f>
        <v>0</v>
      </c>
      <c r="Q53" s="1">
        <f>IF('2-Kensington Gardens'!S6&lt;&gt; "",'2-Kensington Gardens'!S6, "")</f>
        <v>0</v>
      </c>
      <c r="R53" s="1" t="str">
        <f>IF('2-Kensington Gardens'!T6&lt;&gt; "",'2-Kensington Gardens'!T6, "")</f>
        <v/>
      </c>
      <c r="S53" s="1" t="str">
        <f>IF('2-Kensington Gardens'!U6&lt;&gt; "",'2-Kensington Gardens'!U6, "")</f>
        <v/>
      </c>
      <c r="T53" s="1">
        <f>IF('2-Kensington Gardens'!V6&lt;&gt; "",'2-Kensington Gardens'!V6, "")</f>
        <v>0</v>
      </c>
      <c r="U53" s="1">
        <f>IF('2-Kensington Gardens'!W6&lt;&gt; "",'2-Kensington Gardens'!W6, "")</f>
        <v>0</v>
      </c>
      <c r="V53" s="1" t="str">
        <f>IF('2-Kensington Gardens'!X6&lt;&gt; "",'2-Kensington Gardens'!X6, "")</f>
        <v/>
      </c>
      <c r="W53" s="1" t="str">
        <f>IF('2-Kensington Gardens'!Y6&lt;&gt; "",'2-Kensington Gardens'!Y6, "")</f>
        <v/>
      </c>
      <c r="X53" s="1">
        <f>IF('2-Kensington Gardens'!Z6&lt;&gt; "",'2-Kensington Gardens'!Z6, "")</f>
        <v>0</v>
      </c>
      <c r="Y53" s="1">
        <f>IF('2-Kensington Gardens'!AA6&lt;&gt; "",'2-Kensington Gardens'!AA6, "")</f>
        <v>0</v>
      </c>
      <c r="Z53" s="1" t="str">
        <f>IF('2-Kensington Gardens'!AB6&lt;&gt; "",'2-Kensington Gardens'!AB6, "")</f>
        <v/>
      </c>
      <c r="AA53" s="1" t="str">
        <f>IF('2-Kensington Gardens'!AC6&lt;&gt; "",'2-Kensington Gardens'!AC6, "")</f>
        <v/>
      </c>
      <c r="AB53" s="1">
        <f>IF('2-Kensington Gardens'!AD6&lt;&gt; "",'2-Kensington Gardens'!AD6, "")</f>
        <v>0</v>
      </c>
      <c r="AC53" s="1">
        <f>IF('2-Kensington Gardens'!AE6&lt;&gt; "",'2-Kensington Gardens'!AE6, "")</f>
        <v>0</v>
      </c>
      <c r="AD53" t="str">
        <f>IF('2-Kensington Gardens'!AF6&lt;&gt; "",'2-Kensington Gardens'!AF6, "")</f>
        <v/>
      </c>
      <c r="AE53" s="1" t="str">
        <f>IF('2-Kensington Gardens'!AG6&lt;&gt; "",'2-Kensington Gardens'!AG6, "")</f>
        <v/>
      </c>
      <c r="AF53" s="1" t="s">
        <v>477</v>
      </c>
    </row>
    <row r="54" spans="1:32" x14ac:dyDescent="0.35">
      <c r="A54" s="79" t="s">
        <v>177</v>
      </c>
      <c r="B54" s="79">
        <f>IF('2-Fen Park'!D3&lt;&gt; "",'2-Fen Park'!D3, "")</f>
        <v>355</v>
      </c>
      <c r="C54" s="79">
        <f>IF('2-Fen Park'!E3&lt;&gt; "",'2-Fen Park'!E3, "")</f>
        <v>-9594</v>
      </c>
      <c r="D54" s="79">
        <f>IF('2-Fen Park'!F3&lt;&gt; "",'2-Fen Park'!F3, "")</f>
        <v>-26053</v>
      </c>
      <c r="E54" s="79">
        <f>IF('2-Fen Park'!G3&lt;&gt; "",'2-Fen Park'!G3, "")</f>
        <v>27709.989999999998</v>
      </c>
      <c r="F54" s="79" t="str">
        <f>IF('2-Fen Park'!H3&lt;&gt; "",'2-Fen Park'!H3, "")</f>
        <v/>
      </c>
      <c r="G54" s="79">
        <f>IF('2-Fen Park'!I3&lt;&gt; "",'2-Fen Park'!I3, "")</f>
        <v>-27000</v>
      </c>
      <c r="H54" s="79">
        <f>IF('2-Fen Park'!J3&lt;&gt; "",'2-Fen Park'!J3, "")</f>
        <v>0</v>
      </c>
      <c r="I54" s="79">
        <f>IF('2-Fen Park'!K3&lt;&gt; "",'2-Fen Park'!K3, "")</f>
        <v>709.98999999999796</v>
      </c>
      <c r="J54" s="79" t="str">
        <f>IF('2-Fen Park'!L3&lt;&gt; "",'2-Fen Park'!L3, "")</f>
        <v/>
      </c>
      <c r="K54" s="79" t="str">
        <f>IF('2-Fen Park'!M3&lt;&gt; "",'2-Fen Park'!M3, "")</f>
        <v/>
      </c>
      <c r="L54" s="79">
        <f>IF('2-Fen Park'!N3&lt;&gt; "",'2-Fen Park'!N3, "")</f>
        <v>0</v>
      </c>
      <c r="M54" s="79">
        <f>IF('2-Fen Park'!O3&lt;&gt; "",'2-Fen Park'!O3, "")</f>
        <v>5673.2299999999977</v>
      </c>
      <c r="N54" s="79" t="str">
        <f>IF('2-Fen Park'!P3&lt;&gt; "",'2-Fen Park'!P3, "")</f>
        <v/>
      </c>
      <c r="O54" s="79" t="str">
        <f>IF('2-Fen Park'!Q3&lt;&gt; "",'2-Fen Park'!Q3, "")</f>
        <v/>
      </c>
      <c r="P54" s="79">
        <f>IF('2-Fen Park'!R3&lt;&gt; "",'2-Fen Park'!R3, "")</f>
        <v>0</v>
      </c>
      <c r="Q54" s="79">
        <f>IF('2-Fen Park'!S3&lt;&gt; "",'2-Fen Park'!S3, "")</f>
        <v>5673.2299999999977</v>
      </c>
      <c r="R54" s="79" t="str">
        <f>IF('2-Fen Park'!T3&lt;&gt; "",'2-Fen Park'!T3, "")</f>
        <v/>
      </c>
      <c r="S54" s="79" t="str">
        <f>IF('2-Fen Park'!U3&lt;&gt; "",'2-Fen Park'!U3, "")</f>
        <v/>
      </c>
      <c r="T54" s="79">
        <f>IF('2-Fen Park'!V3&lt;&gt; "",'2-Fen Park'!V3, "")</f>
        <v>0</v>
      </c>
      <c r="U54" s="79">
        <f>IF('2-Fen Park'!W3&lt;&gt; "",'2-Fen Park'!W3, "")</f>
        <v>5673.2299999999977</v>
      </c>
      <c r="V54" s="79" t="str">
        <f>IF('2-Fen Park'!X3&lt;&gt; "",'2-Fen Park'!X3, "")</f>
        <v/>
      </c>
      <c r="W54" s="79" t="str">
        <f>IF('2-Fen Park'!Y3&lt;&gt; "",'2-Fen Park'!Y3, "")</f>
        <v/>
      </c>
      <c r="X54" s="79">
        <f>IF('2-Fen Park'!Z3&lt;&gt; "",'2-Fen Park'!Z3, "")</f>
        <v>0</v>
      </c>
      <c r="Y54" s="79">
        <f>IF('2-Fen Park'!AA3&lt;&gt; "",'2-Fen Park'!AA3, "")</f>
        <v>5673.2299999999977</v>
      </c>
      <c r="Z54" s="79" t="str">
        <f>IF('2-Fen Park'!AB3&lt;&gt; "",'2-Fen Park'!AB3, "")</f>
        <v/>
      </c>
      <c r="AA54" s="79" t="str">
        <f>IF('2-Fen Park'!AC3&lt;&gt; "",'2-Fen Park'!AC3, "")</f>
        <v/>
      </c>
      <c r="AB54" s="79">
        <f>IF('2-Fen Park'!AD3&lt;&gt; "",'2-Fen Park'!AD3, "")</f>
        <v>0</v>
      </c>
      <c r="AC54" s="79">
        <f>IF('2-Fen Park'!AE3&lt;&gt; "",'2-Fen Park'!AE3, "")</f>
        <v>5673.2299999999977</v>
      </c>
      <c r="AD54" s="80" t="str">
        <f>IF('2-Fen Park'!AF3&lt;&gt; "",'2-Fen Park'!AF3, "")</f>
        <v/>
      </c>
      <c r="AE54" s="79">
        <f>IF('2-Fen Park'!AG3&lt;&gt; "",'2-Fen Park'!AG3, "")</f>
        <v>50000</v>
      </c>
      <c r="AF54" s="79" t="s">
        <v>476</v>
      </c>
    </row>
    <row r="55" spans="1:32" x14ac:dyDescent="0.35">
      <c r="A55" s="1" t="s">
        <v>178</v>
      </c>
      <c r="B55" s="1">
        <f>IF('2-Fen Park'!D4&lt;&gt; "",'2-Fen Park'!D4, "")</f>
        <v>0</v>
      </c>
      <c r="C55" s="1">
        <f>IF('2-Fen Park'!E4&lt;&gt; "",'2-Fen Park'!E4, "")</f>
        <v>10000</v>
      </c>
      <c r="D55" s="1">
        <f>IF('2-Fen Park'!F4&lt;&gt; "",'2-Fen Park'!F4, "")</f>
        <v>0</v>
      </c>
      <c r="E55" s="1">
        <f>IF('2-Fen Park'!G4&lt;&gt; "",'2-Fen Park'!G4, "")</f>
        <v>10000</v>
      </c>
      <c r="F55" s="1" t="str">
        <f>IF('2-Fen Park'!H4&lt;&gt; "",'2-Fen Park'!H4, "")</f>
        <v/>
      </c>
      <c r="G55" s="1">
        <f>IF('2-Fen Park'!I4&lt;&gt; "",'2-Fen Park'!I4, "")</f>
        <v>-10000</v>
      </c>
      <c r="H55" s="1">
        <f>IF('2-Fen Park'!J4&lt;&gt; "",'2-Fen Park'!J4, "")</f>
        <v>0</v>
      </c>
      <c r="I55" s="1">
        <f>IF('2-Fen Park'!K4&lt;&gt; "",'2-Fen Park'!K4, "")</f>
        <v>0</v>
      </c>
      <c r="J55" s="1" t="str">
        <f>IF('2-Fen Park'!L4&lt;&gt; "",'2-Fen Park'!L4, "")</f>
        <v/>
      </c>
      <c r="K55" s="1" t="str">
        <f>IF('2-Fen Park'!M4&lt;&gt; "",'2-Fen Park'!M4, "")</f>
        <v/>
      </c>
      <c r="L55" s="1">
        <f>IF('2-Fen Park'!N4&lt;&gt; "",'2-Fen Park'!N4, "")</f>
        <v>0</v>
      </c>
      <c r="M55" s="1">
        <f>IF('2-Fen Park'!O4&lt;&gt; "",'2-Fen Park'!O4, "")</f>
        <v>0</v>
      </c>
      <c r="N55" s="1" t="str">
        <f>IF('2-Fen Park'!P4&lt;&gt; "",'2-Fen Park'!P4, "")</f>
        <v/>
      </c>
      <c r="O55" s="1" t="str">
        <f>IF('2-Fen Park'!Q4&lt;&gt; "",'2-Fen Park'!Q4, "")</f>
        <v/>
      </c>
      <c r="P55" s="1">
        <f>IF('2-Fen Park'!R4&lt;&gt; "",'2-Fen Park'!R4, "")</f>
        <v>0</v>
      </c>
      <c r="Q55" s="1">
        <f>IF('2-Fen Park'!S4&lt;&gt; "",'2-Fen Park'!S4, "")</f>
        <v>0</v>
      </c>
      <c r="R55" s="1" t="str">
        <f>IF('2-Fen Park'!T4&lt;&gt; "",'2-Fen Park'!T4, "")</f>
        <v/>
      </c>
      <c r="S55" s="1" t="str">
        <f>IF('2-Fen Park'!U4&lt;&gt; "",'2-Fen Park'!U4, "")</f>
        <v/>
      </c>
      <c r="T55" s="1">
        <f>IF('2-Fen Park'!V4&lt;&gt; "",'2-Fen Park'!V4, "")</f>
        <v>0</v>
      </c>
      <c r="U55" s="1">
        <f>IF('2-Fen Park'!W4&lt;&gt; "",'2-Fen Park'!W4, "")</f>
        <v>0</v>
      </c>
      <c r="V55" s="1" t="str">
        <f>IF('2-Fen Park'!X4&lt;&gt; "",'2-Fen Park'!X4, "")</f>
        <v/>
      </c>
      <c r="W55" s="1" t="str">
        <f>IF('2-Fen Park'!Y4&lt;&gt; "",'2-Fen Park'!Y4, "")</f>
        <v/>
      </c>
      <c r="X55" s="1">
        <f>IF('2-Fen Park'!Z4&lt;&gt; "",'2-Fen Park'!Z4, "")</f>
        <v>0</v>
      </c>
      <c r="Y55" s="1">
        <f>IF('2-Fen Park'!AA4&lt;&gt; "",'2-Fen Park'!AA4, "")</f>
        <v>0</v>
      </c>
      <c r="Z55" s="1" t="str">
        <f>IF('2-Fen Park'!AB4&lt;&gt; "",'2-Fen Park'!AB4, "")</f>
        <v/>
      </c>
      <c r="AA55" s="1" t="str">
        <f>IF('2-Fen Park'!AC4&lt;&gt; "",'2-Fen Park'!AC4, "")</f>
        <v/>
      </c>
      <c r="AB55" s="1">
        <f>IF('2-Fen Park'!AD4&lt;&gt; "",'2-Fen Park'!AD4, "")</f>
        <v>0</v>
      </c>
      <c r="AC55" s="1">
        <f>IF('2-Fen Park'!AE4&lt;&gt; "",'2-Fen Park'!AE4, "")</f>
        <v>0</v>
      </c>
      <c r="AD55" t="str">
        <f>IF('2-Fen Park'!AF4&lt;&gt; "",'2-Fen Park'!AF4, "")</f>
        <v/>
      </c>
      <c r="AE55" s="1" t="str">
        <f>IF('2-Fen Park'!AG4&lt;&gt; "",'2-Fen Park'!AG4, "")</f>
        <v/>
      </c>
      <c r="AF55" s="1" t="s">
        <v>476</v>
      </c>
    </row>
    <row r="56" spans="1:32" x14ac:dyDescent="0.35">
      <c r="A56" s="79" t="s">
        <v>72</v>
      </c>
      <c r="B56" s="79">
        <f>IF('2-Fen Park'!D5&lt;&gt; "",'2-Fen Park'!D5, "")</f>
        <v>0</v>
      </c>
      <c r="C56" s="79">
        <f>IF('2-Fen Park'!E5&lt;&gt; "",'2-Fen Park'!E5, "")</f>
        <v>0</v>
      </c>
      <c r="D56" s="79">
        <f>IF('2-Fen Park'!F5&lt;&gt; "",'2-Fen Park'!F5, "")</f>
        <v>0</v>
      </c>
      <c r="E56" s="79">
        <f>IF('2-Fen Park'!G5&lt;&gt; "",'2-Fen Park'!G5, "")</f>
        <v>0</v>
      </c>
      <c r="F56" s="79" t="str">
        <f>IF('2-Fen Park'!H5&lt;&gt; "",'2-Fen Park'!H5, "")</f>
        <v/>
      </c>
      <c r="G56" s="79" t="str">
        <f>IF('2-Fen Park'!I5&lt;&gt; "",'2-Fen Park'!I5, "")</f>
        <v/>
      </c>
      <c r="H56" s="79">
        <f>IF('2-Fen Park'!J5&lt;&gt; "",'2-Fen Park'!J5, "")</f>
        <v>0</v>
      </c>
      <c r="I56" s="79">
        <f>IF('2-Fen Park'!K5&lt;&gt; "",'2-Fen Park'!K5, "")</f>
        <v>23190</v>
      </c>
      <c r="J56" s="79" t="str">
        <f>IF('2-Fen Park'!L5&lt;&gt; "",'2-Fen Park'!L5, "")</f>
        <v/>
      </c>
      <c r="K56" s="79" t="str">
        <f>IF('2-Fen Park'!M5&lt;&gt; "",'2-Fen Park'!M5, "")</f>
        <v/>
      </c>
      <c r="L56" s="79">
        <f>IF('2-Fen Park'!N5&lt;&gt; "",'2-Fen Park'!N5, "")</f>
        <v>0</v>
      </c>
      <c r="M56" s="79">
        <f>IF('2-Fen Park'!O5&lt;&gt; "",'2-Fen Park'!O5, "")</f>
        <v>23190</v>
      </c>
      <c r="N56" s="79" t="str">
        <f>IF('2-Fen Park'!P5&lt;&gt; "",'2-Fen Park'!P5, "")</f>
        <v/>
      </c>
      <c r="O56" s="79" t="str">
        <f>IF('2-Fen Park'!Q5&lt;&gt; "",'2-Fen Park'!Q5, "")</f>
        <v/>
      </c>
      <c r="P56" s="79">
        <f>IF('2-Fen Park'!R5&lt;&gt; "",'2-Fen Park'!R5, "")</f>
        <v>0</v>
      </c>
      <c r="Q56" s="79">
        <f>IF('2-Fen Park'!S5&lt;&gt; "",'2-Fen Park'!S5, "")</f>
        <v>23190</v>
      </c>
      <c r="R56" s="79" t="str">
        <f>IF('2-Fen Park'!T5&lt;&gt; "",'2-Fen Park'!T5, "")</f>
        <v/>
      </c>
      <c r="S56" s="79" t="str">
        <f>IF('2-Fen Park'!U5&lt;&gt; "",'2-Fen Park'!U5, "")</f>
        <v/>
      </c>
      <c r="T56" s="79">
        <f>IF('2-Fen Park'!V5&lt;&gt; "",'2-Fen Park'!V5, "")</f>
        <v>0</v>
      </c>
      <c r="U56" s="79">
        <f>IF('2-Fen Park'!W5&lt;&gt; "",'2-Fen Park'!W5, "")</f>
        <v>23190</v>
      </c>
      <c r="V56" s="79" t="str">
        <f>IF('2-Fen Park'!X5&lt;&gt; "",'2-Fen Park'!X5, "")</f>
        <v/>
      </c>
      <c r="W56" s="79" t="str">
        <f>IF('2-Fen Park'!Y5&lt;&gt; "",'2-Fen Park'!Y5, "")</f>
        <v/>
      </c>
      <c r="X56" s="79">
        <f>IF('2-Fen Park'!Z5&lt;&gt; "",'2-Fen Park'!Z5, "")</f>
        <v>0</v>
      </c>
      <c r="Y56" s="79">
        <f>IF('2-Fen Park'!AA5&lt;&gt; "",'2-Fen Park'!AA5, "")</f>
        <v>23190</v>
      </c>
      <c r="Z56" s="79" t="str">
        <f>IF('2-Fen Park'!AB5&lt;&gt; "",'2-Fen Park'!AB5, "")</f>
        <v/>
      </c>
      <c r="AA56" s="79" t="str">
        <f>IF('2-Fen Park'!AC5&lt;&gt; "",'2-Fen Park'!AC5, "")</f>
        <v/>
      </c>
      <c r="AB56" s="79">
        <f>IF('2-Fen Park'!AD5&lt;&gt; "",'2-Fen Park'!AD5, "")</f>
        <v>0</v>
      </c>
      <c r="AC56" s="79">
        <f>IF('2-Fen Park'!AE5&lt;&gt; "",'2-Fen Park'!AE5, "")</f>
        <v>23190</v>
      </c>
      <c r="AD56" s="80" t="str">
        <f>IF('2-Fen Park'!AF5&lt;&gt; "",'2-Fen Park'!AF5, "")</f>
        <v/>
      </c>
      <c r="AE56" s="79" t="str">
        <f>IF('2-Fen Park'!AG5&lt;&gt; "",'2-Fen Park'!AG5, "")</f>
        <v/>
      </c>
      <c r="AF56" s="79" t="s">
        <v>476</v>
      </c>
    </row>
    <row r="57" spans="1:32" x14ac:dyDescent="0.35">
      <c r="A57" s="1" t="s">
        <v>181</v>
      </c>
      <c r="B57" s="1">
        <f>IF('2-Community Halls'!D3&lt;&gt; "",'2-Community Halls'!D3, "")</f>
        <v>3868</v>
      </c>
      <c r="C57" s="1">
        <f>IF('2-Community Halls'!E3&lt;&gt; "",'2-Community Halls'!E3, "")</f>
        <v>-269.04999999999995</v>
      </c>
      <c r="D57" s="1">
        <f>IF('2-Community Halls'!F3&lt;&gt; "",'2-Community Halls'!F3, "")</f>
        <v>-10085.129999999999</v>
      </c>
      <c r="E57" s="1">
        <f>IF('2-Community Halls'!G3&lt;&gt; "",'2-Community Halls'!G3, "")</f>
        <v>15668.959999999997</v>
      </c>
      <c r="F57" s="1" t="str">
        <f>IF('2-Community Halls'!H3&lt;&gt; "",'2-Community Halls'!H3, "")</f>
        <v/>
      </c>
      <c r="G57" s="1">
        <f>IF('2-Community Halls'!I3&lt;&gt; "",'2-Community Halls'!I3, "")</f>
        <v>-11208</v>
      </c>
      <c r="H57" s="1">
        <f>IF('2-Community Halls'!J3&lt;&gt; "",'2-Community Halls'!J3, "")</f>
        <v>0</v>
      </c>
      <c r="I57" s="1">
        <f>IF('2-Community Halls'!K3&lt;&gt; "",'2-Community Halls'!K3, "")</f>
        <v>16122.349999999999</v>
      </c>
      <c r="J57" s="1" t="str">
        <f>IF('2-Community Halls'!L3&lt;&gt; "",'2-Community Halls'!L3, "")</f>
        <v>£10.38K EMR offset against Cleaning and Supplies; £576 EMR offset against Sanitary Bin Contracts; £252 EMR offset against Music Licence</v>
      </c>
      <c r="K57" s="1">
        <f>IF('2-Community Halls'!M3&lt;&gt; "",'2-Community Halls'!M3, "")</f>
        <v>-13111</v>
      </c>
      <c r="L57" s="1">
        <f>IF('2-Community Halls'!N3&lt;&gt; "",'2-Community Halls'!N3, "")</f>
        <v>1757.85</v>
      </c>
      <c r="M57" s="1">
        <f>IF('2-Community Halls'!O3&lt;&gt; "",'2-Community Halls'!O3, "")</f>
        <v>12754.809999999998</v>
      </c>
      <c r="N57" s="1" t="str">
        <f>IF('2-Community Halls'!P3&lt;&gt; "",'2-Community Halls'!P3, "")</f>
        <v/>
      </c>
      <c r="O57" s="1" t="str">
        <f>IF('2-Community Halls'!Q3&lt;&gt; "",'2-Community Halls'!Q3, "")</f>
        <v/>
      </c>
      <c r="P57" s="1">
        <f>IF('2-Community Halls'!R3&lt;&gt; "",'2-Community Halls'!R3, "")</f>
        <v>0</v>
      </c>
      <c r="Q57" s="1">
        <f>IF('2-Community Halls'!S3&lt;&gt; "",'2-Community Halls'!S3, "")</f>
        <v>12754.809999999998</v>
      </c>
      <c r="R57" s="1" t="str">
        <f>IF('2-Community Halls'!T3&lt;&gt; "",'2-Community Halls'!T3, "")</f>
        <v/>
      </c>
      <c r="S57" s="1" t="str">
        <f>IF('2-Community Halls'!U3&lt;&gt; "",'2-Community Halls'!U3, "")</f>
        <v/>
      </c>
      <c r="T57" s="1">
        <f>IF('2-Community Halls'!V3&lt;&gt; "",'2-Community Halls'!V3, "")</f>
        <v>0</v>
      </c>
      <c r="U57" s="1">
        <f>IF('2-Community Halls'!W3&lt;&gt; "",'2-Community Halls'!W3, "")</f>
        <v>12754.809999999998</v>
      </c>
      <c r="V57" s="1" t="str">
        <f>IF('2-Community Halls'!X3&lt;&gt; "",'2-Community Halls'!X3, "")</f>
        <v/>
      </c>
      <c r="W57" s="1" t="str">
        <f>IF('2-Community Halls'!Y3&lt;&gt; "",'2-Community Halls'!Y3, "")</f>
        <v/>
      </c>
      <c r="X57" s="1">
        <f>IF('2-Community Halls'!Z3&lt;&gt; "",'2-Community Halls'!Z3, "")</f>
        <v>0</v>
      </c>
      <c r="Y57" s="1">
        <f>IF('2-Community Halls'!AA3&lt;&gt; "",'2-Community Halls'!AA3, "")</f>
        <v>12754.809999999998</v>
      </c>
      <c r="Z57" s="1" t="str">
        <f>IF('2-Community Halls'!AB3&lt;&gt; "",'2-Community Halls'!AB3, "")</f>
        <v/>
      </c>
      <c r="AA57" s="1" t="str">
        <f>IF('2-Community Halls'!AC3&lt;&gt; "",'2-Community Halls'!AC3, "")</f>
        <v/>
      </c>
      <c r="AB57" s="1">
        <f>IF('2-Community Halls'!AD3&lt;&gt; "",'2-Community Halls'!AD3, "")</f>
        <v>0</v>
      </c>
      <c r="AC57" s="1">
        <f>IF('2-Community Halls'!AE3&lt;&gt; "",'2-Community Halls'!AE3, "")</f>
        <v>12754.809999999998</v>
      </c>
      <c r="AD57" t="str">
        <f>IF('2-Community Halls'!AF3&lt;&gt; "",'2-Community Halls'!AF3, "")</f>
        <v/>
      </c>
      <c r="AE57" s="1">
        <f>IF('2-Community Halls'!AG3&lt;&gt; "",'2-Community Halls'!AG3, "")</f>
        <v>50000</v>
      </c>
      <c r="AF57" s="1">
        <f>AE57</f>
        <v>50000</v>
      </c>
    </row>
    <row r="58" spans="1:32" x14ac:dyDescent="0.35">
      <c r="A58" s="79" t="s">
        <v>183</v>
      </c>
      <c r="B58" s="79">
        <f>IF('2-Community Halls'!D4&lt;&gt; "",'2-Community Halls'!D4, "")</f>
        <v>0</v>
      </c>
      <c r="C58" s="79">
        <f>IF('2-Community Halls'!E4&lt;&gt; "",'2-Community Halls'!E4, "")</f>
        <v>25000</v>
      </c>
      <c r="D58" s="79">
        <f>IF('2-Community Halls'!F4&lt;&gt; "",'2-Community Halls'!F4, "")</f>
        <v>13730</v>
      </c>
      <c r="E58" s="79">
        <f>IF('2-Community Halls'!G4&lt;&gt; "",'2-Community Halls'!G4, "")</f>
        <v>12654</v>
      </c>
      <c r="F58" s="79" t="str">
        <f>IF('2-Community Halls'!H4&lt;&gt; "",'2-Community Halls'!H4, "")</f>
        <v/>
      </c>
      <c r="G58" s="79">
        <f>IF('2-Community Halls'!I4&lt;&gt; "",'2-Community Halls'!I4, "")</f>
        <v>1000</v>
      </c>
      <c r="H58" s="79">
        <f>IF('2-Community Halls'!J4&lt;&gt; "",'2-Community Halls'!J4, "")</f>
        <v>0</v>
      </c>
      <c r="I58" s="79">
        <f>IF('2-Community Halls'!K4&lt;&gt; "",'2-Community Halls'!K4, "")</f>
        <v>14725</v>
      </c>
      <c r="J58" s="79" t="str">
        <f>IF('2-Community Halls'!L4&lt;&gt; "",'2-Community Halls'!L4, "")</f>
        <v/>
      </c>
      <c r="K58" s="79">
        <f>IF('2-Community Halls'!M4&lt;&gt; "",'2-Community Halls'!M4, "")</f>
        <v>25000</v>
      </c>
      <c r="L58" s="79">
        <f>IF('2-Community Halls'!N4&lt;&gt; "",'2-Community Halls'!N4, "")</f>
        <v>0</v>
      </c>
      <c r="M58" s="79">
        <f>IF('2-Community Halls'!O4&lt;&gt; "",'2-Community Halls'!O4, "")</f>
        <v>39509</v>
      </c>
      <c r="N58" s="79" t="str">
        <f>IF('2-Community Halls'!P4&lt;&gt; "",'2-Community Halls'!P4, "")</f>
        <v/>
      </c>
      <c r="O58" s="79" t="str">
        <f>IF('2-Community Halls'!Q4&lt;&gt; "",'2-Community Halls'!Q4, "")</f>
        <v/>
      </c>
      <c r="P58" s="79">
        <f>IF('2-Community Halls'!R4&lt;&gt; "",'2-Community Halls'!R4, "")</f>
        <v>0</v>
      </c>
      <c r="Q58" s="79">
        <f>IF('2-Community Halls'!S4&lt;&gt; "",'2-Community Halls'!S4, "")</f>
        <v>39509</v>
      </c>
      <c r="R58" s="79" t="str">
        <f>IF('2-Community Halls'!T4&lt;&gt; "",'2-Community Halls'!T4, "")</f>
        <v/>
      </c>
      <c r="S58" s="79" t="str">
        <f>IF('2-Community Halls'!U4&lt;&gt; "",'2-Community Halls'!U4, "")</f>
        <v/>
      </c>
      <c r="T58" s="79">
        <f>IF('2-Community Halls'!V4&lt;&gt; "",'2-Community Halls'!V4, "")</f>
        <v>0</v>
      </c>
      <c r="U58" s="79">
        <f>IF('2-Community Halls'!W4&lt;&gt; "",'2-Community Halls'!W4, "")</f>
        <v>39509</v>
      </c>
      <c r="V58" s="79" t="str">
        <f>IF('2-Community Halls'!X4&lt;&gt; "",'2-Community Halls'!X4, "")</f>
        <v/>
      </c>
      <c r="W58" s="79" t="str">
        <f>IF('2-Community Halls'!Y4&lt;&gt; "",'2-Community Halls'!Y4, "")</f>
        <v/>
      </c>
      <c r="X58" s="79">
        <f>IF('2-Community Halls'!Z4&lt;&gt; "",'2-Community Halls'!Z4, "")</f>
        <v>0</v>
      </c>
      <c r="Y58" s="79">
        <f>IF('2-Community Halls'!AA4&lt;&gt; "",'2-Community Halls'!AA4, "")</f>
        <v>39509</v>
      </c>
      <c r="Z58" s="79" t="str">
        <f>IF('2-Community Halls'!AB4&lt;&gt; "",'2-Community Halls'!AB4, "")</f>
        <v/>
      </c>
      <c r="AA58" s="79" t="str">
        <f>IF('2-Community Halls'!AC4&lt;&gt; "",'2-Community Halls'!AC4, "")</f>
        <v/>
      </c>
      <c r="AB58" s="79">
        <f>IF('2-Community Halls'!AD4&lt;&gt; "",'2-Community Halls'!AD4, "")</f>
        <v>0</v>
      </c>
      <c r="AC58" s="79">
        <f>IF('2-Community Halls'!AE4&lt;&gt; "",'2-Community Halls'!AE4, "")</f>
        <v>39509</v>
      </c>
      <c r="AD58" s="80" t="str">
        <f>IF('2-Community Halls'!AF4&lt;&gt; "",'2-Community Halls'!AF4, "")</f>
        <v/>
      </c>
      <c r="AE58" s="79" t="str">
        <f>IF('2-Community Halls'!AG4&lt;&gt; "",'2-Community Halls'!AG4, "")</f>
        <v/>
      </c>
      <c r="AF58" s="79" t="s">
        <v>476</v>
      </c>
    </row>
    <row r="59" spans="1:32" s="27" customFormat="1" x14ac:dyDescent="0.35">
      <c r="A59" s="1" t="s">
        <v>184</v>
      </c>
      <c r="B59" s="1">
        <f>IF('2-Community Halls'!D5&lt;&gt; "",'2-Community Halls'!D5, "")</f>
        <v>0</v>
      </c>
      <c r="C59" s="1">
        <f>IF('2-Community Halls'!E5&lt;&gt; "",'2-Community Halls'!E5, "")</f>
        <v>0</v>
      </c>
      <c r="D59" s="1">
        <f>IF('2-Community Halls'!F5&lt;&gt; "",'2-Community Halls'!F5, "")</f>
        <v>0</v>
      </c>
      <c r="E59" s="1">
        <f>IF('2-Community Halls'!G5&lt;&gt; "",'2-Community Halls'!G5, "")</f>
        <v>119.38999999999999</v>
      </c>
      <c r="F59" s="1" t="str">
        <f>IF('2-Community Halls'!H5&lt;&gt; "",'2-Community Halls'!H5, "")</f>
        <v/>
      </c>
      <c r="G59" s="1">
        <f>IF('2-Community Halls'!I5&lt;&gt; "",'2-Community Halls'!I5, "")</f>
        <v>2500</v>
      </c>
      <c r="H59" s="1">
        <f>IF('2-Community Halls'!J5&lt;&gt; "",'2-Community Halls'!J5, "")</f>
        <v>0</v>
      </c>
      <c r="I59" s="1">
        <f>IF('2-Community Halls'!K5&lt;&gt; "",'2-Community Halls'!K5, "")</f>
        <v>2696.39</v>
      </c>
      <c r="J59" s="1" t="str">
        <f>IF('2-Community Halls'!L5&lt;&gt; "",'2-Community Halls'!L5, "")</f>
        <v/>
      </c>
      <c r="K59" s="1">
        <f>IF('2-Community Halls'!M5&lt;&gt; "",'2-Community Halls'!M5, "")</f>
        <v>2500</v>
      </c>
      <c r="L59" s="1">
        <f>IF('2-Community Halls'!N5&lt;&gt; "",'2-Community Halls'!N5, "")</f>
        <v>0</v>
      </c>
      <c r="M59" s="1">
        <f>IF('2-Community Halls'!O5&lt;&gt; "",'2-Community Halls'!O5, "")</f>
        <v>5203.8899999999994</v>
      </c>
      <c r="N59" s="1" t="str">
        <f>IF('2-Community Halls'!P5&lt;&gt; "",'2-Community Halls'!P5, "")</f>
        <v/>
      </c>
      <c r="O59" s="1">
        <f>IF('2-Community Halls'!Q5&lt;&gt; "",'2-Community Halls'!Q5, "")</f>
        <v>2500</v>
      </c>
      <c r="P59" s="1">
        <f>IF('2-Community Halls'!R5&lt;&gt; "",'2-Community Halls'!R5, "")</f>
        <v>0</v>
      </c>
      <c r="Q59" s="1">
        <f>IF('2-Community Halls'!S5&lt;&gt; "",'2-Community Halls'!S5, "")</f>
        <v>7703.8899999999994</v>
      </c>
      <c r="R59" s="1" t="str">
        <f>IF('2-Community Halls'!T5&lt;&gt; "",'2-Community Halls'!T5, "")</f>
        <v/>
      </c>
      <c r="S59" s="1">
        <f>IF('2-Community Halls'!U5&lt;&gt; "",'2-Community Halls'!U5, "")</f>
        <v>2500</v>
      </c>
      <c r="T59" s="1">
        <f>IF('2-Community Halls'!V5&lt;&gt; "",'2-Community Halls'!V5, "")</f>
        <v>0</v>
      </c>
      <c r="U59" s="1">
        <f>IF('2-Community Halls'!W5&lt;&gt; "",'2-Community Halls'!W5, "")</f>
        <v>10203.89</v>
      </c>
      <c r="V59" s="1" t="str">
        <f>IF('2-Community Halls'!X5&lt;&gt; "",'2-Community Halls'!X5, "")</f>
        <v/>
      </c>
      <c r="W59" s="1">
        <f>IF('2-Community Halls'!Y5&lt;&gt; "",'2-Community Halls'!Y5, "")</f>
        <v>2500</v>
      </c>
      <c r="X59" s="1">
        <f>IF('2-Community Halls'!Z5&lt;&gt; "",'2-Community Halls'!Z5, "")</f>
        <v>0</v>
      </c>
      <c r="Y59" s="1">
        <f>IF('2-Community Halls'!AA5&lt;&gt; "",'2-Community Halls'!AA5, "")</f>
        <v>12703.89</v>
      </c>
      <c r="Z59" s="1" t="str">
        <f>IF('2-Community Halls'!AB5&lt;&gt; "",'2-Community Halls'!AB5, "")</f>
        <v/>
      </c>
      <c r="AA59" s="1">
        <f>IF('2-Community Halls'!AC5&lt;&gt; "",'2-Community Halls'!AC5, "")</f>
        <v>2500</v>
      </c>
      <c r="AB59" s="1">
        <f>IF('2-Community Halls'!AD5&lt;&gt; "",'2-Community Halls'!AD5, "")</f>
        <v>0</v>
      </c>
      <c r="AC59" s="1">
        <f>IF('2-Community Halls'!AE5&lt;&gt; "",'2-Community Halls'!AE5, "")</f>
        <v>15203.89</v>
      </c>
      <c r="AD59" t="str">
        <f>IF('2-Community Halls'!AF5&lt;&gt; "",'2-Community Halls'!AF5, "")</f>
        <v/>
      </c>
      <c r="AE59" s="1" t="str">
        <f>IF('2-Community Halls'!AG5&lt;&gt; "",'2-Community Halls'!AG5, "")</f>
        <v/>
      </c>
      <c r="AF59" s="1">
        <v>30000</v>
      </c>
    </row>
    <row r="60" spans="1:32" x14ac:dyDescent="0.35">
      <c r="A60" s="79" t="s">
        <v>191</v>
      </c>
      <c r="B60" s="79">
        <f>IF('2-Marina Theatre'!D3&lt;&gt; "",'2-Marina Theatre'!D3, "")</f>
        <v>17445</v>
      </c>
      <c r="C60" s="79">
        <f>IF('2-Marina Theatre'!E3&lt;&gt; "",'2-Marina Theatre'!E3, "")</f>
        <v>17187.330000000002</v>
      </c>
      <c r="D60" s="79">
        <f>IF('2-Marina Theatre'!F3&lt;&gt; "",'2-Marina Theatre'!F3, "")</f>
        <v>33521.699999999997</v>
      </c>
      <c r="E60" s="79">
        <f>IF('2-Marina Theatre'!G3&lt;&gt; "",'2-Marina Theatre'!G3, "")</f>
        <v>15047.559999999998</v>
      </c>
      <c r="F60" s="79" t="str">
        <f>IF('2-Marina Theatre'!H3&lt;&gt; "",'2-Marina Theatre'!H3, "")</f>
        <v/>
      </c>
      <c r="G60" s="79">
        <f>IF('2-Marina Theatre'!I3&lt;&gt; "",'2-Marina Theatre'!I3, "")</f>
        <v>6355</v>
      </c>
      <c r="H60" s="79">
        <f>IF('2-Marina Theatre'!J3&lt;&gt; "",'2-Marina Theatre'!J3, "")</f>
        <v>0</v>
      </c>
      <c r="I60" s="79">
        <f>IF('2-Marina Theatre'!K3&lt;&gt; "",'2-Marina Theatre'!K3, "")</f>
        <v>33947.76999999999</v>
      </c>
      <c r="J60" s="79" t="str">
        <f>IF('2-Marina Theatre'!L3&lt;&gt; "",'2-Marina Theatre'!L3, "")</f>
        <v/>
      </c>
      <c r="K60" s="79">
        <f>IF('2-Marina Theatre'!M3&lt;&gt; "",'2-Marina Theatre'!M3, "")</f>
        <v>-25000</v>
      </c>
      <c r="L60" s="79">
        <f>IF('2-Marina Theatre'!N3&lt;&gt; "",'2-Marina Theatre'!N3, "")</f>
        <v>0</v>
      </c>
      <c r="M60" s="79">
        <f>IF('2-Marina Theatre'!O3&lt;&gt; "",'2-Marina Theatre'!O3, "")</f>
        <v>22868.349999999977</v>
      </c>
      <c r="N60" s="79" t="str">
        <f>IF('2-Marina Theatre'!P3&lt;&gt; "",'2-Marina Theatre'!P3, "")</f>
        <v/>
      </c>
      <c r="O60" s="79" t="str">
        <f>IF('2-Marina Theatre'!Q3&lt;&gt; "",'2-Marina Theatre'!Q3, "")</f>
        <v/>
      </c>
      <c r="P60" s="79">
        <f>IF('2-Marina Theatre'!R3&lt;&gt; "",'2-Marina Theatre'!R3, "")</f>
        <v>0</v>
      </c>
      <c r="Q60" s="79">
        <f>IF('2-Marina Theatre'!S3&lt;&gt; "",'2-Marina Theatre'!S3, "")</f>
        <v>22868.349999999977</v>
      </c>
      <c r="R60" s="79" t="str">
        <f>IF('2-Marina Theatre'!T3&lt;&gt; "",'2-Marina Theatre'!T3, "")</f>
        <v/>
      </c>
      <c r="S60" s="79" t="str">
        <f>IF('2-Marina Theatre'!U3&lt;&gt; "",'2-Marina Theatre'!U3, "")</f>
        <v/>
      </c>
      <c r="T60" s="79">
        <f>IF('2-Marina Theatre'!V3&lt;&gt; "",'2-Marina Theatre'!V3, "")</f>
        <v>0</v>
      </c>
      <c r="U60" s="79">
        <f>IF('2-Marina Theatre'!W3&lt;&gt; "",'2-Marina Theatre'!W3, "")</f>
        <v>22868.349999999977</v>
      </c>
      <c r="V60" s="79" t="str">
        <f>IF('2-Marina Theatre'!X3&lt;&gt; "",'2-Marina Theatre'!X3, "")</f>
        <v/>
      </c>
      <c r="W60" s="79" t="str">
        <f>IF('2-Marina Theatre'!Y3&lt;&gt; "",'2-Marina Theatre'!Y3, "")</f>
        <v/>
      </c>
      <c r="X60" s="79">
        <f>IF('2-Marina Theatre'!Z3&lt;&gt; "",'2-Marina Theatre'!Z3, "")</f>
        <v>0</v>
      </c>
      <c r="Y60" s="79">
        <f>IF('2-Marina Theatre'!AA3&lt;&gt; "",'2-Marina Theatre'!AA3, "")</f>
        <v>22868.349999999977</v>
      </c>
      <c r="Z60" s="79" t="str">
        <f>IF('2-Marina Theatre'!AB3&lt;&gt; "",'2-Marina Theatre'!AB3, "")</f>
        <v/>
      </c>
      <c r="AA60" s="79" t="str">
        <f>IF('2-Marina Theatre'!AC3&lt;&gt; "",'2-Marina Theatre'!AC3, "")</f>
        <v/>
      </c>
      <c r="AB60" s="79">
        <f>IF('2-Marina Theatre'!AD3&lt;&gt; "",'2-Marina Theatre'!AD3, "")</f>
        <v>0</v>
      </c>
      <c r="AC60" s="79">
        <f>IF('2-Marina Theatre'!AE3&lt;&gt; "",'2-Marina Theatre'!AE3, "")</f>
        <v>22868.349999999977</v>
      </c>
      <c r="AD60" s="80" t="str">
        <f>IF('2-Marina Theatre'!AF3&lt;&gt; "",'2-Marina Theatre'!AF3, "")</f>
        <v/>
      </c>
      <c r="AE60" s="79">
        <f>IF('2-Marina Theatre'!AG3&lt;&gt; "",'2-Marina Theatre'!AG3, "")</f>
        <v>200000</v>
      </c>
      <c r="AF60" s="79">
        <f>AE60</f>
        <v>200000</v>
      </c>
    </row>
    <row r="61" spans="1:32" x14ac:dyDescent="0.35">
      <c r="A61" s="1" t="s">
        <v>192</v>
      </c>
      <c r="B61" s="1">
        <f>IF('2-Marina Theatre'!D4&lt;&gt; "",'2-Marina Theatre'!D4, "")</f>
        <v>0</v>
      </c>
      <c r="C61" s="1">
        <f>IF('2-Marina Theatre'!E4&lt;&gt; "",'2-Marina Theatre'!E4, "")</f>
        <v>100000</v>
      </c>
      <c r="D61" s="1">
        <f>IF('2-Marina Theatre'!F4&lt;&gt; "",'2-Marina Theatre'!F4, "")</f>
        <v>99367.89</v>
      </c>
      <c r="E61" s="1">
        <f>IF('2-Marina Theatre'!G4&lt;&gt; "",'2-Marina Theatre'!G4, "")</f>
        <v>632.11000000000058</v>
      </c>
      <c r="F61" s="1" t="str">
        <f>IF('2-Marina Theatre'!H4&lt;&gt; "",'2-Marina Theatre'!H4, "")</f>
        <v/>
      </c>
      <c r="G61" s="1">
        <f>IF('2-Marina Theatre'!I4&lt;&gt; "",'2-Marina Theatre'!I4, "")</f>
        <v>85500</v>
      </c>
      <c r="H61" s="1">
        <f>IF('2-Marina Theatre'!J4&lt;&gt; "",'2-Marina Theatre'!J4, "")</f>
        <v>20500</v>
      </c>
      <c r="I61" s="1">
        <f>IF('2-Marina Theatre'!K4&lt;&gt; "",'2-Marina Theatre'!K4, "")</f>
        <v>65632.11</v>
      </c>
      <c r="J61" s="1" t="str">
        <f>IF('2-Marina Theatre'!L4&lt;&gt; "",'2-Marina Theatre'!L4, "")</f>
        <v/>
      </c>
      <c r="K61" s="1">
        <f>IF('2-Marina Theatre'!M4&lt;&gt; "",'2-Marina Theatre'!M4, "")</f>
        <v>-632</v>
      </c>
      <c r="L61" s="1">
        <f>IF('2-Marina Theatre'!N4&lt;&gt; "",'2-Marina Theatre'!N4, "")</f>
        <v>9006.0499999999993</v>
      </c>
      <c r="M61" s="1">
        <f>IF('2-Marina Theatre'!O4&lt;&gt; "",'2-Marina Theatre'!O4, "")</f>
        <v>55994.06</v>
      </c>
      <c r="N61" s="1" t="str">
        <f>IF('2-Marina Theatre'!P4&lt;&gt; "",'2-Marina Theatre'!P4, "")</f>
        <v/>
      </c>
      <c r="O61" s="1" t="str">
        <f>IF('2-Marina Theatre'!Q4&lt;&gt; "",'2-Marina Theatre'!Q4, "")</f>
        <v/>
      </c>
      <c r="P61" s="1">
        <f>IF('2-Marina Theatre'!R4&lt;&gt; "",'2-Marina Theatre'!R4, "")</f>
        <v>0</v>
      </c>
      <c r="Q61" s="1">
        <f>IF('2-Marina Theatre'!S4&lt;&gt; "",'2-Marina Theatre'!S4, "")</f>
        <v>55994.06</v>
      </c>
      <c r="R61" s="1" t="str">
        <f>IF('2-Marina Theatre'!T4&lt;&gt; "",'2-Marina Theatre'!T4, "")</f>
        <v/>
      </c>
      <c r="S61" s="1" t="str">
        <f>IF('2-Marina Theatre'!U4&lt;&gt; "",'2-Marina Theatre'!U4, "")</f>
        <v/>
      </c>
      <c r="T61" s="1">
        <f>IF('2-Marina Theatre'!V4&lt;&gt; "",'2-Marina Theatre'!V4, "")</f>
        <v>0</v>
      </c>
      <c r="U61" s="1">
        <f>IF('2-Marina Theatre'!W4&lt;&gt; "",'2-Marina Theatre'!W4, "")</f>
        <v>55994.06</v>
      </c>
      <c r="V61" s="1" t="str">
        <f>IF('2-Marina Theatre'!X4&lt;&gt; "",'2-Marina Theatre'!X4, "")</f>
        <v/>
      </c>
      <c r="W61" s="1" t="str">
        <f>IF('2-Marina Theatre'!Y4&lt;&gt; "",'2-Marina Theatre'!Y4, "")</f>
        <v/>
      </c>
      <c r="X61" s="1">
        <f>IF('2-Marina Theatre'!Z4&lt;&gt; "",'2-Marina Theatre'!Z4, "")</f>
        <v>0</v>
      </c>
      <c r="Y61" s="1">
        <f>IF('2-Marina Theatre'!AA4&lt;&gt; "",'2-Marina Theatre'!AA4, "")</f>
        <v>55994.06</v>
      </c>
      <c r="Z61" s="1" t="str">
        <f>IF('2-Marina Theatre'!AB4&lt;&gt; "",'2-Marina Theatre'!AB4, "")</f>
        <v/>
      </c>
      <c r="AA61" s="1" t="str">
        <f>IF('2-Marina Theatre'!AC4&lt;&gt; "",'2-Marina Theatre'!AC4, "")</f>
        <v/>
      </c>
      <c r="AB61" s="1">
        <f>IF('2-Marina Theatre'!AD4&lt;&gt; "",'2-Marina Theatre'!AD4, "")</f>
        <v>0</v>
      </c>
      <c r="AC61" s="1">
        <f>IF('2-Marina Theatre'!AE4&lt;&gt; "",'2-Marina Theatre'!AE4, "")</f>
        <v>55994.06</v>
      </c>
      <c r="AD61" t="str">
        <f>IF('2-Marina Theatre'!AF4&lt;&gt; "",'2-Marina Theatre'!AF4, "")</f>
        <v/>
      </c>
      <c r="AE61" s="1" t="str">
        <f>IF('2-Marina Theatre'!AG4&lt;&gt; "",'2-Marina Theatre'!AG4, "")</f>
        <v/>
      </c>
      <c r="AF61" s="1" t="s">
        <v>476</v>
      </c>
    </row>
    <row r="62" spans="1:32" x14ac:dyDescent="0.35">
      <c r="A62" s="79" t="s">
        <v>72</v>
      </c>
      <c r="B62" s="79">
        <f>IF('2-Marina Theatre'!D5&lt;&gt; "",'2-Marina Theatre'!D5, "")</f>
        <v>0</v>
      </c>
      <c r="C62" s="79">
        <f>IF('2-Marina Theatre'!E5&lt;&gt; "",'2-Marina Theatre'!E5, "")</f>
        <v>0</v>
      </c>
      <c r="D62" s="79">
        <f>IF('2-Marina Theatre'!F5&lt;&gt; "",'2-Marina Theatre'!F5, "")</f>
        <v>0</v>
      </c>
      <c r="E62" s="79">
        <f>IF('2-Marina Theatre'!G5&lt;&gt; "",'2-Marina Theatre'!G5, "")</f>
        <v>0</v>
      </c>
      <c r="F62" s="79" t="str">
        <f>IF('2-Marina Theatre'!H5&lt;&gt; "",'2-Marina Theatre'!H5, "")</f>
        <v/>
      </c>
      <c r="G62" s="79" t="str">
        <f>IF('2-Marina Theatre'!I5&lt;&gt; "",'2-Marina Theatre'!I5, "")</f>
        <v/>
      </c>
      <c r="H62" s="79">
        <f>IF('2-Marina Theatre'!J5&lt;&gt; "",'2-Marina Theatre'!J5, "")</f>
        <v>0</v>
      </c>
      <c r="I62" s="79">
        <f>IF('2-Marina Theatre'!K5&lt;&gt; "",'2-Marina Theatre'!K5, "")</f>
        <v>0</v>
      </c>
      <c r="J62" s="79" t="str">
        <f>IF('2-Marina Theatre'!L5&lt;&gt; "",'2-Marina Theatre'!L5, "")</f>
        <v/>
      </c>
      <c r="K62" s="79" t="str">
        <f>IF('2-Marina Theatre'!M5&lt;&gt; "",'2-Marina Theatre'!M5, "")</f>
        <v/>
      </c>
      <c r="L62" s="79">
        <f>IF('2-Marina Theatre'!N5&lt;&gt; "",'2-Marina Theatre'!N5, "")</f>
        <v>0</v>
      </c>
      <c r="M62" s="79">
        <f>IF('2-Marina Theatre'!O5&lt;&gt; "",'2-Marina Theatre'!O5, "")</f>
        <v>0</v>
      </c>
      <c r="N62" s="79" t="str">
        <f>IF('2-Marina Theatre'!P5&lt;&gt; "",'2-Marina Theatre'!P5, "")</f>
        <v/>
      </c>
      <c r="O62" s="79" t="str">
        <f>IF('2-Marina Theatre'!Q5&lt;&gt; "",'2-Marina Theatre'!Q5, "")</f>
        <v/>
      </c>
      <c r="P62" s="79">
        <f>IF('2-Marina Theatre'!R5&lt;&gt; "",'2-Marina Theatre'!R5, "")</f>
        <v>0</v>
      </c>
      <c r="Q62" s="79">
        <f>IF('2-Marina Theatre'!S5&lt;&gt; "",'2-Marina Theatre'!S5, "")</f>
        <v>0</v>
      </c>
      <c r="R62" s="79" t="str">
        <f>IF('2-Marina Theatre'!T5&lt;&gt; "",'2-Marina Theatre'!T5, "")</f>
        <v/>
      </c>
      <c r="S62" s="79" t="str">
        <f>IF('2-Marina Theatre'!U5&lt;&gt; "",'2-Marina Theatre'!U5, "")</f>
        <v/>
      </c>
      <c r="T62" s="79">
        <f>IF('2-Marina Theatre'!V5&lt;&gt; "",'2-Marina Theatre'!V5, "")</f>
        <v>0</v>
      </c>
      <c r="U62" s="79">
        <f>IF('2-Marina Theatre'!W5&lt;&gt; "",'2-Marina Theatre'!W5, "")</f>
        <v>0</v>
      </c>
      <c r="V62" s="79" t="str">
        <f>IF('2-Marina Theatre'!X5&lt;&gt; "",'2-Marina Theatre'!X5, "")</f>
        <v/>
      </c>
      <c r="W62" s="79" t="str">
        <f>IF('2-Marina Theatre'!Y5&lt;&gt; "",'2-Marina Theatre'!Y5, "")</f>
        <v/>
      </c>
      <c r="X62" s="79">
        <f>IF('2-Marina Theatre'!Z5&lt;&gt; "",'2-Marina Theatre'!Z5, "")</f>
        <v>0</v>
      </c>
      <c r="Y62" s="79">
        <f>IF('2-Marina Theatre'!AA5&lt;&gt; "",'2-Marina Theatre'!AA5, "")</f>
        <v>0</v>
      </c>
      <c r="Z62" s="79" t="str">
        <f>IF('2-Marina Theatre'!AB5&lt;&gt; "",'2-Marina Theatre'!AB5, "")</f>
        <v/>
      </c>
      <c r="AA62" s="79" t="str">
        <f>IF('2-Marina Theatre'!AC5&lt;&gt; "",'2-Marina Theatre'!AC5, "")</f>
        <v/>
      </c>
      <c r="AB62" s="79">
        <f>IF('2-Marina Theatre'!AD5&lt;&gt; "",'2-Marina Theatre'!AD5, "")</f>
        <v>0</v>
      </c>
      <c r="AC62" s="79">
        <f>IF('2-Marina Theatre'!AE5&lt;&gt; "",'2-Marina Theatre'!AE5, "")</f>
        <v>0</v>
      </c>
      <c r="AD62" s="80" t="str">
        <f>IF('2-Marina Theatre'!AF5&lt;&gt; "",'2-Marina Theatre'!AF5, "")</f>
        <v/>
      </c>
      <c r="AE62" s="79" t="str">
        <f>IF('2-Marina Theatre'!AG5&lt;&gt; "",'2-Marina Theatre'!AG5, "")</f>
        <v/>
      </c>
      <c r="AF62" s="79" t="s">
        <v>476</v>
      </c>
    </row>
    <row r="63" spans="1:32" x14ac:dyDescent="0.35">
      <c r="A63" s="1" t="s">
        <v>198</v>
      </c>
      <c r="B63" s="1">
        <f>IF('2-Town Hall'!D3&lt;&gt; "",'2-Town Hall'!D3, "")</f>
        <v>92793</v>
      </c>
      <c r="C63" s="1">
        <f>IF('2-Town Hall'!E3&lt;&gt; "",'2-Town Hall'!E3, "")</f>
        <v>-57373.96</v>
      </c>
      <c r="D63" s="1">
        <f>IF('2-Town Hall'!F3&lt;&gt; "",'2-Town Hall'!F3, "")</f>
        <v>10000</v>
      </c>
      <c r="E63" s="1">
        <f>IF('2-Town Hall'!G3&lt;&gt; "",'2-Town Hall'!G3, "")</f>
        <v>68127.960000000006</v>
      </c>
      <c r="F63" s="1" t="str">
        <f>IF('2-Town Hall'!H3&lt;&gt; "",'2-Town Hall'!H3, "")</f>
        <v/>
      </c>
      <c r="G63" s="1">
        <f>IF('2-Town Hall'!I3&lt;&gt; "",'2-Town Hall'!I3, "")</f>
        <v>-58853</v>
      </c>
      <c r="H63" s="1">
        <f>IF('2-Town Hall'!J3&lt;&gt; "",'2-Town Hall'!J3, "")</f>
        <v>0</v>
      </c>
      <c r="I63" s="1">
        <f>IF('2-Town Hall'!K3&lt;&gt; "",'2-Town Hall'!K3, "")</f>
        <v>46323.22</v>
      </c>
      <c r="J63" s="1" t="str">
        <f>IF('2-Town Hall'!L3&lt;&gt; "",'2-Town Hall'!L3, "")</f>
        <v/>
      </c>
      <c r="K63" s="1" t="str">
        <f>IF('2-Town Hall'!M3&lt;&gt; "",'2-Town Hall'!M3, "")</f>
        <v/>
      </c>
      <c r="L63" s="1">
        <f>IF('2-Town Hall'!N3&lt;&gt; "",'2-Town Hall'!N3, "")</f>
        <v>0</v>
      </c>
      <c r="M63" s="1">
        <f>IF('2-Town Hall'!O3&lt;&gt; "",'2-Town Hall'!O3, "")</f>
        <v>64239.75</v>
      </c>
      <c r="N63" s="1" t="str">
        <f>IF('2-Town Hall'!P3&lt;&gt; "",'2-Town Hall'!P3, "")</f>
        <v>See footnote re code 4</v>
      </c>
      <c r="O63" s="1" t="str">
        <f>IF('2-Town Hall'!Q3&lt;&gt; "",'2-Town Hall'!Q3, "")</f>
        <v/>
      </c>
      <c r="P63" s="1">
        <f>IF('2-Town Hall'!R3&lt;&gt; "",'2-Town Hall'!R3, "")</f>
        <v>0</v>
      </c>
      <c r="Q63" s="1">
        <f>IF('2-Town Hall'!S3&lt;&gt; "",'2-Town Hall'!S3, "")</f>
        <v>64239.75</v>
      </c>
      <c r="R63" s="1" t="str">
        <f>IF('2-Town Hall'!T3&lt;&gt; "",'2-Town Hall'!T3, "")</f>
        <v/>
      </c>
      <c r="S63" s="1" t="str">
        <f>IF('2-Town Hall'!U3&lt;&gt; "",'2-Town Hall'!U3, "")</f>
        <v/>
      </c>
      <c r="T63" s="1">
        <f>IF('2-Town Hall'!V3&lt;&gt; "",'2-Town Hall'!V3, "")</f>
        <v>0</v>
      </c>
      <c r="U63" s="1">
        <f>IF('2-Town Hall'!W3&lt;&gt; "",'2-Town Hall'!W3, "")</f>
        <v>64239.75</v>
      </c>
      <c r="V63" s="1" t="str">
        <f>IF('2-Town Hall'!X3&lt;&gt; "",'2-Town Hall'!X3, "")</f>
        <v/>
      </c>
      <c r="W63" s="1" t="str">
        <f>IF('2-Town Hall'!Y3&lt;&gt; "",'2-Town Hall'!Y3, "")</f>
        <v/>
      </c>
      <c r="X63" s="1">
        <f>IF('2-Town Hall'!Z3&lt;&gt; "",'2-Town Hall'!Z3, "")</f>
        <v>0</v>
      </c>
      <c r="Y63" s="1">
        <f>IF('2-Town Hall'!AA3&lt;&gt; "",'2-Town Hall'!AA3, "")</f>
        <v>64239.75</v>
      </c>
      <c r="Z63" s="1" t="str">
        <f>IF('2-Town Hall'!AB3&lt;&gt; "",'2-Town Hall'!AB3, "")</f>
        <v/>
      </c>
      <c r="AA63" s="1" t="str">
        <f>IF('2-Town Hall'!AC3&lt;&gt; "",'2-Town Hall'!AC3, "")</f>
        <v/>
      </c>
      <c r="AB63" s="1">
        <f>IF('2-Town Hall'!AD3&lt;&gt; "",'2-Town Hall'!AD3, "")</f>
        <v>0</v>
      </c>
      <c r="AC63" s="1">
        <f>IF('2-Town Hall'!AE3&lt;&gt; "",'2-Town Hall'!AE3, "")</f>
        <v>64239.75</v>
      </c>
      <c r="AD63" t="str">
        <f>IF('2-Town Hall'!AF3&lt;&gt; "",'2-Town Hall'!AF3, "")</f>
        <v/>
      </c>
      <c r="AE63" s="1">
        <f>IF('2-Town Hall'!AG3&lt;&gt; "",'2-Town Hall'!AG3, "")</f>
        <v>100000</v>
      </c>
      <c r="AF63" s="1">
        <f>AE63</f>
        <v>100000</v>
      </c>
    </row>
    <row r="64" spans="1:32" x14ac:dyDescent="0.35">
      <c r="A64" s="79" t="s">
        <v>478</v>
      </c>
      <c r="B64" s="79">
        <f>IF('2-Town Hall'!D4&lt;&gt; "",'2-Town Hall'!D4, "")</f>
        <v>207017</v>
      </c>
      <c r="C64" s="79">
        <f>IF('2-Town Hall'!E4&lt;&gt; "",'2-Town Hall'!E4, "")</f>
        <v>0</v>
      </c>
      <c r="D64" s="79">
        <f>IF('2-Town Hall'!F4&lt;&gt; "",'2-Town Hall'!F4, "")</f>
        <v>0</v>
      </c>
      <c r="E64" s="79">
        <f>IF('2-Town Hall'!G4&lt;&gt; "",'2-Town Hall'!G4, "")</f>
        <v>5399.9900000000198</v>
      </c>
      <c r="F64" s="79" t="str">
        <f>IF('2-Town Hall'!H4&lt;&gt; "",'2-Town Hall'!H4, "")</f>
        <v/>
      </c>
      <c r="G64" s="79">
        <f>IF('2-Town Hall'!I4&lt;&gt; "",'2-Town Hall'!I4, "")</f>
        <v>0</v>
      </c>
      <c r="H64" s="79">
        <f>IF('2-Town Hall'!J4&lt;&gt; "",'2-Town Hall'!J4, "")</f>
        <v>92382.720000000001</v>
      </c>
      <c r="I64" s="79">
        <f>IF('2-Town Hall'!K4&lt;&gt; "",'2-Town Hall'!K4, "")</f>
        <v>51472.750000000058</v>
      </c>
      <c r="J64" s="79" t="str">
        <f>IF('2-Town Hall'!L4&lt;&gt; "",'2-Town Hall'!L4, "")</f>
        <v/>
      </c>
      <c r="K64" s="79">
        <f>IF('2-Town Hall'!M4&lt;&gt; "",'2-Town Hall'!M4, "")</f>
        <v>144717</v>
      </c>
      <c r="L64" s="79">
        <f>IF('2-Town Hall'!N4&lt;&gt; "",'2-Town Hall'!N4, "")</f>
        <v>0</v>
      </c>
      <c r="M64" s="79">
        <f>IF('2-Town Hall'!O4&lt;&gt; "",'2-Town Hall'!O4, "")</f>
        <v>51472.750000000058</v>
      </c>
      <c r="N64" s="79" t="str">
        <f>IF('2-Town Hall'!P4&lt;&gt; "",'2-Town Hall'!P4, "")</f>
        <v>See footnote re code 2</v>
      </c>
      <c r="O64" s="79">
        <f>IF('2-Town Hall'!Q4&lt;&gt; "",'2-Town Hall'!Q4, "")</f>
        <v>460371</v>
      </c>
      <c r="P64" s="79">
        <f>IF('2-Town Hall'!R4&lt;&gt; "",'2-Town Hall'!R4, "")</f>
        <v>0</v>
      </c>
      <c r="Q64" s="79">
        <f>IF('2-Town Hall'!S4&lt;&gt; "",'2-Town Hall'!S4, "")</f>
        <v>511843.75000000006</v>
      </c>
      <c r="R64" s="79" t="str">
        <f>IF('2-Town Hall'!T4&lt;&gt; "",'2-Town Hall'!T4, "")</f>
        <v/>
      </c>
      <c r="S64" s="79">
        <f>IF('2-Town Hall'!U4&lt;&gt; "",'2-Town Hall'!U4, "")</f>
        <v>-356692</v>
      </c>
      <c r="T64" s="79">
        <f>IF('2-Town Hall'!V4&lt;&gt; "",'2-Town Hall'!V4, "")</f>
        <v>0</v>
      </c>
      <c r="U64" s="79">
        <f>IF('2-Town Hall'!W4&lt;&gt; "",'2-Town Hall'!W4, "")</f>
        <v>155152.75000000006</v>
      </c>
      <c r="V64" s="79" t="str">
        <f>IF('2-Town Hall'!X4&lt;&gt; "",'2-Town Hall'!X4, "")</f>
        <v/>
      </c>
      <c r="W64" s="79">
        <f>IF('2-Town Hall'!Y4&lt;&gt; "",'2-Town Hall'!Y4, "")</f>
        <v>-349292</v>
      </c>
      <c r="X64" s="79">
        <f>IF('2-Town Hall'!Z4&lt;&gt; "",'2-Town Hall'!Z4, "")</f>
        <v>0</v>
      </c>
      <c r="Y64" s="79">
        <f>IF('2-Town Hall'!AA4&lt;&gt; "",'2-Town Hall'!AA4, "")</f>
        <v>-194139.24999999994</v>
      </c>
      <c r="Z64" s="79" t="str">
        <f>IF('2-Town Hall'!AB4&lt;&gt; "",'2-Town Hall'!AB4, "")</f>
        <v/>
      </c>
      <c r="AA64" s="79">
        <f>IF('2-Town Hall'!AC4&lt;&gt; "",'2-Town Hall'!AC4, "")</f>
        <v>-2766</v>
      </c>
      <c r="AB64" s="79">
        <f>IF('2-Town Hall'!AD4&lt;&gt; "",'2-Town Hall'!AD4, "")</f>
        <v>0</v>
      </c>
      <c r="AC64" s="79">
        <f>IF('2-Town Hall'!AE4&lt;&gt; "",'2-Town Hall'!AE4, "")</f>
        <v>-196905.24999999994</v>
      </c>
      <c r="AD64" s="80" t="str">
        <f>IF('2-Town Hall'!AF4&lt;&gt; "",'2-Town Hall'!AF4, "")</f>
        <v/>
      </c>
      <c r="AE64" s="79" t="str">
        <f>IF('2-Town Hall'!AG4&lt;&gt; "",'2-Town Hall'!AG4, "")</f>
        <v/>
      </c>
      <c r="AF64" s="79" t="str">
        <f>AE64</f>
        <v/>
      </c>
    </row>
    <row r="65" spans="1:32" x14ac:dyDescent="0.35">
      <c r="A65" s="1" t="s">
        <v>207</v>
      </c>
      <c r="B65" s="1">
        <f>IF('2-Staff'!D3&lt;&gt; "",'2-Staff'!D3, "")</f>
        <v>257197.6</v>
      </c>
      <c r="C65" s="1">
        <f>IF('2-Staff'!E3&lt;&gt; "",'2-Staff'!E3, "")</f>
        <v>-140893.70000000001</v>
      </c>
      <c r="D65" s="1">
        <f>IF('2-Staff'!F3&lt;&gt; "",'2-Staff'!F3, "")</f>
        <v>0</v>
      </c>
      <c r="E65" s="1">
        <f>IF('2-Staff'!G3&lt;&gt; "",'2-Staff'!G3, "")</f>
        <v>118320.78000000003</v>
      </c>
      <c r="F65" s="1" t="str">
        <f>IF('2-Staff'!H3&lt;&gt; "",'2-Staff'!H3, "")</f>
        <v/>
      </c>
      <c r="G65" s="1">
        <f>IF('2-Staff'!I3&lt;&gt; "",'2-Staff'!I3, "")</f>
        <v>-102000</v>
      </c>
      <c r="H65" s="1">
        <f>IF('2-Staff'!J3&lt;&gt; "",'2-Staff'!J3, "")</f>
        <v>100</v>
      </c>
      <c r="I65" s="1">
        <f>IF('2-Staff'!K3&lt;&gt; "",'2-Staff'!K3, "")</f>
        <v>53161.839999999967</v>
      </c>
      <c r="J65" s="1" t="str">
        <f>IF('2-Staff'!L3&lt;&gt; "",'2-Staff'!L3, "")</f>
        <v xml:space="preserve">£35K EMR offset against Staffing Contingency; £67K EMR offset against Salaries Gross </v>
      </c>
      <c r="K65" s="1">
        <f>IF('2-Staff'!M3&lt;&gt; "",'2-Staff'!M3, "")</f>
        <v>-70000</v>
      </c>
      <c r="L65" s="1">
        <f>IF('2-Staff'!N3&lt;&gt; "",'2-Staff'!N3, "")</f>
        <v>-20000</v>
      </c>
      <c r="M65" s="1">
        <f>IF('2-Staff'!O3&lt;&gt; "",'2-Staff'!O3, "")</f>
        <v>-932.1600000000326</v>
      </c>
      <c r="N65" s="1" t="str">
        <f>IF('2-Staff'!P3&lt;&gt; "",'2-Staff'!P3, "")</f>
        <v>£150,000 Target</v>
      </c>
      <c r="O65" s="1" t="str">
        <f>IF('2-Staff'!Q3&lt;&gt; "",'2-Staff'!Q3, "")</f>
        <v/>
      </c>
      <c r="P65" s="1">
        <f>IF('2-Staff'!R3&lt;&gt; "",'2-Staff'!R3, "")</f>
        <v>0</v>
      </c>
      <c r="Q65" s="1">
        <f>IF('2-Staff'!S3&lt;&gt; "",'2-Staff'!S3, "")</f>
        <v>-932.1600000000326</v>
      </c>
      <c r="R65" s="1" t="str">
        <f>IF('2-Staff'!T3&lt;&gt; "",'2-Staff'!T3, "")</f>
        <v/>
      </c>
      <c r="S65" s="1" t="str">
        <f>IF('2-Staff'!U3&lt;&gt; "",'2-Staff'!U3, "")</f>
        <v/>
      </c>
      <c r="T65" s="1">
        <f>IF('2-Staff'!V3&lt;&gt; "",'2-Staff'!V3, "")</f>
        <v>0</v>
      </c>
      <c r="U65" s="1">
        <f>IF('2-Staff'!W3&lt;&gt; "",'2-Staff'!W3, "")</f>
        <v>-932.1600000000326</v>
      </c>
      <c r="V65" s="1" t="str">
        <f>IF('2-Staff'!X3&lt;&gt; "",'2-Staff'!X3, "")</f>
        <v/>
      </c>
      <c r="W65" s="1" t="str">
        <f>IF('2-Staff'!Y3&lt;&gt; "",'2-Staff'!Y3, "")</f>
        <v/>
      </c>
      <c r="X65" s="1">
        <f>IF('2-Staff'!Z3&lt;&gt; "",'2-Staff'!Z3, "")</f>
        <v>0</v>
      </c>
      <c r="Y65" s="1">
        <f>IF('2-Staff'!AA3&lt;&gt; "",'2-Staff'!AA3, "")</f>
        <v>-932.16000000014901</v>
      </c>
      <c r="Z65" s="1" t="str">
        <f>IF('2-Staff'!AB3&lt;&gt; "",'2-Staff'!AB3, "")</f>
        <v/>
      </c>
      <c r="AA65" s="1" t="str">
        <f>IF('2-Staff'!AC3&lt;&gt; "",'2-Staff'!AC3, "")</f>
        <v/>
      </c>
      <c r="AB65" s="1">
        <f>IF('2-Staff'!AD3&lt;&gt; "",'2-Staff'!AD3, "")</f>
        <v>0</v>
      </c>
      <c r="AC65" s="1">
        <f>IF('2-Staff'!AE3&lt;&gt; "",'2-Staff'!AE3, "")</f>
        <v>-932.16000000014901</v>
      </c>
      <c r="AD65" t="str">
        <f>IF('2-Staff'!AF3&lt;&gt; "",'2-Staff'!AF3, "")</f>
        <v/>
      </c>
      <c r="AE65" s="1">
        <f>IF('2-Staff'!AG3&lt;&gt; "",'2-Staff'!AG3, "")</f>
        <v>100000</v>
      </c>
      <c r="AF65" s="1">
        <v>200000</v>
      </c>
    </row>
    <row r="66" spans="1:32" x14ac:dyDescent="0.35">
      <c r="A66" s="79" t="s">
        <v>216</v>
      </c>
      <c r="B66" s="79">
        <f>IF('2-Training'!D3&lt;&gt; "",'2-Training'!D3, "")</f>
        <v>29861.51</v>
      </c>
      <c r="C66" s="79">
        <f>IF('2-Training'!E3&lt;&gt; "",'2-Training'!E3, "")</f>
        <v>-15943.37</v>
      </c>
      <c r="D66" s="79">
        <f>IF('2-Training'!F3&lt;&gt; "",'2-Training'!F3, "")</f>
        <v>0</v>
      </c>
      <c r="E66" s="79">
        <f>IF('2-Training'!G3&lt;&gt; "",'2-Training'!G3, "")</f>
        <v>31913.620000000003</v>
      </c>
      <c r="F66" s="79" t="str">
        <f>IF('2-Training'!H3&lt;&gt; "",'2-Training'!H3, "")</f>
        <v/>
      </c>
      <c r="G66" s="79">
        <f>IF('2-Training'!I3&lt;&gt; "",'2-Training'!I3, "")</f>
        <v>-36000</v>
      </c>
      <c r="H66" s="79">
        <f>IF('2-Training'!J3&lt;&gt; "",'2-Training'!J3, "")</f>
        <v>0</v>
      </c>
      <c r="I66" s="79">
        <f>IF('2-Training'!K3&lt;&gt; "",'2-Training'!K3, "")</f>
        <v>13515.520000000004</v>
      </c>
      <c r="J66" s="79" t="str">
        <f>IF('2-Training'!L3&lt;&gt; "",'2-Training'!L3, "")</f>
        <v/>
      </c>
      <c r="K66" s="79">
        <f>IF('2-Training'!M3&lt;&gt; "",'2-Training'!M3, "")</f>
        <v>-12500</v>
      </c>
      <c r="L66" s="79">
        <f>IF('2-Training'!N3&lt;&gt; "",'2-Training'!N3, "")</f>
        <v>0</v>
      </c>
      <c r="M66" s="79">
        <f>IF('2-Training'!O3&lt;&gt; "",'2-Training'!O3, "")</f>
        <v>18259.020000000004</v>
      </c>
      <c r="N66" s="79" t="str">
        <f>IF('2-Training'!P3&lt;&gt; "",'2-Training'!P3, "")</f>
        <v/>
      </c>
      <c r="O66" s="79" t="str">
        <f>IF('2-Training'!Q3&lt;&gt; "",'2-Training'!Q3, "")</f>
        <v/>
      </c>
      <c r="P66" s="79">
        <f>IF('2-Training'!R3&lt;&gt; "",'2-Training'!R3, "")</f>
        <v>0</v>
      </c>
      <c r="Q66" s="79">
        <f>IF('2-Training'!S3&lt;&gt; "",'2-Training'!S3, "")</f>
        <v>18259.020000000004</v>
      </c>
      <c r="R66" s="79" t="str">
        <f>IF('2-Training'!T3&lt;&gt; "",'2-Training'!T3, "")</f>
        <v/>
      </c>
      <c r="S66" s="79" t="str">
        <f>IF('2-Training'!U3&lt;&gt; "",'2-Training'!U3, "")</f>
        <v/>
      </c>
      <c r="T66" s="79">
        <f>IF('2-Training'!V3&lt;&gt; "",'2-Training'!V3, "")</f>
        <v>0</v>
      </c>
      <c r="U66" s="79">
        <f>IF('2-Training'!W3&lt;&gt; "",'2-Training'!W3, "")</f>
        <v>18259.020000000004</v>
      </c>
      <c r="V66" s="79" t="str">
        <f>IF('2-Training'!X3&lt;&gt; "",'2-Training'!X3, "")</f>
        <v/>
      </c>
      <c r="W66" s="79" t="str">
        <f>IF('2-Training'!Y3&lt;&gt; "",'2-Training'!Y3, "")</f>
        <v/>
      </c>
      <c r="X66" s="79">
        <f>IF('2-Training'!Z3&lt;&gt; "",'2-Training'!Z3, "")</f>
        <v>0</v>
      </c>
      <c r="Y66" s="79">
        <f>IF('2-Training'!AA3&lt;&gt; "",'2-Training'!AA3, "")</f>
        <v>18259.020000000004</v>
      </c>
      <c r="Z66" s="79" t="str">
        <f>IF('2-Training'!AB3&lt;&gt; "",'2-Training'!AB3, "")</f>
        <v/>
      </c>
      <c r="AA66" s="79" t="str">
        <f>IF('2-Training'!AC3&lt;&gt; "",'2-Training'!AC3, "")</f>
        <v/>
      </c>
      <c r="AB66" s="79">
        <f>IF('2-Training'!AD3&lt;&gt; "",'2-Training'!AD3, "")</f>
        <v>0</v>
      </c>
      <c r="AC66" s="79">
        <f>IF('2-Training'!AE3&lt;&gt; "",'2-Training'!AE3, "")</f>
        <v>18259.020000000004</v>
      </c>
      <c r="AD66" s="80" t="str">
        <f>IF('2-Training'!AF3&lt;&gt; "",'2-Training'!AF3, "")</f>
        <v/>
      </c>
      <c r="AE66" s="79">
        <f>IF('2-Training'!AG3&lt;&gt; "",'2-Training'!AG3, "")</f>
        <v>60000</v>
      </c>
      <c r="AF66" s="79">
        <v>90000</v>
      </c>
    </row>
    <row r="67" spans="1:32" x14ac:dyDescent="0.35">
      <c r="A67" s="1" t="s">
        <v>221</v>
      </c>
      <c r="B67" s="1">
        <f>IF('2-Hamilton House'!D3&lt;&gt; "",'2-Hamilton House'!D3, "")</f>
        <v>134217.12</v>
      </c>
      <c r="C67" s="1">
        <f>IF('2-Hamilton House'!E3&lt;&gt; "",'2-Hamilton House'!E3, "")</f>
        <v>-13150</v>
      </c>
      <c r="D67" s="1">
        <f>IF('2-Hamilton House'!F3&lt;&gt; "",'2-Hamilton House'!F3, "")</f>
        <v>-60020</v>
      </c>
      <c r="E67" s="1">
        <f>IF('2-Hamilton House'!G3&lt;&gt; "",'2-Hamilton House'!G3, "")</f>
        <v>184394.28</v>
      </c>
      <c r="F67" s="1" t="str">
        <f>IF('2-Hamilton House'!H3&lt;&gt; "",'2-Hamilton House'!H3, "")</f>
        <v/>
      </c>
      <c r="G67" s="1">
        <f>IF('2-Hamilton House'!I3&lt;&gt; "",'2-Hamilton House'!I3, "")</f>
        <v>-185404</v>
      </c>
      <c r="H67" s="1">
        <f>IF('2-Hamilton House'!J3&lt;&gt; "",'2-Hamilton House'!J3, "")</f>
        <v>0</v>
      </c>
      <c r="I67" s="1">
        <f>IF('2-Hamilton House'!K3&lt;&gt; "",'2-Hamilton House'!K3, "")</f>
        <v>9995.568833333411</v>
      </c>
      <c r="J67" s="1" t="str">
        <f>IF('2-Hamilton House'!L3&lt;&gt; "",'2-Hamilton House'!L3, "")</f>
        <v>£11.48K EMR offset against 2023/24 Equipment budget; £150K EMR offset against 2023/24 Grounds Maintenance budget; £12,924 EMR offset against IT Service Costs</v>
      </c>
      <c r="K67" s="1">
        <f>IF('2-Hamilton House'!M3&lt;&gt; "",'2-Hamilton House'!M3, "")</f>
        <v>0</v>
      </c>
      <c r="L67" s="1">
        <f>IF('2-Hamilton House'!N3&lt;&gt; "",'2-Hamilton House'!N3, "")</f>
        <v>500</v>
      </c>
      <c r="M67" s="1">
        <f>IF('2-Hamilton House'!O3&lt;&gt; "",'2-Hamilton House'!O3, "")</f>
        <v>42118.59883333341</v>
      </c>
      <c r="N67" s="1" t="str">
        <f>IF('2-Hamilton House'!P3&lt;&gt; "",'2-Hamilton House'!P3, "")</f>
        <v/>
      </c>
      <c r="O67" s="1" t="str">
        <f>IF('2-Hamilton House'!Q3&lt;&gt; "",'2-Hamilton House'!Q3, "")</f>
        <v/>
      </c>
      <c r="P67" s="1">
        <f>IF('2-Hamilton House'!R3&lt;&gt; "",'2-Hamilton House'!R3, "")</f>
        <v>0</v>
      </c>
      <c r="Q67" s="1">
        <f>IF('2-Hamilton House'!S3&lt;&gt; "",'2-Hamilton House'!S3, "")</f>
        <v>42118.59883333341</v>
      </c>
      <c r="R67" s="1" t="str">
        <f>IF('2-Hamilton House'!T3&lt;&gt; "",'2-Hamilton House'!T3, "")</f>
        <v/>
      </c>
      <c r="S67" s="1" t="str">
        <f>IF('2-Hamilton House'!U3&lt;&gt; "",'2-Hamilton House'!U3, "")</f>
        <v/>
      </c>
      <c r="T67" s="1">
        <f>IF('2-Hamilton House'!V3&lt;&gt; "",'2-Hamilton House'!V3, "")</f>
        <v>0</v>
      </c>
      <c r="U67" s="1">
        <f>IF('2-Hamilton House'!W3&lt;&gt; "",'2-Hamilton House'!W3, "")</f>
        <v>42118.59883333341</v>
      </c>
      <c r="V67" s="1" t="str">
        <f>IF('2-Hamilton House'!X3&lt;&gt; "",'2-Hamilton House'!X3, "")</f>
        <v/>
      </c>
      <c r="W67" s="1" t="str">
        <f>IF('2-Hamilton House'!Y3&lt;&gt; "",'2-Hamilton House'!Y3, "")</f>
        <v/>
      </c>
      <c r="X67" s="1">
        <f>IF('2-Hamilton House'!Z3&lt;&gt; "",'2-Hamilton House'!Z3, "")</f>
        <v>0</v>
      </c>
      <c r="Y67" s="1">
        <f>IF('2-Hamilton House'!AA3&lt;&gt; "",'2-Hamilton House'!AA3, "")</f>
        <v>42118.59883333341</v>
      </c>
      <c r="Z67" s="1" t="str">
        <f>IF('2-Hamilton House'!AB3&lt;&gt; "",'2-Hamilton House'!AB3, "")</f>
        <v/>
      </c>
      <c r="AA67" s="1" t="str">
        <f>IF('2-Hamilton House'!AC3&lt;&gt; "",'2-Hamilton House'!AC3, "")</f>
        <v/>
      </c>
      <c r="AB67" s="1">
        <f>IF('2-Hamilton House'!AD3&lt;&gt; "",'2-Hamilton House'!AD3, "")</f>
        <v>0</v>
      </c>
      <c r="AC67" s="1">
        <f>IF('2-Hamilton House'!AE3&lt;&gt; "",'2-Hamilton House'!AE3, "")</f>
        <v>42118.59883333341</v>
      </c>
      <c r="AD67" s="1" t="str">
        <f>IF('2-Hamilton House'!AF3&lt;&gt; "",'2-Hamilton House'!AF3, "")</f>
        <v/>
      </c>
      <c r="AE67" s="1">
        <f>IF('2-Hamilton House'!AG3&lt;&gt; "",'2-Hamilton House'!AG3, "")</f>
        <v>100000</v>
      </c>
      <c r="AF67" s="1">
        <v>200000</v>
      </c>
    </row>
    <row r="68" spans="1:32" x14ac:dyDescent="0.35">
      <c r="A68" s="79" t="s">
        <v>223</v>
      </c>
      <c r="B68" s="79">
        <f>IF('2-Hamilton House'!D4&lt;&gt; "",'2-Hamilton House'!D4, "")</f>
        <v>16000</v>
      </c>
      <c r="C68" s="79">
        <f>IF('2-Hamilton House'!E4&lt;&gt; "",'2-Hamilton House'!E4, "")</f>
        <v>0</v>
      </c>
      <c r="D68" s="79">
        <f>IF('2-Hamilton House'!F4&lt;&gt; "",'2-Hamilton House'!F4, "")</f>
        <v>0</v>
      </c>
      <c r="E68" s="79">
        <f>IF('2-Hamilton House'!G4&lt;&gt; "",'2-Hamilton House'!G4, "")</f>
        <v>9336.77</v>
      </c>
      <c r="F68" s="79" t="str">
        <f>IF('2-Hamilton House'!H4&lt;&gt; "",'2-Hamilton House'!H4, "")</f>
        <v>Quote received for approximately £30,000</v>
      </c>
      <c r="G68" s="79">
        <f>IF('2-Hamilton House'!I4&lt;&gt; "",'2-Hamilton House'!I4, "")</f>
        <v>-5600</v>
      </c>
      <c r="H68" s="79">
        <f>IF('2-Hamilton House'!J4&lt;&gt; "",'2-Hamilton House'!J4, "")</f>
        <v>1476.5</v>
      </c>
      <c r="I68" s="79">
        <f>IF('2-Hamilton House'!K4&lt;&gt; "",'2-Hamilton House'!K4, "")</f>
        <v>2260.2700000000004</v>
      </c>
      <c r="J68" s="79" t="str">
        <f>IF('2-Hamilton House'!L4&lt;&gt; "",'2-Hamilton House'!L4, "")</f>
        <v>£5.6K EMR offset against 2023/24 Amplification budget</v>
      </c>
      <c r="K68" s="79">
        <f>IF('2-Hamilton House'!M4&lt;&gt; "",'2-Hamilton House'!M4, "")</f>
        <v>0</v>
      </c>
      <c r="L68" s="79">
        <f>IF('2-Hamilton House'!N4&lt;&gt; "",'2-Hamilton House'!N4, "")</f>
        <v>2260.27</v>
      </c>
      <c r="M68" s="79">
        <f>IF('2-Hamilton House'!O4&lt;&gt; "",'2-Hamilton House'!O4, "")</f>
        <v>4.5474735088646412E-13</v>
      </c>
      <c r="N68" s="79" t="str">
        <f>IF('2-Hamilton House'!P4&lt;&gt; "",'2-Hamilton House'!P4, "")</f>
        <v/>
      </c>
      <c r="O68" s="79" t="str">
        <f>IF('2-Hamilton House'!Q4&lt;&gt; "",'2-Hamilton House'!Q4, "")</f>
        <v/>
      </c>
      <c r="P68" s="79">
        <f>IF('2-Hamilton House'!R4&lt;&gt; "",'2-Hamilton House'!R4, "")</f>
        <v>0</v>
      </c>
      <c r="Q68" s="79">
        <f>IF('2-Hamilton House'!S4&lt;&gt; "",'2-Hamilton House'!S4, "")</f>
        <v>4.5474735088646412E-13</v>
      </c>
      <c r="R68" s="79" t="str">
        <f>IF('2-Hamilton House'!T4&lt;&gt; "",'2-Hamilton House'!T4, "")</f>
        <v/>
      </c>
      <c r="S68" s="79" t="str">
        <f>IF('2-Hamilton House'!U4&lt;&gt; "",'2-Hamilton House'!U4, "")</f>
        <v/>
      </c>
      <c r="T68" s="79">
        <f>IF('2-Hamilton House'!V4&lt;&gt; "",'2-Hamilton House'!V4, "")</f>
        <v>0</v>
      </c>
      <c r="U68" s="79">
        <f>IF('2-Hamilton House'!W4&lt;&gt; "",'2-Hamilton House'!W4, "")</f>
        <v>4.5474735088646412E-13</v>
      </c>
      <c r="V68" s="79" t="str">
        <f>IF('2-Hamilton House'!X4&lt;&gt; "",'2-Hamilton House'!X4, "")</f>
        <v/>
      </c>
      <c r="W68" s="79" t="str">
        <f>IF('2-Hamilton House'!Y4&lt;&gt; "",'2-Hamilton House'!Y4, "")</f>
        <v/>
      </c>
      <c r="X68" s="79">
        <f>IF('2-Hamilton House'!Z4&lt;&gt; "",'2-Hamilton House'!Z4, "")</f>
        <v>0</v>
      </c>
      <c r="Y68" s="79">
        <f>IF('2-Hamilton House'!AA4&lt;&gt; "",'2-Hamilton House'!AA4, "")</f>
        <v>4.5474735088646412E-13</v>
      </c>
      <c r="Z68" s="79" t="str">
        <f>IF('2-Hamilton House'!AB4&lt;&gt; "",'2-Hamilton House'!AB4, "")</f>
        <v/>
      </c>
      <c r="AA68" s="79" t="str">
        <f>IF('2-Hamilton House'!AC4&lt;&gt; "",'2-Hamilton House'!AC4, "")</f>
        <v/>
      </c>
      <c r="AB68" s="79">
        <f>IF('2-Hamilton House'!AD4&lt;&gt; "",'2-Hamilton House'!AD4, "")</f>
        <v>0</v>
      </c>
      <c r="AC68" s="79">
        <f>IF('2-Hamilton House'!AE4&lt;&gt; "",'2-Hamilton House'!AE4, "")</f>
        <v>4.5474735088646412E-13</v>
      </c>
      <c r="AD68" s="79" t="str">
        <f>IF('2-Hamilton House'!AF4&lt;&gt; "",'2-Hamilton House'!AF4, "")</f>
        <v/>
      </c>
      <c r="AE68" s="79" t="str">
        <f>IF('2-Hamilton House'!AG4&lt;&gt; "",'2-Hamilton House'!AG4, "")</f>
        <v/>
      </c>
      <c r="AF68" s="79">
        <v>10000</v>
      </c>
    </row>
    <row r="69" spans="1:32" x14ac:dyDescent="0.35">
      <c r="A69" s="1" t="s">
        <v>225</v>
      </c>
      <c r="B69" s="1">
        <f>IF('2-Hamilton House'!D5&lt;&gt; "",'2-Hamilton House'!D5, "")</f>
        <v>9763</v>
      </c>
      <c r="C69" s="1">
        <f>IF('2-Hamilton House'!E5&lt;&gt; "",'2-Hamilton House'!E5, "")</f>
        <v>0</v>
      </c>
      <c r="D69" s="1">
        <f>IF('2-Hamilton House'!F5&lt;&gt; "",'2-Hamilton House'!F5, "")</f>
        <v>0</v>
      </c>
      <c r="E69" s="1">
        <f>IF('2-Hamilton House'!G5&lt;&gt; "",'2-Hamilton House'!G5, "")</f>
        <v>19089</v>
      </c>
      <c r="F69" s="1" t="str">
        <f>IF('2-Hamilton House'!H5&lt;&gt; "",'2-Hamilton House'!H5, "")</f>
        <v/>
      </c>
      <c r="G69" s="1">
        <f>IF('2-Hamilton House'!I5&lt;&gt; "",'2-Hamilton House'!I5, "")</f>
        <v>-20000</v>
      </c>
      <c r="H69" s="1">
        <f>IF('2-Hamilton House'!J5&lt;&gt; "",'2-Hamilton House'!J5, "")</f>
        <v>6956.8</v>
      </c>
      <c r="I69" s="1">
        <f>IF('2-Hamilton House'!K5&lt;&gt; "",'2-Hamilton House'!K5, "")</f>
        <v>2030.5300000000025</v>
      </c>
      <c r="J69" s="1" t="str">
        <f>IF('2-Hamilton House'!L5&lt;&gt; "",'2-Hamilton House'!L5, "")</f>
        <v>£20K EMR offset against 2023/24 IT budget</v>
      </c>
      <c r="K69" s="1">
        <f>IF('2-Hamilton House'!M5&lt;&gt; "",'2-Hamilton House'!M5, "")</f>
        <v>0</v>
      </c>
      <c r="L69" s="1">
        <f>IF('2-Hamilton House'!N5&lt;&gt; "",'2-Hamilton House'!N5, "")</f>
        <v>88.730000000000018</v>
      </c>
      <c r="M69" s="1">
        <f>IF('2-Hamilton House'!O5&lt;&gt; "",'2-Hamilton House'!O5, "")</f>
        <v>15262.440000000002</v>
      </c>
      <c r="N69" s="1" t="str">
        <f>IF('2-Hamilton House'!P5&lt;&gt; "",'2-Hamilton House'!P5, "")</f>
        <v/>
      </c>
      <c r="O69" s="1" t="str">
        <f>IF('2-Hamilton House'!Q5&lt;&gt; "",'2-Hamilton House'!Q5, "")</f>
        <v/>
      </c>
      <c r="P69" s="1">
        <f>IF('2-Hamilton House'!R5&lt;&gt; "",'2-Hamilton House'!R5, "")</f>
        <v>0</v>
      </c>
      <c r="Q69" s="1">
        <f>IF('2-Hamilton House'!S5&lt;&gt; "",'2-Hamilton House'!S5, "")</f>
        <v>15262.440000000002</v>
      </c>
      <c r="R69" s="1" t="str">
        <f>IF('2-Hamilton House'!T5&lt;&gt; "",'2-Hamilton House'!T5, "")</f>
        <v/>
      </c>
      <c r="S69" s="1" t="str">
        <f>IF('2-Hamilton House'!U5&lt;&gt; "",'2-Hamilton House'!U5, "")</f>
        <v/>
      </c>
      <c r="T69" s="1">
        <f>IF('2-Hamilton House'!V5&lt;&gt; "",'2-Hamilton House'!V5, "")</f>
        <v>0</v>
      </c>
      <c r="U69" s="1">
        <f>IF('2-Hamilton House'!W5&lt;&gt; "",'2-Hamilton House'!W5, "")</f>
        <v>15262.440000000002</v>
      </c>
      <c r="V69" s="1" t="str">
        <f>IF('2-Hamilton House'!X5&lt;&gt; "",'2-Hamilton House'!X5, "")</f>
        <v/>
      </c>
      <c r="W69" s="1" t="str">
        <f>IF('2-Hamilton House'!Y5&lt;&gt; "",'2-Hamilton House'!Y5, "")</f>
        <v/>
      </c>
      <c r="X69" s="1">
        <f>IF('2-Hamilton House'!Z5&lt;&gt; "",'2-Hamilton House'!Z5, "")</f>
        <v>0</v>
      </c>
      <c r="Y69" s="1">
        <f>IF('2-Hamilton House'!AA5&lt;&gt; "",'2-Hamilton House'!AA5, "")</f>
        <v>15262.440000000002</v>
      </c>
      <c r="Z69" s="1" t="str">
        <f>IF('2-Hamilton House'!AB5&lt;&gt; "",'2-Hamilton House'!AB5, "")</f>
        <v/>
      </c>
      <c r="AA69" s="1" t="str">
        <f>IF('2-Hamilton House'!AC5&lt;&gt; "",'2-Hamilton House'!AC5, "")</f>
        <v/>
      </c>
      <c r="AB69" s="1">
        <f>IF('2-Hamilton House'!AD5&lt;&gt; "",'2-Hamilton House'!AD5, "")</f>
        <v>0</v>
      </c>
      <c r="AC69" s="1">
        <f>IF('2-Hamilton House'!AE5&lt;&gt; "",'2-Hamilton House'!AE5, "")</f>
        <v>15262.440000000002</v>
      </c>
      <c r="AD69" s="1" t="str">
        <f>IF('2-Hamilton House'!AF5&lt;&gt; "",'2-Hamilton House'!AF5, "")</f>
        <v/>
      </c>
      <c r="AE69" s="1">
        <f>IF('2-Hamilton House'!AG5&lt;&gt; "",'2-Hamilton House'!AG5, "")</f>
        <v>30000</v>
      </c>
      <c r="AF69" s="1">
        <v>40000</v>
      </c>
    </row>
    <row r="70" spans="1:32" x14ac:dyDescent="0.35">
      <c r="A70" s="79" t="s">
        <v>72</v>
      </c>
      <c r="B70" s="79">
        <f>IF('2-Hamilton House'!D6&lt;&gt; "",'2-Hamilton House'!D6, "")</f>
        <v>0</v>
      </c>
      <c r="C70" s="79">
        <f>IF('2-Hamilton House'!E6&lt;&gt; "",'2-Hamilton House'!E6, "")</f>
        <v>0</v>
      </c>
      <c r="D70" s="79">
        <f>IF('2-Hamilton House'!F6&lt;&gt; "",'2-Hamilton House'!F6, "")</f>
        <v>0</v>
      </c>
      <c r="E70" s="79">
        <f>IF('2-Hamilton House'!G6&lt;&gt; "",'2-Hamilton House'!G6, "")</f>
        <v>0</v>
      </c>
      <c r="F70" s="79" t="str">
        <f>IF('2-Hamilton House'!H6&lt;&gt; "",'2-Hamilton House'!H6, "")</f>
        <v/>
      </c>
      <c r="G70" s="79" t="str">
        <f>IF('2-Hamilton House'!I6&lt;&gt; "",'2-Hamilton House'!I6, "")</f>
        <v/>
      </c>
      <c r="H70" s="79">
        <f>IF('2-Hamilton House'!J6&lt;&gt; "",'2-Hamilton House'!J6, "")</f>
        <v>0</v>
      </c>
      <c r="I70" s="79">
        <f>IF('2-Hamilton House'!K6&lt;&gt; "",'2-Hamilton House'!K6, "")</f>
        <v>0</v>
      </c>
      <c r="J70" s="79" t="str">
        <f>IF('2-Hamilton House'!L6&lt;&gt; "",'2-Hamilton House'!L6, "")</f>
        <v/>
      </c>
      <c r="K70" s="79">
        <f>IF('2-Hamilton House'!M6&lt;&gt; "",'2-Hamilton House'!M6, "")</f>
        <v>0</v>
      </c>
      <c r="L70" s="79">
        <f>IF('2-Hamilton House'!N6&lt;&gt; "",'2-Hamilton House'!N6, "")</f>
        <v>0</v>
      </c>
      <c r="M70" s="79">
        <f>IF('2-Hamilton House'!O6&lt;&gt; "",'2-Hamilton House'!O6, "")</f>
        <v>0</v>
      </c>
      <c r="N70" s="79" t="str">
        <f>IF('2-Hamilton House'!P6&lt;&gt; "",'2-Hamilton House'!P6, "")</f>
        <v/>
      </c>
      <c r="O70" s="79" t="str">
        <f>IF('2-Hamilton House'!Q6&lt;&gt; "",'2-Hamilton House'!Q6, "")</f>
        <v/>
      </c>
      <c r="P70" s="79">
        <f>IF('2-Hamilton House'!R6&lt;&gt; "",'2-Hamilton House'!R6, "")</f>
        <v>0</v>
      </c>
      <c r="Q70" s="79">
        <f>IF('2-Hamilton House'!S6&lt;&gt; "",'2-Hamilton House'!S6, "")</f>
        <v>0</v>
      </c>
      <c r="R70" s="79" t="str">
        <f>IF('2-Hamilton House'!T6&lt;&gt; "",'2-Hamilton House'!T6, "")</f>
        <v/>
      </c>
      <c r="S70" s="79" t="str">
        <f>IF('2-Hamilton House'!U6&lt;&gt; "",'2-Hamilton House'!U6, "")</f>
        <v/>
      </c>
      <c r="T70" s="79">
        <f>IF('2-Hamilton House'!V6&lt;&gt; "",'2-Hamilton House'!V6, "")</f>
        <v>0</v>
      </c>
      <c r="U70" s="79">
        <f>IF('2-Hamilton House'!W6&lt;&gt; "",'2-Hamilton House'!W6, "")</f>
        <v>0</v>
      </c>
      <c r="V70" s="79" t="str">
        <f>IF('2-Hamilton House'!X6&lt;&gt; "",'2-Hamilton House'!X6, "")</f>
        <v/>
      </c>
      <c r="W70" s="79" t="str">
        <f>IF('2-Hamilton House'!Y6&lt;&gt; "",'2-Hamilton House'!Y6, "")</f>
        <v/>
      </c>
      <c r="X70" s="79">
        <f>IF('2-Hamilton House'!Z6&lt;&gt; "",'2-Hamilton House'!Z6, "")</f>
        <v>0</v>
      </c>
      <c r="Y70" s="79">
        <f>IF('2-Hamilton House'!AA6&lt;&gt; "",'2-Hamilton House'!AA6, "")</f>
        <v>0</v>
      </c>
      <c r="Z70" s="79" t="str">
        <f>IF('2-Hamilton House'!AB6&lt;&gt; "",'2-Hamilton House'!AB6, "")</f>
        <v/>
      </c>
      <c r="AA70" s="79" t="str">
        <f>IF('2-Hamilton House'!AC6&lt;&gt; "",'2-Hamilton House'!AC6, "")</f>
        <v/>
      </c>
      <c r="AB70" s="79">
        <f>IF('2-Hamilton House'!AD6&lt;&gt; "",'2-Hamilton House'!AD6, "")</f>
        <v>0</v>
      </c>
      <c r="AC70" s="79">
        <f>IF('2-Hamilton House'!AE6&lt;&gt; "",'2-Hamilton House'!AE6, "")</f>
        <v>0</v>
      </c>
      <c r="AD70" s="79" t="str">
        <f>IF('2-Hamilton House'!AF6&lt;&gt; "",'2-Hamilton House'!AF6, "")</f>
        <v/>
      </c>
      <c r="AE70" s="79" t="str">
        <f>IF('2-Hamilton House'!AG6&lt;&gt; "",'2-Hamilton House'!AG6, "")</f>
        <v/>
      </c>
      <c r="AF70" s="79" t="s">
        <v>476</v>
      </c>
    </row>
    <row r="71" spans="1:32" x14ac:dyDescent="0.35">
      <c r="A71" s="1" t="s">
        <v>242</v>
      </c>
      <c r="B71" s="1">
        <f>IF('2-Professional Services'!D3&lt;&gt; "",'2-Professional Services'!D3, "")</f>
        <v>4774</v>
      </c>
      <c r="C71" s="1">
        <f>IF('2-Professional Services'!E3&lt;&gt; "",'2-Professional Services'!E3, "")</f>
        <v>1812.5</v>
      </c>
      <c r="D71" s="1">
        <f>IF('2-Professional Services'!F3&lt;&gt; "",'2-Professional Services'!F3, "")</f>
        <v>-101</v>
      </c>
      <c r="E71" s="1">
        <f>IF('2-Professional Services'!G3&lt;&gt; "",'2-Professional Services'!G3, "")</f>
        <v>16516.340000000004</v>
      </c>
      <c r="F71" s="1" t="str">
        <f>IF('2-Professional Services'!H3&lt;&gt; "",'2-Professional Services'!H3, "")</f>
        <v/>
      </c>
      <c r="G71" s="1">
        <f>IF('2-Professional Services'!I3&lt;&gt; "",'2-Professional Services'!I3, "")</f>
        <v>-15000</v>
      </c>
      <c r="H71" s="1">
        <f>IF('2-Professional Services'!J3&lt;&gt; "",'2-Professional Services'!J3, "")</f>
        <v>0</v>
      </c>
      <c r="I71" s="1">
        <f>IF('2-Professional Services'!K3&lt;&gt; "",'2-Professional Services'!K3, "")</f>
        <v>20599.23000000001</v>
      </c>
      <c r="J71" s="1" t="str">
        <f>IF('2-Professional Services'!L3&lt;&gt; "",'2-Professional Services'!L3, "")</f>
        <v>EMR offset against Insurance budget</v>
      </c>
      <c r="K71" s="1">
        <f>IF('2-Professional Services'!M3&lt;&gt; "",'2-Professional Services'!M3, "")</f>
        <v>-17000</v>
      </c>
      <c r="L71" s="1">
        <f>IF('2-Professional Services'!N3&lt;&gt; "",'2-Professional Services'!N3, "")</f>
        <v>0</v>
      </c>
      <c r="M71" s="1">
        <f>IF('2-Professional Services'!O3&lt;&gt; "",'2-Professional Services'!O3, "")</f>
        <v>15899.650000000012</v>
      </c>
      <c r="N71" s="1" t="str">
        <f>IF('2-Professional Services'!P3&lt;&gt; "",'2-Professional Services'!P3, "")</f>
        <v/>
      </c>
      <c r="O71" s="1" t="str">
        <f>IF('2-Professional Services'!Q3&lt;&gt; "",'2-Professional Services'!Q3, "")</f>
        <v/>
      </c>
      <c r="P71" s="1">
        <f>IF('2-Professional Services'!R3&lt;&gt; "",'2-Professional Services'!R3, "")</f>
        <v>0</v>
      </c>
      <c r="Q71" s="1">
        <f>IF('2-Professional Services'!S3&lt;&gt; "",'2-Professional Services'!S3, "")</f>
        <v>15899.650000000009</v>
      </c>
      <c r="R71" s="1" t="str">
        <f>IF('2-Professional Services'!T3&lt;&gt; "",'2-Professional Services'!T3, "")</f>
        <v/>
      </c>
      <c r="S71" s="1" t="str">
        <f>IF('2-Professional Services'!U3&lt;&gt; "",'2-Professional Services'!U3, "")</f>
        <v/>
      </c>
      <c r="T71" s="1">
        <f>IF('2-Professional Services'!V3&lt;&gt; "",'2-Professional Services'!V3, "")</f>
        <v>0</v>
      </c>
      <c r="U71" s="1">
        <f>IF('2-Professional Services'!W3&lt;&gt; "",'2-Professional Services'!W3, "")</f>
        <v>15899.650000000009</v>
      </c>
      <c r="V71" s="1" t="str">
        <f>IF('2-Professional Services'!X3&lt;&gt; "",'2-Professional Services'!X3, "")</f>
        <v/>
      </c>
      <c r="W71" s="1" t="str">
        <f>IF('2-Professional Services'!Y3&lt;&gt; "",'2-Professional Services'!Y3, "")</f>
        <v/>
      </c>
      <c r="X71" s="1">
        <f>IF('2-Professional Services'!Z3&lt;&gt; "",'2-Professional Services'!Z3, "")</f>
        <v>0</v>
      </c>
      <c r="Y71" s="1">
        <f>IF('2-Professional Services'!AA3&lt;&gt; "",'2-Professional Services'!AA3, "")</f>
        <v>15899.650000000009</v>
      </c>
      <c r="Z71" s="1" t="str">
        <f>IF('2-Professional Services'!AB3&lt;&gt; "",'2-Professional Services'!AB3, "")</f>
        <v/>
      </c>
      <c r="AA71" s="1" t="str">
        <f>IF('2-Professional Services'!AC3&lt;&gt; "",'2-Professional Services'!AC3, "")</f>
        <v/>
      </c>
      <c r="AB71" s="1">
        <f>IF('2-Professional Services'!AD3&lt;&gt; "",'2-Professional Services'!AD3, "")</f>
        <v>0</v>
      </c>
      <c r="AC71" s="1">
        <f>IF('2-Professional Services'!AE3&lt;&gt; "",'2-Professional Services'!AE3, "")</f>
        <v>15899.650000000009</v>
      </c>
      <c r="AD71" t="str">
        <f>IF('2-Professional Services'!AF3&lt;&gt; "",'2-Professional Services'!AF3, "")</f>
        <v/>
      </c>
      <c r="AE71" s="1">
        <f>IF('2-Professional Services'!AG3&lt;&gt; "",'2-Professional Services'!AG3, "")</f>
        <v>10000</v>
      </c>
      <c r="AF71" s="1">
        <v>15000</v>
      </c>
    </row>
    <row r="72" spans="1:32" x14ac:dyDescent="0.35">
      <c r="A72" s="79" t="s">
        <v>244</v>
      </c>
      <c r="B72" s="79">
        <f>IF('2-Professional Services'!D4&lt;&gt; "",'2-Professional Services'!D4, "")</f>
        <v>48434.73</v>
      </c>
      <c r="C72" s="79">
        <f>IF('2-Professional Services'!E4&lt;&gt; "",'2-Professional Services'!E4, "")</f>
        <v>-10500</v>
      </c>
      <c r="D72" s="79">
        <f>IF('2-Professional Services'!F4&lt;&gt; "",'2-Professional Services'!F4, "")</f>
        <v>0</v>
      </c>
      <c r="E72" s="79">
        <f>IF('2-Professional Services'!G4&lt;&gt; "",'2-Professional Services'!G4, "")</f>
        <v>33539.279999999999</v>
      </c>
      <c r="F72" s="79" t="str">
        <f>IF('2-Professional Services'!H4&lt;&gt; "",'2-Professional Services'!H4, "")</f>
        <v/>
      </c>
      <c r="G72" s="79">
        <f>IF('2-Professional Services'!I4&lt;&gt; "",'2-Professional Services'!I4, "")</f>
        <v>-28498</v>
      </c>
      <c r="H72" s="79">
        <f>IF('2-Professional Services'!J4&lt;&gt; "",'2-Professional Services'!J4, "")</f>
        <v>0</v>
      </c>
      <c r="I72" s="79">
        <f>IF('2-Professional Services'!K4&lt;&gt; "",'2-Professional Services'!K4, "")</f>
        <v>2709.1100000000006</v>
      </c>
      <c r="J72" s="79" t="str">
        <f>IF('2-Professional Services'!L4&lt;&gt; "",'2-Professional Services'!L4, "")</f>
        <v/>
      </c>
      <c r="K72" s="79">
        <f>IF('2-Professional Services'!M4&lt;&gt; "",'2-Professional Services'!M4, "")</f>
        <v>-5000</v>
      </c>
      <c r="L72" s="79">
        <f>IF('2-Professional Services'!N4&lt;&gt; "",'2-Professional Services'!N4, "")</f>
        <v>-2290.89</v>
      </c>
      <c r="M72" s="79">
        <f>IF('2-Professional Services'!O4&lt;&gt; "",'2-Professional Services'!O4, "")</f>
        <v>20939.929999999997</v>
      </c>
      <c r="N72" s="79" t="str">
        <f>IF('2-Professional Services'!P4&lt;&gt; "",'2-Professional Services'!P4, "")</f>
        <v/>
      </c>
      <c r="O72" s="79" t="str">
        <f>IF('2-Professional Services'!Q4&lt;&gt; "",'2-Professional Services'!Q4, "")</f>
        <v/>
      </c>
      <c r="P72" s="79">
        <f>IF('2-Professional Services'!R4&lt;&gt; "",'2-Professional Services'!R4, "")</f>
        <v>0</v>
      </c>
      <c r="Q72" s="79">
        <f>IF('2-Professional Services'!S4&lt;&gt; "",'2-Professional Services'!S4, "")</f>
        <v>20939.929999999993</v>
      </c>
      <c r="R72" s="79" t="str">
        <f>IF('2-Professional Services'!T4&lt;&gt; "",'2-Professional Services'!T4, "")</f>
        <v/>
      </c>
      <c r="S72" s="79" t="str">
        <f>IF('2-Professional Services'!U4&lt;&gt; "",'2-Professional Services'!U4, "")</f>
        <v/>
      </c>
      <c r="T72" s="79">
        <f>IF('2-Professional Services'!V4&lt;&gt; "",'2-Professional Services'!V4, "")</f>
        <v>0</v>
      </c>
      <c r="U72" s="79">
        <f>IF('2-Professional Services'!W4&lt;&gt; "",'2-Professional Services'!W4, "")</f>
        <v>20939.929999999993</v>
      </c>
      <c r="V72" s="79" t="str">
        <f>IF('2-Professional Services'!X4&lt;&gt; "",'2-Professional Services'!X4, "")</f>
        <v/>
      </c>
      <c r="W72" s="79" t="str">
        <f>IF('2-Professional Services'!Y4&lt;&gt; "",'2-Professional Services'!Y4, "")</f>
        <v/>
      </c>
      <c r="X72" s="79">
        <f>IF('2-Professional Services'!Z4&lt;&gt; "",'2-Professional Services'!Z4, "")</f>
        <v>0</v>
      </c>
      <c r="Y72" s="79">
        <f>IF('2-Professional Services'!AA4&lt;&gt; "",'2-Professional Services'!AA4, "")</f>
        <v>20939.929999999993</v>
      </c>
      <c r="Z72" s="79" t="str">
        <f>IF('2-Professional Services'!AB4&lt;&gt; "",'2-Professional Services'!AB4, "")</f>
        <v/>
      </c>
      <c r="AA72" s="79" t="str">
        <f>IF('2-Professional Services'!AC4&lt;&gt; "",'2-Professional Services'!AC4, "")</f>
        <v/>
      </c>
      <c r="AB72" s="79">
        <f>IF('2-Professional Services'!AD4&lt;&gt; "",'2-Professional Services'!AD4, "")</f>
        <v>0</v>
      </c>
      <c r="AC72" s="79">
        <f>IF('2-Professional Services'!AE4&lt;&gt; "",'2-Professional Services'!AE4, "")</f>
        <v>20939.929999999993</v>
      </c>
      <c r="AD72" s="80" t="str">
        <f>IF('2-Professional Services'!AF4&lt;&gt; "",'2-Professional Services'!AF4, "")</f>
        <v/>
      </c>
      <c r="AE72" s="79">
        <f>IF('2-Professional Services'!AG4&lt;&gt; "",'2-Professional Services'!AG4, "")</f>
        <v>100000</v>
      </c>
      <c r="AF72" s="79">
        <f>AE72</f>
        <v>100000</v>
      </c>
    </row>
    <row r="73" spans="1:32" x14ac:dyDescent="0.35">
      <c r="A73" s="1" t="s">
        <v>245</v>
      </c>
      <c r="B73" s="1">
        <f>IF('2-Professional Services'!D5&lt;&gt; "",'2-Professional Services'!D5, "")</f>
        <v>50003.14</v>
      </c>
      <c r="C73" s="1">
        <f>IF('2-Professional Services'!E5&lt;&gt; "",'2-Professional Services'!E5, "")</f>
        <v>5009.8900000000003</v>
      </c>
      <c r="D73" s="1">
        <f>IF('2-Professional Services'!F5&lt;&gt; "",'2-Professional Services'!F5, "")</f>
        <v>0</v>
      </c>
      <c r="E73" s="1">
        <f>IF('2-Professional Services'!G5&lt;&gt; "",'2-Professional Services'!G5, "")</f>
        <v>39773.78</v>
      </c>
      <c r="F73" s="1" t="str">
        <f>IF('2-Professional Services'!H5&lt;&gt; "",'2-Professional Services'!H5, "")</f>
        <v/>
      </c>
      <c r="G73" s="1">
        <f>IF('2-Professional Services'!I5&lt;&gt; "",'2-Professional Services'!I5, "")</f>
        <v>-28160</v>
      </c>
      <c r="H73" s="1">
        <f>IF('2-Professional Services'!J5&lt;&gt; "",'2-Professional Services'!J5, "")</f>
        <v>0</v>
      </c>
      <c r="I73" s="1">
        <f>IF('2-Professional Services'!K5&lt;&gt; "",'2-Professional Services'!K5, "")</f>
        <v>20146.95</v>
      </c>
      <c r="J73" s="1" t="str">
        <f>IF('2-Professional Services'!L5&lt;&gt; "",'2-Professional Services'!L5, "")</f>
        <v/>
      </c>
      <c r="K73" s="1">
        <f>IF('2-Professional Services'!M5&lt;&gt; "",'2-Professional Services'!M5, "")</f>
        <v>0</v>
      </c>
      <c r="L73" s="1">
        <f>IF('2-Professional Services'!N5&lt;&gt; "",'2-Professional Services'!N5, "")</f>
        <v>0</v>
      </c>
      <c r="M73" s="1">
        <f>IF('2-Professional Services'!O5&lt;&gt; "",'2-Professional Services'!O5, "")</f>
        <v>20146.95</v>
      </c>
      <c r="N73" s="1" t="str">
        <f>IF('2-Professional Services'!P5&lt;&gt; "",'2-Professional Services'!P5, "")</f>
        <v/>
      </c>
      <c r="O73" s="1" t="str">
        <f>IF('2-Professional Services'!Q5&lt;&gt; "",'2-Professional Services'!Q5, "")</f>
        <v/>
      </c>
      <c r="P73" s="1">
        <f>IF('2-Professional Services'!R5&lt;&gt; "",'2-Professional Services'!R5, "")</f>
        <v>0</v>
      </c>
      <c r="Q73" s="1">
        <f>IF('2-Professional Services'!S5&lt;&gt; "",'2-Professional Services'!S5, "")</f>
        <v>20146.95</v>
      </c>
      <c r="R73" s="1" t="str">
        <f>IF('2-Professional Services'!T5&lt;&gt; "",'2-Professional Services'!T5, "")</f>
        <v/>
      </c>
      <c r="S73" s="1" t="str">
        <f>IF('2-Professional Services'!U5&lt;&gt; "",'2-Professional Services'!U5, "")</f>
        <v/>
      </c>
      <c r="T73" s="1">
        <f>IF('2-Professional Services'!V5&lt;&gt; "",'2-Professional Services'!V5, "")</f>
        <v>0</v>
      </c>
      <c r="U73" s="1">
        <f>IF('2-Professional Services'!W5&lt;&gt; "",'2-Professional Services'!W5, "")</f>
        <v>20146.95</v>
      </c>
      <c r="V73" s="1" t="str">
        <f>IF('2-Professional Services'!X5&lt;&gt; "",'2-Professional Services'!X5, "")</f>
        <v/>
      </c>
      <c r="W73" s="1" t="str">
        <f>IF('2-Professional Services'!Y5&lt;&gt; "",'2-Professional Services'!Y5, "")</f>
        <v/>
      </c>
      <c r="X73" s="1">
        <f>IF('2-Professional Services'!Z5&lt;&gt; "",'2-Professional Services'!Z5, "")</f>
        <v>0</v>
      </c>
      <c r="Y73" s="1">
        <f>IF('2-Professional Services'!AA5&lt;&gt; "",'2-Professional Services'!AA5, "")</f>
        <v>20146.949999999997</v>
      </c>
      <c r="Z73" s="1" t="str">
        <f>IF('2-Professional Services'!AB5&lt;&gt; "",'2-Professional Services'!AB5, "")</f>
        <v/>
      </c>
      <c r="AA73" s="1" t="str">
        <f>IF('2-Professional Services'!AC5&lt;&gt; "",'2-Professional Services'!AC5, "")</f>
        <v/>
      </c>
      <c r="AB73" s="1">
        <f>IF('2-Professional Services'!AD5&lt;&gt; "",'2-Professional Services'!AD5, "")</f>
        <v>0</v>
      </c>
      <c r="AC73" s="1">
        <f>IF('2-Professional Services'!AE5&lt;&gt; "",'2-Professional Services'!AE5, "")</f>
        <v>20146.949999999997</v>
      </c>
      <c r="AD73" t="str">
        <f>IF('2-Professional Services'!AF5&lt;&gt; "",'2-Professional Services'!AF5, "")</f>
        <v/>
      </c>
      <c r="AE73" s="1">
        <f>IF('2-Professional Services'!AG5&lt;&gt; "",'2-Professional Services'!AG5, "")</f>
        <v>80000</v>
      </c>
      <c r="AF73" s="1">
        <f>AE73</f>
        <v>80000</v>
      </c>
    </row>
    <row r="74" spans="1:32" x14ac:dyDescent="0.35">
      <c r="A74" s="79" t="s">
        <v>257</v>
      </c>
      <c r="B74" s="79">
        <f>IF('2-Events'!D3&lt;&gt; "",'2-Events'!D3, "")</f>
        <v>42114</v>
      </c>
      <c r="C74" s="79">
        <f>IF('2-Events'!E3&lt;&gt; "",'2-Events'!E3, "")</f>
        <v>-45000</v>
      </c>
      <c r="D74" s="79">
        <f>IF('2-Events'!F3&lt;&gt; "",'2-Events'!F3, "")</f>
        <v>0</v>
      </c>
      <c r="E74" s="79">
        <f>IF('2-Events'!G3&lt;&gt; "",'2-Events'!G3, "")</f>
        <v>17964.450000000004</v>
      </c>
      <c r="F74" s="79" t="str">
        <f>IF('2-Events'!H3&lt;&gt; "",'2-Events'!H3, "")</f>
        <v/>
      </c>
      <c r="G74" s="79">
        <f>IF('2-Events'!I3&lt;&gt; "",'2-Events'!I3, "")</f>
        <v>-9699</v>
      </c>
      <c r="H74" s="79">
        <f>IF('2-Events'!J3&lt;&gt; "",'2-Events'!J3, "")</f>
        <v>-60</v>
      </c>
      <c r="I74" s="79">
        <f>IF('2-Events'!K3&lt;&gt; "",'2-Events'!K3, "")</f>
        <v>28363.810000000012</v>
      </c>
      <c r="J74" s="79" t="str">
        <f>IF('2-Events'!L3&lt;&gt; "",'2-Events'!L3, "")</f>
        <v>£8,595.45</v>
      </c>
      <c r="K74" s="79">
        <f>IF('2-Events'!M3&lt;&gt; "",'2-Events'!M3, "")</f>
        <v>-12109</v>
      </c>
      <c r="L74" s="79">
        <f>IF('2-Events'!N3&lt;&gt; "",'2-Events'!N3, "")</f>
        <v>4000</v>
      </c>
      <c r="M74" s="79">
        <f>IF('2-Events'!O3&lt;&gt; "",'2-Events'!O3, "")</f>
        <v>35177.240000000013</v>
      </c>
      <c r="N74" s="79" t="str">
        <f>IF('2-Events'!P3&lt;&gt; "",'2-Events'!P3, "")</f>
        <v/>
      </c>
      <c r="O74" s="79" t="str">
        <f>IF('2-Events'!Q3&lt;&gt; "",'2-Events'!Q3, "")</f>
        <v/>
      </c>
      <c r="P74" s="79">
        <f>IF('2-Events'!R3&lt;&gt; "",'2-Events'!R3, "")</f>
        <v>0</v>
      </c>
      <c r="Q74" s="79">
        <f>IF('2-Events'!S3&lt;&gt; "",'2-Events'!S3, "")</f>
        <v>23847.24000000002</v>
      </c>
      <c r="R74" s="79" t="str">
        <f>IF('2-Events'!T3&lt;&gt; "",'2-Events'!T3, "")</f>
        <v/>
      </c>
      <c r="S74" s="79" t="str">
        <f>IF('2-Events'!U3&lt;&gt; "",'2-Events'!U3, "")</f>
        <v/>
      </c>
      <c r="T74" s="79">
        <f>IF('2-Events'!V3&lt;&gt; "",'2-Events'!V3, "")</f>
        <v>0</v>
      </c>
      <c r="U74" s="79">
        <f>IF('2-Events'!W3&lt;&gt; "",'2-Events'!W3, "")</f>
        <v>12177.24000000002</v>
      </c>
      <c r="V74" s="79" t="str">
        <f>IF('2-Events'!X3&lt;&gt; "",'2-Events'!X3, "")</f>
        <v/>
      </c>
      <c r="W74" s="79" t="str">
        <f>IF('2-Events'!Y3&lt;&gt; "",'2-Events'!Y3, "")</f>
        <v/>
      </c>
      <c r="X74" s="79">
        <f>IF('2-Events'!Z3&lt;&gt; "",'2-Events'!Z3, "")</f>
        <v>0</v>
      </c>
      <c r="Y74" s="79">
        <f>IF('2-Events'!AA3&lt;&gt; "",'2-Events'!AA3, "")</f>
        <v>156.24000000001979</v>
      </c>
      <c r="Z74" s="79" t="str">
        <f>IF('2-Events'!AB3&lt;&gt; "",'2-Events'!AB3, "")</f>
        <v/>
      </c>
      <c r="AA74" s="79" t="str">
        <f>IF('2-Events'!AC3&lt;&gt; "",'2-Events'!AC3, "")</f>
        <v/>
      </c>
      <c r="AB74" s="79">
        <f>IF('2-Events'!AD3&lt;&gt; "",'2-Events'!AD3, "")</f>
        <v>0</v>
      </c>
      <c r="AC74" s="79">
        <f>IF('2-Events'!AE3&lt;&gt; "",'2-Events'!AE3, "")</f>
        <v>-12225.75999999998</v>
      </c>
      <c r="AD74" s="80" t="str">
        <f>IF('2-Events'!AF3&lt;&gt; "",'2-Events'!AF3, "")</f>
        <v/>
      </c>
      <c r="AE74" s="79">
        <f>IF('2-Events'!AG3&lt;&gt; "",'2-Events'!AG3, "")</f>
        <v>40000</v>
      </c>
      <c r="AF74" s="79">
        <f>AE74</f>
        <v>40000</v>
      </c>
    </row>
    <row r="75" spans="1:32" x14ac:dyDescent="0.35">
      <c r="A75" s="1" t="s">
        <v>270</v>
      </c>
      <c r="B75" s="1">
        <f>IF('2-Grants'!D3&lt;&gt; "",'2-Grants'!D3, "")</f>
        <v>23421.84</v>
      </c>
      <c r="C75" s="1">
        <f>IF('2-Grants'!E3&lt;&gt; "",'2-Grants'!E3, "")</f>
        <v>-60000</v>
      </c>
      <c r="D75" s="1">
        <f>IF('2-Grants'!F3&lt;&gt; "",'2-Grants'!F3, "")</f>
        <v>-40598.160000000003</v>
      </c>
      <c r="E75" s="1">
        <f>IF('2-Grants'!G3&lt;&gt; "",'2-Grants'!G3, "")</f>
        <v>10719.669999999998</v>
      </c>
      <c r="F75" s="1" t="str">
        <f>IF('2-Grants'!H3&lt;&gt; "",'2-Grants'!H3, "")</f>
        <v/>
      </c>
      <c r="G75" s="1">
        <f>IF('2-Grants'!I3&lt;&gt; "",'2-Grants'!I3, "")</f>
        <v>0</v>
      </c>
      <c r="H75" s="1">
        <f>IF('2-Grants'!J3&lt;&gt; "",'2-Grants'!J3, "")</f>
        <v>0</v>
      </c>
      <c r="I75" s="1">
        <f>IF('2-Grants'!K3&lt;&gt; "",'2-Grants'!K3, "")</f>
        <v>14992.239999999998</v>
      </c>
      <c r="J75" s="1" t="str">
        <f>IF('2-Grants'!L3&lt;&gt; "",'2-Grants'!L3, "")</f>
        <v/>
      </c>
      <c r="K75" s="1" t="str">
        <f>IF('2-Grants'!M3&lt;&gt; "",'2-Grants'!M3, "")</f>
        <v/>
      </c>
      <c r="L75" s="1">
        <f>IF('2-Grants'!N3&lt;&gt; "",'2-Grants'!N3, "")</f>
        <v>-3000</v>
      </c>
      <c r="M75" s="1">
        <f>IF('2-Grants'!O3&lt;&gt; "",'2-Grants'!O3, "")</f>
        <v>44452.439999999988</v>
      </c>
      <c r="N75" s="1" t="str">
        <f>IF('2-Grants'!P3&lt;&gt; "",'2-Grants'!P3, "")</f>
        <v/>
      </c>
      <c r="O75" s="1" t="str">
        <f>IF('2-Grants'!Q3&lt;&gt; "",'2-Grants'!Q3, "")</f>
        <v/>
      </c>
      <c r="P75" s="1">
        <f>IF('2-Grants'!R3&lt;&gt; "",'2-Grants'!R3, "")</f>
        <v>0</v>
      </c>
      <c r="Q75" s="1">
        <f>IF('2-Grants'!S3&lt;&gt; "",'2-Grants'!S3, "")</f>
        <v>44452.439999999988</v>
      </c>
      <c r="R75" s="1" t="str">
        <f>IF('2-Grants'!T3&lt;&gt; "",'2-Grants'!T3, "")</f>
        <v/>
      </c>
      <c r="S75" s="1" t="str">
        <f>IF('2-Grants'!U3&lt;&gt; "",'2-Grants'!U3, "")</f>
        <v/>
      </c>
      <c r="T75" s="1">
        <f>IF('2-Grants'!V3&lt;&gt; "",'2-Grants'!V3, "")</f>
        <v>0</v>
      </c>
      <c r="U75" s="1">
        <f>IF('2-Grants'!W3&lt;&gt; "",'2-Grants'!W3, "")</f>
        <v>44452.439999999988</v>
      </c>
      <c r="V75" s="1" t="str">
        <f>IF('2-Grants'!X3&lt;&gt; "",'2-Grants'!X3, "")</f>
        <v/>
      </c>
      <c r="W75" s="1" t="str">
        <f>IF('2-Grants'!Y3&lt;&gt; "",'2-Grants'!Y3, "")</f>
        <v/>
      </c>
      <c r="X75" s="1">
        <f>IF('2-Grants'!Z3&lt;&gt; "",'2-Grants'!Z3, "")</f>
        <v>0</v>
      </c>
      <c r="Y75" s="1">
        <f>IF('2-Grants'!AA3&lt;&gt; "",'2-Grants'!AA3, "")</f>
        <v>44452.439999999988</v>
      </c>
      <c r="Z75" s="1" t="str">
        <f>IF('2-Grants'!AB3&lt;&gt; "",'2-Grants'!AB3, "")</f>
        <v/>
      </c>
      <c r="AA75" s="1" t="str">
        <f>IF('2-Grants'!AC3&lt;&gt; "",'2-Grants'!AC3, "")</f>
        <v/>
      </c>
      <c r="AB75" s="1">
        <f>IF('2-Grants'!AD3&lt;&gt; "",'2-Grants'!AD3, "")</f>
        <v>0</v>
      </c>
      <c r="AC75" s="1">
        <f>IF('2-Grants'!AE3&lt;&gt; "",'2-Grants'!AE3, "")</f>
        <v>44452.439999999988</v>
      </c>
      <c r="AD75" t="str">
        <f>IF('2-Grants'!AF3&lt;&gt; "",'2-Grants'!AF3, "")</f>
        <v/>
      </c>
      <c r="AE75" s="1">
        <f>IF('2-Grants'!AG3&lt;&gt; "",'2-Grants'!AG3, "")</f>
        <v>50000</v>
      </c>
      <c r="AF75" s="1">
        <f>AE75</f>
        <v>50000</v>
      </c>
    </row>
    <row r="76" spans="1:32" x14ac:dyDescent="0.35">
      <c r="A76" s="79" t="s">
        <v>273</v>
      </c>
      <c r="B76" s="79">
        <f>IF('2-Community Engagement'!D3&lt;&gt; "",'2-Community Engagement'!D3, "")</f>
        <v>0</v>
      </c>
      <c r="C76" s="79">
        <f>IF('2-Community Engagement'!E3&lt;&gt; "",'2-Community Engagement'!E3, "")</f>
        <v>0</v>
      </c>
      <c r="D76" s="79">
        <f>IF('2-Community Engagement'!F3&lt;&gt; "",'2-Community Engagement'!F3, "")</f>
        <v>-1000</v>
      </c>
      <c r="E76" s="79">
        <f>IF('2-Community Engagement'!G3&lt;&gt; "",'2-Community Engagement'!G3, "")</f>
        <v>2421.8999999999996</v>
      </c>
      <c r="F76" s="79" t="str">
        <f>IF('2-Community Engagement'!H3&lt;&gt; "",'2-Community Engagement'!H3, "")</f>
        <v/>
      </c>
      <c r="G76" s="79" t="str">
        <f>IF('2-Community Engagement'!I3&lt;&gt; "",'2-Community Engagement'!I3, "")</f>
        <v/>
      </c>
      <c r="H76" s="79">
        <f>IF('2-Community Engagement'!J3&lt;&gt; "",'2-Community Engagement'!J3, "")</f>
        <v>500</v>
      </c>
      <c r="I76" s="79">
        <f>IF('2-Community Engagement'!K3&lt;&gt; "",'2-Community Engagement'!K3, "")</f>
        <v>2504.3600000000006</v>
      </c>
      <c r="J76" s="79" t="str">
        <f>IF('2-Community Engagement'!L3&lt;&gt; "",'2-Community Engagement'!L3, "")</f>
        <v/>
      </c>
      <c r="K76" s="79">
        <f>IF('2-Community Engagement'!M3&lt;&gt; "",'2-Community Engagement'!M3, "")</f>
        <v>0</v>
      </c>
      <c r="L76" s="79">
        <f>IF('2-Community Engagement'!N3&lt;&gt; "",'2-Community Engagement'!N3, "")</f>
        <v>0</v>
      </c>
      <c r="M76" s="79">
        <f>IF('2-Community Engagement'!O3&lt;&gt; "",'2-Community Engagement'!O3, "")</f>
        <v>21796.36</v>
      </c>
      <c r="N76" s="79" t="str">
        <f>IF('2-Community Engagement'!P3&lt;&gt; "",'2-Community Engagement'!P3, "")</f>
        <v/>
      </c>
      <c r="O76" s="79" t="str">
        <f>IF('2-Community Engagement'!Q3&lt;&gt; "",'2-Community Engagement'!Q3, "")</f>
        <v/>
      </c>
      <c r="P76" s="79">
        <f>IF('2-Community Engagement'!R3&lt;&gt; "",'2-Community Engagement'!R3, "")</f>
        <v>0</v>
      </c>
      <c r="Q76" s="79">
        <f>IF('2-Community Engagement'!S3&lt;&gt; "",'2-Community Engagement'!S3, "")</f>
        <v>20805.36</v>
      </c>
      <c r="R76" s="79" t="str">
        <f>IF('2-Community Engagement'!T3&lt;&gt; "",'2-Community Engagement'!T3, "")</f>
        <v/>
      </c>
      <c r="S76" s="79" t="str">
        <f>IF('2-Community Engagement'!U3&lt;&gt; "",'2-Community Engagement'!U3, "")</f>
        <v/>
      </c>
      <c r="T76" s="79">
        <f>IF('2-Community Engagement'!V3&lt;&gt; "",'2-Community Engagement'!V3, "")</f>
        <v>0</v>
      </c>
      <c r="U76" s="79">
        <f>IF('2-Community Engagement'!W3&lt;&gt; "",'2-Community Engagement'!W3, "")</f>
        <v>19783.36</v>
      </c>
      <c r="V76" s="79" t="str">
        <f>IF('2-Community Engagement'!X3&lt;&gt; "",'2-Community Engagement'!X3, "")</f>
        <v/>
      </c>
      <c r="W76" s="79" t="str">
        <f>IF('2-Community Engagement'!Y3&lt;&gt; "",'2-Community Engagement'!Y3, "")</f>
        <v/>
      </c>
      <c r="X76" s="79">
        <f>IF('2-Community Engagement'!Z3&lt;&gt; "",'2-Community Engagement'!Z3, "")</f>
        <v>0</v>
      </c>
      <c r="Y76" s="79">
        <f>IF('2-Community Engagement'!AA3&lt;&gt; "",'2-Community Engagement'!AA3, "")</f>
        <v>18730.36</v>
      </c>
      <c r="Z76" s="79" t="str">
        <f>IF('2-Community Engagement'!AB3&lt;&gt; "",'2-Community Engagement'!AB3, "")</f>
        <v/>
      </c>
      <c r="AA76" s="79" t="str">
        <f>IF('2-Community Engagement'!AC3&lt;&gt; "",'2-Community Engagement'!AC3, "")</f>
        <v/>
      </c>
      <c r="AB76" s="79">
        <f>IF('2-Community Engagement'!AD3&lt;&gt; "",'2-Community Engagement'!AD3, "")</f>
        <v>0</v>
      </c>
      <c r="AC76" s="79">
        <f>IF('2-Community Engagement'!AE3&lt;&gt; "",'2-Community Engagement'!AE3, "")</f>
        <v>17645.36</v>
      </c>
      <c r="AD76" s="80" t="str">
        <f>IF('2-Community Engagement'!AF3&lt;&gt; "",'2-Community Engagement'!AF3, "")</f>
        <v/>
      </c>
      <c r="AE76" s="79" t="str">
        <f>IF('2-Community Engagement'!AG3&lt;&gt; "",'2-Community Engagement'!AG3, "")</f>
        <v/>
      </c>
      <c r="AF76" s="79">
        <v>10000</v>
      </c>
    </row>
    <row r="77" spans="1:32" x14ac:dyDescent="0.35">
      <c r="A77" s="1" t="s">
        <v>285</v>
      </c>
      <c r="B77" s="1">
        <v>19023</v>
      </c>
      <c r="C77" s="1">
        <v>2078.54</v>
      </c>
      <c r="D77" s="1">
        <v>0</v>
      </c>
      <c r="E77" s="1">
        <v>21101.54</v>
      </c>
      <c r="F77" s="1" t="s">
        <v>479</v>
      </c>
      <c r="G77" s="1">
        <v>-6745</v>
      </c>
      <c r="H77" s="1">
        <v>0</v>
      </c>
      <c r="I77" s="1">
        <v>20651.54</v>
      </c>
      <c r="J77" s="1" t="s">
        <v>479</v>
      </c>
      <c r="K77" s="1">
        <v>-6745</v>
      </c>
      <c r="L77" s="1">
        <v>0</v>
      </c>
      <c r="M77" s="1">
        <v>20651.54</v>
      </c>
      <c r="N77" s="1" t="s">
        <v>479</v>
      </c>
      <c r="O77" s="1" t="s">
        <v>479</v>
      </c>
      <c r="P77" s="1">
        <v>0</v>
      </c>
      <c r="Q77" s="1">
        <v>20651.54</v>
      </c>
      <c r="R77" s="1" t="s">
        <v>479</v>
      </c>
      <c r="S77" s="1" t="s">
        <v>479</v>
      </c>
      <c r="T77" s="1">
        <v>0</v>
      </c>
      <c r="U77" s="1">
        <v>20651.54</v>
      </c>
      <c r="V77" s="1" t="s">
        <v>479</v>
      </c>
      <c r="W77" s="1" t="s">
        <v>479</v>
      </c>
      <c r="X77" s="1">
        <v>0</v>
      </c>
      <c r="Y77" s="1">
        <v>20651.54</v>
      </c>
      <c r="Z77" s="1" t="s">
        <v>479</v>
      </c>
      <c r="AA77" s="1" t="s">
        <v>479</v>
      </c>
      <c r="AB77" s="1">
        <v>0</v>
      </c>
      <c r="AC77" s="1">
        <v>20651.54</v>
      </c>
      <c r="AD77" t="s">
        <v>479</v>
      </c>
      <c r="AE77" s="1">
        <v>45000</v>
      </c>
      <c r="AF77" s="1">
        <f>AE77</f>
        <v>45000</v>
      </c>
    </row>
    <row r="78" spans="1:32" x14ac:dyDescent="0.35">
      <c r="A78" s="79" t="s">
        <v>290</v>
      </c>
      <c r="B78" s="79">
        <f>IF('2-Civic'!D3&lt;&gt; "",'2-Civic'!D3, "")</f>
        <v>4581</v>
      </c>
      <c r="C78" s="79">
        <f>IF('2-Civic'!E3&lt;&gt; "",'2-Civic'!E3, "")</f>
        <v>0</v>
      </c>
      <c r="D78" s="79">
        <f>IF('2-Civic'!F3&lt;&gt; "",'2-Civic'!F3, "")</f>
        <v>4000</v>
      </c>
      <c r="E78" s="79">
        <f>IF('2-Civic'!G3&lt;&gt; "",'2-Civic'!G3, "")</f>
        <v>581</v>
      </c>
      <c r="F78" s="79" t="str">
        <f>IF('2-Civic'!H3&lt;&gt; "",'2-Civic'!H3, "")</f>
        <v/>
      </c>
      <c r="G78" s="79">
        <f>IF('2-Civic'!I3&lt;&gt; "",'2-Civic'!I3, "")</f>
        <v>-400</v>
      </c>
      <c r="H78" s="79">
        <f>IF('2-Civic'!J3&lt;&gt; "",'2-Civic'!J3, "")</f>
        <v>171.65</v>
      </c>
      <c r="I78" s="79">
        <f>IF('2-Civic'!K3&lt;&gt; "",'2-Civic'!K3, "")</f>
        <v>58.099999999999966</v>
      </c>
      <c r="J78" s="79" t="str">
        <f>IF('2-Civic'!L3&lt;&gt; "",'2-Civic'!L3, "")</f>
        <v/>
      </c>
      <c r="K78" s="79">
        <f>IF('2-Civic'!M3&lt;&gt; "",'2-Civic'!M3, "")</f>
        <v>1000</v>
      </c>
      <c r="L78" s="79">
        <f>IF('2-Civic'!N3&lt;&gt; "",'2-Civic'!N3, "")</f>
        <v>0</v>
      </c>
      <c r="M78" s="79">
        <f>IF('2-Civic'!O3&lt;&gt; "",'2-Civic'!O3, "")</f>
        <v>2051.35</v>
      </c>
      <c r="N78" s="79" t="str">
        <f>IF('2-Civic'!P3&lt;&gt; "",'2-Civic'!P3, "")</f>
        <v/>
      </c>
      <c r="O78" s="79" t="str">
        <f>IF('2-Civic'!Q3&lt;&gt; "",'2-Civic'!Q3, "")</f>
        <v/>
      </c>
      <c r="P78" s="79">
        <f>IF('2-Civic'!R3&lt;&gt; "",'2-Civic'!R3, "")</f>
        <v>0</v>
      </c>
      <c r="Q78" s="79">
        <f>IF('2-Civic'!S3&lt;&gt; "",'2-Civic'!S3, "")</f>
        <v>2051.35</v>
      </c>
      <c r="R78" s="79" t="str">
        <f>IF('2-Civic'!T3&lt;&gt; "",'2-Civic'!T3, "")</f>
        <v/>
      </c>
      <c r="S78" s="79" t="str">
        <f>IF('2-Civic'!U3&lt;&gt; "",'2-Civic'!U3, "")</f>
        <v/>
      </c>
      <c r="T78" s="79">
        <f>IF('2-Civic'!V3&lt;&gt; "",'2-Civic'!V3, "")</f>
        <v>0</v>
      </c>
      <c r="U78" s="79">
        <f>IF('2-Civic'!W3&lt;&gt; "",'2-Civic'!W3, "")</f>
        <v>2051.35</v>
      </c>
      <c r="V78" s="79" t="str">
        <f>IF('2-Civic'!X3&lt;&gt; "",'2-Civic'!X3, "")</f>
        <v/>
      </c>
      <c r="W78" s="79" t="str">
        <f>IF('2-Civic'!Y3&lt;&gt; "",'2-Civic'!Y3, "")</f>
        <v/>
      </c>
      <c r="X78" s="79">
        <f>IF('2-Civic'!Z3&lt;&gt; "",'2-Civic'!Z3, "")</f>
        <v>0</v>
      </c>
      <c r="Y78" s="79">
        <f>IF('2-Civic'!AA3&lt;&gt; "",'2-Civic'!AA3, "")</f>
        <v>2051.35</v>
      </c>
      <c r="Z78" s="79" t="str">
        <f>IF('2-Civic'!AB3&lt;&gt; "",'2-Civic'!AB3, "")</f>
        <v/>
      </c>
      <c r="AA78" s="79" t="str">
        <f>IF('2-Civic'!AC3&lt;&gt; "",'2-Civic'!AC3, "")</f>
        <v/>
      </c>
      <c r="AB78" s="79">
        <f>IF('2-Civic'!AD3&lt;&gt; "",'2-Civic'!AD3, "")</f>
        <v>0</v>
      </c>
      <c r="AC78" s="79">
        <f>IF('2-Civic'!AE3&lt;&gt; "",'2-Civic'!AE3, "")</f>
        <v>2051.35</v>
      </c>
      <c r="AD78" s="80" t="str">
        <f>IF('2-Civic'!AF3&lt;&gt; "",'2-Civic'!AF3, "")</f>
        <v/>
      </c>
      <c r="AE78" s="79">
        <f>IF('2-Civic'!AG3&lt;&gt; "",'2-Civic'!AG3, "")</f>
        <v>30000</v>
      </c>
      <c r="AF78" s="79" t="s">
        <v>480</v>
      </c>
    </row>
    <row r="79" spans="1:32" x14ac:dyDescent="0.35">
      <c r="A79" s="1" t="s">
        <v>291</v>
      </c>
      <c r="B79" s="1">
        <f>IF('2-Civic'!D4&lt;&gt; "",'2-Civic'!D4, "")</f>
        <v>0</v>
      </c>
      <c r="C79" s="1">
        <f>IF('2-Civic'!E4&lt;&gt; "",'2-Civic'!E4, "")</f>
        <v>0</v>
      </c>
      <c r="D79" s="1">
        <f>IF('2-Civic'!F4&lt;&gt; "",'2-Civic'!F4, "")</f>
        <v>0</v>
      </c>
      <c r="E79" s="1">
        <f>IF('2-Civic'!G4&lt;&gt; "",'2-Civic'!G4, "")</f>
        <v>0</v>
      </c>
      <c r="F79" s="1" t="str">
        <f>IF('2-Civic'!H4&lt;&gt; "",'2-Civic'!H4, "")</f>
        <v/>
      </c>
      <c r="G79" s="1" t="str">
        <f>IF('2-Civic'!I4&lt;&gt; "",'2-Civic'!I4, "")</f>
        <v/>
      </c>
      <c r="H79" s="1">
        <f>IF('2-Civic'!J4&lt;&gt; "",'2-Civic'!J4, "")</f>
        <v>0</v>
      </c>
      <c r="I79" s="1">
        <f>IF('2-Civic'!K4&lt;&gt; "",'2-Civic'!K4, "")</f>
        <v>0</v>
      </c>
      <c r="J79" s="1" t="str">
        <f>IF('2-Civic'!L4&lt;&gt; "",'2-Civic'!L4, "")</f>
        <v/>
      </c>
      <c r="K79" s="1">
        <f>IF('2-Civic'!M4&lt;&gt; "",'2-Civic'!M4, "")</f>
        <v>0</v>
      </c>
      <c r="L79" s="1">
        <f>IF('2-Civic'!N4&lt;&gt; "",'2-Civic'!N4, "")</f>
        <v>0</v>
      </c>
      <c r="M79" s="1">
        <f>IF('2-Civic'!O4&lt;&gt; "",'2-Civic'!O4, "")</f>
        <v>0</v>
      </c>
      <c r="N79" s="1" t="str">
        <f>IF('2-Civic'!P4&lt;&gt; "",'2-Civic'!P4, "")</f>
        <v/>
      </c>
      <c r="O79" s="1" t="str">
        <f>IF('2-Civic'!Q4&lt;&gt; "",'2-Civic'!Q4, "")</f>
        <v/>
      </c>
      <c r="P79" s="1">
        <f>IF('2-Civic'!R4&lt;&gt; "",'2-Civic'!R4, "")</f>
        <v>0</v>
      </c>
      <c r="Q79" s="1">
        <f>IF('2-Civic'!S4&lt;&gt; "",'2-Civic'!S4, "")</f>
        <v>0</v>
      </c>
      <c r="R79" s="1" t="str">
        <f>IF('2-Civic'!T4&lt;&gt; "",'2-Civic'!T4, "")</f>
        <v/>
      </c>
      <c r="S79" s="1" t="str">
        <f>IF('2-Civic'!U4&lt;&gt; "",'2-Civic'!U4, "")</f>
        <v/>
      </c>
      <c r="T79" s="1">
        <f>IF('2-Civic'!V4&lt;&gt; "",'2-Civic'!V4, "")</f>
        <v>0</v>
      </c>
      <c r="U79" s="1">
        <f>IF('2-Civic'!W4&lt;&gt; "",'2-Civic'!W4, "")</f>
        <v>0</v>
      </c>
      <c r="V79" s="1" t="str">
        <f>IF('2-Civic'!X4&lt;&gt; "",'2-Civic'!X4, "")</f>
        <v/>
      </c>
      <c r="W79" s="1" t="str">
        <f>IF('2-Civic'!Y4&lt;&gt; "",'2-Civic'!Y4, "")</f>
        <v/>
      </c>
      <c r="X79" s="1">
        <f>IF('2-Civic'!Z4&lt;&gt; "",'2-Civic'!Z4, "")</f>
        <v>0</v>
      </c>
      <c r="Y79" s="1">
        <f>IF('2-Civic'!AA4&lt;&gt; "",'2-Civic'!AA4, "")</f>
        <v>0</v>
      </c>
      <c r="Z79" s="1" t="str">
        <f>IF('2-Civic'!AB4&lt;&gt; "",'2-Civic'!AB4, "")</f>
        <v/>
      </c>
      <c r="AA79" s="1" t="str">
        <f>IF('2-Civic'!AC4&lt;&gt; "",'2-Civic'!AC4, "")</f>
        <v/>
      </c>
      <c r="AB79" s="1">
        <f>IF('2-Civic'!AD4&lt;&gt; "",'2-Civic'!AD4, "")</f>
        <v>0</v>
      </c>
      <c r="AC79" s="1">
        <f>IF('2-Civic'!AE4&lt;&gt; "",'2-Civic'!AE4, "")</f>
        <v>0</v>
      </c>
      <c r="AD79" t="str">
        <f>IF('2-Civic'!AF4&lt;&gt; "",'2-Civic'!AF4, "")</f>
        <v/>
      </c>
      <c r="AE79" s="1" t="str">
        <f>IF('2-Civic'!AG4&lt;&gt; "",'2-Civic'!AG4, "")</f>
        <v/>
      </c>
      <c r="AF79" s="1">
        <v>10000</v>
      </c>
    </row>
    <row r="80" spans="1:32" x14ac:dyDescent="0.35">
      <c r="A80" s="79" t="s">
        <v>294</v>
      </c>
      <c r="B80" s="79">
        <f>IF('2-Arts and Heritage'!D3&lt;&gt; "",'2-Arts and Heritage'!D3, "")</f>
        <v>0</v>
      </c>
      <c r="C80" s="79">
        <f>IF('2-Arts and Heritage'!E3&lt;&gt; "",'2-Arts and Heritage'!E3, "")</f>
        <v>11526</v>
      </c>
      <c r="D80" s="79">
        <f>IF('2-Arts and Heritage'!F3&lt;&gt; "",'2-Arts and Heritage'!F3, "")</f>
        <v>-4000</v>
      </c>
      <c r="E80" s="79">
        <f>IF('2-Arts and Heritage'!G3&lt;&gt; "",'2-Arts and Heritage'!G3, "")</f>
        <v>16598</v>
      </c>
      <c r="F80" s="79" t="str">
        <f>IF('2-Arts and Heritage'!H3&lt;&gt; "",'2-Arts and Heritage'!H3, "")</f>
        <v/>
      </c>
      <c r="G80" s="79">
        <f>IF('2-Arts and Heritage'!I3&lt;&gt; "",'2-Arts and Heritage'!I3, "")</f>
        <v>-16598</v>
      </c>
      <c r="H80" s="79">
        <f>IF('2-Arts and Heritage'!J3&lt;&gt; "",'2-Arts and Heritage'!J3, "")</f>
        <v>1368.7</v>
      </c>
      <c r="I80" s="79">
        <f>IF('2-Arts and Heritage'!K3&lt;&gt; "",'2-Arts and Heritage'!K3, "")</f>
        <v>17631.3</v>
      </c>
      <c r="J80" s="79" t="str">
        <f>IF('2-Arts and Heritage'!L3&lt;&gt; "",'2-Arts and Heritage'!L3, "")</f>
        <v>£15K EMR offset against Valuations and Advice budget; £1,598 EMR offset against Heritage Plaques budget.</v>
      </c>
      <c r="K80" s="79" t="str">
        <f>IF('2-Arts and Heritage'!M3&lt;&gt; "",'2-Arts and Heritage'!M3, "")</f>
        <v/>
      </c>
      <c r="L80" s="79">
        <f>IF('2-Arts and Heritage'!N3&lt;&gt; "",'2-Arts and Heritage'!N3, "")</f>
        <v>0</v>
      </c>
      <c r="M80" s="79">
        <f>IF('2-Arts and Heritage'!O3&lt;&gt; "",'2-Arts and Heritage'!O3, "")</f>
        <v>42610.8</v>
      </c>
      <c r="N80" s="79" t="str">
        <f>IF('2-Arts and Heritage'!P3&lt;&gt; "",'2-Arts and Heritage'!P3, "")</f>
        <v/>
      </c>
      <c r="O80" s="79" t="str">
        <f>IF('2-Arts and Heritage'!Q3&lt;&gt; "",'2-Arts and Heritage'!Q3, "")</f>
        <v/>
      </c>
      <c r="P80" s="79">
        <f>IF('2-Arts and Heritage'!R3&lt;&gt; "",'2-Arts and Heritage'!R3, "")</f>
        <v>0</v>
      </c>
      <c r="Q80" s="79">
        <f>IF('2-Arts and Heritage'!S3&lt;&gt; "",'2-Arts and Heritage'!S3, "")</f>
        <v>42610.8</v>
      </c>
      <c r="R80" s="79" t="str">
        <f>IF('2-Arts and Heritage'!T3&lt;&gt; "",'2-Arts and Heritage'!T3, "")</f>
        <v/>
      </c>
      <c r="S80" s="79" t="str">
        <f>IF('2-Arts and Heritage'!U3&lt;&gt; "",'2-Arts and Heritage'!U3, "")</f>
        <v/>
      </c>
      <c r="T80" s="79">
        <f>IF('2-Arts and Heritage'!V3&lt;&gt; "",'2-Arts and Heritage'!V3, "")</f>
        <v>0</v>
      </c>
      <c r="U80" s="79">
        <f>IF('2-Arts and Heritage'!W3&lt;&gt; "",'2-Arts and Heritage'!W3, "")</f>
        <v>42610.8</v>
      </c>
      <c r="V80" s="79" t="str">
        <f>IF('2-Arts and Heritage'!X3&lt;&gt; "",'2-Arts and Heritage'!X3, "")</f>
        <v/>
      </c>
      <c r="W80" s="79" t="str">
        <f>IF('2-Arts and Heritage'!Y3&lt;&gt; "",'2-Arts and Heritage'!Y3, "")</f>
        <v/>
      </c>
      <c r="X80" s="79">
        <f>IF('2-Arts and Heritage'!Z3&lt;&gt; "",'2-Arts and Heritage'!Z3, "")</f>
        <v>0</v>
      </c>
      <c r="Y80" s="79">
        <f>IF('2-Arts and Heritage'!AA3&lt;&gt; "",'2-Arts and Heritage'!AA3, "")</f>
        <v>42610.8</v>
      </c>
      <c r="Z80" s="79" t="str">
        <f>IF('2-Arts and Heritage'!AB3&lt;&gt; "",'2-Arts and Heritage'!AB3, "")</f>
        <v/>
      </c>
      <c r="AA80" s="79" t="str">
        <f>IF('2-Arts and Heritage'!AC3&lt;&gt; "",'2-Arts and Heritage'!AC3, "")</f>
        <v/>
      </c>
      <c r="AB80" s="79">
        <f>IF('2-Arts and Heritage'!AD3&lt;&gt; "",'2-Arts and Heritage'!AD3, "")</f>
        <v>0</v>
      </c>
      <c r="AC80" s="79">
        <f>IF('2-Arts and Heritage'!AE3&lt;&gt; "",'2-Arts and Heritage'!AE3, "")</f>
        <v>42610.8</v>
      </c>
      <c r="AD80" s="80" t="str">
        <f>IF('2-Arts and Heritage'!AF3&lt;&gt; "",'2-Arts and Heritage'!AF3, "")</f>
        <v/>
      </c>
      <c r="AE80" s="79">
        <f>IF('2-Arts and Heritage'!AG3&lt;&gt; "",'2-Arts and Heritage'!AG3, "")</f>
        <v>100000</v>
      </c>
      <c r="AF80" s="79">
        <v>120000</v>
      </c>
    </row>
    <row r="81" spans="1:32" x14ac:dyDescent="0.35">
      <c r="A81" s="1" t="s">
        <v>296</v>
      </c>
      <c r="B81" s="1">
        <f>IF('2-Arts and Heritage'!D4&lt;&gt; "",'2-Arts and Heritage'!D4, "")</f>
        <v>41499</v>
      </c>
      <c r="C81" s="1">
        <f>IF('2-Arts and Heritage'!E4&lt;&gt; "",'2-Arts and Heritage'!E4, "")</f>
        <v>0</v>
      </c>
      <c r="D81" s="1">
        <f>IF('2-Arts and Heritage'!F4&lt;&gt; "",'2-Arts and Heritage'!F4, "")</f>
        <v>4100</v>
      </c>
      <c r="E81" s="1">
        <f>IF('2-Arts and Heritage'!G4&lt;&gt; "",'2-Arts and Heritage'!G4, "")</f>
        <v>41459</v>
      </c>
      <c r="F81" s="1" t="str">
        <f>IF('2-Arts and Heritage'!H4&lt;&gt; "",'2-Arts and Heritage'!H4, "")</f>
        <v/>
      </c>
      <c r="G81" s="1">
        <f>IF('2-Arts and Heritage'!I4&lt;&gt; "",'2-Arts and Heritage'!I4, "")</f>
        <v>0</v>
      </c>
      <c r="H81" s="1">
        <f>IF('2-Arts and Heritage'!J4&lt;&gt; "",'2-Arts and Heritage'!J4, "")</f>
        <v>7600</v>
      </c>
      <c r="I81" s="1">
        <f>IF('2-Arts and Heritage'!K4&lt;&gt; "",'2-Arts and Heritage'!K4, "")</f>
        <v>33859</v>
      </c>
      <c r="J81" s="1" t="str">
        <f>IF('2-Arts and Heritage'!L4&lt;&gt; "",'2-Arts and Heritage'!L4, "")</f>
        <v/>
      </c>
      <c r="K81" s="1">
        <f>IF('2-Arts and Heritage'!M4&lt;&gt; "",'2-Arts and Heritage'!M4, "")</f>
        <v>5100</v>
      </c>
      <c r="L81" s="1">
        <f>IF('2-Arts and Heritage'!N4&lt;&gt; "",'2-Arts and Heritage'!N4, "")</f>
        <v>0</v>
      </c>
      <c r="M81" s="1">
        <f>IF('2-Arts and Heritage'!O4&lt;&gt; "",'2-Arts and Heritage'!O4, "")</f>
        <v>38959</v>
      </c>
      <c r="N81" s="1" t="str">
        <f>IF('2-Arts and Heritage'!P4&lt;&gt; "",'2-Arts and Heritage'!P4, "")</f>
        <v xml:space="preserve">EMR recovery of  transferring Lowestoft Borough Coat of Arms to LTC (and associated works) - both taken 2023/24. </v>
      </c>
      <c r="O81" s="1" t="str">
        <f>IF('2-Arts and Heritage'!Q4&lt;&gt; "",'2-Arts and Heritage'!Q4, "")</f>
        <v/>
      </c>
      <c r="P81" s="1">
        <f>IF('2-Arts and Heritage'!R4&lt;&gt; "",'2-Arts and Heritage'!R4, "")</f>
        <v>0</v>
      </c>
      <c r="Q81" s="1">
        <f>IF('2-Arts and Heritage'!S4&lt;&gt; "",'2-Arts and Heritage'!S4, "")</f>
        <v>38959</v>
      </c>
      <c r="R81" s="1" t="str">
        <f>IF('2-Arts and Heritage'!T4&lt;&gt; "",'2-Arts and Heritage'!T4, "")</f>
        <v/>
      </c>
      <c r="S81" s="1" t="str">
        <f>IF('2-Arts and Heritage'!U4&lt;&gt; "",'2-Arts and Heritage'!U4, "")</f>
        <v/>
      </c>
      <c r="T81" s="1">
        <f>IF('2-Arts and Heritage'!V4&lt;&gt; "",'2-Arts and Heritage'!V4, "")</f>
        <v>0</v>
      </c>
      <c r="U81" s="1">
        <f>IF('2-Arts and Heritage'!W4&lt;&gt; "",'2-Arts and Heritage'!W4, "")</f>
        <v>38959</v>
      </c>
      <c r="V81" s="1" t="str">
        <f>IF('2-Arts and Heritage'!X4&lt;&gt; "",'2-Arts and Heritage'!X4, "")</f>
        <v/>
      </c>
      <c r="W81" s="1" t="str">
        <f>IF('2-Arts and Heritage'!Y4&lt;&gt; "",'2-Arts and Heritage'!Y4, "")</f>
        <v/>
      </c>
      <c r="X81" s="1">
        <f>IF('2-Arts and Heritage'!Z4&lt;&gt; "",'2-Arts and Heritage'!Z4, "")</f>
        <v>0</v>
      </c>
      <c r="Y81" s="1">
        <f>IF('2-Arts and Heritage'!AA4&lt;&gt; "",'2-Arts and Heritage'!AA4, "")</f>
        <v>38959</v>
      </c>
      <c r="Z81" s="1" t="str">
        <f>IF('2-Arts and Heritage'!AB4&lt;&gt; "",'2-Arts and Heritage'!AB4, "")</f>
        <v/>
      </c>
      <c r="AA81" s="1" t="str">
        <f>IF('2-Arts and Heritage'!AC4&lt;&gt; "",'2-Arts and Heritage'!AC4, "")</f>
        <v/>
      </c>
      <c r="AB81" s="1">
        <f>IF('2-Arts and Heritage'!AD4&lt;&gt; "",'2-Arts and Heritage'!AD4, "")</f>
        <v>0</v>
      </c>
      <c r="AC81" s="1">
        <f>IF('2-Arts and Heritage'!AE4&lt;&gt; "",'2-Arts and Heritage'!AE4, "")</f>
        <v>38959</v>
      </c>
      <c r="AD81" t="str">
        <f>IF('2-Arts and Heritage'!AF4&lt;&gt; "",'2-Arts and Heritage'!AF4, "")</f>
        <v/>
      </c>
      <c r="AE81" s="1" t="str">
        <f>IF('2-Arts and Heritage'!AG4&lt;&gt; "",'2-Arts and Heritage'!AG4, "")</f>
        <v/>
      </c>
      <c r="AF81" s="1" t="s">
        <v>480</v>
      </c>
    </row>
    <row r="82" spans="1:32" x14ac:dyDescent="0.35">
      <c r="A82" s="79" t="s">
        <v>297</v>
      </c>
      <c r="B82" s="79">
        <f>IF('2-Arts and Heritage'!D5&lt;&gt; "",'2-Arts and Heritage'!D5, "")</f>
        <v>10000</v>
      </c>
      <c r="C82" s="79">
        <f>IF('2-Arts and Heritage'!E5&lt;&gt; "",'2-Arts and Heritage'!E5, "")</f>
        <v>0</v>
      </c>
      <c r="D82" s="79">
        <f>IF('2-Arts and Heritage'!F5&lt;&gt; "",'2-Arts and Heritage'!F5, "")</f>
        <v>0</v>
      </c>
      <c r="E82" s="79">
        <f>IF('2-Arts and Heritage'!G5&lt;&gt; "",'2-Arts and Heritage'!G5, "")</f>
        <v>10000</v>
      </c>
      <c r="F82" s="79" t="str">
        <f>IF('2-Arts and Heritage'!H5&lt;&gt; "",'2-Arts and Heritage'!H5, "")</f>
        <v/>
      </c>
      <c r="G82" s="79">
        <f>IF('2-Arts and Heritage'!I5&lt;&gt; "",'2-Arts and Heritage'!I5, "")</f>
        <v>0</v>
      </c>
      <c r="H82" s="79">
        <f>IF('2-Arts and Heritage'!J5&lt;&gt; "",'2-Arts and Heritage'!J5, "")</f>
        <v>10000</v>
      </c>
      <c r="I82" s="79">
        <f>IF('2-Arts and Heritage'!K5&lt;&gt; "",'2-Arts and Heritage'!K5, "")</f>
        <v>0</v>
      </c>
      <c r="J82" s="79" t="str">
        <f>IF('2-Arts and Heritage'!L5&lt;&gt; "",'2-Arts and Heritage'!L5, "")</f>
        <v/>
      </c>
      <c r="K82" s="79" t="str">
        <f>IF('2-Arts and Heritage'!M5&lt;&gt; "",'2-Arts and Heritage'!M5, "")</f>
        <v/>
      </c>
      <c r="L82" s="79">
        <f>IF('2-Arts and Heritage'!N5&lt;&gt; "",'2-Arts and Heritage'!N5, "")</f>
        <v>0</v>
      </c>
      <c r="M82" s="79">
        <f>IF('2-Arts and Heritage'!O5&lt;&gt; "",'2-Arts and Heritage'!O5, "")</f>
        <v>0</v>
      </c>
      <c r="N82" s="79" t="str">
        <f>IF('2-Arts and Heritage'!P5&lt;&gt; "",'2-Arts and Heritage'!P5, "")</f>
        <v/>
      </c>
      <c r="O82" s="79" t="str">
        <f>IF('2-Arts and Heritage'!Q5&lt;&gt; "",'2-Arts and Heritage'!Q5, "")</f>
        <v/>
      </c>
      <c r="P82" s="79">
        <f>IF('2-Arts and Heritage'!R5&lt;&gt; "",'2-Arts and Heritage'!R5, "")</f>
        <v>0</v>
      </c>
      <c r="Q82" s="79">
        <f>IF('2-Arts and Heritage'!S5&lt;&gt; "",'2-Arts and Heritage'!S5, "")</f>
        <v>0</v>
      </c>
      <c r="R82" s="79" t="str">
        <f>IF('2-Arts and Heritage'!T5&lt;&gt; "",'2-Arts and Heritage'!T5, "")</f>
        <v/>
      </c>
      <c r="S82" s="79" t="str">
        <f>IF('2-Arts and Heritage'!U5&lt;&gt; "",'2-Arts and Heritage'!U5, "")</f>
        <v/>
      </c>
      <c r="T82" s="79">
        <f>IF('2-Arts and Heritage'!V5&lt;&gt; "",'2-Arts and Heritage'!V5, "")</f>
        <v>0</v>
      </c>
      <c r="U82" s="79">
        <f>IF('2-Arts and Heritage'!W5&lt;&gt; "",'2-Arts and Heritage'!W5, "")</f>
        <v>0</v>
      </c>
      <c r="V82" s="79" t="str">
        <f>IF('2-Arts and Heritage'!X5&lt;&gt; "",'2-Arts and Heritage'!X5, "")</f>
        <v/>
      </c>
      <c r="W82" s="79" t="str">
        <f>IF('2-Arts and Heritage'!Y5&lt;&gt; "",'2-Arts and Heritage'!Y5, "")</f>
        <v/>
      </c>
      <c r="X82" s="79">
        <f>IF('2-Arts and Heritage'!Z5&lt;&gt; "",'2-Arts and Heritage'!Z5, "")</f>
        <v>0</v>
      </c>
      <c r="Y82" s="79">
        <f>IF('2-Arts and Heritage'!AA5&lt;&gt; "",'2-Arts and Heritage'!AA5, "")</f>
        <v>0</v>
      </c>
      <c r="Z82" s="79" t="str">
        <f>IF('2-Arts and Heritage'!AB5&lt;&gt; "",'2-Arts and Heritage'!AB5, "")</f>
        <v/>
      </c>
      <c r="AA82" s="79" t="str">
        <f>IF('2-Arts and Heritage'!AC5&lt;&gt; "",'2-Arts and Heritage'!AC5, "")</f>
        <v/>
      </c>
      <c r="AB82" s="79">
        <f>IF('2-Arts and Heritage'!AD5&lt;&gt; "",'2-Arts and Heritage'!AD5, "")</f>
        <v>0</v>
      </c>
      <c r="AC82" s="79">
        <f>IF('2-Arts and Heritage'!AE5&lt;&gt; "",'2-Arts and Heritage'!AE5, "")</f>
        <v>0</v>
      </c>
      <c r="AD82" s="80" t="str">
        <f>IF('2-Arts and Heritage'!AF5&lt;&gt; "",'2-Arts and Heritage'!AF5, "")</f>
        <v/>
      </c>
      <c r="AE82" s="79" t="str">
        <f>IF('2-Arts and Heritage'!AG5&lt;&gt; "",'2-Arts and Heritage'!AG5, "")</f>
        <v/>
      </c>
      <c r="AF82" s="79">
        <v>10000</v>
      </c>
    </row>
    <row r="83" spans="1:32" x14ac:dyDescent="0.35">
      <c r="A83" s="1" t="s">
        <v>303</v>
      </c>
      <c r="B83" s="1">
        <f>IF('2-CIL and External Funding'!D3&lt;&gt; "",'2-CIL and External Funding'!D3, "")</f>
        <v>104276.32</v>
      </c>
      <c r="C83" s="1">
        <f>IF('2-CIL and External Funding'!E3&lt;&gt; "",'2-CIL and External Funding'!E3, "")</f>
        <v>0</v>
      </c>
      <c r="D83" s="1">
        <f>IF('2-CIL and External Funding'!F3&lt;&gt; "",'2-CIL and External Funding'!F3, "")</f>
        <v>-5924.7800000000007</v>
      </c>
      <c r="E83" s="1">
        <f>IF('2-CIL and External Funding'!G3&lt;&gt; "",'2-CIL and External Funding'!G3, "")</f>
        <v>63569.390000000007</v>
      </c>
      <c r="F83" s="1" t="str">
        <f>IF('2-CIL and External Funding'!H3&lt;&gt; "",'2-CIL and External Funding'!H3, "")</f>
        <v/>
      </c>
      <c r="G83" s="1" t="str">
        <f>IF('2-CIL and External Funding'!I3&lt;&gt; "",'2-CIL and External Funding'!I3, "")</f>
        <v/>
      </c>
      <c r="H83" s="1">
        <f>IF('2-CIL and External Funding'!J3&lt;&gt; "",'2-CIL and External Funding'!J3, "")</f>
        <v>57004.159999999996</v>
      </c>
      <c r="I83" s="1">
        <f>IF('2-CIL and External Funding'!K3&lt;&gt; "",'2-CIL and External Funding'!K3, "")</f>
        <v>6565.2300000000105</v>
      </c>
      <c r="J83" s="1" t="str">
        <f>IF('2-CIL and External Funding'!L3&lt;&gt; "",'2-CIL and External Funding'!L3, "")</f>
        <v/>
      </c>
      <c r="K83" s="1" t="str">
        <f>IF('2-CIL and External Funding'!M3&lt;&gt; "",'2-CIL and External Funding'!M3, "")</f>
        <v/>
      </c>
      <c r="L83" s="1">
        <f>IF('2-CIL and External Funding'!N3&lt;&gt; "",'2-CIL and External Funding'!N3, "")</f>
        <v>3918.99</v>
      </c>
      <c r="M83" s="1">
        <f>IF('2-CIL and External Funding'!O3&lt;&gt; "",'2-CIL and External Funding'!O3, "")</f>
        <v>2646.2400000000107</v>
      </c>
      <c r="N83" s="1" t="str">
        <f>IF('2-CIL and External Funding'!P3&lt;&gt; "",'2-CIL and External Funding'!P3, "")</f>
        <v/>
      </c>
      <c r="O83" s="1" t="str">
        <f>IF('2-CIL and External Funding'!Q3&lt;&gt; "",'2-CIL and External Funding'!Q3, "")</f>
        <v/>
      </c>
      <c r="P83" s="1">
        <f>IF('2-CIL and External Funding'!R3&lt;&gt; "",'2-CIL and External Funding'!R3, "")</f>
        <v>0</v>
      </c>
      <c r="Q83" s="1">
        <f>IF('2-CIL and External Funding'!S3&lt;&gt; "",'2-CIL and External Funding'!S3, "")</f>
        <v>2646.2400000000107</v>
      </c>
      <c r="R83" s="1" t="str">
        <f>IF('2-CIL and External Funding'!T3&lt;&gt; "",'2-CIL and External Funding'!T3, "")</f>
        <v/>
      </c>
      <c r="S83" s="1" t="str">
        <f>IF('2-CIL and External Funding'!U3&lt;&gt; "",'2-CIL and External Funding'!U3, "")</f>
        <v/>
      </c>
      <c r="T83" s="1">
        <f>IF('2-CIL and External Funding'!V3&lt;&gt; "",'2-CIL and External Funding'!V3, "")</f>
        <v>0</v>
      </c>
      <c r="U83" s="1">
        <f>IF('2-CIL and External Funding'!W3&lt;&gt; "",'2-CIL and External Funding'!W3, "")</f>
        <v>2646.2400000000107</v>
      </c>
      <c r="V83" s="1" t="str">
        <f>IF('2-CIL and External Funding'!X3&lt;&gt; "",'2-CIL and External Funding'!X3, "")</f>
        <v/>
      </c>
      <c r="W83" s="1" t="str">
        <f>IF('2-CIL and External Funding'!Y3&lt;&gt; "",'2-CIL and External Funding'!Y3, "")</f>
        <v/>
      </c>
      <c r="X83" s="1">
        <f>IF('2-CIL and External Funding'!Z3&lt;&gt; "",'2-CIL and External Funding'!Z3, "")</f>
        <v>0</v>
      </c>
      <c r="Y83" s="1">
        <f>IF('2-CIL and External Funding'!AA3&lt;&gt; "",'2-CIL and External Funding'!AA3, "")</f>
        <v>2646.2400000000107</v>
      </c>
      <c r="Z83" s="1" t="str">
        <f>IF('2-CIL and External Funding'!AB3&lt;&gt; "",'2-CIL and External Funding'!AB3, "")</f>
        <v/>
      </c>
      <c r="AA83" s="1" t="str">
        <f>IF('2-CIL and External Funding'!AC3&lt;&gt; "",'2-CIL and External Funding'!AC3, "")</f>
        <v/>
      </c>
      <c r="AB83" s="1">
        <f>IF('2-CIL and External Funding'!AD3&lt;&gt; "",'2-CIL and External Funding'!AD3, "")</f>
        <v>0</v>
      </c>
      <c r="AC83" s="1">
        <f>IF('2-CIL and External Funding'!AE3&lt;&gt; "",'2-CIL and External Funding'!AE3, "")</f>
        <v>2646.2400000000107</v>
      </c>
      <c r="AD83" t="str">
        <f>IF('2-CIL and External Funding'!AF3&lt;&gt; "",'2-CIL and External Funding'!AF3, "")</f>
        <v/>
      </c>
      <c r="AE83" s="1" t="str">
        <f>IF('2-CIL and External Funding'!AG3&lt;&gt; "",'2-CIL and External Funding'!AG3, "")</f>
        <v/>
      </c>
      <c r="AF83" s="1" t="s">
        <v>481</v>
      </c>
    </row>
    <row r="84" spans="1:32" x14ac:dyDescent="0.35">
      <c r="A84" s="79" t="s">
        <v>304</v>
      </c>
      <c r="B84" s="79">
        <f>IF('2-CIL and External Funding'!D4&lt;&gt; "",'2-CIL and External Funding'!D4, "")</f>
        <v>93176.2</v>
      </c>
      <c r="C84" s="79">
        <f>IF('2-CIL and External Funding'!E4&lt;&gt; "",'2-CIL and External Funding'!E4, "")</f>
        <v>0</v>
      </c>
      <c r="D84" s="79">
        <f>IF('2-CIL and External Funding'!F4&lt;&gt; "",'2-CIL and External Funding'!F4, "")</f>
        <v>0</v>
      </c>
      <c r="E84" s="79">
        <f>IF('2-CIL and External Funding'!G4&lt;&gt; "",'2-CIL and External Funding'!G4, "")</f>
        <v>55415.46</v>
      </c>
      <c r="F84" s="79" t="str">
        <f>IF('2-CIL and External Funding'!H4&lt;&gt; "",'2-CIL and External Funding'!H4, "")</f>
        <v/>
      </c>
      <c r="G84" s="79" t="str">
        <f>IF('2-CIL and External Funding'!I4&lt;&gt; "",'2-CIL and External Funding'!I4, "")</f>
        <v/>
      </c>
      <c r="H84" s="79">
        <f>IF('2-CIL and External Funding'!J4&lt;&gt; "",'2-CIL and External Funding'!J4, "")</f>
        <v>55415.46</v>
      </c>
      <c r="I84" s="79">
        <f>IF('2-CIL and External Funding'!K4&lt;&gt; "",'2-CIL and External Funding'!K4, "")</f>
        <v>0</v>
      </c>
      <c r="J84" s="79" t="str">
        <f>IF('2-CIL and External Funding'!L4&lt;&gt; "",'2-CIL and External Funding'!L4, "")</f>
        <v/>
      </c>
      <c r="K84" s="79" t="str">
        <f>IF('2-CIL and External Funding'!M4&lt;&gt; "",'2-CIL and External Funding'!M4, "")</f>
        <v/>
      </c>
      <c r="L84" s="79">
        <f>IF('2-CIL and External Funding'!N4&lt;&gt; "",'2-CIL and External Funding'!N4, "")</f>
        <v>0</v>
      </c>
      <c r="M84" s="79">
        <f>IF('2-CIL and External Funding'!O4&lt;&gt; "",'2-CIL and External Funding'!O4, "")</f>
        <v>0</v>
      </c>
      <c r="N84" s="79" t="str">
        <f>IF('2-CIL and External Funding'!P4&lt;&gt; "",'2-CIL and External Funding'!P4, "")</f>
        <v/>
      </c>
      <c r="O84" s="79" t="str">
        <f>IF('2-CIL and External Funding'!Q4&lt;&gt; "",'2-CIL and External Funding'!Q4, "")</f>
        <v/>
      </c>
      <c r="P84" s="79">
        <f>IF('2-CIL and External Funding'!R4&lt;&gt; "",'2-CIL and External Funding'!R4, "")</f>
        <v>0</v>
      </c>
      <c r="Q84" s="79">
        <f>IF('2-CIL and External Funding'!S4&lt;&gt; "",'2-CIL and External Funding'!S4, "")</f>
        <v>0</v>
      </c>
      <c r="R84" s="79" t="str">
        <f>IF('2-CIL and External Funding'!T4&lt;&gt; "",'2-CIL and External Funding'!T4, "")</f>
        <v/>
      </c>
      <c r="S84" s="79" t="str">
        <f>IF('2-CIL and External Funding'!U4&lt;&gt; "",'2-CIL and External Funding'!U4, "")</f>
        <v/>
      </c>
      <c r="T84" s="79">
        <f>IF('2-CIL and External Funding'!V4&lt;&gt; "",'2-CIL and External Funding'!V4, "")</f>
        <v>0</v>
      </c>
      <c r="U84" s="79">
        <f>IF('2-CIL and External Funding'!W4&lt;&gt; "",'2-CIL and External Funding'!W4, "")</f>
        <v>0</v>
      </c>
      <c r="V84" s="79" t="str">
        <f>IF('2-CIL and External Funding'!X4&lt;&gt; "",'2-CIL and External Funding'!X4, "")</f>
        <v/>
      </c>
      <c r="W84" s="79" t="str">
        <f>IF('2-CIL and External Funding'!Y4&lt;&gt; "",'2-CIL and External Funding'!Y4, "")</f>
        <v/>
      </c>
      <c r="X84" s="79">
        <f>IF('2-CIL and External Funding'!Z4&lt;&gt; "",'2-CIL and External Funding'!Z4, "")</f>
        <v>0</v>
      </c>
      <c r="Y84" s="79">
        <f>IF('2-CIL and External Funding'!AA4&lt;&gt; "",'2-CIL and External Funding'!AA4, "")</f>
        <v>0</v>
      </c>
      <c r="Z84" s="79" t="str">
        <f>IF('2-CIL and External Funding'!AB4&lt;&gt; "",'2-CIL and External Funding'!AB4, "")</f>
        <v/>
      </c>
      <c r="AA84" s="79" t="str">
        <f>IF('2-CIL and External Funding'!AC4&lt;&gt; "",'2-CIL and External Funding'!AC4, "")</f>
        <v/>
      </c>
      <c r="AB84" s="79">
        <f>IF('2-CIL and External Funding'!AD4&lt;&gt; "",'2-CIL and External Funding'!AD4, "")</f>
        <v>0</v>
      </c>
      <c r="AC84" s="79">
        <f>IF('2-CIL and External Funding'!AE4&lt;&gt; "",'2-CIL and External Funding'!AE4, "")</f>
        <v>0</v>
      </c>
      <c r="AD84" s="80" t="str">
        <f>IF('2-CIL and External Funding'!AF4&lt;&gt; "",'2-CIL and External Funding'!AF4, "")</f>
        <v/>
      </c>
      <c r="AE84" s="79" t="str">
        <f>IF('2-CIL and External Funding'!AG4&lt;&gt; "",'2-CIL and External Funding'!AG4, "")</f>
        <v/>
      </c>
      <c r="AF84" s="79" t="s">
        <v>481</v>
      </c>
    </row>
    <row r="85" spans="1:32" x14ac:dyDescent="0.35">
      <c r="C85" s="1">
        <f>SUM(C1:C84)</f>
        <v>53992.169999999947</v>
      </c>
      <c r="E85" s="1">
        <f>SUM(E1:E84)</f>
        <v>2366045.2100000004</v>
      </c>
      <c r="F85" s="6"/>
      <c r="G85" s="1">
        <f>SUM(G1:G84)</f>
        <v>-684335</v>
      </c>
      <c r="H85" s="1">
        <f>SUM(H1:H84)</f>
        <v>657320.49</v>
      </c>
      <c r="I85" s="1">
        <f>SUM(I1:I84)</f>
        <v>2005635.6968333339</v>
      </c>
      <c r="J85" s="1"/>
      <c r="K85" s="1">
        <f>SUM(K1:K84)</f>
        <v>-360637</v>
      </c>
      <c r="M85" s="53">
        <f>SUM(M1:M84)-M64</f>
        <v>2108094.9431666667</v>
      </c>
    </row>
    <row r="86" spans="1:32" x14ac:dyDescent="0.35">
      <c r="A86" s="79" t="s">
        <v>482</v>
      </c>
      <c r="B86" s="80"/>
      <c r="C86" s="80"/>
      <c r="D86" s="80"/>
      <c r="E86" s="80"/>
      <c r="F86" s="82"/>
      <c r="G86" s="80"/>
      <c r="H86" s="80"/>
      <c r="I86" s="80"/>
      <c r="J86" s="80"/>
      <c r="K86" s="80"/>
      <c r="L86" s="80"/>
      <c r="M86" s="80"/>
      <c r="N86" s="80"/>
      <c r="O86" s="80"/>
      <c r="P86" s="80"/>
      <c r="Q86" s="80"/>
      <c r="R86" s="80"/>
      <c r="S86" s="80"/>
      <c r="T86" s="80"/>
      <c r="U86" s="80"/>
      <c r="V86" s="80"/>
      <c r="W86" s="80"/>
      <c r="X86" s="80"/>
      <c r="Y86" s="80"/>
      <c r="Z86" s="80"/>
      <c r="AA86" s="80"/>
      <c r="AB86" s="80"/>
      <c r="AC86" s="80"/>
      <c r="AD86" s="80"/>
      <c r="AE86" s="79"/>
      <c r="AF86" s="79"/>
    </row>
    <row r="87" spans="1:32" x14ac:dyDescent="0.35">
      <c r="A87" s="1" t="s">
        <v>483</v>
      </c>
      <c r="F87" s="6"/>
      <c r="AF87" s="1">
        <v>100000</v>
      </c>
    </row>
    <row r="88" spans="1:32" x14ac:dyDescent="0.35">
      <c r="F88" s="6"/>
      <c r="K88" s="1"/>
    </row>
    <row r="89" spans="1:32" x14ac:dyDescent="0.35">
      <c r="F89" s="6"/>
    </row>
    <row r="92" spans="1:32" x14ac:dyDescent="0.35">
      <c r="O92" s="1"/>
    </row>
  </sheetData>
  <conditionalFormatting sqref="I1:I66 M1:M66 J85:K85 M71:M1048576 I71:I1048576">
    <cfRule type="expression" dxfId="100" priority="1">
      <formula>I1&lt;0</formula>
    </cfRule>
  </conditionalFormatting>
  <pageMargins left="0.7" right="0.7" top="0.75" bottom="0.75" header="0.3" footer="0.3"/>
  <pageSetup paperSize="9" scale="1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AG1000"/>
  <sheetViews>
    <sheetView zoomScale="90" zoomScaleNormal="110" workbookViewId="0">
      <pane xSplit="2" ySplit="1" topLeftCell="J6" activePane="bottomRight" state="frozen"/>
      <selection pane="topRight" activeCell="C1" sqref="C1"/>
      <selection pane="bottomLeft" activeCell="A2" sqref="A2"/>
      <selection pane="bottomRight" activeCell="H3" sqref="H3"/>
    </sheetView>
  </sheetViews>
  <sheetFormatPr defaultColWidth="8.81640625" defaultRowHeight="14.5" x14ac:dyDescent="0.35"/>
  <cols>
    <col min="1" max="1" width="27" style="86" customWidth="1"/>
    <col min="2" max="2" width="5.453125" style="85" bestFit="1" customWidth="1"/>
    <col min="3" max="3" width="5.453125" style="85" customWidth="1"/>
    <col min="4" max="4" width="10.26953125" style="86" customWidth="1"/>
    <col min="5" max="5" width="13.81640625" style="85" bestFit="1" customWidth="1"/>
    <col min="6" max="6" width="19.81640625" style="87" bestFit="1" customWidth="1"/>
    <col min="7" max="7" width="11.453125" style="87" bestFit="1" customWidth="1"/>
    <col min="8" max="8" width="12.7265625" style="88" bestFit="1" customWidth="1"/>
    <col min="9" max="9" width="13.81640625" style="89" bestFit="1" customWidth="1"/>
    <col min="10" max="10" width="19.54296875" style="87" bestFit="1" customWidth="1"/>
    <col min="11" max="11" width="16.26953125" style="87" bestFit="1" customWidth="1"/>
    <col min="12" max="12" width="23.81640625" style="87" customWidth="1"/>
    <col min="13" max="13" width="13.81640625" style="89" bestFit="1" customWidth="1"/>
    <col min="14" max="14" width="13.81640625" style="87" customWidth="1"/>
    <col min="15" max="15" width="29.7265625" style="87" customWidth="1"/>
    <col min="16" max="16" width="32.81640625" style="87" customWidth="1"/>
    <col min="17" max="17" width="13.81640625" style="89" bestFit="1" customWidth="1"/>
    <col min="18" max="18" width="13.81640625" style="87" customWidth="1"/>
    <col min="19" max="19" width="11.453125" style="87" bestFit="1" customWidth="1"/>
    <col min="20" max="20" width="13.453125" style="87" bestFit="1" customWidth="1"/>
    <col min="21" max="21" width="13.81640625" style="89" bestFit="1" customWidth="1"/>
    <col min="22" max="22" width="13.81640625" style="87" customWidth="1"/>
    <col min="23" max="23" width="11.453125" style="87" bestFit="1" customWidth="1"/>
    <col min="24" max="24" width="13.453125" style="87" bestFit="1" customWidth="1"/>
    <col min="25" max="25" width="13.81640625" style="89" bestFit="1" customWidth="1"/>
    <col min="26" max="26" width="13.81640625" style="87" customWidth="1"/>
    <col min="27" max="27" width="12.453125" style="87" bestFit="1" customWidth="1"/>
    <col min="28" max="28" width="13.453125" style="87" bestFit="1" customWidth="1"/>
    <col min="29" max="29" width="13.81640625" style="89" bestFit="1" customWidth="1"/>
    <col min="30" max="30" width="13.81640625" style="87" customWidth="1"/>
    <col min="31" max="31" width="12.453125" style="87" bestFit="1" customWidth="1"/>
    <col min="32" max="32" width="13.453125" style="87" bestFit="1" customWidth="1"/>
    <col min="33" max="33" width="12.54296875" style="87" bestFit="1" customWidth="1"/>
    <col min="34" max="16384" width="8.81640625" style="87"/>
  </cols>
  <sheetData>
    <row r="1" spans="1:33" ht="20.5" customHeight="1" x14ac:dyDescent="0.35">
      <c r="A1" s="84" t="s">
        <v>0</v>
      </c>
      <c r="B1" s="85" t="s">
        <v>484</v>
      </c>
      <c r="C1" s="85" t="s">
        <v>1</v>
      </c>
      <c r="D1" s="86" t="s">
        <v>2</v>
      </c>
      <c r="E1" s="87" t="s">
        <v>3</v>
      </c>
      <c r="F1" s="87" t="s">
        <v>4</v>
      </c>
      <c r="G1" s="87" t="s">
        <v>5</v>
      </c>
      <c r="H1" s="88" t="s">
        <v>450</v>
      </c>
      <c r="I1" s="89" t="s">
        <v>6</v>
      </c>
      <c r="J1" s="87" t="s">
        <v>7</v>
      </c>
      <c r="K1" s="87" t="s">
        <v>8</v>
      </c>
      <c r="L1" s="87" t="s">
        <v>9</v>
      </c>
      <c r="M1" s="89" t="s">
        <v>451</v>
      </c>
      <c r="N1" s="87" t="s">
        <v>452</v>
      </c>
      <c r="O1" s="87" t="s">
        <v>453</v>
      </c>
      <c r="P1" s="87" t="s">
        <v>454</v>
      </c>
      <c r="Q1" s="89" t="s">
        <v>455</v>
      </c>
      <c r="R1" s="87" t="s">
        <v>456</v>
      </c>
      <c r="S1" s="87" t="s">
        <v>457</v>
      </c>
      <c r="T1" s="87" t="s">
        <v>458</v>
      </c>
      <c r="U1" s="89" t="s">
        <v>459</v>
      </c>
      <c r="V1" s="87" t="s">
        <v>460</v>
      </c>
      <c r="W1" s="87" t="s">
        <v>461</v>
      </c>
      <c r="X1" s="87" t="s">
        <v>462</v>
      </c>
      <c r="Y1" s="89" t="s">
        <v>463</v>
      </c>
      <c r="Z1" s="87" t="s">
        <v>464</v>
      </c>
      <c r="AA1" s="87" t="s">
        <v>465</v>
      </c>
      <c r="AB1" s="87" t="s">
        <v>466</v>
      </c>
      <c r="AC1" s="89" t="s">
        <v>467</v>
      </c>
      <c r="AD1" s="87" t="s">
        <v>468</v>
      </c>
      <c r="AE1" s="87" t="s">
        <v>469</v>
      </c>
      <c r="AF1" s="87" t="s">
        <v>470</v>
      </c>
      <c r="AG1" s="87" t="s">
        <v>485</v>
      </c>
    </row>
    <row r="2" spans="1:33" x14ac:dyDescent="0.35">
      <c r="A2" s="86" t="s">
        <v>10</v>
      </c>
      <c r="D2" s="87"/>
      <c r="E2" s="87">
        <f>SUM(E3:E3)</f>
        <v>157292</v>
      </c>
      <c r="F2" s="87">
        <f>SUM(F3:F3)</f>
        <v>0</v>
      </c>
      <c r="I2" s="89">
        <f>SUM(I3:I3)</f>
        <v>109902</v>
      </c>
      <c r="J2" s="87">
        <f>SUM(J3:J3)</f>
        <v>450</v>
      </c>
      <c r="M2" s="89">
        <f>SUM(M3:M3)</f>
        <v>101212</v>
      </c>
      <c r="N2" s="87">
        <f>SUM(N3:N3)</f>
        <v>-26888.770000000062</v>
      </c>
      <c r="Q2" s="89">
        <f>SUM(Q3:Q3)</f>
        <v>161249</v>
      </c>
      <c r="R2" s="87">
        <f>SUM(R3:R3)</f>
        <v>0</v>
      </c>
      <c r="U2" s="89">
        <f>SUM(U3:U3)</f>
        <v>107377</v>
      </c>
      <c r="V2" s="87">
        <f>SUM(V3:V3)</f>
        <v>0</v>
      </c>
      <c r="Y2" s="89">
        <f>SUM(Y3:Y3)</f>
        <v>110599</v>
      </c>
      <c r="Z2" s="87">
        <f>SUM(Z3:Z3)</f>
        <v>0</v>
      </c>
      <c r="AC2" s="89">
        <f>SUM(AC3:AC3)</f>
        <v>113917</v>
      </c>
      <c r="AD2" s="87">
        <f>SUM(AD3:AD3)</f>
        <v>0</v>
      </c>
    </row>
    <row r="3" spans="1:33" ht="72.5" x14ac:dyDescent="0.35">
      <c r="A3" s="86" t="s">
        <v>11</v>
      </c>
      <c r="B3" s="85">
        <v>1</v>
      </c>
      <c r="D3" s="86">
        <v>96977.1</v>
      </c>
      <c r="E3" s="87">
        <f>56000+101292</f>
        <v>157292</v>
      </c>
      <c r="F3" s="87">
        <f>SUMIFS(H$12:H$998,E$12:E$998,1)</f>
        <v>0</v>
      </c>
      <c r="G3" s="87">
        <f>D3+E3-F3+SUMIFS(E$6:E$7,$C$6:$C$7,$A3)-SUMIFS(F$6:F$7,$C$6:$C$7,$A3)</f>
        <v>243262.38</v>
      </c>
      <c r="I3" s="89">
        <f>-I7</f>
        <v>109902</v>
      </c>
      <c r="J3" s="87">
        <f>SUMIFS(L$12:L$998,I$12:I$998,1)</f>
        <v>450</v>
      </c>
      <c r="K3" s="87">
        <f>G3+I3-J3+SUMIFS(I$6:I$7,$C$6:$C$7,$A3)-SUMIFS(J$6:J$7,$C$6:$C$7,$A3)</f>
        <v>341076.20999999996</v>
      </c>
      <c r="L3" s="86" t="s">
        <v>12</v>
      </c>
      <c r="M3" s="89">
        <f>-M7</f>
        <v>101212</v>
      </c>
      <c r="N3" s="87">
        <f>SUMIFS(P$12:P$997,M$12:M$997,1)</f>
        <v>-26888.770000000062</v>
      </c>
      <c r="O3" s="87">
        <f>K3+M3-N3+SUMIFS(M$6:M$7,$C$6:$C$7,$A3)-SUMIFS(N$6:N$7,$C$6:$C$7,$A3)</f>
        <v>469176.98000000004</v>
      </c>
      <c r="P3" s="86" t="s">
        <v>486</v>
      </c>
      <c r="Q3" s="89">
        <f>-Q7+57000</f>
        <v>161249</v>
      </c>
      <c r="R3" s="87">
        <f>SUMIFS(T$12:T$998,Q$12:Q$998,1)</f>
        <v>0</v>
      </c>
      <c r="S3" s="87">
        <f>O3+Q3-R3+SUMIFS(Q$6:Q$7,$C$6:$C$7,$A3)-SUMIFS(R$6:R$7,$C$6:$C$7,$A3)</f>
        <v>630425.98</v>
      </c>
      <c r="U3" s="89">
        <f>-U7</f>
        <v>107377</v>
      </c>
      <c r="V3" s="87">
        <f>SUMIFS(X$12:X$998,U$12:U$998,1)</f>
        <v>0</v>
      </c>
      <c r="W3" s="87">
        <f>S3+U3-V3+SUMIFS(U$6:U$7,$C$6:$C$7,$A3)-SUMIFS(V$6:V$7,$C$6:$C$7,$A3)</f>
        <v>737802.98</v>
      </c>
      <c r="Y3" s="89">
        <f>-Y7</f>
        <v>110599</v>
      </c>
      <c r="Z3" s="87">
        <f>SUMIFS(AB$12:AB$998,Y$12:Y$998,1)</f>
        <v>0</v>
      </c>
      <c r="AA3" s="87">
        <f>W3+Y3-Z3+SUMIFS(Y$6:Y$7,$C$6:$C$7,$A3)-SUMIFS(Z$6:Z$7,$C$6:$C$7,$A3)</f>
        <v>848401.98</v>
      </c>
      <c r="AC3" s="89">
        <f>-AC7</f>
        <v>113917</v>
      </c>
      <c r="AD3" s="87">
        <f>SUMIFS(AF$12:AF$998,AC$12:AC$998,1)</f>
        <v>0</v>
      </c>
      <c r="AE3" s="87">
        <f>AA3+AC3-AD3+SUMIFS(AC$6:AC$7,$C$6:$C$7,$A3)-SUMIFS(AD$6:AD$7,$C$6:$C$7,$A3)</f>
        <v>962318.98</v>
      </c>
      <c r="AG3" s="87">
        <v>1000000</v>
      </c>
    </row>
    <row r="4" spans="1:33" x14ac:dyDescent="0.35">
      <c r="E4" s="87"/>
    </row>
    <row r="5" spans="1:33" x14ac:dyDescent="0.35">
      <c r="A5" s="84" t="s">
        <v>13</v>
      </c>
      <c r="D5" s="84"/>
      <c r="E5" s="87">
        <f>SUM(E6:E7)</f>
        <v>-101292</v>
      </c>
      <c r="F5" s="87">
        <f>SUM(F6:F7)</f>
        <v>-90285.28</v>
      </c>
      <c r="I5" s="89">
        <f>SUM(I6:I7)</f>
        <v>-109902</v>
      </c>
      <c r="J5" s="87">
        <f>SUM(J6:J7)</f>
        <v>-98263.829999999987</v>
      </c>
      <c r="M5" s="89">
        <f>SUM(M6:M7)</f>
        <v>-101212</v>
      </c>
      <c r="N5" s="87">
        <f>$M$5</f>
        <v>-101212</v>
      </c>
      <c r="Q5" s="89">
        <f>SUM(Q6:Q7)</f>
        <v>-104249</v>
      </c>
      <c r="R5" s="87">
        <f>$Q$5</f>
        <v>-104249</v>
      </c>
      <c r="U5" s="89">
        <f>SUM(U6:U7)</f>
        <v>-107377</v>
      </c>
      <c r="V5" s="87">
        <f>$U$5</f>
        <v>-107377</v>
      </c>
      <c r="Y5" s="89">
        <f>SUM(Y6:Y7)</f>
        <v>-110599</v>
      </c>
      <c r="Z5" s="87">
        <f>$Y$5</f>
        <v>-110599</v>
      </c>
      <c r="AC5" s="89">
        <f>SUM(AC6:AC7)</f>
        <v>-113917</v>
      </c>
      <c r="AD5" s="87">
        <f>$AC$5</f>
        <v>-113917</v>
      </c>
    </row>
    <row r="6" spans="1:33" ht="39.75" customHeight="1" x14ac:dyDescent="0.35">
      <c r="A6" s="86" t="s">
        <v>13</v>
      </c>
      <c r="B6" s="85">
        <v>2</v>
      </c>
      <c r="C6" s="85" t="s">
        <v>11</v>
      </c>
      <c r="D6" s="84"/>
      <c r="E6" s="87">
        <v>0</v>
      </c>
      <c r="F6" s="87">
        <f>SUMIFS(H$12:H$998,E$12:E$998,$B6)</f>
        <v>0</v>
      </c>
      <c r="I6" s="89">
        <v>0</v>
      </c>
      <c r="J6" s="87">
        <f>SUMIFS(L$12:L$998,I$12:I$998,$B6)</f>
        <v>0</v>
      </c>
      <c r="K6" s="86"/>
      <c r="M6" s="89">
        <v>0</v>
      </c>
      <c r="N6" s="87">
        <f>$M$6</f>
        <v>0</v>
      </c>
      <c r="P6" s="86"/>
      <c r="Q6" s="89">
        <f>ROUNDUP((M6)*RPI,0)</f>
        <v>0</v>
      </c>
      <c r="R6" s="87">
        <f>$Q$6</f>
        <v>0</v>
      </c>
      <c r="U6" s="89">
        <f>ROUNDUP((Q6)*RPI,0)</f>
        <v>0</v>
      </c>
      <c r="V6" s="87">
        <f>$U$6</f>
        <v>0</v>
      </c>
      <c r="Y6" s="89">
        <f>ROUNDUP((U6)*RPI,0)</f>
        <v>0</v>
      </c>
      <c r="Z6" s="87">
        <f>$Y$6</f>
        <v>0</v>
      </c>
      <c r="AC6" s="89">
        <f>ROUNDUP((Y6)*RPI,0)</f>
        <v>0</v>
      </c>
      <c r="AD6" s="87">
        <f>$AC$6</f>
        <v>0</v>
      </c>
    </row>
    <row r="7" spans="1:33" ht="55.5" customHeight="1" x14ac:dyDescent="0.35">
      <c r="A7" s="86" t="s">
        <v>14</v>
      </c>
      <c r="B7" s="85">
        <v>3</v>
      </c>
      <c r="C7" s="87" t="s">
        <v>11</v>
      </c>
      <c r="D7" s="84"/>
      <c r="E7" s="87">
        <v>-101292</v>
      </c>
      <c r="F7" s="87">
        <f>SUMIFS(H$12:H$998,E$12:E$998,$B7)</f>
        <v>-90285.28</v>
      </c>
      <c r="I7" s="89">
        <f>ROUNDUP((E7)*RPICurrent,0)</f>
        <v>-109902</v>
      </c>
      <c r="J7" s="87">
        <f>SUMIFS(L$12:L$998,I$12:I$998,$B7)</f>
        <v>-98263.829999999987</v>
      </c>
      <c r="L7" s="86"/>
      <c r="M7" s="89">
        <f>ROUNDUP((J7)*RPI,0)</f>
        <v>-101212</v>
      </c>
      <c r="N7" s="87">
        <f>$M$7</f>
        <v>-101212</v>
      </c>
      <c r="P7" s="86"/>
      <c r="Q7" s="89">
        <f>ROUNDUP((M7)*RPI,0)</f>
        <v>-104249</v>
      </c>
      <c r="R7" s="87">
        <f>$Q$7</f>
        <v>-104249</v>
      </c>
      <c r="U7" s="89">
        <f>ROUNDUP((Q7)*RPI,0)</f>
        <v>-107377</v>
      </c>
      <c r="V7" s="87">
        <f>$U$7</f>
        <v>-107377</v>
      </c>
      <c r="Y7" s="89">
        <f>ROUNDUP((U7)*RPI,0)</f>
        <v>-110599</v>
      </c>
      <c r="Z7" s="87">
        <f>$Y$7</f>
        <v>-110599</v>
      </c>
      <c r="AC7" s="89">
        <f>ROUNDUP((Y7)*RPI,0)</f>
        <v>-113917</v>
      </c>
      <c r="AD7" s="87">
        <f>$AC$7</f>
        <v>-113917</v>
      </c>
    </row>
    <row r="8" spans="1:33" s="156" customFormat="1" x14ac:dyDescent="0.35">
      <c r="A8" s="154"/>
      <c r="B8" s="155"/>
      <c r="C8" s="155"/>
      <c r="D8" s="154"/>
      <c r="H8" s="157"/>
      <c r="I8" s="158"/>
      <c r="M8" s="158"/>
      <c r="Q8" s="158"/>
      <c r="U8" s="158"/>
      <c r="Y8" s="158"/>
      <c r="AC8" s="158"/>
    </row>
    <row r="9" spans="1:33" x14ac:dyDescent="0.35">
      <c r="E9" s="87"/>
    </row>
    <row r="10" spans="1:33" x14ac:dyDescent="0.35">
      <c r="A10" s="84" t="s">
        <v>487</v>
      </c>
      <c r="F10" s="93"/>
      <c r="G10" s="85"/>
      <c r="H10" s="87"/>
      <c r="I10" s="94"/>
      <c r="J10" s="93"/>
      <c r="K10" s="85"/>
      <c r="M10" s="94"/>
      <c r="N10" s="93"/>
      <c r="O10" s="85"/>
      <c r="Q10" s="94"/>
      <c r="R10" s="93"/>
      <c r="S10" s="85"/>
      <c r="U10" s="94"/>
      <c r="V10" s="93"/>
      <c r="W10" s="85"/>
      <c r="Y10" s="94"/>
      <c r="Z10" s="93"/>
      <c r="AA10" s="85"/>
      <c r="AC10" s="94"/>
      <c r="AD10" s="93"/>
      <c r="AE10" s="85"/>
    </row>
    <row r="11" spans="1:33" x14ac:dyDescent="0.35">
      <c r="E11" s="85" t="s">
        <v>484</v>
      </c>
      <c r="F11" s="93" t="s">
        <v>488</v>
      </c>
      <c r="G11" s="85" t="s">
        <v>489</v>
      </c>
      <c r="H11" s="87" t="s">
        <v>475</v>
      </c>
      <c r="I11" s="85" t="s">
        <v>484</v>
      </c>
      <c r="J11" s="93" t="s">
        <v>488</v>
      </c>
      <c r="K11" s="85" t="s">
        <v>489</v>
      </c>
      <c r="L11" s="87" t="s">
        <v>475</v>
      </c>
      <c r="M11" s="85" t="s">
        <v>484</v>
      </c>
      <c r="N11" s="93" t="s">
        <v>488</v>
      </c>
      <c r="O11" s="85" t="s">
        <v>489</v>
      </c>
      <c r="P11" s="87" t="s">
        <v>475</v>
      </c>
      <c r="Q11" s="94"/>
      <c r="R11" s="93"/>
      <c r="S11" s="85"/>
      <c r="U11" s="94"/>
      <c r="V11" s="93"/>
      <c r="W11" s="85"/>
      <c r="Y11" s="94"/>
      <c r="Z11" s="93"/>
      <c r="AA11" s="85"/>
      <c r="AC11" s="94"/>
      <c r="AD11" s="93"/>
      <c r="AE11" s="85"/>
    </row>
    <row r="12" spans="1:33" x14ac:dyDescent="0.35">
      <c r="A12" s="85"/>
      <c r="D12" s="85"/>
      <c r="E12" s="85">
        <v>3</v>
      </c>
      <c r="F12" s="93">
        <v>44994</v>
      </c>
      <c r="G12" s="85" t="s">
        <v>490</v>
      </c>
      <c r="H12" s="87">
        <f>-(91036.03-24192.52)</f>
        <v>-66843.509999999995</v>
      </c>
      <c r="I12" s="94">
        <v>1</v>
      </c>
      <c r="J12" s="93">
        <v>45320</v>
      </c>
      <c r="K12" s="85" t="s">
        <v>2681</v>
      </c>
      <c r="L12" s="87">
        <v>450</v>
      </c>
      <c r="M12" s="94">
        <v>1</v>
      </c>
      <c r="N12" s="87" t="s">
        <v>3091</v>
      </c>
      <c r="O12" s="87" t="s">
        <v>3091</v>
      </c>
      <c r="P12" s="87">
        <f>-502941.33+K3</f>
        <v>-161865.12000000005</v>
      </c>
      <c r="Q12" s="94"/>
      <c r="R12" s="93"/>
      <c r="S12" s="85"/>
      <c r="U12" s="94"/>
      <c r="V12" s="93"/>
      <c r="W12" s="85"/>
      <c r="Y12" s="94"/>
      <c r="Z12" s="93"/>
      <c r="AA12" s="85"/>
      <c r="AC12" s="94"/>
      <c r="AD12" s="93"/>
      <c r="AE12" s="85"/>
    </row>
    <row r="13" spans="1:33" x14ac:dyDescent="0.35">
      <c r="E13" s="85">
        <v>3</v>
      </c>
      <c r="F13" s="93" t="s">
        <v>494</v>
      </c>
      <c r="G13" s="85" t="s">
        <v>495</v>
      </c>
      <c r="H13" s="87">
        <f>-91036*0.25*1.03</f>
        <v>-23441.77</v>
      </c>
      <c r="I13" s="94">
        <v>3</v>
      </c>
      <c r="J13" s="93">
        <v>45363</v>
      </c>
      <c r="K13" s="93" t="s">
        <v>495</v>
      </c>
      <c r="L13" s="87">
        <f>-97364.48-H13</f>
        <v>-73922.709999999992</v>
      </c>
      <c r="M13" s="94">
        <v>1</v>
      </c>
      <c r="N13" s="93" t="s">
        <v>492</v>
      </c>
      <c r="O13" s="85" t="s">
        <v>493</v>
      </c>
      <c r="P13" s="87">
        <v>61240</v>
      </c>
      <c r="Q13" s="94"/>
      <c r="R13" s="93"/>
      <c r="S13" s="85"/>
      <c r="U13" s="94"/>
      <c r="V13" s="93"/>
      <c r="W13" s="85"/>
      <c r="Y13" s="94"/>
      <c r="Z13" s="93"/>
      <c r="AA13" s="85"/>
      <c r="AC13" s="94"/>
      <c r="AD13" s="93"/>
      <c r="AE13" s="85"/>
    </row>
    <row r="14" spans="1:33" x14ac:dyDescent="0.35">
      <c r="F14" s="93"/>
      <c r="G14" s="85"/>
      <c r="H14" s="87"/>
      <c r="I14" s="94">
        <v>3</v>
      </c>
      <c r="J14" s="93" t="s">
        <v>775</v>
      </c>
      <c r="K14" s="93" t="s">
        <v>2730</v>
      </c>
      <c r="L14" s="87">
        <f>(L13+H13)/4</f>
        <v>-24341.119999999999</v>
      </c>
      <c r="M14" s="94">
        <v>1</v>
      </c>
      <c r="N14" s="93" t="s">
        <v>492</v>
      </c>
      <c r="O14" s="85" t="s">
        <v>497</v>
      </c>
      <c r="P14" s="87">
        <v>21551.15</v>
      </c>
      <c r="Q14" s="94"/>
      <c r="R14" s="93"/>
      <c r="S14" s="85"/>
      <c r="U14" s="94"/>
      <c r="V14" s="93"/>
      <c r="W14" s="85"/>
      <c r="Y14" s="94"/>
      <c r="Z14" s="93"/>
      <c r="AA14" s="85"/>
      <c r="AC14" s="94"/>
      <c r="AD14" s="93"/>
      <c r="AE14" s="85"/>
    </row>
    <row r="15" spans="1:33" x14ac:dyDescent="0.35">
      <c r="F15" s="93"/>
      <c r="G15" s="85"/>
      <c r="H15" s="87"/>
      <c r="I15" s="94"/>
      <c r="J15" s="93"/>
      <c r="K15" s="85"/>
      <c r="M15" s="94">
        <v>1</v>
      </c>
      <c r="N15" s="93" t="s">
        <v>492</v>
      </c>
      <c r="O15" s="85" t="s">
        <v>2123</v>
      </c>
      <c r="P15" s="87">
        <v>18000</v>
      </c>
      <c r="Q15" s="94"/>
      <c r="R15" s="93"/>
      <c r="S15" s="85"/>
      <c r="U15" s="94"/>
      <c r="V15" s="93"/>
      <c r="W15" s="85"/>
      <c r="Y15" s="94"/>
      <c r="Z15" s="93"/>
      <c r="AA15" s="85"/>
      <c r="AC15" s="94"/>
      <c r="AD15" s="93"/>
      <c r="AE15" s="85"/>
    </row>
    <row r="16" spans="1:33" x14ac:dyDescent="0.35">
      <c r="F16" s="93"/>
      <c r="G16" s="85"/>
      <c r="H16" s="87"/>
      <c r="I16" s="94"/>
      <c r="J16" s="93"/>
      <c r="K16" s="85"/>
      <c r="M16" s="94">
        <v>1</v>
      </c>
      <c r="N16" s="93">
        <v>45397</v>
      </c>
      <c r="O16" s="85" t="s">
        <v>2828</v>
      </c>
      <c r="P16" s="148">
        <v>480</v>
      </c>
      <c r="Q16" s="94"/>
      <c r="R16" s="93"/>
      <c r="S16" s="85"/>
      <c r="U16" s="94"/>
      <c r="V16" s="93"/>
      <c r="W16" s="85"/>
      <c r="Y16" s="94"/>
      <c r="Z16" s="93"/>
      <c r="AA16" s="85"/>
      <c r="AC16" s="94"/>
      <c r="AD16" s="93"/>
      <c r="AE16" s="85"/>
    </row>
    <row r="17" spans="6:31" x14ac:dyDescent="0.35">
      <c r="F17" s="93"/>
      <c r="G17" s="85"/>
      <c r="H17" s="87"/>
      <c r="I17" s="94"/>
      <c r="J17" s="93"/>
      <c r="K17" s="85"/>
      <c r="M17" s="94">
        <v>1</v>
      </c>
      <c r="N17" s="93">
        <v>45385</v>
      </c>
      <c r="O17" s="85" t="s">
        <v>2833</v>
      </c>
      <c r="P17" s="148">
        <v>11505.79</v>
      </c>
      <c r="Q17" s="94"/>
      <c r="R17" s="93"/>
      <c r="S17" s="85"/>
      <c r="U17" s="94"/>
      <c r="V17" s="93"/>
      <c r="W17" s="85"/>
      <c r="Y17" s="94"/>
      <c r="Z17" s="93"/>
      <c r="AA17" s="85"/>
      <c r="AC17" s="94"/>
      <c r="AD17" s="93"/>
      <c r="AE17" s="85"/>
    </row>
    <row r="18" spans="6:31" x14ac:dyDescent="0.35">
      <c r="F18" s="93"/>
      <c r="G18" s="85"/>
      <c r="H18" s="87"/>
      <c r="I18" s="94"/>
      <c r="J18" s="93"/>
      <c r="K18" s="85"/>
      <c r="M18" s="94">
        <v>1</v>
      </c>
      <c r="N18" s="93">
        <v>45385</v>
      </c>
      <c r="O18" s="85" t="s">
        <v>2834</v>
      </c>
      <c r="P18" s="148">
        <v>12204.41</v>
      </c>
      <c r="Q18" s="94"/>
      <c r="R18" s="93"/>
      <c r="S18" s="85"/>
      <c r="U18" s="94"/>
      <c r="V18" s="93"/>
      <c r="W18" s="85"/>
      <c r="Y18" s="94"/>
      <c r="Z18" s="93"/>
      <c r="AA18" s="85"/>
      <c r="AC18" s="94"/>
      <c r="AD18" s="93"/>
      <c r="AE18" s="85"/>
    </row>
    <row r="19" spans="6:31" x14ac:dyDescent="0.35">
      <c r="F19" s="93"/>
      <c r="G19" s="85"/>
      <c r="H19" s="87"/>
      <c r="I19" s="94"/>
      <c r="J19" s="93"/>
      <c r="K19" s="85"/>
      <c r="M19" s="94">
        <v>1</v>
      </c>
      <c r="N19" s="93">
        <v>45434</v>
      </c>
      <c r="O19" s="85" t="s">
        <v>2912</v>
      </c>
      <c r="P19" s="148">
        <v>9995</v>
      </c>
      <c r="Q19" s="94"/>
      <c r="R19" s="93"/>
      <c r="S19" s="85"/>
      <c r="U19" s="94"/>
      <c r="V19" s="93"/>
      <c r="W19" s="85"/>
      <c r="Y19" s="94"/>
      <c r="Z19" s="93"/>
      <c r="AA19" s="85"/>
      <c r="AC19" s="94"/>
      <c r="AD19" s="93"/>
      <c r="AE19" s="85"/>
    </row>
    <row r="20" spans="6:31" x14ac:dyDescent="0.35">
      <c r="F20" s="93"/>
      <c r="G20" s="85"/>
      <c r="H20" s="87"/>
      <c r="I20" s="94"/>
      <c r="J20" s="93"/>
      <c r="K20" s="85"/>
      <c r="M20" s="94"/>
      <c r="N20" s="93"/>
      <c r="O20" s="85"/>
      <c r="Q20" s="94"/>
      <c r="R20" s="93"/>
      <c r="S20" s="85"/>
      <c r="U20" s="94"/>
      <c r="V20" s="93"/>
      <c r="W20" s="85"/>
      <c r="Y20" s="94"/>
      <c r="Z20" s="93"/>
      <c r="AA20" s="85"/>
      <c r="AC20" s="94"/>
      <c r="AD20" s="93"/>
      <c r="AE20" s="85"/>
    </row>
    <row r="21" spans="6:31" x14ac:dyDescent="0.35">
      <c r="F21" s="93"/>
      <c r="G21" s="85"/>
      <c r="H21" s="87"/>
      <c r="I21" s="94"/>
      <c r="J21" s="93"/>
      <c r="K21" s="85"/>
      <c r="M21" s="94"/>
      <c r="N21" s="93"/>
      <c r="O21" s="85"/>
      <c r="Q21" s="94"/>
      <c r="R21" s="93"/>
      <c r="S21" s="85"/>
      <c r="U21" s="94"/>
      <c r="V21" s="93"/>
      <c r="W21" s="85"/>
      <c r="Y21" s="94"/>
      <c r="Z21" s="93"/>
      <c r="AA21" s="85"/>
      <c r="AC21" s="94"/>
      <c r="AD21" s="93"/>
      <c r="AE21" s="85"/>
    </row>
    <row r="22" spans="6:31" x14ac:dyDescent="0.35">
      <c r="F22" s="93"/>
      <c r="G22" s="85"/>
      <c r="H22" s="87"/>
      <c r="I22" s="94"/>
      <c r="J22" s="93"/>
      <c r="K22" s="85"/>
      <c r="M22" s="94"/>
      <c r="N22" s="93"/>
      <c r="O22" s="85"/>
      <c r="Q22" s="94"/>
      <c r="R22" s="93"/>
      <c r="S22" s="85"/>
      <c r="U22" s="94"/>
      <c r="V22" s="93"/>
      <c r="W22" s="85"/>
      <c r="Y22" s="94"/>
      <c r="Z22" s="93"/>
      <c r="AA22" s="85"/>
      <c r="AC22" s="94"/>
      <c r="AD22" s="93"/>
      <c r="AE22" s="85"/>
    </row>
    <row r="23" spans="6:31" x14ac:dyDescent="0.35">
      <c r="F23" s="93"/>
      <c r="G23" s="85"/>
      <c r="H23" s="87"/>
      <c r="I23" s="94"/>
      <c r="J23" s="93"/>
      <c r="K23" s="85"/>
      <c r="M23" s="94"/>
      <c r="N23" s="93"/>
      <c r="O23" s="85"/>
      <c r="Q23" s="94"/>
      <c r="R23" s="93"/>
      <c r="S23" s="85"/>
      <c r="U23" s="94"/>
      <c r="V23" s="93"/>
      <c r="W23" s="85"/>
      <c r="Y23" s="94"/>
      <c r="Z23" s="93"/>
      <c r="AA23" s="85"/>
      <c r="AC23" s="94"/>
      <c r="AD23" s="93"/>
      <c r="AE23" s="85"/>
    </row>
    <row r="24" spans="6:31" x14ac:dyDescent="0.35">
      <c r="F24" s="93"/>
      <c r="G24" s="85"/>
      <c r="H24" s="87"/>
      <c r="I24" s="94"/>
      <c r="J24" s="93"/>
      <c r="K24" s="85"/>
      <c r="M24" s="94"/>
      <c r="N24" s="93"/>
      <c r="O24" s="85"/>
      <c r="Q24" s="94"/>
      <c r="R24" s="93"/>
      <c r="S24" s="85"/>
      <c r="U24" s="94"/>
      <c r="V24" s="93"/>
      <c r="W24" s="85"/>
      <c r="Y24" s="94"/>
      <c r="Z24" s="93"/>
      <c r="AA24" s="85"/>
      <c r="AC24" s="94"/>
      <c r="AD24" s="93"/>
      <c r="AE24" s="85"/>
    </row>
    <row r="25" spans="6:31" x14ac:dyDescent="0.35">
      <c r="F25" s="93"/>
      <c r="G25" s="85"/>
      <c r="H25" s="87"/>
      <c r="I25" s="94"/>
      <c r="J25" s="93"/>
      <c r="K25" s="85"/>
      <c r="M25" s="94"/>
      <c r="N25" s="93"/>
      <c r="O25" s="85"/>
      <c r="Q25" s="94"/>
      <c r="R25" s="93"/>
      <c r="S25" s="85"/>
      <c r="U25" s="94"/>
      <c r="V25" s="93"/>
      <c r="W25" s="85"/>
      <c r="Y25" s="94"/>
      <c r="Z25" s="93"/>
      <c r="AA25" s="85"/>
      <c r="AC25" s="94"/>
      <c r="AD25" s="93"/>
      <c r="AE25" s="85"/>
    </row>
    <row r="26" spans="6:31" x14ac:dyDescent="0.35">
      <c r="F26" s="93"/>
      <c r="G26" s="85"/>
      <c r="H26" s="87"/>
      <c r="I26" s="94"/>
      <c r="J26" s="93"/>
      <c r="K26" s="85"/>
      <c r="M26" s="94"/>
      <c r="N26" s="93"/>
      <c r="O26" s="85"/>
      <c r="Q26" s="94"/>
      <c r="R26" s="93"/>
      <c r="S26" s="85"/>
      <c r="U26" s="94"/>
      <c r="V26" s="93"/>
      <c r="W26" s="85"/>
      <c r="Y26" s="94"/>
      <c r="Z26" s="93"/>
      <c r="AA26" s="85"/>
      <c r="AC26" s="94"/>
      <c r="AD26" s="93"/>
      <c r="AE26" s="85"/>
    </row>
    <row r="27" spans="6:31" x14ac:dyDescent="0.35">
      <c r="F27" s="93"/>
      <c r="G27" s="85"/>
      <c r="H27" s="87"/>
      <c r="I27" s="94"/>
      <c r="J27" s="93"/>
      <c r="K27" s="85"/>
      <c r="M27" s="94"/>
      <c r="N27" s="93"/>
      <c r="O27" s="85"/>
      <c r="Q27" s="94"/>
      <c r="R27" s="93"/>
      <c r="S27" s="85"/>
      <c r="U27" s="94"/>
      <c r="V27" s="93"/>
      <c r="W27" s="85"/>
      <c r="Y27" s="94"/>
      <c r="Z27" s="93"/>
      <c r="AA27" s="85"/>
      <c r="AC27" s="94"/>
      <c r="AD27" s="93"/>
      <c r="AE27" s="85"/>
    </row>
    <row r="28" spans="6:31" x14ac:dyDescent="0.35">
      <c r="F28" s="93"/>
      <c r="G28" s="85"/>
      <c r="H28" s="87"/>
      <c r="I28" s="94"/>
      <c r="J28" s="93"/>
      <c r="K28" s="85"/>
      <c r="M28" s="94"/>
      <c r="N28" s="93"/>
      <c r="O28" s="85"/>
      <c r="Q28" s="94"/>
      <c r="R28" s="93"/>
      <c r="S28" s="85"/>
      <c r="U28" s="94"/>
      <c r="V28" s="93"/>
      <c r="W28" s="85"/>
      <c r="Y28" s="94"/>
      <c r="Z28" s="93"/>
      <c r="AA28" s="85"/>
      <c r="AC28" s="94"/>
      <c r="AD28" s="93"/>
      <c r="AE28" s="85"/>
    </row>
    <row r="29" spans="6:31" x14ac:dyDescent="0.35">
      <c r="F29" s="93"/>
      <c r="G29" s="85"/>
      <c r="H29" s="87"/>
      <c r="I29" s="94"/>
      <c r="J29" s="93"/>
      <c r="K29" s="85"/>
      <c r="M29" s="94"/>
      <c r="N29" s="93"/>
      <c r="O29" s="85"/>
      <c r="Q29" s="94"/>
      <c r="R29" s="93"/>
      <c r="S29" s="85"/>
      <c r="U29" s="94"/>
      <c r="V29" s="93"/>
      <c r="W29" s="85"/>
      <c r="Y29" s="94"/>
      <c r="Z29" s="93"/>
      <c r="AA29" s="85"/>
      <c r="AC29" s="94"/>
      <c r="AD29" s="93"/>
      <c r="AE29" s="85"/>
    </row>
    <row r="30" spans="6:31" x14ac:dyDescent="0.35">
      <c r="F30" s="93"/>
      <c r="G30" s="85"/>
      <c r="H30" s="87"/>
      <c r="I30" s="94"/>
      <c r="J30" s="93"/>
      <c r="K30" s="85"/>
      <c r="M30" s="94"/>
      <c r="N30" s="93"/>
      <c r="O30" s="85"/>
      <c r="Q30" s="94"/>
      <c r="R30" s="93"/>
      <c r="S30" s="85"/>
      <c r="U30" s="94"/>
      <c r="V30" s="93"/>
      <c r="W30" s="85"/>
      <c r="Y30" s="94"/>
      <c r="Z30" s="93"/>
      <c r="AA30" s="85"/>
      <c r="AC30" s="94"/>
      <c r="AD30" s="93"/>
      <c r="AE30" s="85"/>
    </row>
    <row r="31" spans="6:31" x14ac:dyDescent="0.35">
      <c r="F31" s="93"/>
      <c r="G31" s="85"/>
      <c r="H31" s="87"/>
      <c r="I31" s="94"/>
      <c r="J31" s="93"/>
      <c r="K31" s="85"/>
      <c r="M31" s="94"/>
      <c r="N31" s="93"/>
      <c r="O31" s="85"/>
      <c r="Q31" s="94"/>
      <c r="R31" s="93"/>
      <c r="S31" s="85"/>
      <c r="U31" s="94"/>
      <c r="V31" s="93"/>
      <c r="W31" s="85"/>
      <c r="Y31" s="94"/>
      <c r="Z31" s="93"/>
      <c r="AA31" s="85"/>
      <c r="AC31" s="94"/>
      <c r="AD31" s="93"/>
      <c r="AE31" s="85"/>
    </row>
    <row r="32" spans="6:31" x14ac:dyDescent="0.35">
      <c r="F32" s="93"/>
      <c r="G32" s="85"/>
      <c r="H32" s="87"/>
      <c r="I32" s="94"/>
      <c r="J32" s="93"/>
      <c r="K32" s="85"/>
      <c r="M32" s="94"/>
      <c r="N32" s="93"/>
      <c r="O32" s="85"/>
      <c r="Q32" s="94"/>
      <c r="R32" s="93"/>
      <c r="S32" s="85"/>
      <c r="U32" s="94"/>
      <c r="V32" s="93"/>
      <c r="W32" s="85"/>
      <c r="Y32" s="94"/>
      <c r="Z32" s="93"/>
      <c r="AA32" s="85"/>
      <c r="AC32" s="94"/>
      <c r="AD32" s="93"/>
      <c r="AE32" s="85"/>
    </row>
    <row r="33" spans="6:31" x14ac:dyDescent="0.35">
      <c r="F33" s="93"/>
      <c r="G33" s="85"/>
      <c r="H33" s="87"/>
      <c r="I33" s="94"/>
      <c r="J33" s="93"/>
      <c r="K33" s="85"/>
      <c r="M33" s="94"/>
      <c r="N33" s="93"/>
      <c r="O33" s="85"/>
      <c r="Q33" s="94"/>
      <c r="R33" s="93"/>
      <c r="S33" s="85"/>
      <c r="U33" s="94"/>
      <c r="V33" s="93"/>
      <c r="W33" s="85"/>
      <c r="Y33" s="94"/>
      <c r="Z33" s="93"/>
      <c r="AA33" s="85"/>
      <c r="AC33" s="94"/>
      <c r="AD33" s="93"/>
      <c r="AE33" s="85"/>
    </row>
    <row r="34" spans="6:31" x14ac:dyDescent="0.35">
      <c r="F34" s="93"/>
      <c r="G34" s="85"/>
      <c r="H34" s="87"/>
      <c r="I34" s="94"/>
      <c r="J34" s="93"/>
      <c r="K34" s="85"/>
      <c r="M34" s="94"/>
      <c r="N34" s="93"/>
      <c r="O34" s="85"/>
      <c r="Q34" s="94"/>
      <c r="R34" s="93"/>
      <c r="S34" s="85"/>
      <c r="U34" s="94"/>
      <c r="V34" s="93"/>
      <c r="W34" s="85"/>
      <c r="Y34" s="94"/>
      <c r="Z34" s="93"/>
      <c r="AA34" s="85"/>
      <c r="AC34" s="94"/>
      <c r="AD34" s="93"/>
      <c r="AE34" s="85"/>
    </row>
    <row r="35" spans="6:31" x14ac:dyDescent="0.35">
      <c r="F35" s="93"/>
      <c r="G35" s="85"/>
      <c r="H35" s="87"/>
      <c r="I35" s="94"/>
      <c r="J35" s="93"/>
      <c r="K35" s="85"/>
      <c r="M35" s="94"/>
      <c r="N35" s="93"/>
      <c r="O35" s="85"/>
      <c r="Q35" s="94"/>
      <c r="R35" s="93"/>
      <c r="S35" s="85"/>
      <c r="U35" s="94"/>
      <c r="V35" s="93"/>
      <c r="W35" s="85"/>
      <c r="Y35" s="94"/>
      <c r="Z35" s="93"/>
      <c r="AA35" s="85"/>
      <c r="AC35" s="94"/>
      <c r="AD35" s="93"/>
      <c r="AE35" s="85"/>
    </row>
    <row r="36" spans="6:31" x14ac:dyDescent="0.35">
      <c r="F36" s="93"/>
      <c r="G36" s="85"/>
      <c r="H36" s="87"/>
      <c r="I36" s="94"/>
      <c r="J36" s="93"/>
      <c r="K36" s="85"/>
      <c r="M36" s="94"/>
      <c r="N36" s="93"/>
      <c r="O36" s="85"/>
      <c r="Q36" s="94"/>
      <c r="R36" s="93"/>
      <c r="S36" s="85"/>
      <c r="U36" s="94"/>
      <c r="V36" s="93"/>
      <c r="W36" s="85"/>
      <c r="Y36" s="94"/>
      <c r="Z36" s="93"/>
      <c r="AA36" s="85"/>
      <c r="AC36" s="94"/>
      <c r="AD36" s="93"/>
      <c r="AE36" s="85"/>
    </row>
    <row r="37" spans="6:31" x14ac:dyDescent="0.35">
      <c r="F37" s="93"/>
      <c r="G37" s="85"/>
      <c r="H37" s="87"/>
      <c r="I37" s="94"/>
      <c r="J37" s="93"/>
      <c r="K37" s="85"/>
      <c r="M37" s="94"/>
      <c r="N37" s="93"/>
      <c r="O37" s="85"/>
      <c r="Q37" s="94"/>
      <c r="R37" s="93"/>
      <c r="S37" s="85"/>
      <c r="U37" s="94"/>
      <c r="V37" s="93"/>
      <c r="W37" s="85"/>
      <c r="Y37" s="94"/>
      <c r="Z37" s="93"/>
      <c r="AA37" s="85"/>
      <c r="AC37" s="94"/>
      <c r="AD37" s="93"/>
      <c r="AE37" s="85"/>
    </row>
    <row r="38" spans="6:31" x14ac:dyDescent="0.35">
      <c r="F38" s="93"/>
      <c r="G38" s="85"/>
      <c r="H38" s="87"/>
      <c r="I38" s="94"/>
      <c r="J38" s="93"/>
      <c r="K38" s="85"/>
      <c r="M38" s="94"/>
      <c r="N38" s="93"/>
      <c r="O38" s="85"/>
      <c r="Q38" s="94"/>
      <c r="R38" s="93"/>
      <c r="S38" s="85"/>
      <c r="U38" s="94"/>
      <c r="V38" s="93"/>
      <c r="W38" s="85"/>
      <c r="Y38" s="94"/>
      <c r="Z38" s="93"/>
      <c r="AA38" s="85"/>
      <c r="AC38" s="94"/>
      <c r="AD38" s="93"/>
      <c r="AE38" s="85"/>
    </row>
    <row r="39" spans="6:31" x14ac:dyDescent="0.35">
      <c r="F39" s="93"/>
      <c r="G39" s="85"/>
      <c r="H39" s="87"/>
      <c r="I39" s="94"/>
      <c r="J39" s="93"/>
      <c r="K39" s="85"/>
      <c r="M39" s="94"/>
      <c r="N39" s="93"/>
      <c r="O39" s="85"/>
      <c r="Q39" s="94"/>
      <c r="R39" s="93"/>
      <c r="S39" s="85"/>
      <c r="U39" s="94"/>
      <c r="V39" s="93"/>
      <c r="W39" s="85"/>
      <c r="Y39" s="94"/>
      <c r="Z39" s="93"/>
      <c r="AA39" s="85"/>
      <c r="AC39" s="94"/>
      <c r="AD39" s="93"/>
      <c r="AE39" s="85"/>
    </row>
    <row r="40" spans="6:31" x14ac:dyDescent="0.35">
      <c r="F40" s="93"/>
      <c r="G40" s="85"/>
      <c r="H40" s="87"/>
      <c r="I40" s="94"/>
      <c r="J40" s="93"/>
      <c r="K40" s="85"/>
      <c r="M40" s="94"/>
      <c r="N40" s="93"/>
      <c r="O40" s="85"/>
      <c r="Q40" s="94"/>
      <c r="R40" s="93"/>
      <c r="S40" s="85"/>
      <c r="U40" s="94"/>
      <c r="V40" s="93"/>
      <c r="W40" s="85"/>
      <c r="Y40" s="94"/>
      <c r="Z40" s="93"/>
      <c r="AA40" s="85"/>
      <c r="AC40" s="94"/>
      <c r="AD40" s="93"/>
      <c r="AE40" s="85"/>
    </row>
    <row r="41" spans="6:31" x14ac:dyDescent="0.35">
      <c r="F41" s="93"/>
      <c r="G41" s="85"/>
      <c r="H41" s="87"/>
      <c r="I41" s="94"/>
      <c r="J41" s="93"/>
      <c r="K41" s="85"/>
      <c r="M41" s="94"/>
      <c r="N41" s="93"/>
      <c r="O41" s="85"/>
      <c r="Q41" s="94"/>
      <c r="R41" s="93"/>
      <c r="S41" s="85"/>
      <c r="U41" s="94"/>
      <c r="V41" s="93"/>
      <c r="W41" s="85"/>
      <c r="Y41" s="94"/>
      <c r="Z41" s="93"/>
      <c r="AA41" s="85"/>
      <c r="AC41" s="94"/>
      <c r="AD41" s="93"/>
      <c r="AE41" s="85"/>
    </row>
    <row r="42" spans="6:31" x14ac:dyDescent="0.35">
      <c r="F42" s="93"/>
      <c r="G42" s="85"/>
      <c r="H42" s="87"/>
      <c r="I42" s="94"/>
      <c r="J42" s="93"/>
      <c r="K42" s="85"/>
      <c r="M42" s="94"/>
      <c r="N42" s="93"/>
      <c r="O42" s="85"/>
      <c r="Q42" s="94"/>
      <c r="R42" s="93"/>
      <c r="S42" s="85"/>
      <c r="U42" s="94"/>
      <c r="V42" s="93"/>
      <c r="W42" s="85"/>
      <c r="Y42" s="94"/>
      <c r="Z42" s="93"/>
      <c r="AA42" s="85"/>
      <c r="AC42" s="94"/>
      <c r="AD42" s="93"/>
      <c r="AE42" s="85"/>
    </row>
    <row r="43" spans="6:31" x14ac:dyDescent="0.35">
      <c r="F43" s="93"/>
      <c r="G43" s="85"/>
      <c r="H43" s="87"/>
      <c r="I43" s="94"/>
      <c r="J43" s="93"/>
      <c r="K43" s="85"/>
      <c r="M43" s="94"/>
      <c r="N43" s="93"/>
      <c r="O43" s="85"/>
      <c r="Q43" s="94"/>
      <c r="R43" s="93"/>
      <c r="S43" s="85"/>
      <c r="U43" s="94"/>
      <c r="V43" s="93"/>
      <c r="W43" s="85"/>
      <c r="Y43" s="94"/>
      <c r="Z43" s="93"/>
      <c r="AA43" s="85"/>
      <c r="AC43" s="94"/>
      <c r="AD43" s="93"/>
      <c r="AE43" s="85"/>
    </row>
    <row r="44" spans="6:31" x14ac:dyDescent="0.35">
      <c r="F44" s="93"/>
      <c r="G44" s="85"/>
      <c r="H44" s="87"/>
      <c r="I44" s="94"/>
      <c r="J44" s="93"/>
      <c r="K44" s="85"/>
      <c r="M44" s="94"/>
      <c r="N44" s="93"/>
      <c r="O44" s="85"/>
      <c r="Q44" s="94"/>
      <c r="R44" s="93"/>
      <c r="S44" s="85"/>
      <c r="U44" s="94"/>
      <c r="V44" s="93"/>
      <c r="W44" s="85"/>
      <c r="Y44" s="94"/>
      <c r="Z44" s="93"/>
      <c r="AA44" s="85"/>
      <c r="AC44" s="94"/>
      <c r="AD44" s="93"/>
      <c r="AE44" s="85"/>
    </row>
    <row r="45" spans="6:31" x14ac:dyDescent="0.35">
      <c r="F45" s="93"/>
      <c r="G45" s="85"/>
      <c r="H45" s="87"/>
      <c r="I45" s="94"/>
      <c r="J45" s="93"/>
      <c r="K45" s="85"/>
      <c r="M45" s="94"/>
      <c r="N45" s="93"/>
      <c r="O45" s="85"/>
      <c r="Q45" s="94"/>
      <c r="R45" s="93"/>
      <c r="S45" s="85"/>
      <c r="U45" s="94"/>
      <c r="V45" s="93"/>
      <c r="W45" s="85"/>
      <c r="Y45" s="94"/>
      <c r="Z45" s="93"/>
      <c r="AA45" s="85"/>
      <c r="AC45" s="94"/>
      <c r="AD45" s="93"/>
      <c r="AE45" s="85"/>
    </row>
    <row r="46" spans="6:31" x14ac:dyDescent="0.35">
      <c r="F46" s="93"/>
      <c r="G46" s="85"/>
      <c r="H46" s="87"/>
      <c r="I46" s="94"/>
      <c r="J46" s="93"/>
      <c r="K46" s="85"/>
      <c r="M46" s="94"/>
      <c r="N46" s="93"/>
      <c r="O46" s="85"/>
      <c r="Q46" s="94"/>
      <c r="R46" s="93"/>
      <c r="S46" s="85"/>
      <c r="U46" s="94"/>
      <c r="V46" s="93"/>
      <c r="W46" s="85"/>
      <c r="Y46" s="94"/>
      <c r="Z46" s="93"/>
      <c r="AA46" s="85"/>
      <c r="AC46" s="94"/>
      <c r="AD46" s="93"/>
      <c r="AE46" s="85"/>
    </row>
    <row r="47" spans="6:31" x14ac:dyDescent="0.35">
      <c r="F47" s="93"/>
      <c r="G47" s="85"/>
      <c r="H47" s="87"/>
      <c r="I47" s="94"/>
      <c r="J47" s="93"/>
      <c r="K47" s="85"/>
      <c r="M47" s="94"/>
      <c r="N47" s="93"/>
      <c r="O47" s="85"/>
      <c r="Q47" s="94"/>
      <c r="R47" s="93"/>
      <c r="S47" s="85"/>
      <c r="U47" s="94"/>
      <c r="V47" s="93"/>
      <c r="W47" s="85"/>
      <c r="Y47" s="94"/>
      <c r="Z47" s="93"/>
      <c r="AA47" s="85"/>
      <c r="AC47" s="94"/>
      <c r="AD47" s="93"/>
      <c r="AE47" s="85"/>
    </row>
    <row r="48" spans="6:31" x14ac:dyDescent="0.35">
      <c r="F48" s="93"/>
      <c r="G48" s="85"/>
      <c r="H48" s="87"/>
      <c r="I48" s="94"/>
      <c r="J48" s="93"/>
      <c r="K48" s="85"/>
      <c r="M48" s="94"/>
      <c r="N48" s="93"/>
      <c r="O48" s="85"/>
      <c r="Q48" s="94"/>
      <c r="R48" s="93"/>
      <c r="S48" s="85"/>
      <c r="U48" s="94"/>
      <c r="V48" s="93"/>
      <c r="W48" s="85"/>
      <c r="Y48" s="94"/>
      <c r="Z48" s="93"/>
      <c r="AA48" s="85"/>
      <c r="AC48" s="94"/>
      <c r="AD48" s="93"/>
      <c r="AE48" s="85"/>
    </row>
    <row r="49" spans="6:31" x14ac:dyDescent="0.35">
      <c r="F49" s="93"/>
      <c r="G49" s="85"/>
      <c r="H49" s="87"/>
      <c r="I49" s="94"/>
      <c r="J49" s="93"/>
      <c r="K49" s="85"/>
      <c r="M49" s="94"/>
      <c r="N49" s="93"/>
      <c r="O49" s="85"/>
      <c r="Q49" s="94"/>
      <c r="R49" s="93"/>
      <c r="S49" s="85"/>
      <c r="U49" s="94"/>
      <c r="V49" s="93"/>
      <c r="W49" s="85"/>
      <c r="Y49" s="94"/>
      <c r="Z49" s="93"/>
      <c r="AA49" s="85"/>
      <c r="AC49" s="94"/>
      <c r="AD49" s="93"/>
      <c r="AE49" s="85"/>
    </row>
    <row r="50" spans="6:31" x14ac:dyDescent="0.35">
      <c r="F50" s="93"/>
      <c r="G50" s="85"/>
      <c r="H50" s="87"/>
      <c r="I50" s="94"/>
      <c r="J50" s="93"/>
      <c r="K50" s="85"/>
      <c r="M50" s="94"/>
      <c r="N50" s="93"/>
      <c r="O50" s="85"/>
      <c r="Q50" s="94"/>
      <c r="R50" s="93"/>
      <c r="S50" s="85"/>
      <c r="U50" s="94"/>
      <c r="V50" s="93"/>
      <c r="W50" s="85"/>
      <c r="Y50" s="94"/>
      <c r="Z50" s="93"/>
      <c r="AA50" s="85"/>
      <c r="AC50" s="94"/>
      <c r="AD50" s="93"/>
      <c r="AE50" s="85"/>
    </row>
    <row r="51" spans="6:31" x14ac:dyDescent="0.35">
      <c r="F51" s="93"/>
      <c r="G51" s="85"/>
      <c r="H51" s="87"/>
      <c r="I51" s="94"/>
      <c r="J51" s="93"/>
      <c r="K51" s="85"/>
      <c r="M51" s="94"/>
      <c r="N51" s="93"/>
      <c r="O51" s="85"/>
      <c r="Q51" s="94"/>
      <c r="R51" s="93"/>
      <c r="S51" s="85"/>
      <c r="U51" s="94"/>
      <c r="V51" s="93"/>
      <c r="W51" s="85"/>
      <c r="Y51" s="94"/>
      <c r="Z51" s="93"/>
      <c r="AA51" s="85"/>
      <c r="AC51" s="94"/>
      <c r="AD51" s="93"/>
      <c r="AE51" s="85"/>
    </row>
    <row r="52" spans="6:31" x14ac:dyDescent="0.35">
      <c r="F52" s="93"/>
      <c r="G52" s="85"/>
      <c r="H52" s="87"/>
      <c r="I52" s="94"/>
      <c r="J52" s="93"/>
      <c r="K52" s="85"/>
      <c r="M52" s="94"/>
      <c r="N52" s="93"/>
      <c r="O52" s="85"/>
      <c r="Q52" s="94"/>
      <c r="R52" s="93"/>
      <c r="S52" s="85"/>
      <c r="U52" s="94"/>
      <c r="V52" s="93"/>
      <c r="W52" s="85"/>
      <c r="Y52" s="94"/>
      <c r="Z52" s="93"/>
      <c r="AA52" s="85"/>
      <c r="AC52" s="94"/>
      <c r="AD52" s="93"/>
      <c r="AE52" s="85"/>
    </row>
    <row r="53" spans="6:31" x14ac:dyDescent="0.35">
      <c r="F53" s="93"/>
      <c r="G53" s="85"/>
      <c r="H53" s="87"/>
      <c r="I53" s="94"/>
      <c r="J53" s="93"/>
      <c r="K53" s="85"/>
      <c r="M53" s="94"/>
      <c r="N53" s="93"/>
      <c r="O53" s="85"/>
      <c r="Q53" s="94"/>
      <c r="R53" s="93"/>
      <c r="S53" s="85"/>
      <c r="U53" s="94"/>
      <c r="V53" s="93"/>
      <c r="W53" s="85"/>
      <c r="Y53" s="94"/>
      <c r="Z53" s="93"/>
      <c r="AA53" s="85"/>
      <c r="AC53" s="94"/>
      <c r="AD53" s="93"/>
      <c r="AE53" s="85"/>
    </row>
    <row r="54" spans="6:31" x14ac:dyDescent="0.35">
      <c r="F54" s="93"/>
      <c r="G54" s="85"/>
      <c r="H54" s="87"/>
      <c r="I54" s="94"/>
      <c r="J54" s="93"/>
      <c r="K54" s="85"/>
      <c r="M54" s="94"/>
      <c r="N54" s="93"/>
      <c r="O54" s="85"/>
      <c r="Q54" s="94"/>
      <c r="R54" s="93"/>
      <c r="S54" s="85"/>
      <c r="U54" s="94"/>
      <c r="V54" s="93"/>
      <c r="W54" s="85"/>
      <c r="Y54" s="94"/>
      <c r="Z54" s="93"/>
      <c r="AA54" s="85"/>
      <c r="AC54" s="94"/>
      <c r="AD54" s="93"/>
      <c r="AE54" s="85"/>
    </row>
    <row r="55" spans="6:31" x14ac:dyDescent="0.35">
      <c r="F55" s="93"/>
      <c r="G55" s="85"/>
      <c r="H55" s="87"/>
      <c r="I55" s="94"/>
      <c r="J55" s="93"/>
      <c r="K55" s="85"/>
      <c r="M55" s="94"/>
      <c r="N55" s="93"/>
      <c r="O55" s="85"/>
      <c r="Q55" s="94"/>
      <c r="R55" s="93"/>
      <c r="S55" s="85"/>
      <c r="U55" s="94"/>
      <c r="V55" s="93"/>
      <c r="W55" s="85"/>
      <c r="Y55" s="94"/>
      <c r="Z55" s="93"/>
      <c r="AA55" s="85"/>
      <c r="AC55" s="94"/>
      <c r="AD55" s="93"/>
      <c r="AE55" s="85"/>
    </row>
    <row r="56" spans="6:31" x14ac:dyDescent="0.35">
      <c r="F56" s="93"/>
      <c r="G56" s="85"/>
      <c r="H56" s="87"/>
      <c r="I56" s="94"/>
      <c r="J56" s="93"/>
      <c r="K56" s="85"/>
      <c r="M56" s="94"/>
      <c r="N56" s="93"/>
      <c r="O56" s="85"/>
      <c r="Q56" s="94"/>
      <c r="R56" s="93"/>
      <c r="S56" s="85"/>
      <c r="U56" s="94"/>
      <c r="V56" s="93"/>
      <c r="W56" s="85"/>
      <c r="Y56" s="94"/>
      <c r="Z56" s="93"/>
      <c r="AA56" s="85"/>
      <c r="AC56" s="94"/>
      <c r="AD56" s="93"/>
      <c r="AE56" s="85"/>
    </row>
    <row r="57" spans="6:31" x14ac:dyDescent="0.35">
      <c r="F57" s="93"/>
      <c r="G57" s="85"/>
      <c r="H57" s="87"/>
      <c r="I57" s="94"/>
      <c r="J57" s="93"/>
      <c r="K57" s="85"/>
      <c r="M57" s="94"/>
      <c r="N57" s="93"/>
      <c r="O57" s="85"/>
      <c r="Q57" s="94"/>
      <c r="R57" s="93"/>
      <c r="S57" s="85"/>
      <c r="U57" s="94"/>
      <c r="V57" s="93"/>
      <c r="W57" s="85"/>
      <c r="Y57" s="94"/>
      <c r="Z57" s="93"/>
      <c r="AA57" s="85"/>
      <c r="AC57" s="94"/>
      <c r="AD57" s="93"/>
      <c r="AE57" s="85"/>
    </row>
    <row r="58" spans="6:31" x14ac:dyDescent="0.35">
      <c r="F58" s="93"/>
      <c r="G58" s="85"/>
      <c r="H58" s="87"/>
      <c r="I58" s="94"/>
      <c r="J58" s="93"/>
      <c r="K58" s="85"/>
      <c r="M58" s="94"/>
      <c r="N58" s="93"/>
      <c r="O58" s="85"/>
      <c r="Q58" s="94"/>
      <c r="R58" s="93"/>
      <c r="S58" s="85"/>
      <c r="U58" s="94"/>
      <c r="V58" s="93"/>
      <c r="W58" s="85"/>
      <c r="Y58" s="94"/>
      <c r="Z58" s="93"/>
      <c r="AA58" s="85"/>
      <c r="AC58" s="94"/>
      <c r="AD58" s="93"/>
      <c r="AE58" s="85"/>
    </row>
    <row r="59" spans="6:31" x14ac:dyDescent="0.35">
      <c r="F59" s="93"/>
      <c r="G59" s="85"/>
      <c r="H59" s="87"/>
      <c r="I59" s="94"/>
      <c r="J59" s="93"/>
      <c r="K59" s="85"/>
      <c r="M59" s="94"/>
      <c r="N59" s="93"/>
      <c r="O59" s="85"/>
      <c r="Q59" s="94"/>
      <c r="R59" s="93"/>
      <c r="S59" s="85"/>
      <c r="U59" s="94"/>
      <c r="V59" s="93"/>
      <c r="W59" s="85"/>
      <c r="Y59" s="94"/>
      <c r="Z59" s="93"/>
      <c r="AA59" s="85"/>
      <c r="AC59" s="94"/>
      <c r="AD59" s="93"/>
      <c r="AE59" s="85"/>
    </row>
    <row r="60" spans="6:31" x14ac:dyDescent="0.35">
      <c r="F60" s="93"/>
      <c r="G60" s="85"/>
      <c r="H60" s="87"/>
      <c r="I60" s="94"/>
      <c r="J60" s="93"/>
      <c r="K60" s="85"/>
      <c r="M60" s="94"/>
      <c r="N60" s="93"/>
      <c r="O60" s="85"/>
      <c r="Q60" s="94"/>
      <c r="R60" s="93"/>
      <c r="S60" s="85"/>
      <c r="U60" s="94"/>
      <c r="V60" s="93"/>
      <c r="W60" s="85"/>
      <c r="Y60" s="94"/>
      <c r="Z60" s="93"/>
      <c r="AA60" s="85"/>
      <c r="AC60" s="94"/>
      <c r="AD60" s="93"/>
      <c r="AE60" s="85"/>
    </row>
    <row r="61" spans="6:31" x14ac:dyDescent="0.35">
      <c r="F61" s="93"/>
      <c r="G61" s="85"/>
      <c r="H61" s="87"/>
      <c r="I61" s="94"/>
      <c r="J61" s="93"/>
      <c r="K61" s="85"/>
      <c r="M61" s="94"/>
      <c r="N61" s="93"/>
      <c r="O61" s="85"/>
      <c r="Q61" s="94"/>
      <c r="R61" s="93"/>
      <c r="S61" s="85"/>
      <c r="U61" s="94"/>
      <c r="V61" s="93"/>
      <c r="W61" s="85"/>
      <c r="Y61" s="94"/>
      <c r="Z61" s="93"/>
      <c r="AA61" s="85"/>
      <c r="AC61" s="94"/>
      <c r="AD61" s="93"/>
      <c r="AE61" s="85"/>
    </row>
    <row r="62" spans="6:31" x14ac:dyDescent="0.35">
      <c r="F62" s="93"/>
      <c r="G62" s="85"/>
      <c r="H62" s="87"/>
      <c r="I62" s="94"/>
      <c r="J62" s="93"/>
      <c r="K62" s="85"/>
      <c r="M62" s="94"/>
      <c r="N62" s="93"/>
      <c r="O62" s="85"/>
      <c r="Q62" s="94"/>
      <c r="R62" s="93"/>
      <c r="S62" s="85"/>
      <c r="U62" s="94"/>
      <c r="V62" s="93"/>
      <c r="W62" s="85"/>
      <c r="Y62" s="94"/>
      <c r="Z62" s="93"/>
      <c r="AA62" s="85"/>
      <c r="AC62" s="94"/>
      <c r="AD62" s="93"/>
      <c r="AE62" s="85"/>
    </row>
    <row r="63" spans="6:31" x14ac:dyDescent="0.35">
      <c r="F63" s="93"/>
      <c r="G63" s="85"/>
      <c r="H63" s="87"/>
      <c r="I63" s="94"/>
      <c r="J63" s="93"/>
      <c r="K63" s="85"/>
      <c r="M63" s="94"/>
      <c r="N63" s="93"/>
      <c r="O63" s="85"/>
      <c r="Q63" s="94"/>
      <c r="R63" s="93"/>
      <c r="S63" s="85"/>
      <c r="U63" s="94"/>
      <c r="V63" s="93"/>
      <c r="W63" s="85"/>
      <c r="Y63" s="94"/>
      <c r="Z63" s="93"/>
      <c r="AA63" s="85"/>
      <c r="AC63" s="94"/>
      <c r="AD63" s="93"/>
      <c r="AE63" s="85"/>
    </row>
    <row r="64" spans="6:31" x14ac:dyDescent="0.35">
      <c r="F64" s="93"/>
      <c r="G64" s="85"/>
      <c r="H64" s="87"/>
      <c r="I64" s="94"/>
      <c r="J64" s="93"/>
      <c r="K64" s="85"/>
      <c r="M64" s="94"/>
      <c r="N64" s="93"/>
      <c r="O64" s="85"/>
      <c r="Q64" s="94"/>
      <c r="R64" s="93"/>
      <c r="S64" s="85"/>
      <c r="U64" s="94"/>
      <c r="V64" s="93"/>
      <c r="W64" s="85"/>
      <c r="Y64" s="94"/>
      <c r="Z64" s="93"/>
      <c r="AA64" s="85"/>
      <c r="AC64" s="94"/>
      <c r="AD64" s="93"/>
      <c r="AE64" s="85"/>
    </row>
    <row r="65" spans="6:31" x14ac:dyDescent="0.35">
      <c r="F65" s="93"/>
      <c r="G65" s="85"/>
      <c r="H65" s="87"/>
      <c r="I65" s="94"/>
      <c r="J65" s="93"/>
      <c r="K65" s="85"/>
      <c r="M65" s="94"/>
      <c r="N65" s="93"/>
      <c r="O65" s="85"/>
      <c r="Q65" s="94"/>
      <c r="R65" s="93"/>
      <c r="S65" s="85"/>
      <c r="U65" s="94"/>
      <c r="V65" s="93"/>
      <c r="W65" s="85"/>
      <c r="Y65" s="94"/>
      <c r="Z65" s="93"/>
      <c r="AA65" s="85"/>
      <c r="AC65" s="94"/>
      <c r="AD65" s="93"/>
      <c r="AE65" s="85"/>
    </row>
    <row r="66" spans="6:31" x14ac:dyDescent="0.35">
      <c r="F66" s="93"/>
      <c r="G66" s="85"/>
      <c r="H66" s="87"/>
      <c r="I66" s="94"/>
      <c r="J66" s="93"/>
      <c r="K66" s="85"/>
      <c r="M66" s="94"/>
      <c r="N66" s="93"/>
      <c r="O66" s="85"/>
      <c r="Q66" s="94"/>
      <c r="R66" s="93"/>
      <c r="S66" s="85"/>
      <c r="U66" s="94"/>
      <c r="V66" s="93"/>
      <c r="W66" s="85"/>
      <c r="Y66" s="94"/>
      <c r="Z66" s="93"/>
      <c r="AA66" s="85"/>
      <c r="AC66" s="94"/>
      <c r="AD66" s="93"/>
      <c r="AE66" s="85"/>
    </row>
    <row r="67" spans="6:31" x14ac:dyDescent="0.35">
      <c r="F67" s="93"/>
      <c r="G67" s="85"/>
      <c r="H67" s="87"/>
      <c r="I67" s="94"/>
      <c r="J67" s="93"/>
      <c r="K67" s="85"/>
      <c r="M67" s="94"/>
      <c r="N67" s="93"/>
      <c r="O67" s="85"/>
      <c r="Q67" s="94"/>
      <c r="R67" s="93"/>
      <c r="S67" s="85"/>
      <c r="U67" s="94"/>
      <c r="V67" s="93"/>
      <c r="W67" s="85"/>
      <c r="Y67" s="94"/>
      <c r="Z67" s="93"/>
      <c r="AA67" s="85"/>
      <c r="AC67" s="94"/>
      <c r="AD67" s="93"/>
      <c r="AE67" s="85"/>
    </row>
    <row r="68" spans="6:31" x14ac:dyDescent="0.35">
      <c r="F68" s="93"/>
      <c r="G68" s="85"/>
      <c r="H68" s="87"/>
      <c r="I68" s="94"/>
      <c r="J68" s="93"/>
      <c r="K68" s="85"/>
      <c r="M68" s="94"/>
      <c r="N68" s="93"/>
      <c r="O68" s="85"/>
      <c r="Q68" s="94"/>
      <c r="R68" s="93"/>
      <c r="S68" s="85"/>
      <c r="U68" s="94"/>
      <c r="V68" s="93"/>
      <c r="W68" s="85"/>
      <c r="Y68" s="94"/>
      <c r="Z68" s="93"/>
      <c r="AA68" s="85"/>
      <c r="AC68" s="94"/>
      <c r="AD68" s="93"/>
      <c r="AE68" s="85"/>
    </row>
    <row r="69" spans="6:31" x14ac:dyDescent="0.35">
      <c r="F69" s="93"/>
      <c r="G69" s="85"/>
      <c r="H69" s="87"/>
      <c r="I69" s="94"/>
      <c r="J69" s="93"/>
      <c r="K69" s="85"/>
      <c r="M69" s="94"/>
      <c r="N69" s="93"/>
      <c r="O69" s="85"/>
      <c r="Q69" s="94"/>
      <c r="R69" s="93"/>
      <c r="S69" s="85"/>
      <c r="U69" s="94"/>
      <c r="V69" s="93"/>
      <c r="W69" s="85"/>
      <c r="Y69" s="94"/>
      <c r="Z69" s="93"/>
      <c r="AA69" s="85"/>
      <c r="AC69" s="94"/>
      <c r="AD69" s="93"/>
      <c r="AE69" s="85"/>
    </row>
    <row r="70" spans="6:31" x14ac:dyDescent="0.35">
      <c r="F70" s="93"/>
      <c r="G70" s="85"/>
      <c r="H70" s="87"/>
      <c r="I70" s="94"/>
      <c r="J70" s="93"/>
      <c r="K70" s="85"/>
      <c r="M70" s="94"/>
      <c r="N70" s="93"/>
      <c r="O70" s="85"/>
      <c r="Q70" s="94"/>
      <c r="R70" s="93"/>
      <c r="S70" s="85"/>
      <c r="U70" s="94"/>
      <c r="V70" s="93"/>
      <c r="W70" s="85"/>
      <c r="Y70" s="94"/>
      <c r="Z70" s="93"/>
      <c r="AA70" s="85"/>
      <c r="AC70" s="94"/>
      <c r="AD70" s="93"/>
      <c r="AE70" s="85"/>
    </row>
    <row r="71" spans="6:31" x14ac:dyDescent="0.35">
      <c r="F71" s="93"/>
      <c r="G71" s="85"/>
      <c r="H71" s="87"/>
      <c r="I71" s="94"/>
      <c r="J71" s="93"/>
      <c r="K71" s="85"/>
      <c r="M71" s="94"/>
      <c r="N71" s="93"/>
      <c r="O71" s="85"/>
      <c r="Q71" s="94"/>
      <c r="R71" s="93"/>
      <c r="S71" s="85"/>
      <c r="U71" s="94"/>
      <c r="V71" s="93"/>
      <c r="W71" s="85"/>
      <c r="Y71" s="94"/>
      <c r="Z71" s="93"/>
      <c r="AA71" s="85"/>
      <c r="AC71" s="94"/>
      <c r="AD71" s="93"/>
      <c r="AE71" s="85"/>
    </row>
    <row r="72" spans="6:31" x14ac:dyDescent="0.35">
      <c r="F72" s="93"/>
      <c r="G72" s="85"/>
      <c r="H72" s="87"/>
      <c r="I72" s="94"/>
      <c r="J72" s="93"/>
      <c r="K72" s="85"/>
      <c r="M72" s="94"/>
      <c r="N72" s="93"/>
      <c r="O72" s="85"/>
      <c r="Q72" s="94"/>
      <c r="R72" s="93"/>
      <c r="S72" s="85"/>
      <c r="U72" s="94"/>
      <c r="V72" s="93"/>
      <c r="W72" s="85"/>
      <c r="Y72" s="94"/>
      <c r="Z72" s="93"/>
      <c r="AA72" s="85"/>
      <c r="AC72" s="94"/>
      <c r="AD72" s="93"/>
      <c r="AE72" s="85"/>
    </row>
    <row r="73" spans="6:31" x14ac:dyDescent="0.35">
      <c r="F73" s="93"/>
      <c r="G73" s="85"/>
      <c r="H73" s="87"/>
      <c r="I73" s="94"/>
      <c r="J73" s="93"/>
      <c r="K73" s="85"/>
      <c r="M73" s="94"/>
      <c r="N73" s="93"/>
      <c r="O73" s="85"/>
      <c r="Q73" s="94"/>
      <c r="R73" s="93"/>
      <c r="S73" s="85"/>
      <c r="U73" s="94"/>
      <c r="V73" s="93"/>
      <c r="W73" s="85"/>
      <c r="Y73" s="94"/>
      <c r="Z73" s="93"/>
      <c r="AA73" s="85"/>
      <c r="AC73" s="94"/>
      <c r="AD73" s="93"/>
      <c r="AE73" s="85"/>
    </row>
    <row r="74" spans="6:31" x14ac:dyDescent="0.35">
      <c r="F74" s="93"/>
      <c r="G74" s="85"/>
      <c r="H74" s="87"/>
      <c r="I74" s="94"/>
      <c r="J74" s="93"/>
      <c r="K74" s="85"/>
      <c r="M74" s="94"/>
      <c r="N74" s="93"/>
      <c r="O74" s="85"/>
      <c r="Q74" s="94"/>
      <c r="R74" s="93"/>
      <c r="S74" s="85"/>
      <c r="U74" s="94"/>
      <c r="V74" s="93"/>
      <c r="W74" s="85"/>
      <c r="Y74" s="94"/>
      <c r="Z74" s="93"/>
      <c r="AA74" s="85"/>
      <c r="AC74" s="94"/>
      <c r="AD74" s="93"/>
      <c r="AE74" s="85"/>
    </row>
    <row r="75" spans="6:31" x14ac:dyDescent="0.35">
      <c r="F75" s="93"/>
      <c r="G75" s="85"/>
      <c r="H75" s="87"/>
      <c r="I75" s="94"/>
      <c r="J75" s="93"/>
      <c r="K75" s="85"/>
      <c r="M75" s="94"/>
      <c r="N75" s="93"/>
      <c r="O75" s="85"/>
      <c r="Q75" s="94"/>
      <c r="R75" s="93"/>
      <c r="S75" s="85"/>
      <c r="U75" s="94"/>
      <c r="V75" s="93"/>
      <c r="W75" s="85"/>
      <c r="Y75" s="94"/>
      <c r="Z75" s="93"/>
      <c r="AA75" s="85"/>
      <c r="AC75" s="94"/>
      <c r="AD75" s="93"/>
      <c r="AE75" s="85"/>
    </row>
    <row r="76" spans="6:31" x14ac:dyDescent="0.35">
      <c r="F76" s="93"/>
      <c r="G76" s="85"/>
      <c r="H76" s="87"/>
      <c r="I76" s="94"/>
      <c r="J76" s="93"/>
      <c r="K76" s="85"/>
      <c r="M76" s="94"/>
      <c r="N76" s="93"/>
      <c r="O76" s="85"/>
      <c r="Q76" s="94"/>
      <c r="R76" s="93"/>
      <c r="S76" s="85"/>
      <c r="U76" s="94"/>
      <c r="V76" s="93"/>
      <c r="W76" s="85"/>
      <c r="Y76" s="94"/>
      <c r="Z76" s="93"/>
      <c r="AA76" s="85"/>
      <c r="AC76" s="94"/>
      <c r="AD76" s="93"/>
      <c r="AE76" s="85"/>
    </row>
    <row r="77" spans="6:31" x14ac:dyDescent="0.35">
      <c r="F77" s="93"/>
      <c r="G77" s="85"/>
      <c r="H77" s="87"/>
      <c r="I77" s="94"/>
      <c r="J77" s="93"/>
      <c r="K77" s="85"/>
      <c r="M77" s="94"/>
      <c r="N77" s="93"/>
      <c r="O77" s="85"/>
      <c r="Q77" s="94"/>
      <c r="R77" s="93"/>
      <c r="S77" s="85"/>
      <c r="U77" s="94"/>
      <c r="V77" s="93"/>
      <c r="W77" s="85"/>
      <c r="Y77" s="94"/>
      <c r="Z77" s="93"/>
      <c r="AA77" s="85"/>
      <c r="AC77" s="94"/>
      <c r="AD77" s="93"/>
      <c r="AE77" s="85"/>
    </row>
    <row r="78" spans="6:31" x14ac:dyDescent="0.35">
      <c r="F78" s="93"/>
      <c r="G78" s="85"/>
      <c r="H78" s="87"/>
      <c r="I78" s="94"/>
      <c r="J78" s="93"/>
      <c r="K78" s="85"/>
      <c r="M78" s="94"/>
      <c r="N78" s="93"/>
      <c r="O78" s="85"/>
      <c r="Q78" s="94"/>
      <c r="R78" s="93"/>
      <c r="S78" s="85"/>
      <c r="U78" s="94"/>
      <c r="V78" s="93"/>
      <c r="W78" s="85"/>
      <c r="Y78" s="94"/>
      <c r="Z78" s="93"/>
      <c r="AA78" s="85"/>
      <c r="AC78" s="94"/>
      <c r="AD78" s="93"/>
      <c r="AE78" s="85"/>
    </row>
    <row r="79" spans="6:31" x14ac:dyDescent="0.35">
      <c r="F79" s="93"/>
      <c r="G79" s="85"/>
      <c r="H79" s="87"/>
      <c r="I79" s="94"/>
      <c r="J79" s="93"/>
      <c r="K79" s="85"/>
      <c r="M79" s="94"/>
      <c r="N79" s="93"/>
      <c r="O79" s="85"/>
      <c r="Q79" s="94"/>
      <c r="R79" s="93"/>
      <c r="S79" s="85"/>
      <c r="U79" s="94"/>
      <c r="V79" s="93"/>
      <c r="W79" s="85"/>
      <c r="Y79" s="94"/>
      <c r="Z79" s="93"/>
      <c r="AA79" s="85"/>
      <c r="AC79" s="94"/>
      <c r="AD79" s="93"/>
      <c r="AE79" s="85"/>
    </row>
    <row r="80" spans="6:31" x14ac:dyDescent="0.35">
      <c r="F80" s="93"/>
      <c r="G80" s="85"/>
      <c r="H80" s="87"/>
      <c r="I80" s="94"/>
      <c r="J80" s="93"/>
      <c r="K80" s="85"/>
      <c r="M80" s="94"/>
      <c r="N80" s="93"/>
      <c r="O80" s="85"/>
      <c r="Q80" s="94"/>
      <c r="R80" s="93"/>
      <c r="S80" s="85"/>
      <c r="U80" s="94"/>
      <c r="V80" s="93"/>
      <c r="W80" s="85"/>
      <c r="Y80" s="94"/>
      <c r="Z80" s="93"/>
      <c r="AA80" s="85"/>
      <c r="AC80" s="94"/>
      <c r="AD80" s="93"/>
      <c r="AE80" s="85"/>
    </row>
    <row r="81" spans="6:31" x14ac:dyDescent="0.35">
      <c r="F81" s="93"/>
      <c r="G81" s="85"/>
      <c r="H81" s="87"/>
      <c r="I81" s="94"/>
      <c r="J81" s="93"/>
      <c r="K81" s="85"/>
      <c r="M81" s="94"/>
      <c r="N81" s="93"/>
      <c r="O81" s="85"/>
      <c r="Q81" s="94"/>
      <c r="R81" s="93"/>
      <c r="S81" s="85"/>
      <c r="U81" s="94"/>
      <c r="V81" s="93"/>
      <c r="W81" s="85"/>
      <c r="Y81" s="94"/>
      <c r="Z81" s="93"/>
      <c r="AA81" s="85"/>
      <c r="AC81" s="94"/>
      <c r="AD81" s="93"/>
      <c r="AE81" s="85"/>
    </row>
    <row r="82" spans="6:31" x14ac:dyDescent="0.35">
      <c r="F82" s="93"/>
      <c r="G82" s="85"/>
      <c r="H82" s="87"/>
      <c r="I82" s="94"/>
      <c r="J82" s="93"/>
      <c r="K82" s="85"/>
      <c r="M82" s="94"/>
      <c r="N82" s="93"/>
      <c r="O82" s="85"/>
      <c r="Q82" s="94"/>
      <c r="R82" s="93"/>
      <c r="S82" s="85"/>
      <c r="U82" s="94"/>
      <c r="V82" s="93"/>
      <c r="W82" s="85"/>
      <c r="Y82" s="94"/>
      <c r="Z82" s="93"/>
      <c r="AA82" s="85"/>
      <c r="AC82" s="94"/>
      <c r="AD82" s="93"/>
      <c r="AE82" s="85"/>
    </row>
    <row r="83" spans="6:31" x14ac:dyDescent="0.35">
      <c r="F83" s="93"/>
      <c r="G83" s="85"/>
      <c r="H83" s="87"/>
      <c r="I83" s="94"/>
      <c r="J83" s="93"/>
      <c r="K83" s="85"/>
      <c r="M83" s="94"/>
      <c r="N83" s="93"/>
      <c r="O83" s="85"/>
      <c r="Q83" s="94"/>
      <c r="R83" s="93"/>
      <c r="S83" s="85"/>
      <c r="U83" s="94"/>
      <c r="V83" s="93"/>
      <c r="W83" s="85"/>
      <c r="Y83" s="94"/>
      <c r="Z83" s="93"/>
      <c r="AA83" s="85"/>
      <c r="AC83" s="94"/>
      <c r="AD83" s="93"/>
      <c r="AE83" s="85"/>
    </row>
    <row r="84" spans="6:31" x14ac:dyDescent="0.35">
      <c r="F84" s="93"/>
      <c r="G84" s="85"/>
      <c r="H84" s="87"/>
      <c r="I84" s="94"/>
      <c r="J84" s="93"/>
      <c r="K84" s="85"/>
      <c r="M84" s="94"/>
      <c r="N84" s="93"/>
      <c r="O84" s="85"/>
      <c r="Q84" s="94"/>
      <c r="R84" s="93"/>
      <c r="S84" s="85"/>
      <c r="U84" s="94"/>
      <c r="V84" s="93"/>
      <c r="W84" s="85"/>
      <c r="Y84" s="94"/>
      <c r="Z84" s="93"/>
      <c r="AA84" s="85"/>
      <c r="AC84" s="94"/>
      <c r="AD84" s="93"/>
      <c r="AE84" s="85"/>
    </row>
    <row r="85" spans="6:31" x14ac:dyDescent="0.35">
      <c r="F85" s="93"/>
      <c r="G85" s="85"/>
      <c r="H85" s="87"/>
      <c r="I85" s="94"/>
      <c r="J85" s="93"/>
      <c r="K85" s="85"/>
      <c r="M85" s="94"/>
      <c r="N85" s="93"/>
      <c r="O85" s="85"/>
      <c r="Q85" s="94"/>
      <c r="R85" s="93"/>
      <c r="S85" s="85"/>
      <c r="U85" s="94"/>
      <c r="V85" s="93"/>
      <c r="W85" s="85"/>
      <c r="Y85" s="94"/>
      <c r="Z85" s="93"/>
      <c r="AA85" s="85"/>
      <c r="AC85" s="94"/>
      <c r="AD85" s="93"/>
      <c r="AE85" s="85"/>
    </row>
    <row r="86" spans="6:31" x14ac:dyDescent="0.35">
      <c r="F86" s="93"/>
      <c r="G86" s="85"/>
      <c r="H86" s="87"/>
      <c r="I86" s="94"/>
      <c r="J86" s="93"/>
      <c r="K86" s="85"/>
      <c r="M86" s="94"/>
      <c r="N86" s="93"/>
      <c r="O86" s="85"/>
      <c r="Q86" s="94"/>
      <c r="R86" s="93"/>
      <c r="S86" s="85"/>
      <c r="U86" s="94"/>
      <c r="V86" s="93"/>
      <c r="W86" s="85"/>
      <c r="Y86" s="94"/>
      <c r="Z86" s="93"/>
      <c r="AA86" s="85"/>
      <c r="AC86" s="94"/>
      <c r="AD86" s="93"/>
      <c r="AE86" s="85"/>
    </row>
    <row r="87" spans="6:31" x14ac:dyDescent="0.35">
      <c r="F87" s="93"/>
      <c r="G87" s="85"/>
      <c r="H87" s="87"/>
      <c r="I87" s="94"/>
      <c r="J87" s="93"/>
      <c r="K87" s="85"/>
      <c r="M87" s="94"/>
      <c r="N87" s="93"/>
      <c r="O87" s="85"/>
      <c r="Q87" s="94"/>
      <c r="R87" s="93"/>
      <c r="S87" s="85"/>
      <c r="U87" s="94"/>
      <c r="V87" s="93"/>
      <c r="W87" s="85"/>
      <c r="Y87" s="94"/>
      <c r="Z87" s="93"/>
      <c r="AA87" s="85"/>
      <c r="AC87" s="94"/>
      <c r="AD87" s="93"/>
      <c r="AE87" s="85"/>
    </row>
    <row r="88" spans="6:31" x14ac:dyDescent="0.35">
      <c r="F88" s="93"/>
      <c r="G88" s="85"/>
      <c r="H88" s="87"/>
      <c r="I88" s="94"/>
      <c r="J88" s="93"/>
      <c r="K88" s="85"/>
      <c r="M88" s="94"/>
      <c r="N88" s="93"/>
      <c r="O88" s="85"/>
      <c r="Q88" s="94"/>
      <c r="R88" s="93"/>
      <c r="S88" s="85"/>
      <c r="U88" s="94"/>
      <c r="V88" s="93"/>
      <c r="W88" s="85"/>
      <c r="Y88" s="94"/>
      <c r="Z88" s="93"/>
      <c r="AA88" s="85"/>
      <c r="AC88" s="94"/>
      <c r="AD88" s="93"/>
      <c r="AE88" s="85"/>
    </row>
    <row r="89" spans="6:31" x14ac:dyDescent="0.35">
      <c r="F89" s="93"/>
      <c r="G89" s="85"/>
      <c r="H89" s="87"/>
      <c r="I89" s="94"/>
      <c r="J89" s="93"/>
      <c r="K89" s="85"/>
      <c r="M89" s="94"/>
      <c r="N89" s="93"/>
      <c r="O89" s="85"/>
      <c r="Q89" s="94"/>
      <c r="R89" s="93"/>
      <c r="S89" s="85"/>
      <c r="U89" s="94"/>
      <c r="V89" s="93"/>
      <c r="W89" s="85"/>
      <c r="Y89" s="94"/>
      <c r="Z89" s="93"/>
      <c r="AA89" s="85"/>
      <c r="AC89" s="94"/>
      <c r="AD89" s="93"/>
      <c r="AE89" s="85"/>
    </row>
    <row r="90" spans="6:31" x14ac:dyDescent="0.35">
      <c r="F90" s="93"/>
      <c r="G90" s="85"/>
      <c r="H90" s="87"/>
      <c r="I90" s="94"/>
      <c r="J90" s="93"/>
      <c r="K90" s="85"/>
      <c r="M90" s="94"/>
      <c r="N90" s="93"/>
      <c r="O90" s="85"/>
      <c r="Q90" s="94"/>
      <c r="R90" s="93"/>
      <c r="S90" s="85"/>
      <c r="U90" s="94"/>
      <c r="V90" s="93"/>
      <c r="W90" s="85"/>
      <c r="Y90" s="94"/>
      <c r="Z90" s="93"/>
      <c r="AA90" s="85"/>
      <c r="AC90" s="94"/>
      <c r="AD90" s="93"/>
      <c r="AE90" s="85"/>
    </row>
    <row r="91" spans="6:31" x14ac:dyDescent="0.35">
      <c r="F91" s="93"/>
      <c r="G91" s="85"/>
      <c r="H91" s="87"/>
      <c r="I91" s="94"/>
      <c r="J91" s="93"/>
      <c r="K91" s="85"/>
      <c r="M91" s="94"/>
      <c r="N91" s="93"/>
      <c r="O91" s="85"/>
      <c r="Q91" s="94"/>
      <c r="R91" s="93"/>
      <c r="S91" s="85"/>
      <c r="U91" s="94"/>
      <c r="V91" s="93"/>
      <c r="W91" s="85"/>
      <c r="Y91" s="94"/>
      <c r="Z91" s="93"/>
      <c r="AA91" s="85"/>
      <c r="AC91" s="94"/>
      <c r="AD91" s="93"/>
      <c r="AE91" s="85"/>
    </row>
    <row r="92" spans="6:31" x14ac:dyDescent="0.35">
      <c r="F92" s="93"/>
      <c r="G92" s="85"/>
      <c r="H92" s="87"/>
      <c r="I92" s="94"/>
      <c r="J92" s="93"/>
      <c r="K92" s="85"/>
      <c r="M92" s="94"/>
      <c r="N92" s="93"/>
      <c r="O92" s="85"/>
      <c r="Q92" s="94"/>
      <c r="R92" s="93"/>
      <c r="S92" s="85"/>
      <c r="U92" s="94"/>
      <c r="V92" s="93"/>
      <c r="W92" s="85"/>
      <c r="Y92" s="94"/>
      <c r="Z92" s="93"/>
      <c r="AA92" s="85"/>
      <c r="AC92" s="94"/>
      <c r="AD92" s="93"/>
      <c r="AE92" s="85"/>
    </row>
    <row r="93" spans="6:31" x14ac:dyDescent="0.35">
      <c r="F93" s="93"/>
      <c r="G93" s="85"/>
      <c r="H93" s="87"/>
      <c r="I93" s="94"/>
      <c r="J93" s="93"/>
      <c r="K93" s="85"/>
      <c r="M93" s="94"/>
      <c r="N93" s="93"/>
      <c r="O93" s="85"/>
      <c r="Q93" s="94"/>
      <c r="R93" s="93"/>
      <c r="S93" s="85"/>
      <c r="U93" s="94"/>
      <c r="V93" s="93"/>
      <c r="W93" s="85"/>
      <c r="Y93" s="94"/>
      <c r="Z93" s="93"/>
      <c r="AA93" s="85"/>
      <c r="AC93" s="94"/>
      <c r="AD93" s="93"/>
      <c r="AE93" s="85"/>
    </row>
    <row r="94" spans="6:31" x14ac:dyDescent="0.35">
      <c r="F94" s="93"/>
      <c r="G94" s="85"/>
      <c r="H94" s="87"/>
      <c r="I94" s="94"/>
      <c r="J94" s="93"/>
      <c r="K94" s="85"/>
      <c r="M94" s="94"/>
      <c r="N94" s="93"/>
      <c r="O94" s="85"/>
      <c r="Q94" s="94"/>
      <c r="R94" s="93"/>
      <c r="S94" s="85"/>
      <c r="U94" s="94"/>
      <c r="V94" s="93"/>
      <c r="W94" s="85"/>
      <c r="Y94" s="94"/>
      <c r="Z94" s="93"/>
      <c r="AA94" s="85"/>
      <c r="AC94" s="94"/>
      <c r="AD94" s="93"/>
      <c r="AE94" s="85"/>
    </row>
    <row r="95" spans="6:31" x14ac:dyDescent="0.35">
      <c r="F95" s="93"/>
      <c r="G95" s="85"/>
      <c r="H95" s="87"/>
      <c r="I95" s="94"/>
      <c r="J95" s="93"/>
      <c r="K95" s="85"/>
      <c r="M95" s="94"/>
      <c r="N95" s="93"/>
      <c r="O95" s="85"/>
      <c r="Q95" s="94"/>
      <c r="R95" s="93"/>
      <c r="S95" s="85"/>
      <c r="U95" s="94"/>
      <c r="V95" s="93"/>
      <c r="W95" s="85"/>
      <c r="Y95" s="94"/>
      <c r="Z95" s="93"/>
      <c r="AA95" s="85"/>
      <c r="AC95" s="94"/>
      <c r="AD95" s="93"/>
      <c r="AE95" s="85"/>
    </row>
    <row r="96" spans="6:31" x14ac:dyDescent="0.35">
      <c r="F96" s="93"/>
      <c r="G96" s="85"/>
      <c r="H96" s="87"/>
      <c r="I96" s="94"/>
      <c r="J96" s="93"/>
      <c r="K96" s="85"/>
      <c r="M96" s="94"/>
      <c r="N96" s="93"/>
      <c r="O96" s="85"/>
      <c r="Q96" s="94"/>
      <c r="R96" s="93"/>
      <c r="S96" s="85"/>
      <c r="U96" s="94"/>
      <c r="V96" s="93"/>
      <c r="W96" s="85"/>
      <c r="Y96" s="94"/>
      <c r="Z96" s="93"/>
      <c r="AA96" s="85"/>
      <c r="AC96" s="94"/>
      <c r="AD96" s="93"/>
      <c r="AE96" s="85"/>
    </row>
    <row r="97" spans="6:31" x14ac:dyDescent="0.35">
      <c r="F97" s="93"/>
      <c r="G97" s="85"/>
      <c r="H97" s="87"/>
      <c r="I97" s="94"/>
      <c r="J97" s="93"/>
      <c r="K97" s="85"/>
      <c r="M97" s="94"/>
      <c r="N97" s="93"/>
      <c r="O97" s="85"/>
      <c r="Q97" s="94"/>
      <c r="R97" s="93"/>
      <c r="S97" s="85"/>
      <c r="U97" s="94"/>
      <c r="V97" s="93"/>
      <c r="W97" s="85"/>
      <c r="Y97" s="94"/>
      <c r="Z97" s="93"/>
      <c r="AA97" s="85"/>
      <c r="AC97" s="94"/>
      <c r="AD97" s="93"/>
      <c r="AE97" s="85"/>
    </row>
    <row r="98" spans="6:31" x14ac:dyDescent="0.35">
      <c r="F98" s="93"/>
      <c r="G98" s="85"/>
      <c r="H98" s="87"/>
      <c r="I98" s="94"/>
      <c r="J98" s="93"/>
      <c r="K98" s="85"/>
      <c r="M98" s="94"/>
      <c r="N98" s="93"/>
      <c r="O98" s="85"/>
      <c r="Q98" s="94"/>
      <c r="R98" s="93"/>
      <c r="S98" s="85"/>
      <c r="U98" s="94"/>
      <c r="V98" s="93"/>
      <c r="W98" s="85"/>
      <c r="Y98" s="94"/>
      <c r="Z98" s="93"/>
      <c r="AA98" s="85"/>
      <c r="AC98" s="94"/>
      <c r="AD98" s="93"/>
      <c r="AE98" s="85"/>
    </row>
    <row r="99" spans="6:31" x14ac:dyDescent="0.35">
      <c r="F99" s="93"/>
      <c r="G99" s="85"/>
      <c r="H99" s="87"/>
      <c r="I99" s="94"/>
      <c r="J99" s="93"/>
      <c r="K99" s="85"/>
      <c r="M99" s="94"/>
      <c r="N99" s="93"/>
      <c r="O99" s="85"/>
      <c r="Q99" s="94"/>
      <c r="R99" s="93"/>
      <c r="S99" s="85"/>
      <c r="U99" s="94"/>
      <c r="V99" s="93"/>
      <c r="W99" s="85"/>
      <c r="Y99" s="94"/>
      <c r="Z99" s="93"/>
      <c r="AA99" s="85"/>
      <c r="AC99" s="94"/>
      <c r="AD99" s="93"/>
      <c r="AE99" s="85"/>
    </row>
    <row r="100" spans="6:31" x14ac:dyDescent="0.35">
      <c r="F100" s="93"/>
      <c r="G100" s="85"/>
      <c r="H100" s="87"/>
      <c r="I100" s="94"/>
      <c r="J100" s="93"/>
      <c r="K100" s="85"/>
      <c r="M100" s="94"/>
      <c r="N100" s="93"/>
      <c r="O100" s="85"/>
      <c r="Q100" s="94"/>
      <c r="R100" s="93"/>
      <c r="S100" s="85"/>
      <c r="U100" s="94"/>
      <c r="V100" s="93"/>
      <c r="W100" s="85"/>
      <c r="Y100" s="94"/>
      <c r="Z100" s="93"/>
      <c r="AA100" s="85"/>
      <c r="AC100" s="94"/>
      <c r="AD100" s="93"/>
      <c r="AE100" s="85"/>
    </row>
    <row r="101" spans="6:31" x14ac:dyDescent="0.35">
      <c r="F101" s="93"/>
      <c r="G101" s="85"/>
      <c r="H101" s="87"/>
      <c r="I101" s="94"/>
      <c r="J101" s="93"/>
      <c r="K101" s="85"/>
      <c r="M101" s="94"/>
      <c r="N101" s="93"/>
      <c r="O101" s="85"/>
      <c r="Q101" s="94"/>
      <c r="R101" s="93"/>
      <c r="S101" s="85"/>
      <c r="U101" s="94"/>
      <c r="V101" s="93"/>
      <c r="W101" s="85"/>
      <c r="Y101" s="94"/>
      <c r="Z101" s="93"/>
      <c r="AA101" s="85"/>
      <c r="AC101" s="94"/>
      <c r="AD101" s="93"/>
      <c r="AE101" s="85"/>
    </row>
    <row r="102" spans="6:31" x14ac:dyDescent="0.35">
      <c r="F102" s="93"/>
      <c r="G102" s="85"/>
      <c r="H102" s="87"/>
      <c r="I102" s="94"/>
      <c r="J102" s="93"/>
      <c r="K102" s="85"/>
      <c r="M102" s="94"/>
      <c r="N102" s="93"/>
      <c r="O102" s="85"/>
      <c r="Q102" s="94"/>
      <c r="R102" s="93"/>
      <c r="S102" s="85"/>
      <c r="U102" s="94"/>
      <c r="V102" s="93"/>
      <c r="W102" s="85"/>
      <c r="Y102" s="94"/>
      <c r="Z102" s="93"/>
      <c r="AA102" s="85"/>
      <c r="AC102" s="94"/>
      <c r="AD102" s="93"/>
      <c r="AE102" s="85"/>
    </row>
    <row r="103" spans="6:31" x14ac:dyDescent="0.35">
      <c r="F103" s="93"/>
      <c r="G103" s="85"/>
      <c r="H103" s="87"/>
      <c r="I103" s="94"/>
      <c r="J103" s="93"/>
      <c r="K103" s="85"/>
      <c r="M103" s="94"/>
      <c r="N103" s="93"/>
      <c r="O103" s="85"/>
      <c r="Q103" s="94"/>
      <c r="R103" s="93"/>
      <c r="S103" s="85"/>
      <c r="U103" s="94"/>
      <c r="V103" s="93"/>
      <c r="W103" s="85"/>
      <c r="Y103" s="94"/>
      <c r="Z103" s="93"/>
      <c r="AA103" s="85"/>
      <c r="AC103" s="94"/>
      <c r="AD103" s="93"/>
      <c r="AE103" s="85"/>
    </row>
    <row r="104" spans="6:31" x14ac:dyDescent="0.35">
      <c r="F104" s="93"/>
      <c r="G104" s="85"/>
      <c r="H104" s="87"/>
      <c r="I104" s="94"/>
      <c r="J104" s="93"/>
      <c r="K104" s="85"/>
      <c r="M104" s="94"/>
      <c r="N104" s="93"/>
      <c r="O104" s="85"/>
      <c r="Q104" s="94"/>
      <c r="R104" s="93"/>
      <c r="S104" s="85"/>
      <c r="U104" s="94"/>
      <c r="V104" s="93"/>
      <c r="W104" s="85"/>
      <c r="Y104" s="94"/>
      <c r="Z104" s="93"/>
      <c r="AA104" s="85"/>
      <c r="AC104" s="94"/>
      <c r="AD104" s="93"/>
      <c r="AE104" s="85"/>
    </row>
    <row r="105" spans="6:31" x14ac:dyDescent="0.35">
      <c r="F105" s="93"/>
      <c r="G105" s="85"/>
      <c r="H105" s="87"/>
      <c r="I105" s="94"/>
      <c r="J105" s="93"/>
      <c r="K105" s="85"/>
      <c r="M105" s="94"/>
      <c r="N105" s="93"/>
      <c r="O105" s="85"/>
      <c r="Q105" s="94"/>
      <c r="R105" s="93"/>
      <c r="S105" s="85"/>
      <c r="U105" s="94"/>
      <c r="V105" s="93"/>
      <c r="W105" s="85"/>
      <c r="Y105" s="94"/>
      <c r="Z105" s="93"/>
      <c r="AA105" s="85"/>
      <c r="AC105" s="94"/>
      <c r="AD105" s="93"/>
      <c r="AE105" s="85"/>
    </row>
    <row r="106" spans="6:31" x14ac:dyDescent="0.35">
      <c r="F106" s="93"/>
      <c r="G106" s="85"/>
      <c r="H106" s="87"/>
      <c r="I106" s="94"/>
      <c r="J106" s="93"/>
      <c r="K106" s="85"/>
      <c r="M106" s="94"/>
      <c r="N106" s="93"/>
      <c r="O106" s="85"/>
      <c r="Q106" s="94"/>
      <c r="R106" s="93"/>
      <c r="S106" s="85"/>
      <c r="U106" s="94"/>
      <c r="V106" s="93"/>
      <c r="W106" s="85"/>
      <c r="Y106" s="94"/>
      <c r="Z106" s="93"/>
      <c r="AA106" s="85"/>
      <c r="AC106" s="94"/>
      <c r="AD106" s="93"/>
      <c r="AE106" s="85"/>
    </row>
    <row r="107" spans="6:31" x14ac:dyDescent="0.35">
      <c r="F107" s="93"/>
      <c r="G107" s="85"/>
      <c r="H107" s="87"/>
      <c r="I107" s="94"/>
      <c r="J107" s="93"/>
      <c r="K107" s="85"/>
      <c r="M107" s="94"/>
      <c r="N107" s="93"/>
      <c r="O107" s="85"/>
      <c r="Q107" s="94"/>
      <c r="R107" s="93"/>
      <c r="S107" s="85"/>
      <c r="U107" s="94"/>
      <c r="V107" s="93"/>
      <c r="W107" s="85"/>
      <c r="Y107" s="94"/>
      <c r="Z107" s="93"/>
      <c r="AA107" s="85"/>
      <c r="AC107" s="94"/>
      <c r="AD107" s="93"/>
      <c r="AE107" s="85"/>
    </row>
    <row r="108" spans="6:31" x14ac:dyDescent="0.35">
      <c r="F108" s="93"/>
      <c r="G108" s="85"/>
      <c r="H108" s="87"/>
      <c r="I108" s="94"/>
      <c r="J108" s="93"/>
      <c r="K108" s="85"/>
      <c r="M108" s="94"/>
      <c r="N108" s="93"/>
      <c r="O108" s="85"/>
      <c r="Q108" s="94"/>
      <c r="R108" s="93"/>
      <c r="S108" s="85"/>
      <c r="U108" s="94"/>
      <c r="V108" s="93"/>
      <c r="W108" s="85"/>
      <c r="Y108" s="94"/>
      <c r="Z108" s="93"/>
      <c r="AA108" s="85"/>
      <c r="AC108" s="94"/>
      <c r="AD108" s="93"/>
      <c r="AE108" s="85"/>
    </row>
    <row r="109" spans="6:31" x14ac:dyDescent="0.35">
      <c r="F109" s="93"/>
      <c r="G109" s="85"/>
      <c r="H109" s="87"/>
      <c r="I109" s="94"/>
      <c r="J109" s="93"/>
      <c r="K109" s="85"/>
      <c r="M109" s="94"/>
      <c r="N109" s="93"/>
      <c r="O109" s="85"/>
      <c r="Q109" s="94"/>
      <c r="R109" s="93"/>
      <c r="S109" s="85"/>
      <c r="U109" s="94"/>
      <c r="V109" s="93"/>
      <c r="W109" s="85"/>
      <c r="Y109" s="94"/>
      <c r="Z109" s="93"/>
      <c r="AA109" s="85"/>
      <c r="AC109" s="94"/>
      <c r="AD109" s="93"/>
      <c r="AE109" s="85"/>
    </row>
    <row r="110" spans="6:31" x14ac:dyDescent="0.35">
      <c r="F110" s="93"/>
      <c r="G110" s="85"/>
      <c r="H110" s="87"/>
      <c r="I110" s="94"/>
      <c r="J110" s="93"/>
      <c r="K110" s="85"/>
      <c r="M110" s="94"/>
      <c r="N110" s="93"/>
      <c r="O110" s="85"/>
      <c r="Q110" s="94"/>
      <c r="R110" s="93"/>
      <c r="S110" s="85"/>
      <c r="U110" s="94"/>
      <c r="V110" s="93"/>
      <c r="W110" s="85"/>
      <c r="Y110" s="94"/>
      <c r="Z110" s="93"/>
      <c r="AA110" s="85"/>
      <c r="AC110" s="94"/>
      <c r="AD110" s="93"/>
      <c r="AE110" s="85"/>
    </row>
    <row r="111" spans="6:31" x14ac:dyDescent="0.35">
      <c r="F111" s="93"/>
      <c r="G111" s="85"/>
      <c r="H111" s="87"/>
      <c r="I111" s="94"/>
      <c r="J111" s="93"/>
      <c r="K111" s="85"/>
      <c r="M111" s="94"/>
      <c r="N111" s="93"/>
      <c r="O111" s="85"/>
      <c r="Q111" s="94"/>
      <c r="R111" s="93"/>
      <c r="S111" s="85"/>
      <c r="U111" s="94"/>
      <c r="V111" s="93"/>
      <c r="W111" s="85"/>
      <c r="Y111" s="94"/>
      <c r="Z111" s="93"/>
      <c r="AA111" s="85"/>
      <c r="AC111" s="94"/>
      <c r="AD111" s="93"/>
      <c r="AE111" s="85"/>
    </row>
    <row r="112" spans="6:31" x14ac:dyDescent="0.35">
      <c r="F112" s="93"/>
      <c r="G112" s="85"/>
      <c r="H112" s="87"/>
      <c r="I112" s="94"/>
      <c r="J112" s="93"/>
      <c r="K112" s="85"/>
      <c r="M112" s="94"/>
      <c r="N112" s="93"/>
      <c r="O112" s="85"/>
      <c r="Q112" s="94"/>
      <c r="R112" s="93"/>
      <c r="S112" s="85"/>
      <c r="U112" s="94"/>
      <c r="V112" s="93"/>
      <c r="W112" s="85"/>
      <c r="Y112" s="94"/>
      <c r="Z112" s="93"/>
      <c r="AA112" s="85"/>
      <c r="AC112" s="94"/>
      <c r="AD112" s="93"/>
      <c r="AE112" s="85"/>
    </row>
    <row r="113" spans="6:31" x14ac:dyDescent="0.35">
      <c r="F113" s="93"/>
      <c r="G113" s="85"/>
      <c r="H113" s="87"/>
      <c r="I113" s="94"/>
      <c r="J113" s="93"/>
      <c r="K113" s="85"/>
      <c r="M113" s="94"/>
      <c r="N113" s="93"/>
      <c r="O113" s="85"/>
      <c r="Q113" s="94"/>
      <c r="R113" s="93"/>
      <c r="S113" s="85"/>
      <c r="U113" s="94"/>
      <c r="V113" s="93"/>
      <c r="W113" s="85"/>
      <c r="Y113" s="94"/>
      <c r="Z113" s="93"/>
      <c r="AA113" s="85"/>
      <c r="AC113" s="94"/>
      <c r="AD113" s="93"/>
      <c r="AE113" s="85"/>
    </row>
    <row r="114" spans="6:31" x14ac:dyDescent="0.35">
      <c r="F114" s="93"/>
      <c r="G114" s="85"/>
      <c r="H114" s="87"/>
      <c r="I114" s="94"/>
      <c r="J114" s="93"/>
      <c r="K114" s="85"/>
      <c r="M114" s="94"/>
      <c r="N114" s="93"/>
      <c r="O114" s="85"/>
      <c r="Q114" s="94"/>
      <c r="R114" s="93"/>
      <c r="S114" s="85"/>
      <c r="U114" s="94"/>
      <c r="V114" s="93"/>
      <c r="W114" s="85"/>
      <c r="Y114" s="94"/>
      <c r="Z114" s="93"/>
      <c r="AA114" s="85"/>
      <c r="AC114" s="94"/>
      <c r="AD114" s="93"/>
      <c r="AE114" s="85"/>
    </row>
    <row r="115" spans="6:31" x14ac:dyDescent="0.35">
      <c r="F115" s="93"/>
      <c r="G115" s="85"/>
      <c r="H115" s="87"/>
      <c r="I115" s="94"/>
      <c r="J115" s="93"/>
      <c r="K115" s="85"/>
      <c r="M115" s="94"/>
      <c r="N115" s="93"/>
      <c r="O115" s="85"/>
      <c r="Q115" s="94"/>
      <c r="R115" s="93"/>
      <c r="S115" s="85"/>
      <c r="U115" s="94"/>
      <c r="V115" s="93"/>
      <c r="W115" s="85"/>
      <c r="Y115" s="94"/>
      <c r="Z115" s="93"/>
      <c r="AA115" s="85"/>
      <c r="AC115" s="94"/>
      <c r="AD115" s="93"/>
      <c r="AE115" s="85"/>
    </row>
    <row r="116" spans="6:31" x14ac:dyDescent="0.35">
      <c r="F116" s="93"/>
      <c r="G116" s="85"/>
      <c r="H116" s="87"/>
      <c r="I116" s="94"/>
      <c r="J116" s="93"/>
      <c r="K116" s="85"/>
      <c r="M116" s="94"/>
      <c r="N116" s="93"/>
      <c r="O116" s="85"/>
      <c r="Q116" s="94"/>
      <c r="R116" s="93"/>
      <c r="S116" s="85"/>
      <c r="U116" s="94"/>
      <c r="V116" s="93"/>
      <c r="W116" s="85"/>
      <c r="Y116" s="94"/>
      <c r="Z116" s="93"/>
      <c r="AA116" s="85"/>
      <c r="AC116" s="94"/>
      <c r="AD116" s="93"/>
      <c r="AE116" s="85"/>
    </row>
    <row r="117" spans="6:31" x14ac:dyDescent="0.35">
      <c r="F117" s="93"/>
      <c r="G117" s="85"/>
      <c r="H117" s="87"/>
      <c r="I117" s="94"/>
      <c r="J117" s="93"/>
      <c r="K117" s="85"/>
      <c r="M117" s="94"/>
      <c r="N117" s="93"/>
      <c r="O117" s="85"/>
      <c r="Q117" s="94"/>
      <c r="R117" s="93"/>
      <c r="S117" s="85"/>
      <c r="U117" s="94"/>
      <c r="V117" s="93"/>
      <c r="W117" s="85"/>
      <c r="Y117" s="94"/>
      <c r="Z117" s="93"/>
      <c r="AA117" s="85"/>
      <c r="AC117" s="94"/>
      <c r="AD117" s="93"/>
      <c r="AE117" s="85"/>
    </row>
    <row r="118" spans="6:31" x14ac:dyDescent="0.35">
      <c r="F118" s="93"/>
      <c r="G118" s="85"/>
      <c r="H118" s="87"/>
      <c r="I118" s="94"/>
      <c r="J118" s="93"/>
      <c r="K118" s="85"/>
      <c r="M118" s="94"/>
      <c r="N118" s="93"/>
      <c r="O118" s="85"/>
      <c r="Q118" s="94"/>
      <c r="R118" s="93"/>
      <c r="S118" s="85"/>
      <c r="U118" s="94"/>
      <c r="V118" s="93"/>
      <c r="W118" s="85"/>
      <c r="Y118" s="94"/>
      <c r="Z118" s="93"/>
      <c r="AA118" s="85"/>
      <c r="AC118" s="94"/>
      <c r="AD118" s="93"/>
      <c r="AE118" s="85"/>
    </row>
    <row r="119" spans="6:31" x14ac:dyDescent="0.35">
      <c r="F119" s="93"/>
      <c r="G119" s="85"/>
      <c r="H119" s="87"/>
      <c r="I119" s="94"/>
      <c r="J119" s="93"/>
      <c r="K119" s="85"/>
      <c r="M119" s="94"/>
      <c r="N119" s="93"/>
      <c r="O119" s="85"/>
      <c r="Q119" s="94"/>
      <c r="R119" s="93"/>
      <c r="S119" s="85"/>
      <c r="U119" s="94"/>
      <c r="V119" s="93"/>
      <c r="W119" s="85"/>
      <c r="Y119" s="94"/>
      <c r="Z119" s="93"/>
      <c r="AA119" s="85"/>
      <c r="AC119" s="94"/>
      <c r="AD119" s="93"/>
      <c r="AE119" s="85"/>
    </row>
    <row r="120" spans="6:31" x14ac:dyDescent="0.35">
      <c r="F120" s="93"/>
      <c r="G120" s="85"/>
      <c r="H120" s="87"/>
      <c r="I120" s="94"/>
      <c r="J120" s="93"/>
      <c r="K120" s="85"/>
      <c r="M120" s="94"/>
      <c r="N120" s="93"/>
      <c r="O120" s="85"/>
      <c r="Q120" s="94"/>
      <c r="R120" s="93"/>
      <c r="S120" s="85"/>
      <c r="U120" s="94"/>
      <c r="V120" s="93"/>
      <c r="W120" s="85"/>
      <c r="Y120" s="94"/>
      <c r="Z120" s="93"/>
      <c r="AA120" s="85"/>
      <c r="AC120" s="94"/>
      <c r="AD120" s="93"/>
      <c r="AE120" s="85"/>
    </row>
    <row r="121" spans="6:31" x14ac:dyDescent="0.35">
      <c r="F121" s="93"/>
      <c r="G121" s="85"/>
      <c r="H121" s="87"/>
      <c r="I121" s="94"/>
      <c r="J121" s="93"/>
      <c r="K121" s="85"/>
      <c r="M121" s="94"/>
      <c r="N121" s="93"/>
      <c r="O121" s="85"/>
      <c r="Q121" s="94"/>
      <c r="R121" s="93"/>
      <c r="S121" s="85"/>
      <c r="U121" s="94"/>
      <c r="V121" s="93"/>
      <c r="W121" s="85"/>
      <c r="Y121" s="94"/>
      <c r="Z121" s="93"/>
      <c r="AA121" s="85"/>
      <c r="AC121" s="94"/>
      <c r="AD121" s="93"/>
      <c r="AE121" s="85"/>
    </row>
    <row r="122" spans="6:31" x14ac:dyDescent="0.35">
      <c r="F122" s="93"/>
      <c r="G122" s="85"/>
      <c r="H122" s="87"/>
      <c r="I122" s="94"/>
      <c r="J122" s="93"/>
      <c r="K122" s="85"/>
      <c r="M122" s="94"/>
      <c r="N122" s="93"/>
      <c r="O122" s="85"/>
      <c r="Q122" s="94"/>
      <c r="R122" s="93"/>
      <c r="S122" s="85"/>
      <c r="U122" s="94"/>
      <c r="V122" s="93"/>
      <c r="W122" s="85"/>
      <c r="Y122" s="94"/>
      <c r="Z122" s="93"/>
      <c r="AA122" s="85"/>
      <c r="AC122" s="94"/>
      <c r="AD122" s="93"/>
      <c r="AE122" s="85"/>
    </row>
    <row r="123" spans="6:31" x14ac:dyDescent="0.35">
      <c r="F123" s="93"/>
      <c r="G123" s="85"/>
      <c r="H123" s="87"/>
      <c r="I123" s="94"/>
      <c r="J123" s="93"/>
      <c r="K123" s="85"/>
      <c r="M123" s="94"/>
      <c r="N123" s="93"/>
      <c r="O123" s="85"/>
      <c r="Q123" s="94"/>
      <c r="R123" s="93"/>
      <c r="S123" s="85"/>
      <c r="U123" s="94"/>
      <c r="V123" s="93"/>
      <c r="W123" s="85"/>
      <c r="Y123" s="94"/>
      <c r="Z123" s="93"/>
      <c r="AA123" s="85"/>
      <c r="AC123" s="94"/>
      <c r="AD123" s="93"/>
      <c r="AE123" s="85"/>
    </row>
    <row r="124" spans="6:31" x14ac:dyDescent="0.35">
      <c r="F124" s="93"/>
      <c r="G124" s="85"/>
      <c r="H124" s="87"/>
      <c r="I124" s="94"/>
      <c r="J124" s="93"/>
      <c r="K124" s="85"/>
      <c r="M124" s="94"/>
      <c r="N124" s="93"/>
      <c r="O124" s="85"/>
      <c r="Q124" s="94"/>
      <c r="R124" s="93"/>
      <c r="S124" s="85"/>
      <c r="U124" s="94"/>
      <c r="V124" s="93"/>
      <c r="W124" s="85"/>
      <c r="Y124" s="94"/>
      <c r="Z124" s="93"/>
      <c r="AA124" s="85"/>
      <c r="AC124" s="94"/>
      <c r="AD124" s="93"/>
      <c r="AE124" s="85"/>
    </row>
    <row r="125" spans="6:31" x14ac:dyDescent="0.35">
      <c r="F125" s="93"/>
      <c r="G125" s="85"/>
      <c r="H125" s="87"/>
      <c r="I125" s="94"/>
      <c r="J125" s="93"/>
      <c r="K125" s="85"/>
      <c r="M125" s="94"/>
      <c r="N125" s="93"/>
      <c r="O125" s="85"/>
      <c r="Q125" s="94"/>
      <c r="R125" s="93"/>
      <c r="S125" s="85"/>
      <c r="U125" s="94"/>
      <c r="V125" s="93"/>
      <c r="W125" s="85"/>
      <c r="Y125" s="94"/>
      <c r="Z125" s="93"/>
      <c r="AA125" s="85"/>
      <c r="AC125" s="94"/>
      <c r="AD125" s="93"/>
      <c r="AE125" s="85"/>
    </row>
    <row r="126" spans="6:31" x14ac:dyDescent="0.35">
      <c r="F126" s="93"/>
      <c r="G126" s="85"/>
      <c r="H126" s="87"/>
      <c r="I126" s="94"/>
      <c r="J126" s="93"/>
      <c r="K126" s="85"/>
      <c r="M126" s="94"/>
      <c r="N126" s="93"/>
      <c r="O126" s="85"/>
      <c r="Q126" s="94"/>
      <c r="R126" s="93"/>
      <c r="S126" s="85"/>
      <c r="U126" s="94"/>
      <c r="V126" s="93"/>
      <c r="W126" s="85"/>
      <c r="Y126" s="94"/>
      <c r="Z126" s="93"/>
      <c r="AA126" s="85"/>
      <c r="AC126" s="94"/>
      <c r="AD126" s="93"/>
      <c r="AE126" s="85"/>
    </row>
    <row r="127" spans="6:31" x14ac:dyDescent="0.35">
      <c r="F127" s="93"/>
      <c r="G127" s="85"/>
      <c r="H127" s="87"/>
      <c r="I127" s="94"/>
      <c r="J127" s="93"/>
      <c r="K127" s="85"/>
      <c r="M127" s="94"/>
      <c r="N127" s="93"/>
      <c r="O127" s="85"/>
      <c r="Q127" s="94"/>
      <c r="R127" s="93"/>
      <c r="S127" s="85"/>
      <c r="U127" s="94"/>
      <c r="V127" s="93"/>
      <c r="W127" s="85"/>
      <c r="Y127" s="94"/>
      <c r="Z127" s="93"/>
      <c r="AA127" s="85"/>
      <c r="AC127" s="94"/>
      <c r="AD127" s="93"/>
      <c r="AE127" s="85"/>
    </row>
    <row r="128" spans="6:31" x14ac:dyDescent="0.35">
      <c r="F128" s="93"/>
      <c r="G128" s="85"/>
      <c r="H128" s="87"/>
      <c r="I128" s="94"/>
      <c r="J128" s="93"/>
      <c r="K128" s="85"/>
      <c r="M128" s="94"/>
      <c r="N128" s="93"/>
      <c r="O128" s="85"/>
      <c r="Q128" s="94"/>
      <c r="R128" s="93"/>
      <c r="S128" s="85"/>
      <c r="U128" s="94"/>
      <c r="V128" s="93"/>
      <c r="W128" s="85"/>
      <c r="Y128" s="94"/>
      <c r="Z128" s="93"/>
      <c r="AA128" s="85"/>
      <c r="AC128" s="94"/>
      <c r="AD128" s="93"/>
      <c r="AE128" s="85"/>
    </row>
    <row r="129" spans="6:31" x14ac:dyDescent="0.35">
      <c r="F129" s="93"/>
      <c r="G129" s="85"/>
      <c r="H129" s="87"/>
      <c r="I129" s="94"/>
      <c r="J129" s="93"/>
      <c r="K129" s="85"/>
      <c r="M129" s="94"/>
      <c r="N129" s="93"/>
      <c r="O129" s="85"/>
      <c r="Q129" s="94"/>
      <c r="R129" s="93"/>
      <c r="S129" s="85"/>
      <c r="U129" s="94"/>
      <c r="V129" s="93"/>
      <c r="W129" s="85"/>
      <c r="Y129" s="94"/>
      <c r="Z129" s="93"/>
      <c r="AA129" s="85"/>
      <c r="AC129" s="94"/>
      <c r="AD129" s="93"/>
      <c r="AE129" s="85"/>
    </row>
    <row r="130" spans="6:31" x14ac:dyDescent="0.35">
      <c r="F130" s="93"/>
      <c r="G130" s="85"/>
      <c r="H130" s="87"/>
      <c r="I130" s="94"/>
      <c r="J130" s="93"/>
      <c r="K130" s="85"/>
      <c r="M130" s="94"/>
      <c r="N130" s="93"/>
      <c r="O130" s="85"/>
      <c r="Q130" s="94"/>
      <c r="R130" s="93"/>
      <c r="S130" s="85"/>
      <c r="U130" s="94"/>
      <c r="V130" s="93"/>
      <c r="W130" s="85"/>
      <c r="Y130" s="94"/>
      <c r="Z130" s="93"/>
      <c r="AA130" s="85"/>
      <c r="AC130" s="94"/>
      <c r="AD130" s="93"/>
      <c r="AE130" s="85"/>
    </row>
    <row r="131" spans="6:31" x14ac:dyDescent="0.35">
      <c r="F131" s="93"/>
      <c r="G131" s="85"/>
      <c r="H131" s="87"/>
      <c r="I131" s="94"/>
      <c r="J131" s="93"/>
      <c r="K131" s="85"/>
      <c r="M131" s="94"/>
      <c r="N131" s="93"/>
      <c r="O131" s="85"/>
      <c r="Q131" s="94"/>
      <c r="R131" s="93"/>
      <c r="S131" s="85"/>
      <c r="U131" s="94"/>
      <c r="V131" s="93"/>
      <c r="W131" s="85"/>
      <c r="Y131" s="94"/>
      <c r="Z131" s="93"/>
      <c r="AA131" s="85"/>
      <c r="AC131" s="94"/>
      <c r="AD131" s="93"/>
      <c r="AE131" s="85"/>
    </row>
    <row r="132" spans="6:31" x14ac:dyDescent="0.35">
      <c r="F132" s="93"/>
      <c r="G132" s="85"/>
      <c r="H132" s="87"/>
      <c r="I132" s="94"/>
      <c r="J132" s="93"/>
      <c r="K132" s="85"/>
      <c r="M132" s="94"/>
      <c r="N132" s="93"/>
      <c r="O132" s="85"/>
      <c r="Q132" s="94"/>
      <c r="R132" s="93"/>
      <c r="S132" s="85"/>
      <c r="U132" s="94"/>
      <c r="V132" s="93"/>
      <c r="W132" s="85"/>
      <c r="Y132" s="94"/>
      <c r="Z132" s="93"/>
      <c r="AA132" s="85"/>
      <c r="AC132" s="94"/>
      <c r="AD132" s="93"/>
      <c r="AE132" s="85"/>
    </row>
    <row r="133" spans="6:31" x14ac:dyDescent="0.35">
      <c r="F133" s="93"/>
      <c r="G133" s="85"/>
      <c r="H133" s="87"/>
      <c r="I133" s="94"/>
      <c r="J133" s="93"/>
      <c r="K133" s="85"/>
      <c r="M133" s="94"/>
      <c r="N133" s="93"/>
      <c r="O133" s="85"/>
      <c r="Q133" s="94"/>
      <c r="R133" s="93"/>
      <c r="S133" s="85"/>
      <c r="U133" s="94"/>
      <c r="V133" s="93"/>
      <c r="W133" s="85"/>
      <c r="Y133" s="94"/>
      <c r="Z133" s="93"/>
      <c r="AA133" s="85"/>
      <c r="AC133" s="94"/>
      <c r="AD133" s="93"/>
      <c r="AE133" s="85"/>
    </row>
    <row r="134" spans="6:31" x14ac:dyDescent="0.35">
      <c r="F134" s="93"/>
      <c r="G134" s="85"/>
      <c r="H134" s="87"/>
      <c r="I134" s="94"/>
      <c r="J134" s="93"/>
      <c r="K134" s="85"/>
      <c r="M134" s="94"/>
      <c r="N134" s="93"/>
      <c r="O134" s="85"/>
      <c r="Q134" s="94"/>
      <c r="R134" s="93"/>
      <c r="S134" s="85"/>
      <c r="U134" s="94"/>
      <c r="V134" s="93"/>
      <c r="W134" s="85"/>
      <c r="Y134" s="94"/>
      <c r="Z134" s="93"/>
      <c r="AA134" s="85"/>
      <c r="AC134" s="94"/>
      <c r="AD134" s="93"/>
      <c r="AE134" s="85"/>
    </row>
    <row r="135" spans="6:31" x14ac:dyDescent="0.35">
      <c r="F135" s="93"/>
      <c r="G135" s="85"/>
      <c r="H135" s="87"/>
      <c r="I135" s="94"/>
      <c r="J135" s="93"/>
      <c r="K135" s="85"/>
      <c r="M135" s="94"/>
      <c r="N135" s="93"/>
      <c r="O135" s="85"/>
      <c r="Q135" s="94"/>
      <c r="R135" s="93"/>
      <c r="S135" s="85"/>
      <c r="U135" s="94"/>
      <c r="V135" s="93"/>
      <c r="W135" s="85"/>
      <c r="Y135" s="94"/>
      <c r="Z135" s="93"/>
      <c r="AA135" s="85"/>
      <c r="AC135" s="94"/>
      <c r="AD135" s="93"/>
      <c r="AE135" s="85"/>
    </row>
    <row r="136" spans="6:31" x14ac:dyDescent="0.35">
      <c r="F136" s="93"/>
      <c r="G136" s="85"/>
      <c r="H136" s="87"/>
      <c r="I136" s="94"/>
      <c r="J136" s="93"/>
      <c r="K136" s="85"/>
      <c r="M136" s="94"/>
      <c r="N136" s="93"/>
      <c r="O136" s="85"/>
      <c r="Q136" s="94"/>
      <c r="R136" s="93"/>
      <c r="S136" s="85"/>
      <c r="U136" s="94"/>
      <c r="V136" s="93"/>
      <c r="W136" s="85"/>
      <c r="Y136" s="94"/>
      <c r="Z136" s="93"/>
      <c r="AA136" s="85"/>
      <c r="AC136" s="94"/>
      <c r="AD136" s="93"/>
      <c r="AE136" s="85"/>
    </row>
    <row r="137" spans="6:31" x14ac:dyDescent="0.35">
      <c r="F137" s="93"/>
      <c r="G137" s="85"/>
      <c r="H137" s="87"/>
      <c r="I137" s="94"/>
      <c r="J137" s="93"/>
      <c r="K137" s="85"/>
      <c r="M137" s="94"/>
      <c r="N137" s="93"/>
      <c r="O137" s="85"/>
      <c r="Q137" s="94"/>
      <c r="R137" s="93"/>
      <c r="S137" s="85"/>
      <c r="U137" s="94"/>
      <c r="V137" s="93"/>
      <c r="W137" s="85"/>
      <c r="Y137" s="94"/>
      <c r="Z137" s="93"/>
      <c r="AA137" s="85"/>
      <c r="AC137" s="94"/>
      <c r="AD137" s="93"/>
      <c r="AE137" s="85"/>
    </row>
    <row r="138" spans="6:31" x14ac:dyDescent="0.35">
      <c r="F138" s="93"/>
      <c r="G138" s="85"/>
      <c r="H138" s="87"/>
      <c r="I138" s="94"/>
      <c r="J138" s="93"/>
      <c r="K138" s="85"/>
      <c r="M138" s="94"/>
      <c r="N138" s="93"/>
      <c r="O138" s="85"/>
      <c r="Q138" s="94"/>
      <c r="R138" s="93"/>
      <c r="S138" s="85"/>
      <c r="U138" s="94"/>
      <c r="V138" s="93"/>
      <c r="W138" s="85"/>
      <c r="Y138" s="94"/>
      <c r="Z138" s="93"/>
      <c r="AA138" s="85"/>
      <c r="AC138" s="94"/>
      <c r="AD138" s="93"/>
      <c r="AE138" s="85"/>
    </row>
    <row r="139" spans="6:31" x14ac:dyDescent="0.35">
      <c r="F139" s="93"/>
      <c r="G139" s="85"/>
      <c r="H139" s="87"/>
      <c r="I139" s="94"/>
      <c r="J139" s="93"/>
      <c r="K139" s="85"/>
      <c r="M139" s="94"/>
      <c r="N139" s="93"/>
      <c r="O139" s="85"/>
      <c r="Q139" s="94"/>
      <c r="R139" s="93"/>
      <c r="S139" s="85"/>
      <c r="U139" s="94"/>
      <c r="V139" s="93"/>
      <c r="W139" s="85"/>
      <c r="Y139" s="94"/>
      <c r="Z139" s="93"/>
      <c r="AA139" s="85"/>
      <c r="AC139" s="94"/>
      <c r="AD139" s="93"/>
      <c r="AE139" s="85"/>
    </row>
    <row r="140" spans="6:31" x14ac:dyDescent="0.35">
      <c r="F140" s="93"/>
      <c r="G140" s="85"/>
      <c r="H140" s="87"/>
      <c r="I140" s="94"/>
      <c r="J140" s="93"/>
      <c r="K140" s="85"/>
      <c r="M140" s="94"/>
      <c r="N140" s="93"/>
      <c r="O140" s="85"/>
      <c r="Q140" s="94"/>
      <c r="R140" s="93"/>
      <c r="S140" s="85"/>
      <c r="U140" s="94"/>
      <c r="V140" s="93"/>
      <c r="W140" s="85"/>
      <c r="Y140" s="94"/>
      <c r="Z140" s="93"/>
      <c r="AA140" s="85"/>
      <c r="AC140" s="94"/>
      <c r="AD140" s="93"/>
      <c r="AE140" s="85"/>
    </row>
    <row r="141" spans="6:31" x14ac:dyDescent="0.35">
      <c r="F141" s="93"/>
      <c r="G141" s="85"/>
      <c r="H141" s="87"/>
      <c r="I141" s="94"/>
      <c r="J141" s="93"/>
      <c r="K141" s="85"/>
      <c r="M141" s="94"/>
      <c r="N141" s="93"/>
      <c r="O141" s="85"/>
      <c r="Q141" s="94"/>
      <c r="R141" s="93"/>
      <c r="S141" s="85"/>
      <c r="U141" s="94"/>
      <c r="V141" s="93"/>
      <c r="W141" s="85"/>
      <c r="Y141" s="94"/>
      <c r="Z141" s="93"/>
      <c r="AA141" s="85"/>
      <c r="AC141" s="94"/>
      <c r="AD141" s="93"/>
      <c r="AE141" s="85"/>
    </row>
    <row r="142" spans="6:31" x14ac:dyDescent="0.35">
      <c r="F142" s="93"/>
      <c r="G142" s="85"/>
      <c r="H142" s="87"/>
      <c r="I142" s="94"/>
      <c r="J142" s="93"/>
      <c r="K142" s="85"/>
      <c r="M142" s="94"/>
      <c r="N142" s="93"/>
      <c r="O142" s="85"/>
      <c r="Q142" s="94"/>
      <c r="R142" s="93"/>
      <c r="S142" s="85"/>
      <c r="U142" s="94"/>
      <c r="V142" s="93"/>
      <c r="W142" s="85"/>
      <c r="Y142" s="94"/>
      <c r="Z142" s="93"/>
      <c r="AA142" s="85"/>
      <c r="AC142" s="94"/>
      <c r="AD142" s="93"/>
      <c r="AE142" s="85"/>
    </row>
    <row r="143" spans="6:31" x14ac:dyDescent="0.35">
      <c r="F143" s="93"/>
      <c r="G143" s="85"/>
      <c r="H143" s="87"/>
      <c r="I143" s="94"/>
      <c r="J143" s="93"/>
      <c r="K143" s="85"/>
      <c r="M143" s="94"/>
      <c r="N143" s="93"/>
      <c r="O143" s="85"/>
      <c r="Q143" s="94"/>
      <c r="R143" s="93"/>
      <c r="S143" s="85"/>
      <c r="U143" s="94"/>
      <c r="V143" s="93"/>
      <c r="W143" s="85"/>
      <c r="Y143" s="94"/>
      <c r="Z143" s="93"/>
      <c r="AA143" s="85"/>
      <c r="AC143" s="94"/>
      <c r="AD143" s="93"/>
      <c r="AE143" s="85"/>
    </row>
    <row r="144" spans="6:31" x14ac:dyDescent="0.35">
      <c r="F144" s="93"/>
      <c r="G144" s="85"/>
      <c r="H144" s="87"/>
      <c r="I144" s="94"/>
      <c r="J144" s="93"/>
      <c r="K144" s="85"/>
      <c r="M144" s="94"/>
      <c r="N144" s="93"/>
      <c r="O144" s="85"/>
      <c r="Q144" s="94"/>
      <c r="R144" s="93"/>
      <c r="S144" s="85"/>
      <c r="U144" s="94"/>
      <c r="V144" s="93"/>
      <c r="W144" s="85"/>
      <c r="Y144" s="94"/>
      <c r="Z144" s="93"/>
      <c r="AA144" s="85"/>
      <c r="AC144" s="94"/>
      <c r="AD144" s="93"/>
      <c r="AE144" s="85"/>
    </row>
    <row r="145" spans="6:31" x14ac:dyDescent="0.35">
      <c r="F145" s="93"/>
      <c r="G145" s="85"/>
      <c r="H145" s="87"/>
      <c r="I145" s="94"/>
      <c r="J145" s="93"/>
      <c r="K145" s="85"/>
      <c r="M145" s="94"/>
      <c r="N145" s="93"/>
      <c r="O145" s="85"/>
      <c r="Q145" s="94"/>
      <c r="R145" s="93"/>
      <c r="S145" s="85"/>
      <c r="U145" s="94"/>
      <c r="V145" s="93"/>
      <c r="W145" s="85"/>
      <c r="Y145" s="94"/>
      <c r="Z145" s="93"/>
      <c r="AA145" s="85"/>
      <c r="AC145" s="94"/>
      <c r="AD145" s="93"/>
      <c r="AE145" s="85"/>
    </row>
    <row r="146" spans="6:31" x14ac:dyDescent="0.35">
      <c r="F146" s="93"/>
      <c r="G146" s="85"/>
      <c r="H146" s="87"/>
      <c r="I146" s="94"/>
      <c r="J146" s="93"/>
      <c r="K146" s="85"/>
      <c r="M146" s="94"/>
      <c r="N146" s="93"/>
      <c r="O146" s="85"/>
      <c r="Q146" s="94"/>
      <c r="R146" s="93"/>
      <c r="S146" s="85"/>
      <c r="U146" s="94"/>
      <c r="V146" s="93"/>
      <c r="W146" s="85"/>
      <c r="Y146" s="94"/>
      <c r="Z146" s="93"/>
      <c r="AA146" s="85"/>
      <c r="AC146" s="94"/>
      <c r="AD146" s="93"/>
      <c r="AE146" s="85"/>
    </row>
    <row r="147" spans="6:31" x14ac:dyDescent="0.35">
      <c r="F147" s="93"/>
      <c r="G147" s="85"/>
      <c r="H147" s="87"/>
      <c r="I147" s="94"/>
      <c r="J147" s="93"/>
      <c r="K147" s="85"/>
      <c r="M147" s="94"/>
      <c r="N147" s="93"/>
      <c r="O147" s="85"/>
      <c r="Q147" s="94"/>
      <c r="R147" s="93"/>
      <c r="S147" s="85"/>
      <c r="U147" s="94"/>
      <c r="V147" s="93"/>
      <c r="W147" s="85"/>
      <c r="Y147" s="94"/>
      <c r="Z147" s="93"/>
      <c r="AA147" s="85"/>
      <c r="AC147" s="94"/>
      <c r="AD147" s="93"/>
      <c r="AE147" s="85"/>
    </row>
    <row r="148" spans="6:31" x14ac:dyDescent="0.35">
      <c r="F148" s="93"/>
      <c r="G148" s="85"/>
      <c r="H148" s="87"/>
      <c r="I148" s="94"/>
      <c r="J148" s="93"/>
      <c r="K148" s="85"/>
      <c r="M148" s="94"/>
      <c r="N148" s="93"/>
      <c r="O148" s="85"/>
      <c r="Q148" s="94"/>
      <c r="R148" s="93"/>
      <c r="S148" s="85"/>
      <c r="U148" s="94"/>
      <c r="V148" s="93"/>
      <c r="W148" s="85"/>
      <c r="Y148" s="94"/>
      <c r="Z148" s="93"/>
      <c r="AA148" s="85"/>
      <c r="AC148" s="94"/>
      <c r="AD148" s="93"/>
      <c r="AE148" s="85"/>
    </row>
    <row r="149" spans="6:31" x14ac:dyDescent="0.35">
      <c r="F149" s="93"/>
      <c r="G149" s="85"/>
      <c r="H149" s="87"/>
      <c r="I149" s="94"/>
      <c r="J149" s="93"/>
      <c r="K149" s="85"/>
      <c r="M149" s="94"/>
      <c r="N149" s="93"/>
      <c r="O149" s="85"/>
      <c r="Q149" s="94"/>
      <c r="R149" s="93"/>
      <c r="S149" s="85"/>
      <c r="U149" s="94"/>
      <c r="V149" s="93"/>
      <c r="W149" s="85"/>
      <c r="Y149" s="94"/>
      <c r="Z149" s="93"/>
      <c r="AA149" s="85"/>
      <c r="AC149" s="94"/>
      <c r="AD149" s="93"/>
      <c r="AE149" s="85"/>
    </row>
    <row r="150" spans="6:31" x14ac:dyDescent="0.35">
      <c r="F150" s="93"/>
      <c r="G150" s="85"/>
      <c r="H150" s="87"/>
      <c r="I150" s="94"/>
      <c r="J150" s="93"/>
      <c r="K150" s="85"/>
      <c r="M150" s="94"/>
      <c r="N150" s="93"/>
      <c r="O150" s="85"/>
      <c r="Q150" s="94"/>
      <c r="R150" s="93"/>
      <c r="S150" s="85"/>
      <c r="U150" s="94"/>
      <c r="V150" s="93"/>
      <c r="W150" s="85"/>
      <c r="Y150" s="94"/>
      <c r="Z150" s="93"/>
      <c r="AA150" s="85"/>
      <c r="AC150" s="94"/>
      <c r="AD150" s="93"/>
      <c r="AE150" s="85"/>
    </row>
    <row r="151" spans="6:31" x14ac:dyDescent="0.35">
      <c r="F151" s="93"/>
      <c r="G151" s="85"/>
      <c r="H151" s="87"/>
      <c r="I151" s="94"/>
      <c r="J151" s="93"/>
      <c r="K151" s="85"/>
      <c r="M151" s="94"/>
      <c r="N151" s="93"/>
      <c r="O151" s="85"/>
      <c r="Q151" s="94"/>
      <c r="R151" s="93"/>
      <c r="S151" s="85"/>
      <c r="U151" s="94"/>
      <c r="V151" s="93"/>
      <c r="W151" s="85"/>
      <c r="Y151" s="94"/>
      <c r="Z151" s="93"/>
      <c r="AA151" s="85"/>
      <c r="AC151" s="94"/>
      <c r="AD151" s="93"/>
      <c r="AE151" s="85"/>
    </row>
    <row r="152" spans="6:31" x14ac:dyDescent="0.35">
      <c r="F152" s="93"/>
      <c r="G152" s="85"/>
      <c r="H152" s="87"/>
      <c r="I152" s="94"/>
      <c r="J152" s="93"/>
      <c r="K152" s="85"/>
      <c r="M152" s="94"/>
      <c r="N152" s="93"/>
      <c r="O152" s="85"/>
      <c r="Q152" s="94"/>
      <c r="R152" s="93"/>
      <c r="S152" s="85"/>
      <c r="U152" s="94"/>
      <c r="V152" s="93"/>
      <c r="W152" s="85"/>
      <c r="Y152" s="94"/>
      <c r="Z152" s="93"/>
      <c r="AA152" s="85"/>
      <c r="AC152" s="94"/>
      <c r="AD152" s="93"/>
      <c r="AE152" s="85"/>
    </row>
    <row r="153" spans="6:31" x14ac:dyDescent="0.35">
      <c r="F153" s="93"/>
      <c r="G153" s="85"/>
      <c r="H153" s="87"/>
      <c r="I153" s="94"/>
      <c r="J153" s="93"/>
      <c r="K153" s="85"/>
      <c r="M153" s="94"/>
      <c r="N153" s="93"/>
      <c r="O153" s="85"/>
      <c r="Q153" s="94"/>
      <c r="R153" s="93"/>
      <c r="S153" s="85"/>
      <c r="U153" s="94"/>
      <c r="V153" s="93"/>
      <c r="W153" s="85"/>
      <c r="Y153" s="94"/>
      <c r="Z153" s="93"/>
      <c r="AA153" s="85"/>
      <c r="AC153" s="94"/>
      <c r="AD153" s="93"/>
      <c r="AE153" s="85"/>
    </row>
    <row r="154" spans="6:31" x14ac:dyDescent="0.35">
      <c r="F154" s="93"/>
      <c r="G154" s="85"/>
      <c r="H154" s="87"/>
      <c r="I154" s="94"/>
      <c r="J154" s="93"/>
      <c r="K154" s="85"/>
      <c r="M154" s="94"/>
      <c r="N154" s="93"/>
      <c r="O154" s="85"/>
      <c r="Q154" s="94"/>
      <c r="R154" s="93"/>
      <c r="S154" s="85"/>
      <c r="U154" s="94"/>
      <c r="V154" s="93"/>
      <c r="W154" s="85"/>
      <c r="Y154" s="94"/>
      <c r="Z154" s="93"/>
      <c r="AA154" s="85"/>
      <c r="AC154" s="94"/>
      <c r="AD154" s="93"/>
      <c r="AE154" s="85"/>
    </row>
    <row r="155" spans="6:31" x14ac:dyDescent="0.35">
      <c r="F155" s="93"/>
      <c r="G155" s="85"/>
      <c r="H155" s="87"/>
      <c r="I155" s="94"/>
      <c r="J155" s="93"/>
      <c r="K155" s="85"/>
      <c r="M155" s="94"/>
      <c r="N155" s="93"/>
      <c r="O155" s="85"/>
      <c r="Q155" s="94"/>
      <c r="R155" s="93"/>
      <c r="S155" s="85"/>
      <c r="U155" s="94"/>
      <c r="V155" s="93"/>
      <c r="W155" s="85"/>
      <c r="Y155" s="94"/>
      <c r="Z155" s="93"/>
      <c r="AA155" s="85"/>
      <c r="AC155" s="94"/>
      <c r="AD155" s="93"/>
      <c r="AE155" s="85"/>
    </row>
    <row r="156" spans="6:31" x14ac:dyDescent="0.35">
      <c r="F156" s="93"/>
      <c r="G156" s="85"/>
      <c r="H156" s="87"/>
      <c r="I156" s="94"/>
      <c r="J156" s="93"/>
      <c r="K156" s="85"/>
      <c r="M156" s="94"/>
      <c r="N156" s="93"/>
      <c r="O156" s="85"/>
      <c r="Q156" s="94"/>
      <c r="R156" s="93"/>
      <c r="S156" s="85"/>
      <c r="U156" s="94"/>
      <c r="V156" s="93"/>
      <c r="W156" s="85"/>
      <c r="Y156" s="94"/>
      <c r="Z156" s="93"/>
      <c r="AA156" s="85"/>
      <c r="AC156" s="94"/>
      <c r="AD156" s="93"/>
      <c r="AE156" s="85"/>
    </row>
    <row r="157" spans="6:31" x14ac:dyDescent="0.35">
      <c r="F157" s="93"/>
      <c r="G157" s="85"/>
      <c r="H157" s="87"/>
      <c r="I157" s="94"/>
      <c r="J157" s="93"/>
      <c r="K157" s="85"/>
      <c r="M157" s="94"/>
      <c r="N157" s="93"/>
      <c r="O157" s="85"/>
      <c r="Q157" s="94"/>
      <c r="R157" s="93"/>
      <c r="S157" s="85"/>
      <c r="U157" s="94"/>
      <c r="V157" s="93"/>
      <c r="W157" s="85"/>
      <c r="Y157" s="94"/>
      <c r="Z157" s="93"/>
      <c r="AA157" s="85"/>
      <c r="AC157" s="94"/>
      <c r="AD157" s="93"/>
      <c r="AE157" s="85"/>
    </row>
    <row r="158" spans="6:31" x14ac:dyDescent="0.35">
      <c r="F158" s="93"/>
      <c r="G158" s="85"/>
      <c r="H158" s="87"/>
      <c r="I158" s="94"/>
      <c r="J158" s="93"/>
      <c r="K158" s="85"/>
      <c r="M158" s="94"/>
      <c r="N158" s="93"/>
      <c r="O158" s="85"/>
      <c r="Q158" s="94"/>
      <c r="R158" s="93"/>
      <c r="S158" s="85"/>
      <c r="U158" s="94"/>
      <c r="V158" s="93"/>
      <c r="W158" s="85"/>
      <c r="Y158" s="94"/>
      <c r="Z158" s="93"/>
      <c r="AA158" s="85"/>
      <c r="AC158" s="94"/>
      <c r="AD158" s="93"/>
      <c r="AE158" s="85"/>
    </row>
    <row r="159" spans="6:31" x14ac:dyDescent="0.35">
      <c r="F159" s="93"/>
      <c r="G159" s="85"/>
      <c r="H159" s="87"/>
      <c r="I159" s="94"/>
      <c r="J159" s="93"/>
      <c r="K159" s="85"/>
      <c r="M159" s="94"/>
      <c r="N159" s="93"/>
      <c r="O159" s="85"/>
      <c r="Q159" s="94"/>
      <c r="R159" s="93"/>
      <c r="S159" s="85"/>
      <c r="U159" s="94"/>
      <c r="V159" s="93"/>
      <c r="W159" s="85"/>
      <c r="Y159" s="94"/>
      <c r="Z159" s="93"/>
      <c r="AA159" s="85"/>
      <c r="AC159" s="94"/>
      <c r="AD159" s="93"/>
      <c r="AE159" s="85"/>
    </row>
    <row r="160" spans="6:31" x14ac:dyDescent="0.35">
      <c r="F160" s="93"/>
      <c r="G160" s="85"/>
      <c r="H160" s="87"/>
      <c r="I160" s="94"/>
      <c r="J160" s="93"/>
      <c r="K160" s="85"/>
      <c r="M160" s="94"/>
      <c r="N160" s="93"/>
      <c r="O160" s="85"/>
      <c r="Q160" s="94"/>
      <c r="R160" s="93"/>
      <c r="S160" s="85"/>
      <c r="U160" s="94"/>
      <c r="V160" s="93"/>
      <c r="W160" s="85"/>
      <c r="Y160" s="94"/>
      <c r="Z160" s="93"/>
      <c r="AA160" s="85"/>
      <c r="AC160" s="94"/>
      <c r="AD160" s="93"/>
      <c r="AE160" s="85"/>
    </row>
    <row r="161" spans="6:31" x14ac:dyDescent="0.35">
      <c r="F161" s="93"/>
      <c r="G161" s="85"/>
      <c r="H161" s="87"/>
      <c r="I161" s="94"/>
      <c r="J161" s="93"/>
      <c r="K161" s="85"/>
      <c r="M161" s="94"/>
      <c r="N161" s="93"/>
      <c r="O161" s="85"/>
      <c r="Q161" s="94"/>
      <c r="R161" s="93"/>
      <c r="S161" s="85"/>
      <c r="U161" s="94"/>
      <c r="V161" s="93"/>
      <c r="W161" s="85"/>
      <c r="Y161" s="94"/>
      <c r="Z161" s="93"/>
      <c r="AA161" s="85"/>
      <c r="AC161" s="94"/>
      <c r="AD161" s="93"/>
      <c r="AE161" s="85"/>
    </row>
    <row r="162" spans="6:31" x14ac:dyDescent="0.35">
      <c r="F162" s="93"/>
      <c r="G162" s="85"/>
      <c r="H162" s="87"/>
      <c r="I162" s="94"/>
      <c r="J162" s="93"/>
      <c r="K162" s="85"/>
      <c r="M162" s="94"/>
      <c r="N162" s="93"/>
      <c r="O162" s="85"/>
      <c r="Q162" s="94"/>
      <c r="R162" s="93"/>
      <c r="S162" s="85"/>
      <c r="U162" s="94"/>
      <c r="V162" s="93"/>
      <c r="W162" s="85"/>
      <c r="Y162" s="94"/>
      <c r="Z162" s="93"/>
      <c r="AA162" s="85"/>
      <c r="AC162" s="94"/>
      <c r="AD162" s="93"/>
      <c r="AE162" s="85"/>
    </row>
    <row r="163" spans="6:31" x14ac:dyDescent="0.35">
      <c r="F163" s="93"/>
      <c r="G163" s="85"/>
      <c r="H163" s="87"/>
      <c r="I163" s="94"/>
      <c r="J163" s="93"/>
      <c r="K163" s="85"/>
      <c r="M163" s="94"/>
      <c r="N163" s="93"/>
      <c r="O163" s="85"/>
      <c r="Q163" s="94"/>
      <c r="R163" s="93"/>
      <c r="S163" s="85"/>
      <c r="U163" s="94"/>
      <c r="V163" s="93"/>
      <c r="W163" s="85"/>
      <c r="Y163" s="94"/>
      <c r="Z163" s="93"/>
      <c r="AA163" s="85"/>
      <c r="AC163" s="94"/>
      <c r="AD163" s="93"/>
      <c r="AE163" s="85"/>
    </row>
    <row r="164" spans="6:31" x14ac:dyDescent="0.35">
      <c r="F164" s="93"/>
      <c r="G164" s="85"/>
      <c r="H164" s="87"/>
      <c r="I164" s="94"/>
      <c r="J164" s="93"/>
      <c r="K164" s="85"/>
      <c r="M164" s="94"/>
      <c r="N164" s="93"/>
      <c r="O164" s="85"/>
      <c r="Q164" s="94"/>
      <c r="R164" s="93"/>
      <c r="S164" s="85"/>
      <c r="U164" s="94"/>
      <c r="V164" s="93"/>
      <c r="W164" s="85"/>
      <c r="Y164" s="94"/>
      <c r="Z164" s="93"/>
      <c r="AA164" s="85"/>
      <c r="AC164" s="94"/>
      <c r="AD164" s="93"/>
      <c r="AE164" s="85"/>
    </row>
    <row r="165" spans="6:31" x14ac:dyDescent="0.35">
      <c r="F165" s="93"/>
      <c r="G165" s="85"/>
      <c r="H165" s="87"/>
      <c r="I165" s="94"/>
      <c r="J165" s="93"/>
      <c r="K165" s="85"/>
      <c r="M165" s="94"/>
      <c r="N165" s="93"/>
      <c r="O165" s="85"/>
      <c r="Q165" s="94"/>
      <c r="R165" s="93"/>
      <c r="S165" s="85"/>
      <c r="U165" s="94"/>
      <c r="V165" s="93"/>
      <c r="W165" s="85"/>
      <c r="Y165" s="94"/>
      <c r="Z165" s="93"/>
      <c r="AA165" s="85"/>
      <c r="AC165" s="94"/>
      <c r="AD165" s="93"/>
      <c r="AE165" s="85"/>
    </row>
    <row r="166" spans="6:31" x14ac:dyDescent="0.35">
      <c r="F166" s="93"/>
      <c r="G166" s="85"/>
      <c r="H166" s="87"/>
      <c r="I166" s="94"/>
      <c r="J166" s="93"/>
      <c r="K166" s="85"/>
      <c r="M166" s="94"/>
      <c r="N166" s="93"/>
      <c r="O166" s="85"/>
      <c r="Q166" s="94"/>
      <c r="R166" s="93"/>
      <c r="S166" s="85"/>
      <c r="U166" s="94"/>
      <c r="V166" s="93"/>
      <c r="W166" s="85"/>
      <c r="Y166" s="94"/>
      <c r="Z166" s="93"/>
      <c r="AA166" s="85"/>
      <c r="AC166" s="94"/>
      <c r="AD166" s="93"/>
      <c r="AE166" s="85"/>
    </row>
    <row r="167" spans="6:31" x14ac:dyDescent="0.35">
      <c r="F167" s="93"/>
      <c r="G167" s="85"/>
      <c r="H167" s="87"/>
      <c r="I167" s="94"/>
      <c r="J167" s="93"/>
      <c r="K167" s="85"/>
      <c r="M167" s="94"/>
      <c r="N167" s="93"/>
      <c r="O167" s="85"/>
      <c r="Q167" s="94"/>
      <c r="R167" s="93"/>
      <c r="S167" s="85"/>
      <c r="U167" s="94"/>
      <c r="V167" s="93"/>
      <c r="W167" s="85"/>
      <c r="Y167" s="94"/>
      <c r="Z167" s="93"/>
      <c r="AA167" s="85"/>
      <c r="AC167" s="94"/>
      <c r="AD167" s="93"/>
      <c r="AE167" s="85"/>
    </row>
    <row r="168" spans="6:31" x14ac:dyDescent="0.35">
      <c r="F168" s="93"/>
      <c r="G168" s="85"/>
      <c r="H168" s="87"/>
      <c r="I168" s="94"/>
      <c r="J168" s="93"/>
      <c r="K168" s="85"/>
      <c r="M168" s="94"/>
      <c r="N168" s="93"/>
      <c r="O168" s="85"/>
      <c r="Q168" s="94"/>
      <c r="R168" s="93"/>
      <c r="S168" s="85"/>
      <c r="U168" s="94"/>
      <c r="V168" s="93"/>
      <c r="W168" s="85"/>
      <c r="Y168" s="94"/>
      <c r="Z168" s="93"/>
      <c r="AA168" s="85"/>
      <c r="AC168" s="94"/>
      <c r="AD168" s="93"/>
      <c r="AE168" s="85"/>
    </row>
    <row r="169" spans="6:31" x14ac:dyDescent="0.35">
      <c r="F169" s="93"/>
      <c r="G169" s="85"/>
      <c r="H169" s="87"/>
      <c r="I169" s="94"/>
      <c r="J169" s="93"/>
      <c r="K169" s="85"/>
      <c r="M169" s="94"/>
      <c r="N169" s="93"/>
      <c r="O169" s="85"/>
      <c r="Q169" s="94"/>
      <c r="R169" s="93"/>
      <c r="S169" s="85"/>
      <c r="U169" s="94"/>
      <c r="V169" s="93"/>
      <c r="W169" s="85"/>
      <c r="Y169" s="94"/>
      <c r="Z169" s="93"/>
      <c r="AA169" s="85"/>
      <c r="AC169" s="94"/>
      <c r="AD169" s="93"/>
      <c r="AE169" s="85"/>
    </row>
    <row r="170" spans="6:31" x14ac:dyDescent="0.35">
      <c r="F170" s="93"/>
      <c r="G170" s="85"/>
      <c r="H170" s="87"/>
      <c r="I170" s="94"/>
      <c r="J170" s="93"/>
      <c r="K170" s="85"/>
      <c r="M170" s="94"/>
      <c r="N170" s="93"/>
      <c r="O170" s="85"/>
      <c r="Q170" s="94"/>
      <c r="R170" s="93"/>
      <c r="S170" s="85"/>
      <c r="U170" s="94"/>
      <c r="V170" s="93"/>
      <c r="W170" s="85"/>
      <c r="Y170" s="94"/>
      <c r="Z170" s="93"/>
      <c r="AA170" s="85"/>
      <c r="AC170" s="94"/>
      <c r="AD170" s="93"/>
      <c r="AE170" s="85"/>
    </row>
    <row r="171" spans="6:31" x14ac:dyDescent="0.35">
      <c r="F171" s="93"/>
      <c r="G171" s="85"/>
      <c r="H171" s="87"/>
      <c r="I171" s="94"/>
      <c r="J171" s="93"/>
      <c r="K171" s="85"/>
      <c r="M171" s="94"/>
      <c r="N171" s="93"/>
      <c r="O171" s="85"/>
      <c r="Q171" s="94"/>
      <c r="R171" s="93"/>
      <c r="S171" s="85"/>
      <c r="U171" s="94"/>
      <c r="V171" s="93"/>
      <c r="W171" s="85"/>
      <c r="Y171" s="94"/>
      <c r="Z171" s="93"/>
      <c r="AA171" s="85"/>
      <c r="AC171" s="94"/>
      <c r="AD171" s="93"/>
      <c r="AE171" s="85"/>
    </row>
    <row r="172" spans="6:31" x14ac:dyDescent="0.35">
      <c r="F172" s="93"/>
      <c r="G172" s="85"/>
      <c r="H172" s="87"/>
      <c r="I172" s="94"/>
      <c r="J172" s="93"/>
      <c r="K172" s="85"/>
      <c r="M172" s="94"/>
      <c r="N172" s="93"/>
      <c r="O172" s="85"/>
      <c r="Q172" s="94"/>
      <c r="R172" s="93"/>
      <c r="S172" s="85"/>
      <c r="U172" s="94"/>
      <c r="V172" s="93"/>
      <c r="W172" s="85"/>
      <c r="Y172" s="94"/>
      <c r="Z172" s="93"/>
      <c r="AA172" s="85"/>
      <c r="AC172" s="94"/>
      <c r="AD172" s="93"/>
      <c r="AE172" s="85"/>
    </row>
    <row r="173" spans="6:31" x14ac:dyDescent="0.35">
      <c r="F173" s="93"/>
      <c r="G173" s="85"/>
      <c r="H173" s="87"/>
      <c r="I173" s="94"/>
      <c r="J173" s="93"/>
      <c r="K173" s="85"/>
      <c r="M173" s="94"/>
      <c r="N173" s="93"/>
      <c r="O173" s="85"/>
      <c r="Q173" s="94"/>
      <c r="R173" s="93"/>
      <c r="S173" s="85"/>
      <c r="U173" s="94"/>
      <c r="V173" s="93"/>
      <c r="W173" s="85"/>
      <c r="Y173" s="94"/>
      <c r="Z173" s="93"/>
      <c r="AA173" s="85"/>
      <c r="AC173" s="94"/>
      <c r="AD173" s="93"/>
      <c r="AE173" s="85"/>
    </row>
    <row r="174" spans="6:31" x14ac:dyDescent="0.35">
      <c r="F174" s="93"/>
      <c r="G174" s="85"/>
      <c r="H174" s="87"/>
      <c r="I174" s="94"/>
      <c r="J174" s="93"/>
      <c r="K174" s="85"/>
      <c r="M174" s="94"/>
      <c r="N174" s="93"/>
      <c r="O174" s="85"/>
      <c r="Q174" s="94"/>
      <c r="R174" s="93"/>
      <c r="S174" s="85"/>
      <c r="U174" s="94"/>
      <c r="V174" s="93"/>
      <c r="W174" s="85"/>
      <c r="Y174" s="94"/>
      <c r="Z174" s="93"/>
      <c r="AA174" s="85"/>
      <c r="AC174" s="94"/>
      <c r="AD174" s="93"/>
      <c r="AE174" s="85"/>
    </row>
    <row r="175" spans="6:31" x14ac:dyDescent="0.35">
      <c r="F175" s="93"/>
      <c r="G175" s="85"/>
      <c r="H175" s="87"/>
      <c r="I175" s="94"/>
      <c r="J175" s="93"/>
      <c r="K175" s="85"/>
      <c r="M175" s="94"/>
      <c r="N175" s="93"/>
      <c r="O175" s="85"/>
      <c r="Q175" s="94"/>
      <c r="R175" s="93"/>
      <c r="S175" s="85"/>
      <c r="U175" s="94"/>
      <c r="V175" s="93"/>
      <c r="W175" s="85"/>
      <c r="Y175" s="94"/>
      <c r="Z175" s="93"/>
      <c r="AA175" s="85"/>
      <c r="AC175" s="94"/>
      <c r="AD175" s="93"/>
      <c r="AE175" s="85"/>
    </row>
    <row r="176" spans="6:31" x14ac:dyDescent="0.35">
      <c r="F176" s="93"/>
      <c r="G176" s="85"/>
      <c r="H176" s="87"/>
      <c r="I176" s="94"/>
      <c r="J176" s="93"/>
      <c r="K176" s="85"/>
      <c r="M176" s="94"/>
      <c r="N176" s="93"/>
      <c r="O176" s="85"/>
      <c r="Q176" s="94"/>
      <c r="R176" s="93"/>
      <c r="S176" s="85"/>
      <c r="U176" s="94"/>
      <c r="V176" s="93"/>
      <c r="W176" s="85"/>
      <c r="Y176" s="94"/>
      <c r="Z176" s="93"/>
      <c r="AA176" s="85"/>
      <c r="AC176" s="94"/>
      <c r="AD176" s="93"/>
      <c r="AE176" s="85"/>
    </row>
    <row r="177" spans="6:31" x14ac:dyDescent="0.35">
      <c r="F177" s="93"/>
      <c r="G177" s="85"/>
      <c r="H177" s="87"/>
      <c r="I177" s="94"/>
      <c r="J177" s="93"/>
      <c r="K177" s="85"/>
      <c r="M177" s="94"/>
      <c r="N177" s="93"/>
      <c r="O177" s="85"/>
      <c r="Q177" s="94"/>
      <c r="R177" s="93"/>
      <c r="S177" s="85"/>
      <c r="U177" s="94"/>
      <c r="V177" s="93"/>
      <c r="W177" s="85"/>
      <c r="Y177" s="94"/>
      <c r="Z177" s="93"/>
      <c r="AA177" s="85"/>
      <c r="AC177" s="94"/>
      <c r="AD177" s="93"/>
      <c r="AE177" s="85"/>
    </row>
    <row r="178" spans="6:31" x14ac:dyDescent="0.35">
      <c r="F178" s="93"/>
      <c r="G178" s="85"/>
      <c r="H178" s="87"/>
      <c r="I178" s="94"/>
      <c r="J178" s="93"/>
      <c r="K178" s="85"/>
      <c r="M178" s="94"/>
      <c r="N178" s="93"/>
      <c r="O178" s="85"/>
      <c r="Q178" s="94"/>
      <c r="R178" s="93"/>
      <c r="S178" s="85"/>
      <c r="U178" s="94"/>
      <c r="V178" s="93"/>
      <c r="W178" s="85"/>
      <c r="Y178" s="94"/>
      <c r="Z178" s="93"/>
      <c r="AA178" s="85"/>
      <c r="AC178" s="94"/>
      <c r="AD178" s="93"/>
      <c r="AE178" s="85"/>
    </row>
    <row r="179" spans="6:31" x14ac:dyDescent="0.35">
      <c r="F179" s="93"/>
      <c r="G179" s="85"/>
      <c r="H179" s="87"/>
      <c r="I179" s="94"/>
      <c r="J179" s="93"/>
      <c r="K179" s="85"/>
      <c r="M179" s="94"/>
      <c r="N179" s="93"/>
      <c r="O179" s="85"/>
      <c r="Q179" s="94"/>
      <c r="R179" s="93"/>
      <c r="S179" s="85"/>
      <c r="U179" s="94"/>
      <c r="V179" s="93"/>
      <c r="W179" s="85"/>
      <c r="Y179" s="94"/>
      <c r="Z179" s="93"/>
      <c r="AA179" s="85"/>
      <c r="AC179" s="94"/>
      <c r="AD179" s="93"/>
      <c r="AE179" s="85"/>
    </row>
    <row r="180" spans="6:31" x14ac:dyDescent="0.35">
      <c r="F180" s="93"/>
      <c r="G180" s="85"/>
      <c r="H180" s="87"/>
      <c r="I180" s="94"/>
      <c r="J180" s="93"/>
      <c r="K180" s="85"/>
      <c r="M180" s="94"/>
      <c r="N180" s="93"/>
      <c r="O180" s="85"/>
      <c r="Q180" s="94"/>
      <c r="R180" s="93"/>
      <c r="S180" s="85"/>
      <c r="U180" s="94"/>
      <c r="V180" s="93"/>
      <c r="W180" s="85"/>
      <c r="Y180" s="94"/>
      <c r="Z180" s="93"/>
      <c r="AA180" s="85"/>
      <c r="AC180" s="94"/>
      <c r="AD180" s="93"/>
      <c r="AE180" s="85"/>
    </row>
    <row r="181" spans="6:31" x14ac:dyDescent="0.35">
      <c r="F181" s="93"/>
      <c r="G181" s="85"/>
      <c r="H181" s="87"/>
      <c r="I181" s="94"/>
      <c r="J181" s="93"/>
      <c r="K181" s="85"/>
      <c r="M181" s="94"/>
      <c r="N181" s="93"/>
      <c r="O181" s="85"/>
      <c r="Q181" s="94"/>
      <c r="R181" s="93"/>
      <c r="S181" s="85"/>
      <c r="U181" s="94"/>
      <c r="V181" s="93"/>
      <c r="W181" s="85"/>
      <c r="Y181" s="94"/>
      <c r="Z181" s="93"/>
      <c r="AA181" s="85"/>
      <c r="AC181" s="94"/>
      <c r="AD181" s="93"/>
      <c r="AE181" s="85"/>
    </row>
    <row r="182" spans="6:31" x14ac:dyDescent="0.35">
      <c r="F182" s="93"/>
      <c r="G182" s="85"/>
      <c r="H182" s="87"/>
      <c r="I182" s="94"/>
      <c r="J182" s="93"/>
      <c r="K182" s="85"/>
      <c r="M182" s="94"/>
      <c r="N182" s="93"/>
      <c r="O182" s="85"/>
      <c r="Q182" s="94"/>
      <c r="R182" s="93"/>
      <c r="S182" s="85"/>
      <c r="U182" s="94"/>
      <c r="V182" s="93"/>
      <c r="W182" s="85"/>
      <c r="Y182" s="94"/>
      <c r="Z182" s="93"/>
      <c r="AA182" s="85"/>
      <c r="AC182" s="94"/>
      <c r="AD182" s="93"/>
      <c r="AE182" s="85"/>
    </row>
    <row r="183" spans="6:31" x14ac:dyDescent="0.35">
      <c r="F183" s="93"/>
      <c r="G183" s="85"/>
      <c r="H183" s="87"/>
      <c r="I183" s="94"/>
      <c r="J183" s="93"/>
      <c r="K183" s="85"/>
      <c r="M183" s="94"/>
      <c r="N183" s="93"/>
      <c r="O183" s="85"/>
      <c r="Q183" s="94"/>
      <c r="R183" s="93"/>
      <c r="S183" s="85"/>
      <c r="U183" s="94"/>
      <c r="V183" s="93"/>
      <c r="W183" s="85"/>
      <c r="Y183" s="94"/>
      <c r="Z183" s="93"/>
      <c r="AA183" s="85"/>
      <c r="AC183" s="94"/>
      <c r="AD183" s="93"/>
      <c r="AE183" s="85"/>
    </row>
    <row r="184" spans="6:31" x14ac:dyDescent="0.35">
      <c r="F184" s="93"/>
      <c r="G184" s="85"/>
      <c r="H184" s="87"/>
      <c r="I184" s="94"/>
      <c r="J184" s="93"/>
      <c r="K184" s="85"/>
      <c r="M184" s="94"/>
      <c r="N184" s="93"/>
      <c r="O184" s="85"/>
      <c r="Q184" s="94"/>
      <c r="R184" s="93"/>
      <c r="S184" s="85"/>
      <c r="U184" s="94"/>
      <c r="V184" s="93"/>
      <c r="W184" s="85"/>
      <c r="Y184" s="94"/>
      <c r="Z184" s="93"/>
      <c r="AA184" s="85"/>
      <c r="AC184" s="94"/>
      <c r="AD184" s="93"/>
      <c r="AE184" s="85"/>
    </row>
    <row r="185" spans="6:31" x14ac:dyDescent="0.35">
      <c r="F185" s="93"/>
      <c r="G185" s="85"/>
      <c r="H185" s="87"/>
      <c r="I185" s="94"/>
      <c r="J185" s="93"/>
      <c r="K185" s="85"/>
      <c r="M185" s="94"/>
      <c r="N185" s="93"/>
      <c r="O185" s="85"/>
      <c r="Q185" s="94"/>
      <c r="R185" s="93"/>
      <c r="S185" s="85"/>
      <c r="U185" s="94"/>
      <c r="V185" s="93"/>
      <c r="W185" s="85"/>
      <c r="Y185" s="94"/>
      <c r="Z185" s="93"/>
      <c r="AA185" s="85"/>
      <c r="AC185" s="94"/>
      <c r="AD185" s="93"/>
      <c r="AE185" s="85"/>
    </row>
    <row r="186" spans="6:31" x14ac:dyDescent="0.35">
      <c r="F186" s="93"/>
      <c r="G186" s="85"/>
      <c r="H186" s="87"/>
      <c r="I186" s="94"/>
      <c r="J186" s="93"/>
      <c r="K186" s="85"/>
      <c r="M186" s="94"/>
      <c r="N186" s="93"/>
      <c r="O186" s="85"/>
      <c r="Q186" s="94"/>
      <c r="R186" s="93"/>
      <c r="S186" s="85"/>
      <c r="U186" s="94"/>
      <c r="V186" s="93"/>
      <c r="W186" s="85"/>
      <c r="Y186" s="94"/>
      <c r="Z186" s="93"/>
      <c r="AA186" s="85"/>
      <c r="AC186" s="94"/>
      <c r="AD186" s="93"/>
      <c r="AE186" s="85"/>
    </row>
    <row r="187" spans="6:31" x14ac:dyDescent="0.35">
      <c r="F187" s="93"/>
      <c r="G187" s="85"/>
      <c r="H187" s="87"/>
      <c r="I187" s="94"/>
      <c r="J187" s="93"/>
      <c r="K187" s="85"/>
      <c r="M187" s="94"/>
      <c r="N187" s="93"/>
      <c r="O187" s="85"/>
      <c r="Q187" s="94"/>
      <c r="R187" s="93"/>
      <c r="S187" s="85"/>
      <c r="U187" s="94"/>
      <c r="V187" s="93"/>
      <c r="W187" s="85"/>
      <c r="Y187" s="94"/>
      <c r="Z187" s="93"/>
      <c r="AA187" s="85"/>
      <c r="AC187" s="94"/>
      <c r="AD187" s="93"/>
      <c r="AE187" s="85"/>
    </row>
    <row r="188" spans="6:31" x14ac:dyDescent="0.35">
      <c r="F188" s="93"/>
      <c r="G188" s="85"/>
      <c r="H188" s="87"/>
      <c r="I188" s="94"/>
      <c r="J188" s="93"/>
      <c r="K188" s="85"/>
      <c r="M188" s="94"/>
      <c r="N188" s="93"/>
      <c r="O188" s="85"/>
      <c r="Q188" s="94"/>
      <c r="R188" s="93"/>
      <c r="S188" s="85"/>
      <c r="U188" s="94"/>
      <c r="V188" s="93"/>
      <c r="W188" s="85"/>
      <c r="Y188" s="94"/>
      <c r="Z188" s="93"/>
      <c r="AA188" s="85"/>
      <c r="AC188" s="94"/>
      <c r="AD188" s="93"/>
      <c r="AE188" s="85"/>
    </row>
    <row r="189" spans="6:31" x14ac:dyDescent="0.35">
      <c r="F189" s="93"/>
      <c r="G189" s="85"/>
      <c r="H189" s="87"/>
      <c r="I189" s="94"/>
      <c r="J189" s="93"/>
      <c r="K189" s="85"/>
      <c r="M189" s="94"/>
      <c r="N189" s="93"/>
      <c r="O189" s="85"/>
      <c r="Q189" s="94"/>
      <c r="R189" s="93"/>
      <c r="S189" s="85"/>
      <c r="U189" s="94"/>
      <c r="V189" s="93"/>
      <c r="W189" s="85"/>
      <c r="Y189" s="94"/>
      <c r="Z189" s="93"/>
      <c r="AA189" s="85"/>
      <c r="AC189" s="94"/>
      <c r="AD189" s="93"/>
      <c r="AE189" s="85"/>
    </row>
    <row r="190" spans="6:31" x14ac:dyDescent="0.35">
      <c r="F190" s="93"/>
      <c r="G190" s="85"/>
      <c r="H190" s="87"/>
      <c r="I190" s="94"/>
      <c r="J190" s="93"/>
      <c r="K190" s="85"/>
      <c r="M190" s="94"/>
      <c r="N190" s="93"/>
      <c r="O190" s="85"/>
      <c r="Q190" s="94"/>
      <c r="R190" s="93"/>
      <c r="S190" s="85"/>
      <c r="U190" s="94"/>
      <c r="V190" s="93"/>
      <c r="W190" s="85"/>
      <c r="Y190" s="94"/>
      <c r="Z190" s="93"/>
      <c r="AA190" s="85"/>
      <c r="AC190" s="94"/>
      <c r="AD190" s="93"/>
      <c r="AE190" s="85"/>
    </row>
    <row r="191" spans="6:31" x14ac:dyDescent="0.35">
      <c r="F191" s="93"/>
      <c r="G191" s="85"/>
      <c r="H191" s="87"/>
      <c r="I191" s="94"/>
      <c r="J191" s="93"/>
      <c r="K191" s="85"/>
      <c r="M191" s="94"/>
      <c r="N191" s="93"/>
      <c r="O191" s="85"/>
      <c r="Q191" s="94"/>
      <c r="R191" s="93"/>
      <c r="S191" s="85"/>
      <c r="U191" s="94"/>
      <c r="V191" s="93"/>
      <c r="W191" s="85"/>
      <c r="Y191" s="94"/>
      <c r="Z191" s="93"/>
      <c r="AA191" s="85"/>
      <c r="AC191" s="94"/>
      <c r="AD191" s="93"/>
      <c r="AE191" s="85"/>
    </row>
    <row r="192" spans="6:31" x14ac:dyDescent="0.35">
      <c r="F192" s="93"/>
      <c r="G192" s="85"/>
      <c r="H192" s="87"/>
      <c r="I192" s="94"/>
      <c r="J192" s="93"/>
      <c r="K192" s="85"/>
      <c r="M192" s="94"/>
      <c r="N192" s="93"/>
      <c r="O192" s="85"/>
      <c r="Q192" s="94"/>
      <c r="R192" s="93"/>
      <c r="S192" s="85"/>
      <c r="U192" s="94"/>
      <c r="V192" s="93"/>
      <c r="W192" s="85"/>
      <c r="Y192" s="94"/>
      <c r="Z192" s="93"/>
      <c r="AA192" s="85"/>
      <c r="AC192" s="94"/>
      <c r="AD192" s="93"/>
      <c r="AE192" s="85"/>
    </row>
    <row r="193" spans="6:31" x14ac:dyDescent="0.35">
      <c r="F193" s="93"/>
      <c r="G193" s="85"/>
      <c r="H193" s="87"/>
      <c r="I193" s="94"/>
      <c r="J193" s="93"/>
      <c r="K193" s="85"/>
      <c r="M193" s="94"/>
      <c r="N193" s="93"/>
      <c r="O193" s="85"/>
      <c r="Q193" s="94"/>
      <c r="R193" s="93"/>
      <c r="S193" s="85"/>
      <c r="U193" s="94"/>
      <c r="V193" s="93"/>
      <c r="W193" s="85"/>
      <c r="Y193" s="94"/>
      <c r="Z193" s="93"/>
      <c r="AA193" s="85"/>
      <c r="AC193" s="94"/>
      <c r="AD193" s="93"/>
      <c r="AE193" s="85"/>
    </row>
    <row r="194" spans="6:31" x14ac:dyDescent="0.35">
      <c r="F194" s="93"/>
      <c r="G194" s="85"/>
      <c r="H194" s="87"/>
      <c r="I194" s="94"/>
      <c r="J194" s="93"/>
      <c r="K194" s="85"/>
      <c r="M194" s="94"/>
      <c r="N194" s="93"/>
      <c r="O194" s="85"/>
      <c r="Q194" s="94"/>
      <c r="R194" s="93"/>
      <c r="S194" s="85"/>
      <c r="U194" s="94"/>
      <c r="V194" s="93"/>
      <c r="W194" s="85"/>
      <c r="Y194" s="94"/>
      <c r="Z194" s="93"/>
      <c r="AA194" s="85"/>
      <c r="AC194" s="94"/>
      <c r="AD194" s="93"/>
      <c r="AE194" s="85"/>
    </row>
    <row r="195" spans="6:31" x14ac:dyDescent="0.35">
      <c r="F195" s="93"/>
      <c r="G195" s="85"/>
      <c r="H195" s="87"/>
      <c r="I195" s="94"/>
      <c r="J195" s="93"/>
      <c r="K195" s="85"/>
      <c r="M195" s="94"/>
      <c r="N195" s="93"/>
      <c r="O195" s="85"/>
      <c r="Q195" s="94"/>
      <c r="R195" s="93"/>
      <c r="S195" s="85"/>
      <c r="U195" s="94"/>
      <c r="V195" s="93"/>
      <c r="W195" s="85"/>
      <c r="Y195" s="94"/>
      <c r="Z195" s="93"/>
      <c r="AA195" s="85"/>
      <c r="AC195" s="94"/>
      <c r="AD195" s="93"/>
      <c r="AE195" s="85"/>
    </row>
    <row r="196" spans="6:31" x14ac:dyDescent="0.35">
      <c r="F196" s="93"/>
      <c r="G196" s="85"/>
      <c r="H196" s="87"/>
      <c r="I196" s="94"/>
      <c r="J196" s="93"/>
      <c r="K196" s="85"/>
      <c r="M196" s="94"/>
      <c r="N196" s="93"/>
      <c r="O196" s="85"/>
      <c r="Q196" s="94"/>
      <c r="R196" s="93"/>
      <c r="S196" s="85"/>
      <c r="U196" s="94"/>
      <c r="V196" s="93"/>
      <c r="W196" s="85"/>
      <c r="Y196" s="94"/>
      <c r="Z196" s="93"/>
      <c r="AA196" s="85"/>
      <c r="AC196" s="94"/>
      <c r="AD196" s="93"/>
      <c r="AE196" s="85"/>
    </row>
    <row r="197" spans="6:31" x14ac:dyDescent="0.35">
      <c r="F197" s="93"/>
      <c r="G197" s="85"/>
      <c r="H197" s="87"/>
      <c r="I197" s="94"/>
      <c r="J197" s="93"/>
      <c r="K197" s="85"/>
      <c r="M197" s="94"/>
      <c r="N197" s="93"/>
      <c r="O197" s="85"/>
      <c r="Q197" s="94"/>
      <c r="R197" s="93"/>
      <c r="S197" s="85"/>
      <c r="U197" s="94"/>
      <c r="V197" s="93"/>
      <c r="W197" s="85"/>
      <c r="Y197" s="94"/>
      <c r="Z197" s="93"/>
      <c r="AA197" s="85"/>
      <c r="AC197" s="94"/>
      <c r="AD197" s="93"/>
      <c r="AE197" s="85"/>
    </row>
    <row r="198" spans="6:31" x14ac:dyDescent="0.35">
      <c r="F198" s="93"/>
      <c r="G198" s="85"/>
      <c r="H198" s="87"/>
      <c r="I198" s="94"/>
      <c r="J198" s="93"/>
      <c r="K198" s="85"/>
      <c r="M198" s="94"/>
      <c r="N198" s="93"/>
      <c r="O198" s="85"/>
      <c r="Q198" s="94"/>
      <c r="R198" s="93"/>
      <c r="S198" s="85"/>
      <c r="U198" s="94"/>
      <c r="V198" s="93"/>
      <c r="W198" s="85"/>
      <c r="Y198" s="94"/>
      <c r="Z198" s="93"/>
      <c r="AA198" s="85"/>
      <c r="AC198" s="94"/>
      <c r="AD198" s="93"/>
      <c r="AE198" s="85"/>
    </row>
    <row r="199" spans="6:31" x14ac:dyDescent="0.35">
      <c r="F199" s="93"/>
      <c r="G199" s="85"/>
      <c r="H199" s="87"/>
      <c r="I199" s="94"/>
      <c r="J199" s="93"/>
      <c r="K199" s="85"/>
      <c r="M199" s="94"/>
      <c r="N199" s="93"/>
      <c r="O199" s="85"/>
      <c r="Q199" s="94"/>
      <c r="R199" s="93"/>
      <c r="S199" s="85"/>
      <c r="U199" s="94"/>
      <c r="V199" s="93"/>
      <c r="W199" s="85"/>
      <c r="Y199" s="94"/>
      <c r="Z199" s="93"/>
      <c r="AA199" s="85"/>
      <c r="AC199" s="94"/>
      <c r="AD199" s="93"/>
      <c r="AE199" s="85"/>
    </row>
    <row r="200" spans="6:31" x14ac:dyDescent="0.35">
      <c r="F200" s="93"/>
      <c r="G200" s="85"/>
      <c r="H200" s="87"/>
      <c r="I200" s="94"/>
      <c r="J200" s="93"/>
      <c r="K200" s="85"/>
      <c r="M200" s="94"/>
      <c r="N200" s="93"/>
      <c r="O200" s="85"/>
      <c r="Q200" s="94"/>
      <c r="R200" s="93"/>
      <c r="S200" s="85"/>
      <c r="U200" s="94"/>
      <c r="V200" s="93"/>
      <c r="W200" s="85"/>
      <c r="Y200" s="94"/>
      <c r="Z200" s="93"/>
      <c r="AA200" s="85"/>
      <c r="AC200" s="94"/>
      <c r="AD200" s="93"/>
      <c r="AE200" s="85"/>
    </row>
    <row r="201" spans="6:31" x14ac:dyDescent="0.35">
      <c r="F201" s="93"/>
      <c r="G201" s="85"/>
      <c r="H201" s="87"/>
      <c r="I201" s="94"/>
      <c r="J201" s="93"/>
      <c r="K201" s="85"/>
      <c r="M201" s="94"/>
      <c r="N201" s="93"/>
      <c r="O201" s="85"/>
      <c r="Q201" s="94"/>
      <c r="R201" s="93"/>
      <c r="S201" s="85"/>
      <c r="U201" s="94"/>
      <c r="V201" s="93"/>
      <c r="W201" s="85"/>
      <c r="Y201" s="94"/>
      <c r="Z201" s="93"/>
      <c r="AA201" s="85"/>
      <c r="AC201" s="94"/>
      <c r="AD201" s="93"/>
      <c r="AE201" s="85"/>
    </row>
    <row r="202" spans="6:31" x14ac:dyDescent="0.35">
      <c r="F202" s="93"/>
      <c r="G202" s="85"/>
      <c r="H202" s="87"/>
      <c r="I202" s="94"/>
      <c r="J202" s="93"/>
      <c r="K202" s="85"/>
      <c r="M202" s="94"/>
      <c r="N202" s="93"/>
      <c r="O202" s="85"/>
      <c r="Q202" s="94"/>
      <c r="R202" s="93"/>
      <c r="S202" s="85"/>
      <c r="U202" s="94"/>
      <c r="V202" s="93"/>
      <c r="W202" s="85"/>
      <c r="Y202" s="94"/>
      <c r="Z202" s="93"/>
      <c r="AA202" s="85"/>
      <c r="AC202" s="94"/>
      <c r="AD202" s="93"/>
      <c r="AE202" s="85"/>
    </row>
    <row r="203" spans="6:31" x14ac:dyDescent="0.35">
      <c r="F203" s="93"/>
      <c r="G203" s="85"/>
      <c r="H203" s="87"/>
      <c r="I203" s="94"/>
      <c r="J203" s="93"/>
      <c r="K203" s="85"/>
      <c r="M203" s="94"/>
      <c r="N203" s="93"/>
      <c r="O203" s="85"/>
      <c r="Q203" s="94"/>
      <c r="R203" s="93"/>
      <c r="S203" s="85"/>
      <c r="U203" s="94"/>
      <c r="V203" s="93"/>
      <c r="W203" s="85"/>
      <c r="Y203" s="94"/>
      <c r="Z203" s="93"/>
      <c r="AA203" s="85"/>
      <c r="AC203" s="94"/>
      <c r="AD203" s="93"/>
      <c r="AE203" s="85"/>
    </row>
    <row r="204" spans="6:31" x14ac:dyDescent="0.35">
      <c r="F204" s="93"/>
      <c r="G204" s="85"/>
      <c r="H204" s="87"/>
      <c r="I204" s="94"/>
      <c r="J204" s="93"/>
      <c r="K204" s="85"/>
      <c r="M204" s="94"/>
      <c r="N204" s="93"/>
      <c r="O204" s="85"/>
      <c r="Q204" s="94"/>
      <c r="R204" s="93"/>
      <c r="S204" s="85"/>
      <c r="U204" s="94"/>
      <c r="V204" s="93"/>
      <c r="W204" s="85"/>
      <c r="Y204" s="94"/>
      <c r="Z204" s="93"/>
      <c r="AA204" s="85"/>
      <c r="AC204" s="94"/>
      <c r="AD204" s="93"/>
      <c r="AE204" s="85"/>
    </row>
    <row r="205" spans="6:31" x14ac:dyDescent="0.35">
      <c r="F205" s="93"/>
      <c r="G205" s="85"/>
      <c r="H205" s="87"/>
      <c r="I205" s="94"/>
      <c r="J205" s="93"/>
      <c r="K205" s="85"/>
      <c r="M205" s="94"/>
      <c r="N205" s="93"/>
      <c r="O205" s="85"/>
      <c r="Q205" s="94"/>
      <c r="R205" s="93"/>
      <c r="S205" s="85"/>
      <c r="U205" s="94"/>
      <c r="V205" s="93"/>
      <c r="W205" s="85"/>
      <c r="Y205" s="94"/>
      <c r="Z205" s="93"/>
      <c r="AA205" s="85"/>
      <c r="AC205" s="94"/>
      <c r="AD205" s="93"/>
      <c r="AE205" s="85"/>
    </row>
    <row r="206" spans="6:31" x14ac:dyDescent="0.35">
      <c r="F206" s="93"/>
      <c r="G206" s="85"/>
      <c r="H206" s="87"/>
      <c r="I206" s="94"/>
      <c r="J206" s="93"/>
      <c r="K206" s="85"/>
      <c r="M206" s="94"/>
      <c r="N206" s="93"/>
      <c r="O206" s="85"/>
      <c r="Q206" s="94"/>
      <c r="R206" s="93"/>
      <c r="S206" s="85"/>
      <c r="U206" s="94"/>
      <c r="V206" s="93"/>
      <c r="W206" s="85"/>
      <c r="Y206" s="94"/>
      <c r="Z206" s="93"/>
      <c r="AA206" s="85"/>
      <c r="AC206" s="94"/>
      <c r="AD206" s="93"/>
      <c r="AE206" s="85"/>
    </row>
    <row r="207" spans="6:31" x14ac:dyDescent="0.35">
      <c r="F207" s="93"/>
      <c r="G207" s="85"/>
      <c r="H207" s="87"/>
      <c r="I207" s="94"/>
      <c r="J207" s="93"/>
      <c r="K207" s="85"/>
      <c r="M207" s="94"/>
      <c r="N207" s="93"/>
      <c r="O207" s="85"/>
      <c r="Q207" s="94"/>
      <c r="R207" s="93"/>
      <c r="S207" s="85"/>
      <c r="U207" s="94"/>
      <c r="V207" s="93"/>
      <c r="W207" s="85"/>
      <c r="Y207" s="94"/>
      <c r="Z207" s="93"/>
      <c r="AA207" s="85"/>
      <c r="AC207" s="94"/>
      <c r="AD207" s="93"/>
      <c r="AE207" s="85"/>
    </row>
    <row r="208" spans="6:31" x14ac:dyDescent="0.35">
      <c r="F208" s="93"/>
      <c r="G208" s="85"/>
      <c r="H208" s="87"/>
      <c r="I208" s="94"/>
      <c r="J208" s="93"/>
      <c r="K208" s="85"/>
      <c r="M208" s="94"/>
      <c r="N208" s="93"/>
      <c r="O208" s="85"/>
      <c r="Q208" s="94"/>
      <c r="R208" s="93"/>
      <c r="S208" s="85"/>
      <c r="U208" s="94"/>
      <c r="V208" s="93"/>
      <c r="W208" s="85"/>
      <c r="Y208" s="94"/>
      <c r="Z208" s="93"/>
      <c r="AA208" s="85"/>
      <c r="AC208" s="94"/>
      <c r="AD208" s="93"/>
      <c r="AE208" s="85"/>
    </row>
    <row r="209" spans="6:31" x14ac:dyDescent="0.35">
      <c r="F209" s="93"/>
      <c r="G209" s="85"/>
      <c r="H209" s="87"/>
      <c r="I209" s="94"/>
      <c r="J209" s="93"/>
      <c r="K209" s="85"/>
      <c r="M209" s="94"/>
      <c r="N209" s="93"/>
      <c r="O209" s="85"/>
      <c r="Q209" s="94"/>
      <c r="R209" s="93"/>
      <c r="S209" s="85"/>
      <c r="U209" s="94"/>
      <c r="V209" s="93"/>
      <c r="W209" s="85"/>
      <c r="Y209" s="94"/>
      <c r="Z209" s="93"/>
      <c r="AA209" s="85"/>
      <c r="AC209" s="94"/>
      <c r="AD209" s="93"/>
      <c r="AE209" s="85"/>
    </row>
    <row r="210" spans="6:31" x14ac:dyDescent="0.35">
      <c r="F210" s="93"/>
      <c r="G210" s="85"/>
      <c r="H210" s="87"/>
      <c r="I210" s="94"/>
      <c r="J210" s="93"/>
      <c r="K210" s="85"/>
      <c r="M210" s="94"/>
      <c r="N210" s="93"/>
      <c r="O210" s="85"/>
      <c r="Q210" s="94"/>
      <c r="R210" s="93"/>
      <c r="S210" s="85"/>
      <c r="U210" s="94"/>
      <c r="V210" s="93"/>
      <c r="W210" s="85"/>
      <c r="Y210" s="94"/>
      <c r="Z210" s="93"/>
      <c r="AA210" s="85"/>
      <c r="AC210" s="94"/>
      <c r="AD210" s="93"/>
      <c r="AE210" s="85"/>
    </row>
    <row r="211" spans="6:31" x14ac:dyDescent="0.35">
      <c r="F211" s="93"/>
      <c r="G211" s="85"/>
      <c r="H211" s="87"/>
      <c r="I211" s="94"/>
      <c r="J211" s="93"/>
      <c r="K211" s="85"/>
      <c r="M211" s="94"/>
      <c r="N211" s="93"/>
      <c r="O211" s="85"/>
      <c r="Q211" s="94"/>
      <c r="R211" s="93"/>
      <c r="S211" s="85"/>
      <c r="U211" s="94"/>
      <c r="V211" s="93"/>
      <c r="W211" s="85"/>
      <c r="Y211" s="94"/>
      <c r="Z211" s="93"/>
      <c r="AA211" s="85"/>
      <c r="AC211" s="94"/>
      <c r="AD211" s="93"/>
      <c r="AE211" s="85"/>
    </row>
    <row r="212" spans="6:31" x14ac:dyDescent="0.35">
      <c r="F212" s="93"/>
      <c r="G212" s="85"/>
      <c r="H212" s="87"/>
      <c r="I212" s="94"/>
      <c r="J212" s="93"/>
      <c r="K212" s="85"/>
      <c r="M212" s="94"/>
      <c r="N212" s="93"/>
      <c r="O212" s="85"/>
      <c r="Q212" s="94"/>
      <c r="R212" s="93"/>
      <c r="S212" s="85"/>
      <c r="U212" s="94"/>
      <c r="V212" s="93"/>
      <c r="W212" s="85"/>
      <c r="Y212" s="94"/>
      <c r="Z212" s="93"/>
      <c r="AA212" s="85"/>
      <c r="AC212" s="94"/>
      <c r="AD212" s="93"/>
      <c r="AE212" s="85"/>
    </row>
    <row r="213" spans="6:31" x14ac:dyDescent="0.35">
      <c r="F213" s="93"/>
      <c r="G213" s="85"/>
      <c r="H213" s="87"/>
      <c r="I213" s="94"/>
      <c r="J213" s="93"/>
      <c r="K213" s="85"/>
      <c r="M213" s="94"/>
      <c r="N213" s="93"/>
      <c r="O213" s="85"/>
      <c r="Q213" s="94"/>
      <c r="R213" s="93"/>
      <c r="S213" s="85"/>
      <c r="U213" s="94"/>
      <c r="V213" s="93"/>
      <c r="W213" s="85"/>
      <c r="Y213" s="94"/>
      <c r="Z213" s="93"/>
      <c r="AA213" s="85"/>
      <c r="AC213" s="94"/>
      <c r="AD213" s="93"/>
      <c r="AE213" s="85"/>
    </row>
    <row r="214" spans="6:31" x14ac:dyDescent="0.35">
      <c r="F214" s="93"/>
      <c r="G214" s="85"/>
      <c r="H214" s="87"/>
      <c r="I214" s="94"/>
      <c r="J214" s="93"/>
      <c r="K214" s="85"/>
      <c r="M214" s="94"/>
      <c r="N214" s="93"/>
      <c r="O214" s="85"/>
      <c r="Q214" s="94"/>
      <c r="R214" s="93"/>
      <c r="S214" s="85"/>
      <c r="U214" s="94"/>
      <c r="V214" s="93"/>
      <c r="W214" s="85"/>
      <c r="Y214" s="94"/>
      <c r="Z214" s="93"/>
      <c r="AA214" s="85"/>
      <c r="AC214" s="94"/>
      <c r="AD214" s="93"/>
      <c r="AE214" s="85"/>
    </row>
    <row r="215" spans="6:31" x14ac:dyDescent="0.35">
      <c r="F215" s="93"/>
      <c r="G215" s="85"/>
      <c r="H215" s="87"/>
      <c r="I215" s="94"/>
      <c r="J215" s="93"/>
      <c r="K215" s="85"/>
      <c r="M215" s="94"/>
      <c r="N215" s="93"/>
      <c r="O215" s="85"/>
      <c r="Q215" s="94"/>
      <c r="R215" s="93"/>
      <c r="S215" s="85"/>
      <c r="U215" s="94"/>
      <c r="V215" s="93"/>
      <c r="W215" s="85"/>
      <c r="Y215" s="94"/>
      <c r="Z215" s="93"/>
      <c r="AA215" s="85"/>
      <c r="AC215" s="94"/>
      <c r="AD215" s="93"/>
      <c r="AE215" s="85"/>
    </row>
    <row r="216" spans="6:31" x14ac:dyDescent="0.35">
      <c r="F216" s="93"/>
      <c r="G216" s="85"/>
      <c r="H216" s="87"/>
      <c r="I216" s="94"/>
      <c r="J216" s="93"/>
      <c r="K216" s="85"/>
      <c r="M216" s="94"/>
      <c r="N216" s="93"/>
      <c r="O216" s="85"/>
      <c r="Q216" s="94"/>
      <c r="R216" s="93"/>
      <c r="S216" s="85"/>
      <c r="U216" s="94"/>
      <c r="V216" s="93"/>
      <c r="W216" s="85"/>
      <c r="Y216" s="94"/>
      <c r="Z216" s="93"/>
      <c r="AA216" s="85"/>
      <c r="AC216" s="94"/>
      <c r="AD216" s="93"/>
      <c r="AE216" s="85"/>
    </row>
    <row r="217" spans="6:31" x14ac:dyDescent="0.35">
      <c r="F217" s="93"/>
      <c r="G217" s="85"/>
      <c r="H217" s="87"/>
      <c r="I217" s="94"/>
      <c r="J217" s="93"/>
      <c r="K217" s="85"/>
      <c r="M217" s="94"/>
      <c r="N217" s="93"/>
      <c r="O217" s="85"/>
      <c r="Q217" s="94"/>
      <c r="R217" s="93"/>
      <c r="S217" s="85"/>
      <c r="U217" s="94"/>
      <c r="V217" s="93"/>
      <c r="W217" s="85"/>
      <c r="Y217" s="94"/>
      <c r="Z217" s="93"/>
      <c r="AA217" s="85"/>
      <c r="AC217" s="94"/>
      <c r="AD217" s="93"/>
      <c r="AE217" s="85"/>
    </row>
    <row r="218" spans="6:31" x14ac:dyDescent="0.35">
      <c r="F218" s="93"/>
      <c r="G218" s="85"/>
      <c r="H218" s="87"/>
      <c r="I218" s="94"/>
      <c r="J218" s="93"/>
      <c r="K218" s="85"/>
      <c r="M218" s="94"/>
      <c r="N218" s="93"/>
      <c r="O218" s="85"/>
      <c r="Q218" s="94"/>
      <c r="R218" s="93"/>
      <c r="S218" s="85"/>
      <c r="U218" s="94"/>
      <c r="V218" s="93"/>
      <c r="W218" s="85"/>
      <c r="Y218" s="94"/>
      <c r="Z218" s="93"/>
      <c r="AA218" s="85"/>
      <c r="AC218" s="94"/>
      <c r="AD218" s="93"/>
      <c r="AE218" s="85"/>
    </row>
    <row r="219" spans="6:31" x14ac:dyDescent="0.35">
      <c r="F219" s="93"/>
      <c r="G219" s="85"/>
      <c r="H219" s="87"/>
      <c r="I219" s="94"/>
      <c r="J219" s="93"/>
      <c r="K219" s="85"/>
      <c r="M219" s="94"/>
      <c r="N219" s="93"/>
      <c r="O219" s="85"/>
      <c r="Q219" s="94"/>
      <c r="R219" s="93"/>
      <c r="S219" s="85"/>
      <c r="U219" s="94"/>
      <c r="V219" s="93"/>
      <c r="W219" s="85"/>
      <c r="Y219" s="94"/>
      <c r="Z219" s="93"/>
      <c r="AA219" s="85"/>
      <c r="AC219" s="94"/>
      <c r="AD219" s="93"/>
      <c r="AE219" s="85"/>
    </row>
    <row r="220" spans="6:31" x14ac:dyDescent="0.35">
      <c r="F220" s="93"/>
      <c r="G220" s="85"/>
      <c r="H220" s="87"/>
      <c r="I220" s="94"/>
      <c r="J220" s="93"/>
      <c r="K220" s="85"/>
      <c r="M220" s="94"/>
      <c r="N220" s="93"/>
      <c r="O220" s="85"/>
      <c r="Q220" s="94"/>
      <c r="R220" s="93"/>
      <c r="S220" s="85"/>
      <c r="U220" s="94"/>
      <c r="V220" s="93"/>
      <c r="W220" s="85"/>
      <c r="Y220" s="94"/>
      <c r="Z220" s="93"/>
      <c r="AA220" s="85"/>
      <c r="AC220" s="94"/>
      <c r="AD220" s="93"/>
      <c r="AE220" s="85"/>
    </row>
    <row r="221" spans="6:31" x14ac:dyDescent="0.35">
      <c r="F221" s="93"/>
      <c r="G221" s="85"/>
      <c r="H221" s="87"/>
      <c r="I221" s="94"/>
      <c r="J221" s="93"/>
      <c r="K221" s="85"/>
      <c r="M221" s="94"/>
      <c r="N221" s="93"/>
      <c r="O221" s="85"/>
      <c r="Q221" s="94"/>
      <c r="R221" s="93"/>
      <c r="S221" s="85"/>
      <c r="U221" s="94"/>
      <c r="V221" s="93"/>
      <c r="W221" s="85"/>
      <c r="Y221" s="94"/>
      <c r="Z221" s="93"/>
      <c r="AA221" s="85"/>
      <c r="AC221" s="94"/>
      <c r="AD221" s="93"/>
      <c r="AE221" s="85"/>
    </row>
    <row r="222" spans="6:31" x14ac:dyDescent="0.35">
      <c r="F222" s="93"/>
      <c r="G222" s="85"/>
      <c r="H222" s="87"/>
      <c r="I222" s="94"/>
      <c r="J222" s="93"/>
      <c r="K222" s="85"/>
      <c r="M222" s="94"/>
      <c r="N222" s="93"/>
      <c r="O222" s="85"/>
      <c r="Q222" s="94"/>
      <c r="R222" s="93"/>
      <c r="S222" s="85"/>
      <c r="U222" s="94"/>
      <c r="V222" s="93"/>
      <c r="W222" s="85"/>
      <c r="Y222" s="94"/>
      <c r="Z222" s="93"/>
      <c r="AA222" s="85"/>
      <c r="AC222" s="94"/>
      <c r="AD222" s="93"/>
      <c r="AE222" s="85"/>
    </row>
    <row r="223" spans="6:31" x14ac:dyDescent="0.35">
      <c r="F223" s="93"/>
      <c r="G223" s="85"/>
      <c r="H223" s="87"/>
      <c r="I223" s="94"/>
      <c r="J223" s="93"/>
      <c r="K223" s="85"/>
      <c r="M223" s="94"/>
      <c r="N223" s="93"/>
      <c r="O223" s="85"/>
      <c r="Q223" s="94"/>
      <c r="R223" s="93"/>
      <c r="S223" s="85"/>
      <c r="U223" s="94"/>
      <c r="V223" s="93"/>
      <c r="W223" s="85"/>
      <c r="Y223" s="94"/>
      <c r="Z223" s="93"/>
      <c r="AA223" s="85"/>
      <c r="AC223" s="94"/>
      <c r="AD223" s="93"/>
      <c r="AE223" s="85"/>
    </row>
    <row r="224" spans="6:31" x14ac:dyDescent="0.35">
      <c r="F224" s="93"/>
      <c r="G224" s="85"/>
      <c r="H224" s="87"/>
      <c r="I224" s="94"/>
      <c r="J224" s="93"/>
      <c r="K224" s="85"/>
      <c r="M224" s="94"/>
      <c r="N224" s="93"/>
      <c r="O224" s="85"/>
      <c r="Q224" s="94"/>
      <c r="R224" s="93"/>
      <c r="S224" s="85"/>
      <c r="U224" s="94"/>
      <c r="V224" s="93"/>
      <c r="W224" s="85"/>
      <c r="Y224" s="94"/>
      <c r="Z224" s="93"/>
      <c r="AA224" s="85"/>
      <c r="AC224" s="94"/>
      <c r="AD224" s="93"/>
      <c r="AE224" s="85"/>
    </row>
    <row r="225" spans="6:31" x14ac:dyDescent="0.35">
      <c r="F225" s="93"/>
      <c r="G225" s="85"/>
      <c r="H225" s="87"/>
      <c r="I225" s="94"/>
      <c r="J225" s="93"/>
      <c r="K225" s="85"/>
      <c r="M225" s="94"/>
      <c r="N225" s="93"/>
      <c r="O225" s="85"/>
      <c r="Q225" s="94"/>
      <c r="R225" s="93"/>
      <c r="S225" s="85"/>
      <c r="U225" s="94"/>
      <c r="V225" s="93"/>
      <c r="W225" s="85"/>
      <c r="Y225" s="94"/>
      <c r="Z225" s="93"/>
      <c r="AA225" s="85"/>
      <c r="AC225" s="94"/>
      <c r="AD225" s="93"/>
      <c r="AE225" s="85"/>
    </row>
    <row r="226" spans="6:31" x14ac:dyDescent="0.35">
      <c r="F226" s="93"/>
      <c r="G226" s="85"/>
      <c r="H226" s="87"/>
      <c r="I226" s="94"/>
      <c r="J226" s="93"/>
      <c r="K226" s="85"/>
      <c r="M226" s="94"/>
      <c r="N226" s="93"/>
      <c r="O226" s="85"/>
      <c r="Q226" s="94"/>
      <c r="R226" s="93"/>
      <c r="S226" s="85"/>
      <c r="U226" s="94"/>
      <c r="V226" s="93"/>
      <c r="W226" s="85"/>
      <c r="Y226" s="94"/>
      <c r="Z226" s="93"/>
      <c r="AA226" s="85"/>
      <c r="AC226" s="94"/>
      <c r="AD226" s="93"/>
      <c r="AE226" s="85"/>
    </row>
    <row r="227" spans="6:31" x14ac:dyDescent="0.35">
      <c r="F227" s="93"/>
      <c r="G227" s="85"/>
      <c r="H227" s="87"/>
      <c r="I227" s="94"/>
      <c r="J227" s="93"/>
      <c r="K227" s="85"/>
      <c r="M227" s="94"/>
      <c r="N227" s="93"/>
      <c r="O227" s="85"/>
      <c r="Q227" s="94"/>
      <c r="R227" s="93"/>
      <c r="S227" s="85"/>
      <c r="U227" s="94"/>
      <c r="V227" s="93"/>
      <c r="W227" s="85"/>
      <c r="Y227" s="94"/>
      <c r="Z227" s="93"/>
      <c r="AA227" s="85"/>
      <c r="AC227" s="94"/>
      <c r="AD227" s="93"/>
      <c r="AE227" s="85"/>
    </row>
    <row r="228" spans="6:31" x14ac:dyDescent="0.35">
      <c r="F228" s="93"/>
      <c r="G228" s="85"/>
      <c r="H228" s="87"/>
      <c r="I228" s="94"/>
      <c r="J228" s="93"/>
      <c r="K228" s="85"/>
      <c r="M228" s="94"/>
      <c r="N228" s="93"/>
      <c r="O228" s="85"/>
      <c r="Q228" s="94"/>
      <c r="R228" s="93"/>
      <c r="S228" s="85"/>
      <c r="U228" s="94"/>
      <c r="V228" s="93"/>
      <c r="W228" s="85"/>
      <c r="Y228" s="94"/>
      <c r="Z228" s="93"/>
      <c r="AA228" s="85"/>
      <c r="AC228" s="94"/>
      <c r="AD228" s="93"/>
      <c r="AE228" s="85"/>
    </row>
    <row r="229" spans="6:31" x14ac:dyDescent="0.35">
      <c r="F229" s="93"/>
      <c r="G229" s="85"/>
      <c r="H229" s="87"/>
      <c r="I229" s="94"/>
      <c r="J229" s="93"/>
      <c r="K229" s="85"/>
      <c r="M229" s="94"/>
      <c r="N229" s="93"/>
      <c r="O229" s="85"/>
      <c r="Q229" s="94"/>
      <c r="R229" s="93"/>
      <c r="S229" s="85"/>
      <c r="U229" s="94"/>
      <c r="V229" s="93"/>
      <c r="W229" s="85"/>
      <c r="Y229" s="94"/>
      <c r="Z229" s="93"/>
      <c r="AA229" s="85"/>
      <c r="AC229" s="94"/>
      <c r="AD229" s="93"/>
      <c r="AE229" s="85"/>
    </row>
    <row r="230" spans="6:31" x14ac:dyDescent="0.35">
      <c r="F230" s="93"/>
      <c r="G230" s="85"/>
      <c r="H230" s="87"/>
      <c r="I230" s="94"/>
      <c r="J230" s="93"/>
      <c r="K230" s="85"/>
      <c r="M230" s="94"/>
      <c r="N230" s="93"/>
      <c r="O230" s="85"/>
      <c r="Q230" s="94"/>
      <c r="R230" s="93"/>
      <c r="S230" s="85"/>
      <c r="U230" s="94"/>
      <c r="V230" s="93"/>
      <c r="W230" s="85"/>
      <c r="Y230" s="94"/>
      <c r="Z230" s="93"/>
      <c r="AA230" s="85"/>
      <c r="AC230" s="94"/>
      <c r="AD230" s="93"/>
      <c r="AE230" s="85"/>
    </row>
    <row r="231" spans="6:31" x14ac:dyDescent="0.35">
      <c r="F231" s="93"/>
      <c r="G231" s="85"/>
      <c r="H231" s="87"/>
      <c r="I231" s="94"/>
      <c r="J231" s="93"/>
      <c r="K231" s="85"/>
      <c r="M231" s="94"/>
      <c r="N231" s="93"/>
      <c r="O231" s="85"/>
      <c r="Q231" s="94"/>
      <c r="R231" s="93"/>
      <c r="S231" s="85"/>
      <c r="U231" s="94"/>
      <c r="V231" s="93"/>
      <c r="W231" s="85"/>
      <c r="Y231" s="94"/>
      <c r="Z231" s="93"/>
      <c r="AA231" s="85"/>
      <c r="AC231" s="94"/>
      <c r="AD231" s="93"/>
      <c r="AE231" s="85"/>
    </row>
    <row r="232" spans="6:31" x14ac:dyDescent="0.35">
      <c r="F232" s="93"/>
      <c r="G232" s="85"/>
      <c r="H232" s="87"/>
      <c r="I232" s="94"/>
      <c r="J232" s="93"/>
      <c r="K232" s="85"/>
      <c r="M232" s="94"/>
      <c r="N232" s="93"/>
      <c r="O232" s="85"/>
      <c r="Q232" s="94"/>
      <c r="R232" s="93"/>
      <c r="S232" s="85"/>
      <c r="U232" s="94"/>
      <c r="V232" s="93"/>
      <c r="W232" s="85"/>
      <c r="Y232" s="94"/>
      <c r="Z232" s="93"/>
      <c r="AA232" s="85"/>
      <c r="AC232" s="94"/>
      <c r="AD232" s="93"/>
      <c r="AE232" s="85"/>
    </row>
    <row r="233" spans="6:31" x14ac:dyDescent="0.35">
      <c r="F233" s="93"/>
      <c r="G233" s="85"/>
      <c r="H233" s="87"/>
      <c r="I233" s="94"/>
      <c r="J233" s="93"/>
      <c r="K233" s="85"/>
      <c r="M233" s="94"/>
      <c r="N233" s="93"/>
      <c r="O233" s="85"/>
      <c r="Q233" s="94"/>
      <c r="R233" s="93"/>
      <c r="S233" s="85"/>
      <c r="U233" s="94"/>
      <c r="V233" s="93"/>
      <c r="W233" s="85"/>
      <c r="Y233" s="94"/>
      <c r="Z233" s="93"/>
      <c r="AA233" s="85"/>
      <c r="AC233" s="94"/>
      <c r="AD233" s="93"/>
      <c r="AE233" s="85"/>
    </row>
    <row r="234" spans="6:31" x14ac:dyDescent="0.35">
      <c r="F234" s="93"/>
      <c r="G234" s="85"/>
      <c r="H234" s="87"/>
      <c r="I234" s="94"/>
      <c r="J234" s="93"/>
      <c r="K234" s="85"/>
      <c r="M234" s="94"/>
      <c r="N234" s="93"/>
      <c r="O234" s="85"/>
      <c r="Q234" s="94"/>
      <c r="R234" s="93"/>
      <c r="S234" s="85"/>
      <c r="U234" s="94"/>
      <c r="V234" s="93"/>
      <c r="W234" s="85"/>
      <c r="Y234" s="94"/>
      <c r="Z234" s="93"/>
      <c r="AA234" s="85"/>
      <c r="AC234" s="94"/>
      <c r="AD234" s="93"/>
      <c r="AE234" s="85"/>
    </row>
    <row r="235" spans="6:31" x14ac:dyDescent="0.35">
      <c r="F235" s="93"/>
      <c r="G235" s="85"/>
      <c r="H235" s="87"/>
      <c r="I235" s="94"/>
      <c r="J235" s="93"/>
      <c r="K235" s="85"/>
      <c r="M235" s="94"/>
      <c r="N235" s="93"/>
      <c r="O235" s="85"/>
      <c r="Q235" s="94"/>
      <c r="R235" s="93"/>
      <c r="S235" s="85"/>
      <c r="U235" s="94"/>
      <c r="V235" s="93"/>
      <c r="W235" s="85"/>
      <c r="Y235" s="94"/>
      <c r="Z235" s="93"/>
      <c r="AA235" s="85"/>
      <c r="AC235" s="94"/>
      <c r="AD235" s="93"/>
      <c r="AE235" s="85"/>
    </row>
    <row r="236" spans="6:31" x14ac:dyDescent="0.35">
      <c r="F236" s="93"/>
      <c r="G236" s="85"/>
      <c r="H236" s="87"/>
      <c r="I236" s="94"/>
      <c r="J236" s="93"/>
      <c r="K236" s="85"/>
      <c r="M236" s="94"/>
      <c r="N236" s="93"/>
      <c r="O236" s="85"/>
      <c r="Q236" s="94"/>
      <c r="R236" s="93"/>
      <c r="S236" s="85"/>
      <c r="U236" s="94"/>
      <c r="V236" s="93"/>
      <c r="W236" s="85"/>
      <c r="Y236" s="94"/>
      <c r="Z236" s="93"/>
      <c r="AA236" s="85"/>
      <c r="AC236" s="94"/>
      <c r="AD236" s="93"/>
      <c r="AE236" s="85"/>
    </row>
    <row r="237" spans="6:31" x14ac:dyDescent="0.35">
      <c r="F237" s="93"/>
      <c r="G237" s="85"/>
      <c r="H237" s="87"/>
      <c r="I237" s="94"/>
      <c r="J237" s="93"/>
      <c r="K237" s="85"/>
      <c r="M237" s="94"/>
      <c r="N237" s="93"/>
      <c r="O237" s="85"/>
      <c r="Q237" s="94"/>
      <c r="R237" s="93"/>
      <c r="S237" s="85"/>
      <c r="U237" s="94"/>
      <c r="V237" s="93"/>
      <c r="W237" s="85"/>
      <c r="Y237" s="94"/>
      <c r="Z237" s="93"/>
      <c r="AA237" s="85"/>
      <c r="AC237" s="94"/>
      <c r="AD237" s="93"/>
      <c r="AE237" s="85"/>
    </row>
    <row r="238" spans="6:31" x14ac:dyDescent="0.35">
      <c r="F238" s="93"/>
      <c r="G238" s="85"/>
      <c r="H238" s="87"/>
      <c r="I238" s="94"/>
      <c r="J238" s="93"/>
      <c r="K238" s="85"/>
      <c r="M238" s="94"/>
      <c r="N238" s="93"/>
      <c r="O238" s="85"/>
      <c r="Q238" s="94"/>
      <c r="R238" s="93"/>
      <c r="S238" s="85"/>
      <c r="U238" s="94"/>
      <c r="V238" s="93"/>
      <c r="W238" s="85"/>
      <c r="Y238" s="94"/>
      <c r="Z238" s="93"/>
      <c r="AA238" s="85"/>
      <c r="AC238" s="94"/>
      <c r="AD238" s="93"/>
      <c r="AE238" s="85"/>
    </row>
    <row r="239" spans="6:31" x14ac:dyDescent="0.35">
      <c r="F239" s="93"/>
      <c r="G239" s="85"/>
      <c r="H239" s="87"/>
      <c r="I239" s="94"/>
      <c r="J239" s="93"/>
      <c r="K239" s="85"/>
      <c r="M239" s="94"/>
      <c r="N239" s="93"/>
      <c r="O239" s="85"/>
      <c r="Q239" s="94"/>
      <c r="R239" s="93"/>
      <c r="S239" s="85"/>
      <c r="U239" s="94"/>
      <c r="V239" s="93"/>
      <c r="W239" s="85"/>
      <c r="Y239" s="94"/>
      <c r="Z239" s="93"/>
      <c r="AA239" s="85"/>
      <c r="AC239" s="94"/>
      <c r="AD239" s="93"/>
      <c r="AE239" s="85"/>
    </row>
    <row r="240" spans="6:31" x14ac:dyDescent="0.35">
      <c r="F240" s="93"/>
      <c r="G240" s="85"/>
      <c r="H240" s="87"/>
      <c r="I240" s="94"/>
      <c r="J240" s="93"/>
      <c r="K240" s="85"/>
      <c r="M240" s="94"/>
      <c r="N240" s="93"/>
      <c r="O240" s="85"/>
      <c r="Q240" s="94"/>
      <c r="R240" s="93"/>
      <c r="S240" s="85"/>
      <c r="U240" s="94"/>
      <c r="V240" s="93"/>
      <c r="W240" s="85"/>
      <c r="Y240" s="94"/>
      <c r="Z240" s="93"/>
      <c r="AA240" s="85"/>
      <c r="AC240" s="94"/>
      <c r="AD240" s="93"/>
      <c r="AE240" s="85"/>
    </row>
    <row r="241" spans="6:31" x14ac:dyDescent="0.35">
      <c r="F241" s="93"/>
      <c r="G241" s="85"/>
      <c r="H241" s="87"/>
      <c r="I241" s="94"/>
      <c r="J241" s="93"/>
      <c r="K241" s="85"/>
      <c r="M241" s="94"/>
      <c r="N241" s="93"/>
      <c r="O241" s="85"/>
      <c r="Q241" s="94"/>
      <c r="R241" s="93"/>
      <c r="S241" s="85"/>
      <c r="U241" s="94"/>
      <c r="V241" s="93"/>
      <c r="W241" s="85"/>
      <c r="Y241" s="94"/>
      <c r="Z241" s="93"/>
      <c r="AA241" s="85"/>
      <c r="AC241" s="94"/>
      <c r="AD241" s="93"/>
      <c r="AE241" s="85"/>
    </row>
    <row r="242" spans="6:31" x14ac:dyDescent="0.35">
      <c r="F242" s="93"/>
      <c r="G242" s="85"/>
      <c r="H242" s="87"/>
      <c r="I242" s="94"/>
      <c r="J242" s="93"/>
      <c r="K242" s="85"/>
      <c r="M242" s="94"/>
      <c r="N242" s="93"/>
      <c r="O242" s="85"/>
      <c r="Q242" s="94"/>
      <c r="R242" s="93"/>
      <c r="S242" s="85"/>
      <c r="U242" s="94"/>
      <c r="V242" s="93"/>
      <c r="W242" s="85"/>
      <c r="Y242" s="94"/>
      <c r="Z242" s="93"/>
      <c r="AA242" s="85"/>
      <c r="AC242" s="94"/>
      <c r="AD242" s="93"/>
      <c r="AE242" s="85"/>
    </row>
    <row r="243" spans="6:31" x14ac:dyDescent="0.35">
      <c r="F243" s="93"/>
      <c r="G243" s="85"/>
      <c r="H243" s="87"/>
      <c r="I243" s="94"/>
      <c r="J243" s="93"/>
      <c r="K243" s="85"/>
      <c r="M243" s="94"/>
      <c r="N243" s="93"/>
      <c r="O243" s="85"/>
      <c r="Q243" s="94"/>
      <c r="R243" s="93"/>
      <c r="S243" s="85"/>
      <c r="U243" s="94"/>
      <c r="V243" s="93"/>
      <c r="W243" s="85"/>
      <c r="Y243" s="94"/>
      <c r="Z243" s="93"/>
      <c r="AA243" s="85"/>
      <c r="AC243" s="94"/>
      <c r="AD243" s="93"/>
      <c r="AE243" s="85"/>
    </row>
    <row r="244" spans="6:31" x14ac:dyDescent="0.35">
      <c r="F244" s="93"/>
      <c r="G244" s="85"/>
      <c r="H244" s="87"/>
      <c r="I244" s="94"/>
      <c r="J244" s="93"/>
      <c r="K244" s="85"/>
      <c r="M244" s="94"/>
      <c r="N244" s="93"/>
      <c r="O244" s="85"/>
      <c r="Q244" s="94"/>
      <c r="R244" s="93"/>
      <c r="S244" s="85"/>
      <c r="U244" s="94"/>
      <c r="V244" s="93"/>
      <c r="W244" s="85"/>
      <c r="Y244" s="94"/>
      <c r="Z244" s="93"/>
      <c r="AA244" s="85"/>
      <c r="AC244" s="94"/>
      <c r="AD244" s="93"/>
      <c r="AE244" s="85"/>
    </row>
    <row r="245" spans="6:31" x14ac:dyDescent="0.35">
      <c r="F245" s="93"/>
      <c r="G245" s="85"/>
      <c r="H245" s="87"/>
      <c r="I245" s="94"/>
      <c r="J245" s="93"/>
      <c r="K245" s="85"/>
      <c r="M245" s="94"/>
      <c r="N245" s="93"/>
      <c r="O245" s="85"/>
      <c r="Q245" s="94"/>
      <c r="R245" s="93"/>
      <c r="S245" s="85"/>
      <c r="U245" s="94"/>
      <c r="V245" s="93"/>
      <c r="W245" s="85"/>
      <c r="Y245" s="94"/>
      <c r="Z245" s="93"/>
      <c r="AA245" s="85"/>
      <c r="AC245" s="94"/>
      <c r="AD245" s="93"/>
      <c r="AE245" s="85"/>
    </row>
    <row r="246" spans="6:31" x14ac:dyDescent="0.35">
      <c r="F246" s="93"/>
      <c r="G246" s="85"/>
      <c r="H246" s="87"/>
      <c r="I246" s="94"/>
      <c r="J246" s="93"/>
      <c r="K246" s="85"/>
      <c r="M246" s="94"/>
      <c r="N246" s="93"/>
      <c r="O246" s="85"/>
      <c r="Q246" s="94"/>
      <c r="R246" s="93"/>
      <c r="S246" s="85"/>
      <c r="U246" s="94"/>
      <c r="V246" s="93"/>
      <c r="W246" s="85"/>
      <c r="Y246" s="94"/>
      <c r="Z246" s="93"/>
      <c r="AA246" s="85"/>
      <c r="AC246" s="94"/>
      <c r="AD246" s="93"/>
      <c r="AE246" s="85"/>
    </row>
    <row r="247" spans="6:31" x14ac:dyDescent="0.35">
      <c r="F247" s="93"/>
      <c r="G247" s="85"/>
      <c r="H247" s="87"/>
      <c r="I247" s="94"/>
      <c r="J247" s="93"/>
      <c r="K247" s="85"/>
      <c r="M247" s="94"/>
      <c r="N247" s="93"/>
      <c r="O247" s="85"/>
      <c r="Q247" s="94"/>
      <c r="R247" s="93"/>
      <c r="S247" s="85"/>
      <c r="U247" s="94"/>
      <c r="V247" s="93"/>
      <c r="W247" s="85"/>
      <c r="Y247" s="94"/>
      <c r="Z247" s="93"/>
      <c r="AA247" s="85"/>
      <c r="AC247" s="94"/>
      <c r="AD247" s="93"/>
      <c r="AE247" s="85"/>
    </row>
    <row r="248" spans="6:31" x14ac:dyDescent="0.35">
      <c r="F248" s="93"/>
      <c r="G248" s="85"/>
      <c r="H248" s="87"/>
      <c r="I248" s="94"/>
      <c r="J248" s="93"/>
      <c r="K248" s="85"/>
      <c r="M248" s="94"/>
      <c r="N248" s="93"/>
      <c r="O248" s="85"/>
      <c r="Q248" s="94"/>
      <c r="R248" s="93"/>
      <c r="S248" s="85"/>
      <c r="U248" s="94"/>
      <c r="V248" s="93"/>
      <c r="W248" s="85"/>
      <c r="Y248" s="94"/>
      <c r="Z248" s="93"/>
      <c r="AA248" s="85"/>
      <c r="AC248" s="94"/>
      <c r="AD248" s="93"/>
      <c r="AE248" s="85"/>
    </row>
    <row r="249" spans="6:31" x14ac:dyDescent="0.35">
      <c r="F249" s="93"/>
      <c r="G249" s="85"/>
      <c r="H249" s="87"/>
      <c r="I249" s="94"/>
      <c r="J249" s="93"/>
      <c r="K249" s="85"/>
      <c r="M249" s="94"/>
      <c r="N249" s="93"/>
      <c r="O249" s="85"/>
      <c r="Q249" s="94"/>
      <c r="R249" s="93"/>
      <c r="S249" s="85"/>
      <c r="U249" s="94"/>
      <c r="V249" s="93"/>
      <c r="W249" s="85"/>
      <c r="Y249" s="94"/>
      <c r="Z249" s="93"/>
      <c r="AA249" s="85"/>
      <c r="AC249" s="94"/>
      <c r="AD249" s="93"/>
      <c r="AE249" s="85"/>
    </row>
    <row r="250" spans="6:31" x14ac:dyDescent="0.35">
      <c r="F250" s="93"/>
      <c r="G250" s="85"/>
      <c r="H250" s="87"/>
      <c r="I250" s="94"/>
      <c r="J250" s="93"/>
      <c r="K250" s="85"/>
      <c r="M250" s="94"/>
      <c r="N250" s="93"/>
      <c r="O250" s="85"/>
      <c r="Q250" s="94"/>
      <c r="R250" s="93"/>
      <c r="S250" s="85"/>
      <c r="U250" s="94"/>
      <c r="V250" s="93"/>
      <c r="W250" s="85"/>
      <c r="Y250" s="94"/>
      <c r="Z250" s="93"/>
      <c r="AA250" s="85"/>
      <c r="AC250" s="94"/>
      <c r="AD250" s="93"/>
      <c r="AE250" s="85"/>
    </row>
    <row r="251" spans="6:31" x14ac:dyDescent="0.35">
      <c r="F251" s="93"/>
      <c r="G251" s="85"/>
      <c r="H251" s="87"/>
      <c r="I251" s="94"/>
      <c r="J251" s="93"/>
      <c r="K251" s="85"/>
      <c r="M251" s="94"/>
      <c r="N251" s="93"/>
      <c r="O251" s="85"/>
      <c r="Q251" s="94"/>
      <c r="R251" s="93"/>
      <c r="S251" s="85"/>
      <c r="U251" s="94"/>
      <c r="V251" s="93"/>
      <c r="W251" s="85"/>
      <c r="Y251" s="94"/>
      <c r="Z251" s="93"/>
      <c r="AA251" s="85"/>
      <c r="AC251" s="94"/>
      <c r="AD251" s="93"/>
      <c r="AE251" s="85"/>
    </row>
    <row r="252" spans="6:31" x14ac:dyDescent="0.35">
      <c r="F252" s="93"/>
      <c r="G252" s="85"/>
      <c r="H252" s="87"/>
      <c r="I252" s="94"/>
      <c r="J252" s="93"/>
      <c r="K252" s="85"/>
      <c r="M252" s="94"/>
      <c r="N252" s="93"/>
      <c r="O252" s="85"/>
      <c r="Q252" s="94"/>
      <c r="R252" s="93"/>
      <c r="S252" s="85"/>
      <c r="U252" s="94"/>
      <c r="V252" s="93"/>
      <c r="W252" s="85"/>
      <c r="Y252" s="94"/>
      <c r="Z252" s="93"/>
      <c r="AA252" s="85"/>
      <c r="AC252" s="94"/>
      <c r="AD252" s="93"/>
      <c r="AE252" s="85"/>
    </row>
    <row r="253" spans="6:31" x14ac:dyDescent="0.35">
      <c r="F253" s="93"/>
      <c r="G253" s="85"/>
      <c r="H253" s="87"/>
      <c r="I253" s="94"/>
      <c r="J253" s="93"/>
      <c r="K253" s="85"/>
      <c r="M253" s="94"/>
      <c r="N253" s="93"/>
      <c r="O253" s="85"/>
      <c r="Q253" s="94"/>
      <c r="R253" s="93"/>
      <c r="S253" s="85"/>
      <c r="U253" s="94"/>
      <c r="V253" s="93"/>
      <c r="W253" s="85"/>
      <c r="Y253" s="94"/>
      <c r="Z253" s="93"/>
      <c r="AA253" s="85"/>
      <c r="AC253" s="94"/>
      <c r="AD253" s="93"/>
      <c r="AE253" s="85"/>
    </row>
    <row r="254" spans="6:31" x14ac:dyDescent="0.35">
      <c r="F254" s="93"/>
      <c r="G254" s="85"/>
      <c r="H254" s="87"/>
      <c r="I254" s="94"/>
      <c r="J254" s="93"/>
      <c r="K254" s="85"/>
      <c r="M254" s="94"/>
      <c r="N254" s="93"/>
      <c r="O254" s="85"/>
      <c r="Q254" s="94"/>
      <c r="R254" s="93"/>
      <c r="S254" s="85"/>
      <c r="U254" s="94"/>
      <c r="V254" s="93"/>
      <c r="W254" s="85"/>
      <c r="Y254" s="94"/>
      <c r="Z254" s="93"/>
      <c r="AA254" s="85"/>
      <c r="AC254" s="94"/>
      <c r="AD254" s="93"/>
      <c r="AE254" s="85"/>
    </row>
    <row r="255" spans="6:31" x14ac:dyDescent="0.35">
      <c r="F255" s="93"/>
      <c r="G255" s="85"/>
      <c r="H255" s="87"/>
      <c r="I255" s="94"/>
      <c r="J255" s="93"/>
      <c r="K255" s="85"/>
      <c r="M255" s="94"/>
      <c r="N255" s="93"/>
      <c r="O255" s="85"/>
      <c r="Q255" s="94"/>
      <c r="R255" s="93"/>
      <c r="S255" s="85"/>
      <c r="U255" s="94"/>
      <c r="V255" s="93"/>
      <c r="W255" s="85"/>
      <c r="Y255" s="94"/>
      <c r="Z255" s="93"/>
      <c r="AA255" s="85"/>
      <c r="AC255" s="94"/>
      <c r="AD255" s="93"/>
      <c r="AE255" s="85"/>
    </row>
    <row r="256" spans="6:31" x14ac:dyDescent="0.35">
      <c r="F256" s="93"/>
      <c r="G256" s="85"/>
      <c r="H256" s="87"/>
      <c r="I256" s="94"/>
      <c r="J256" s="93"/>
      <c r="K256" s="85"/>
      <c r="M256" s="94"/>
      <c r="N256" s="93"/>
      <c r="O256" s="85"/>
      <c r="Q256" s="94"/>
      <c r="R256" s="93"/>
      <c r="S256" s="85"/>
      <c r="U256" s="94"/>
      <c r="V256" s="93"/>
      <c r="W256" s="85"/>
      <c r="Y256" s="94"/>
      <c r="Z256" s="93"/>
      <c r="AA256" s="85"/>
      <c r="AC256" s="94"/>
      <c r="AD256" s="93"/>
      <c r="AE256" s="85"/>
    </row>
    <row r="257" spans="6:31" x14ac:dyDescent="0.35">
      <c r="F257" s="93"/>
      <c r="G257" s="85"/>
      <c r="H257" s="87"/>
      <c r="I257" s="94"/>
      <c r="J257" s="93"/>
      <c r="K257" s="85"/>
      <c r="M257" s="94"/>
      <c r="N257" s="93"/>
      <c r="O257" s="85"/>
      <c r="Q257" s="94"/>
      <c r="R257" s="93"/>
      <c r="S257" s="85"/>
      <c r="U257" s="94"/>
      <c r="V257" s="93"/>
      <c r="W257" s="85"/>
      <c r="Y257" s="94"/>
      <c r="Z257" s="93"/>
      <c r="AA257" s="85"/>
      <c r="AC257" s="94"/>
      <c r="AD257" s="93"/>
      <c r="AE257" s="85"/>
    </row>
    <row r="258" spans="6:31" x14ac:dyDescent="0.35">
      <c r="F258" s="93"/>
      <c r="G258" s="85"/>
      <c r="H258" s="87"/>
      <c r="I258" s="94"/>
      <c r="J258" s="93"/>
      <c r="K258" s="85"/>
      <c r="M258" s="94"/>
      <c r="N258" s="93"/>
      <c r="O258" s="85"/>
      <c r="Q258" s="94"/>
      <c r="R258" s="93"/>
      <c r="S258" s="85"/>
      <c r="U258" s="94"/>
      <c r="V258" s="93"/>
      <c r="W258" s="85"/>
      <c r="Y258" s="94"/>
      <c r="Z258" s="93"/>
      <c r="AA258" s="85"/>
      <c r="AC258" s="94"/>
      <c r="AD258" s="93"/>
      <c r="AE258" s="85"/>
    </row>
    <row r="259" spans="6:31" x14ac:dyDescent="0.35">
      <c r="F259" s="93"/>
      <c r="G259" s="85"/>
      <c r="H259" s="87"/>
      <c r="I259" s="94"/>
      <c r="J259" s="93"/>
      <c r="K259" s="85"/>
      <c r="M259" s="94"/>
      <c r="N259" s="93"/>
      <c r="O259" s="85"/>
      <c r="Q259" s="94"/>
      <c r="R259" s="93"/>
      <c r="S259" s="85"/>
      <c r="U259" s="94"/>
      <c r="V259" s="93"/>
      <c r="W259" s="85"/>
      <c r="Y259" s="94"/>
      <c r="Z259" s="93"/>
      <c r="AA259" s="85"/>
      <c r="AC259" s="94"/>
      <c r="AD259" s="93"/>
      <c r="AE259" s="85"/>
    </row>
    <row r="260" spans="6:31" x14ac:dyDescent="0.35">
      <c r="F260" s="93"/>
      <c r="G260" s="85"/>
      <c r="H260" s="87"/>
      <c r="I260" s="94"/>
      <c r="J260" s="93"/>
      <c r="K260" s="85"/>
      <c r="M260" s="94"/>
      <c r="N260" s="93"/>
      <c r="O260" s="85"/>
      <c r="Q260" s="94"/>
      <c r="R260" s="93"/>
      <c r="S260" s="85"/>
      <c r="U260" s="94"/>
      <c r="V260" s="93"/>
      <c r="W260" s="85"/>
      <c r="Y260" s="94"/>
      <c r="Z260" s="93"/>
      <c r="AA260" s="85"/>
      <c r="AC260" s="94"/>
      <c r="AD260" s="93"/>
      <c r="AE260" s="85"/>
    </row>
    <row r="261" spans="6:31" x14ac:dyDescent="0.35">
      <c r="F261" s="93"/>
      <c r="G261" s="85"/>
      <c r="H261" s="87"/>
      <c r="I261" s="94"/>
      <c r="J261" s="93"/>
      <c r="K261" s="85"/>
      <c r="M261" s="94"/>
      <c r="N261" s="93"/>
      <c r="O261" s="85"/>
      <c r="Q261" s="94"/>
      <c r="R261" s="93"/>
      <c r="S261" s="85"/>
      <c r="U261" s="94"/>
      <c r="V261" s="93"/>
      <c r="W261" s="85"/>
      <c r="Y261" s="94"/>
      <c r="Z261" s="93"/>
      <c r="AA261" s="85"/>
      <c r="AC261" s="94"/>
      <c r="AD261" s="93"/>
      <c r="AE261" s="85"/>
    </row>
    <row r="262" spans="6:31" x14ac:dyDescent="0.35">
      <c r="F262" s="93"/>
      <c r="G262" s="85"/>
      <c r="H262" s="87"/>
      <c r="I262" s="94"/>
      <c r="J262" s="93"/>
      <c r="K262" s="85"/>
      <c r="M262" s="94"/>
      <c r="N262" s="93"/>
      <c r="O262" s="85"/>
      <c r="Q262" s="94"/>
      <c r="R262" s="93"/>
      <c r="S262" s="85"/>
      <c r="U262" s="94"/>
      <c r="V262" s="93"/>
      <c r="W262" s="85"/>
      <c r="Y262" s="94"/>
      <c r="Z262" s="93"/>
      <c r="AA262" s="85"/>
      <c r="AC262" s="94"/>
      <c r="AD262" s="93"/>
      <c r="AE262" s="85"/>
    </row>
    <row r="263" spans="6:31" x14ac:dyDescent="0.35">
      <c r="F263" s="93"/>
      <c r="G263" s="85"/>
      <c r="H263" s="87"/>
      <c r="I263" s="94"/>
      <c r="J263" s="93"/>
      <c r="K263" s="85"/>
      <c r="M263" s="94"/>
      <c r="N263" s="93"/>
      <c r="O263" s="85"/>
      <c r="Q263" s="94"/>
      <c r="R263" s="93"/>
      <c r="S263" s="85"/>
      <c r="U263" s="94"/>
      <c r="V263" s="93"/>
      <c r="W263" s="85"/>
      <c r="Y263" s="94"/>
      <c r="Z263" s="93"/>
      <c r="AA263" s="85"/>
      <c r="AC263" s="94"/>
      <c r="AD263" s="93"/>
      <c r="AE263" s="85"/>
    </row>
    <row r="264" spans="6:31" x14ac:dyDescent="0.35">
      <c r="F264" s="93"/>
      <c r="G264" s="85"/>
      <c r="H264" s="87"/>
      <c r="I264" s="94"/>
      <c r="J264" s="93"/>
      <c r="K264" s="85"/>
      <c r="M264" s="94"/>
      <c r="N264" s="93"/>
      <c r="O264" s="85"/>
      <c r="Q264" s="94"/>
      <c r="R264" s="93"/>
      <c r="S264" s="85"/>
      <c r="U264" s="94"/>
      <c r="V264" s="93"/>
      <c r="W264" s="85"/>
      <c r="Y264" s="94"/>
      <c r="Z264" s="93"/>
      <c r="AA264" s="85"/>
      <c r="AC264" s="94"/>
      <c r="AD264" s="93"/>
      <c r="AE264" s="85"/>
    </row>
    <row r="265" spans="6:31" x14ac:dyDescent="0.35">
      <c r="F265" s="93"/>
      <c r="G265" s="85"/>
      <c r="H265" s="87"/>
      <c r="I265" s="94"/>
      <c r="J265" s="93"/>
      <c r="K265" s="85"/>
      <c r="M265" s="94"/>
      <c r="N265" s="93"/>
      <c r="O265" s="85"/>
      <c r="Q265" s="94"/>
      <c r="R265" s="93"/>
      <c r="S265" s="85"/>
      <c r="U265" s="94"/>
      <c r="V265" s="93"/>
      <c r="W265" s="85"/>
      <c r="Y265" s="94"/>
      <c r="Z265" s="93"/>
      <c r="AA265" s="85"/>
      <c r="AC265" s="94"/>
      <c r="AD265" s="93"/>
      <c r="AE265" s="85"/>
    </row>
    <row r="266" spans="6:31" x14ac:dyDescent="0.35">
      <c r="F266" s="93"/>
      <c r="G266" s="85"/>
      <c r="H266" s="87"/>
      <c r="I266" s="94"/>
      <c r="J266" s="93"/>
      <c r="K266" s="85"/>
      <c r="M266" s="94"/>
      <c r="N266" s="93"/>
      <c r="O266" s="85"/>
      <c r="Q266" s="94"/>
      <c r="R266" s="93"/>
      <c r="S266" s="85"/>
      <c r="U266" s="94"/>
      <c r="V266" s="93"/>
      <c r="W266" s="85"/>
      <c r="Y266" s="94"/>
      <c r="Z266" s="93"/>
      <c r="AA266" s="85"/>
      <c r="AC266" s="94"/>
      <c r="AD266" s="93"/>
      <c r="AE266" s="85"/>
    </row>
    <row r="267" spans="6:31" x14ac:dyDescent="0.35">
      <c r="F267" s="93"/>
      <c r="G267" s="85"/>
      <c r="H267" s="87"/>
      <c r="I267" s="94"/>
      <c r="J267" s="93"/>
      <c r="K267" s="85"/>
      <c r="M267" s="94"/>
      <c r="N267" s="93"/>
      <c r="O267" s="85"/>
      <c r="Q267" s="94"/>
      <c r="R267" s="93"/>
      <c r="S267" s="85"/>
      <c r="U267" s="94"/>
      <c r="V267" s="93"/>
      <c r="W267" s="85"/>
      <c r="Y267" s="94"/>
      <c r="Z267" s="93"/>
      <c r="AA267" s="85"/>
      <c r="AC267" s="94"/>
      <c r="AD267" s="93"/>
      <c r="AE267" s="85"/>
    </row>
    <row r="268" spans="6:31" x14ac:dyDescent="0.35">
      <c r="F268" s="93"/>
      <c r="G268" s="85"/>
      <c r="H268" s="87"/>
      <c r="I268" s="94"/>
      <c r="J268" s="93"/>
      <c r="K268" s="85"/>
      <c r="M268" s="94"/>
      <c r="N268" s="93"/>
      <c r="O268" s="85"/>
      <c r="Q268" s="94"/>
      <c r="R268" s="93"/>
      <c r="S268" s="85"/>
      <c r="U268" s="94"/>
      <c r="V268" s="93"/>
      <c r="W268" s="85"/>
      <c r="Y268" s="94"/>
      <c r="Z268" s="93"/>
      <c r="AA268" s="85"/>
      <c r="AC268" s="94"/>
      <c r="AD268" s="93"/>
      <c r="AE268" s="85"/>
    </row>
    <row r="269" spans="6:31" x14ac:dyDescent="0.35">
      <c r="F269" s="93"/>
      <c r="G269" s="85"/>
      <c r="H269" s="87"/>
      <c r="I269" s="94"/>
      <c r="J269" s="93"/>
      <c r="K269" s="85"/>
      <c r="M269" s="94"/>
      <c r="N269" s="93"/>
      <c r="O269" s="85"/>
      <c r="Q269" s="94"/>
      <c r="R269" s="93"/>
      <c r="S269" s="85"/>
      <c r="U269" s="94"/>
      <c r="V269" s="93"/>
      <c r="W269" s="85"/>
      <c r="Y269" s="94"/>
      <c r="Z269" s="93"/>
      <c r="AA269" s="85"/>
      <c r="AC269" s="94"/>
      <c r="AD269" s="93"/>
      <c r="AE269" s="85"/>
    </row>
    <row r="270" spans="6:31" x14ac:dyDescent="0.35">
      <c r="F270" s="93"/>
      <c r="G270" s="85"/>
      <c r="H270" s="87"/>
      <c r="I270" s="94"/>
      <c r="J270" s="93"/>
      <c r="K270" s="85"/>
      <c r="M270" s="94"/>
      <c r="N270" s="93"/>
      <c r="O270" s="85"/>
      <c r="Q270" s="94"/>
      <c r="R270" s="93"/>
      <c r="S270" s="85"/>
      <c r="U270" s="94"/>
      <c r="V270" s="93"/>
      <c r="W270" s="85"/>
      <c r="Y270" s="94"/>
      <c r="Z270" s="93"/>
      <c r="AA270" s="85"/>
      <c r="AC270" s="94"/>
      <c r="AD270" s="93"/>
      <c r="AE270" s="85"/>
    </row>
    <row r="271" spans="6:31" x14ac:dyDescent="0.35">
      <c r="F271" s="93"/>
      <c r="G271" s="85"/>
      <c r="H271" s="87"/>
      <c r="I271" s="94"/>
      <c r="J271" s="93"/>
      <c r="K271" s="85"/>
      <c r="M271" s="94"/>
      <c r="N271" s="93"/>
      <c r="O271" s="85"/>
      <c r="Q271" s="94"/>
      <c r="R271" s="93"/>
      <c r="S271" s="85"/>
      <c r="U271" s="94"/>
      <c r="V271" s="93"/>
      <c r="W271" s="85"/>
      <c r="Y271" s="94"/>
      <c r="Z271" s="93"/>
      <c r="AA271" s="85"/>
      <c r="AC271" s="94"/>
      <c r="AD271" s="93"/>
      <c r="AE271" s="85"/>
    </row>
    <row r="272" spans="6:31" x14ac:dyDescent="0.35">
      <c r="F272" s="93"/>
      <c r="G272" s="85"/>
      <c r="H272" s="87"/>
      <c r="I272" s="94"/>
      <c r="J272" s="93"/>
      <c r="K272" s="85"/>
      <c r="M272" s="94"/>
      <c r="N272" s="93"/>
      <c r="O272" s="85"/>
      <c r="Q272" s="94"/>
      <c r="R272" s="93"/>
      <c r="S272" s="85"/>
      <c r="U272" s="94"/>
      <c r="V272" s="93"/>
      <c r="W272" s="85"/>
      <c r="Y272" s="94"/>
      <c r="Z272" s="93"/>
      <c r="AA272" s="85"/>
      <c r="AC272" s="94"/>
      <c r="AD272" s="93"/>
      <c r="AE272" s="85"/>
    </row>
    <row r="273" spans="6:31" x14ac:dyDescent="0.35">
      <c r="F273" s="93"/>
      <c r="G273" s="85"/>
      <c r="H273" s="87"/>
      <c r="I273" s="94"/>
      <c r="J273" s="93"/>
      <c r="K273" s="85"/>
      <c r="M273" s="94"/>
      <c r="N273" s="93"/>
      <c r="O273" s="85"/>
      <c r="Q273" s="94"/>
      <c r="R273" s="93"/>
      <c r="S273" s="85"/>
      <c r="U273" s="94"/>
      <c r="V273" s="93"/>
      <c r="W273" s="85"/>
      <c r="Y273" s="94"/>
      <c r="Z273" s="93"/>
      <c r="AA273" s="85"/>
      <c r="AC273" s="94"/>
      <c r="AD273" s="93"/>
      <c r="AE273" s="85"/>
    </row>
    <row r="274" spans="6:31" x14ac:dyDescent="0.35">
      <c r="F274" s="93"/>
      <c r="G274" s="85"/>
      <c r="H274" s="87"/>
      <c r="I274" s="94"/>
      <c r="J274" s="93"/>
      <c r="K274" s="85"/>
      <c r="M274" s="94"/>
      <c r="N274" s="93"/>
      <c r="O274" s="85"/>
      <c r="Q274" s="94"/>
      <c r="R274" s="93"/>
      <c r="S274" s="85"/>
      <c r="U274" s="94"/>
      <c r="V274" s="93"/>
      <c r="W274" s="85"/>
      <c r="Y274" s="94"/>
      <c r="Z274" s="93"/>
      <c r="AA274" s="85"/>
      <c r="AC274" s="94"/>
      <c r="AD274" s="93"/>
      <c r="AE274" s="85"/>
    </row>
    <row r="275" spans="6:31" x14ac:dyDescent="0.35">
      <c r="F275" s="93"/>
      <c r="G275" s="85"/>
      <c r="H275" s="87"/>
      <c r="I275" s="94"/>
      <c r="J275" s="93"/>
      <c r="K275" s="85"/>
      <c r="M275" s="94"/>
      <c r="N275" s="93"/>
      <c r="O275" s="85"/>
      <c r="Q275" s="94"/>
      <c r="R275" s="93"/>
      <c r="S275" s="85"/>
      <c r="U275" s="94"/>
      <c r="V275" s="93"/>
      <c r="W275" s="85"/>
      <c r="Y275" s="94"/>
      <c r="Z275" s="93"/>
      <c r="AA275" s="85"/>
      <c r="AC275" s="94"/>
      <c r="AD275" s="93"/>
      <c r="AE275" s="85"/>
    </row>
    <row r="276" spans="6:31" x14ac:dyDescent="0.35">
      <c r="F276" s="93"/>
      <c r="G276" s="85"/>
      <c r="H276" s="87"/>
      <c r="I276" s="94"/>
      <c r="J276" s="93"/>
      <c r="K276" s="85"/>
      <c r="M276" s="94"/>
      <c r="N276" s="93"/>
      <c r="O276" s="85"/>
      <c r="Q276" s="94"/>
      <c r="R276" s="93"/>
      <c r="S276" s="85"/>
      <c r="U276" s="94"/>
      <c r="V276" s="93"/>
      <c r="W276" s="85"/>
      <c r="Y276" s="94"/>
      <c r="Z276" s="93"/>
      <c r="AA276" s="85"/>
      <c r="AC276" s="94"/>
      <c r="AD276" s="93"/>
      <c r="AE276" s="85"/>
    </row>
    <row r="277" spans="6:31" x14ac:dyDescent="0.35">
      <c r="F277" s="93"/>
      <c r="G277" s="85"/>
      <c r="H277" s="87"/>
      <c r="I277" s="94"/>
      <c r="J277" s="93"/>
      <c r="K277" s="85"/>
      <c r="M277" s="94"/>
      <c r="N277" s="93"/>
      <c r="O277" s="85"/>
      <c r="Q277" s="94"/>
      <c r="R277" s="93"/>
      <c r="S277" s="85"/>
      <c r="U277" s="94"/>
      <c r="V277" s="93"/>
      <c r="W277" s="85"/>
      <c r="Y277" s="94"/>
      <c r="Z277" s="93"/>
      <c r="AA277" s="85"/>
      <c r="AC277" s="94"/>
      <c r="AD277" s="93"/>
      <c r="AE277" s="85"/>
    </row>
    <row r="278" spans="6:31" x14ac:dyDescent="0.35">
      <c r="F278" s="93"/>
      <c r="G278" s="85"/>
      <c r="H278" s="87"/>
      <c r="I278" s="94"/>
      <c r="J278" s="93"/>
      <c r="K278" s="85"/>
      <c r="M278" s="94"/>
      <c r="N278" s="93"/>
      <c r="O278" s="85"/>
      <c r="Q278" s="94"/>
      <c r="R278" s="93"/>
      <c r="S278" s="85"/>
      <c r="U278" s="94"/>
      <c r="V278" s="93"/>
      <c r="W278" s="85"/>
      <c r="Y278" s="94"/>
      <c r="Z278" s="93"/>
      <c r="AA278" s="85"/>
      <c r="AC278" s="94"/>
      <c r="AD278" s="93"/>
      <c r="AE278" s="85"/>
    </row>
    <row r="279" spans="6:31" x14ac:dyDescent="0.35">
      <c r="F279" s="93"/>
      <c r="G279" s="85"/>
      <c r="H279" s="87"/>
      <c r="I279" s="94"/>
      <c r="J279" s="93"/>
      <c r="K279" s="85"/>
      <c r="M279" s="94"/>
      <c r="N279" s="93"/>
      <c r="O279" s="85"/>
      <c r="Q279" s="94"/>
      <c r="R279" s="93"/>
      <c r="S279" s="85"/>
      <c r="U279" s="94"/>
      <c r="V279" s="93"/>
      <c r="W279" s="85"/>
      <c r="Y279" s="94"/>
      <c r="Z279" s="93"/>
      <c r="AA279" s="85"/>
      <c r="AC279" s="94"/>
      <c r="AD279" s="93"/>
      <c r="AE279" s="85"/>
    </row>
    <row r="280" spans="6:31" x14ac:dyDescent="0.35">
      <c r="F280" s="93"/>
      <c r="G280" s="85"/>
      <c r="H280" s="87"/>
      <c r="I280" s="94"/>
      <c r="J280" s="93"/>
      <c r="K280" s="85"/>
      <c r="M280" s="94"/>
      <c r="N280" s="93"/>
      <c r="O280" s="85"/>
      <c r="Q280" s="94"/>
      <c r="R280" s="93"/>
      <c r="S280" s="85"/>
      <c r="U280" s="94"/>
      <c r="V280" s="93"/>
      <c r="W280" s="85"/>
      <c r="Y280" s="94"/>
      <c r="Z280" s="93"/>
      <c r="AA280" s="85"/>
      <c r="AC280" s="94"/>
      <c r="AD280" s="93"/>
      <c r="AE280" s="85"/>
    </row>
    <row r="281" spans="6:31" x14ac:dyDescent="0.35">
      <c r="F281" s="93"/>
      <c r="G281" s="85"/>
      <c r="H281" s="87"/>
      <c r="I281" s="94"/>
      <c r="J281" s="93"/>
      <c r="K281" s="85"/>
      <c r="M281" s="94"/>
      <c r="N281" s="93"/>
      <c r="O281" s="85"/>
      <c r="Q281" s="94"/>
      <c r="R281" s="93"/>
      <c r="S281" s="85"/>
      <c r="U281" s="94"/>
      <c r="V281" s="93"/>
      <c r="W281" s="85"/>
      <c r="Y281" s="94"/>
      <c r="Z281" s="93"/>
      <c r="AA281" s="85"/>
      <c r="AC281" s="94"/>
      <c r="AD281" s="93"/>
      <c r="AE281" s="85"/>
    </row>
    <row r="282" spans="6:31" x14ac:dyDescent="0.35">
      <c r="F282" s="93"/>
      <c r="G282" s="85"/>
      <c r="H282" s="87"/>
      <c r="I282" s="94"/>
      <c r="J282" s="93"/>
      <c r="K282" s="85"/>
      <c r="M282" s="94"/>
      <c r="N282" s="93"/>
      <c r="O282" s="85"/>
      <c r="Q282" s="94"/>
      <c r="R282" s="93"/>
      <c r="S282" s="85"/>
      <c r="U282" s="94"/>
      <c r="V282" s="93"/>
      <c r="W282" s="85"/>
      <c r="Y282" s="94"/>
      <c r="Z282" s="93"/>
      <c r="AA282" s="85"/>
      <c r="AC282" s="94"/>
      <c r="AD282" s="93"/>
      <c r="AE282" s="85"/>
    </row>
    <row r="283" spans="6:31" x14ac:dyDescent="0.35">
      <c r="F283" s="93"/>
      <c r="G283" s="85"/>
      <c r="H283" s="87"/>
      <c r="I283" s="94"/>
      <c r="J283" s="93"/>
      <c r="K283" s="85"/>
      <c r="M283" s="94"/>
      <c r="N283" s="93"/>
      <c r="O283" s="85"/>
      <c r="Q283" s="94"/>
      <c r="R283" s="93"/>
      <c r="S283" s="85"/>
      <c r="U283" s="94"/>
      <c r="V283" s="93"/>
      <c r="W283" s="85"/>
      <c r="Y283" s="94"/>
      <c r="Z283" s="93"/>
      <c r="AA283" s="85"/>
      <c r="AC283" s="94"/>
      <c r="AD283" s="93"/>
      <c r="AE283" s="85"/>
    </row>
    <row r="284" spans="6:31" x14ac:dyDescent="0.35">
      <c r="F284" s="93"/>
      <c r="G284" s="85"/>
      <c r="H284" s="87"/>
      <c r="I284" s="94"/>
      <c r="J284" s="93"/>
      <c r="K284" s="85"/>
      <c r="M284" s="94"/>
      <c r="N284" s="93"/>
      <c r="O284" s="85"/>
      <c r="Q284" s="94"/>
      <c r="R284" s="93"/>
      <c r="S284" s="85"/>
      <c r="U284" s="94"/>
      <c r="V284" s="93"/>
      <c r="W284" s="85"/>
      <c r="Y284" s="94"/>
      <c r="Z284" s="93"/>
      <c r="AA284" s="85"/>
      <c r="AC284" s="94"/>
      <c r="AD284" s="93"/>
      <c r="AE284" s="85"/>
    </row>
    <row r="285" spans="6:31" x14ac:dyDescent="0.35">
      <c r="F285" s="93"/>
      <c r="G285" s="85"/>
      <c r="H285" s="87"/>
      <c r="I285" s="94"/>
      <c r="J285" s="93"/>
      <c r="K285" s="85"/>
      <c r="M285" s="94"/>
      <c r="N285" s="93"/>
      <c r="O285" s="85"/>
      <c r="Q285" s="94"/>
      <c r="R285" s="93"/>
      <c r="S285" s="85"/>
      <c r="U285" s="94"/>
      <c r="V285" s="93"/>
      <c r="W285" s="85"/>
      <c r="Y285" s="94"/>
      <c r="Z285" s="93"/>
      <c r="AA285" s="85"/>
      <c r="AC285" s="94"/>
      <c r="AD285" s="93"/>
      <c r="AE285" s="85"/>
    </row>
    <row r="286" spans="6:31" x14ac:dyDescent="0.35">
      <c r="F286" s="93"/>
      <c r="G286" s="85"/>
      <c r="H286" s="87"/>
      <c r="I286" s="94"/>
      <c r="J286" s="93"/>
      <c r="K286" s="85"/>
      <c r="M286" s="94"/>
      <c r="N286" s="93"/>
      <c r="O286" s="85"/>
      <c r="Q286" s="94"/>
      <c r="R286" s="93"/>
      <c r="S286" s="85"/>
      <c r="U286" s="94"/>
      <c r="V286" s="93"/>
      <c r="W286" s="85"/>
      <c r="Y286" s="94"/>
      <c r="Z286" s="93"/>
      <c r="AA286" s="85"/>
      <c r="AC286" s="94"/>
      <c r="AD286" s="93"/>
      <c r="AE286" s="85"/>
    </row>
    <row r="287" spans="6:31" x14ac:dyDescent="0.35">
      <c r="F287" s="93"/>
      <c r="G287" s="85"/>
      <c r="H287" s="87"/>
      <c r="I287" s="94"/>
      <c r="J287" s="93"/>
      <c r="K287" s="85"/>
      <c r="M287" s="94"/>
      <c r="N287" s="93"/>
      <c r="O287" s="85"/>
      <c r="Q287" s="94"/>
      <c r="R287" s="93"/>
      <c r="S287" s="85"/>
      <c r="U287" s="94"/>
      <c r="V287" s="93"/>
      <c r="W287" s="85"/>
      <c r="Y287" s="94"/>
      <c r="Z287" s="93"/>
      <c r="AA287" s="85"/>
      <c r="AC287" s="94"/>
      <c r="AD287" s="93"/>
      <c r="AE287" s="85"/>
    </row>
    <row r="288" spans="6:31" x14ac:dyDescent="0.35">
      <c r="F288" s="93"/>
      <c r="G288" s="85"/>
      <c r="H288" s="87"/>
      <c r="I288" s="94"/>
      <c r="J288" s="93"/>
      <c r="K288" s="85"/>
      <c r="M288" s="94"/>
      <c r="N288" s="93"/>
      <c r="O288" s="85"/>
      <c r="Q288" s="94"/>
      <c r="R288" s="93"/>
      <c r="S288" s="85"/>
      <c r="U288" s="94"/>
      <c r="V288" s="93"/>
      <c r="W288" s="85"/>
      <c r="Y288" s="94"/>
      <c r="Z288" s="93"/>
      <c r="AA288" s="85"/>
      <c r="AC288" s="94"/>
      <c r="AD288" s="93"/>
      <c r="AE288" s="85"/>
    </row>
    <row r="289" spans="6:31" x14ac:dyDescent="0.35">
      <c r="F289" s="93"/>
      <c r="G289" s="85"/>
      <c r="H289" s="87"/>
      <c r="I289" s="94"/>
      <c r="J289" s="93"/>
      <c r="K289" s="85"/>
      <c r="M289" s="94"/>
      <c r="N289" s="93"/>
      <c r="O289" s="85"/>
      <c r="Q289" s="94"/>
      <c r="R289" s="93"/>
      <c r="S289" s="85"/>
      <c r="U289" s="94"/>
      <c r="V289" s="93"/>
      <c r="W289" s="85"/>
      <c r="Y289" s="94"/>
      <c r="Z289" s="93"/>
      <c r="AA289" s="85"/>
      <c r="AC289" s="94"/>
      <c r="AD289" s="93"/>
      <c r="AE289" s="85"/>
    </row>
    <row r="290" spans="6:31" x14ac:dyDescent="0.35">
      <c r="F290" s="93"/>
      <c r="G290" s="85"/>
      <c r="H290" s="87"/>
      <c r="I290" s="94"/>
      <c r="J290" s="93"/>
      <c r="K290" s="85"/>
      <c r="M290" s="94"/>
      <c r="N290" s="93"/>
      <c r="O290" s="85"/>
      <c r="Q290" s="94"/>
      <c r="R290" s="93"/>
      <c r="S290" s="85"/>
      <c r="U290" s="94"/>
      <c r="V290" s="93"/>
      <c r="W290" s="85"/>
      <c r="Y290" s="94"/>
      <c r="Z290" s="93"/>
      <c r="AA290" s="85"/>
      <c r="AC290" s="94"/>
      <c r="AD290" s="93"/>
      <c r="AE290" s="85"/>
    </row>
    <row r="291" spans="6:31" x14ac:dyDescent="0.35">
      <c r="F291" s="93"/>
      <c r="G291" s="85"/>
      <c r="H291" s="87"/>
      <c r="I291" s="94"/>
      <c r="J291" s="93"/>
      <c r="K291" s="85"/>
      <c r="M291" s="94"/>
      <c r="N291" s="93"/>
      <c r="O291" s="85"/>
      <c r="Q291" s="94"/>
      <c r="R291" s="93"/>
      <c r="S291" s="85"/>
      <c r="U291" s="94"/>
      <c r="V291" s="93"/>
      <c r="W291" s="85"/>
      <c r="Y291" s="94"/>
      <c r="Z291" s="93"/>
      <c r="AA291" s="85"/>
      <c r="AC291" s="94"/>
      <c r="AD291" s="93"/>
      <c r="AE291" s="85"/>
    </row>
    <row r="292" spans="6:31" x14ac:dyDescent="0.35">
      <c r="F292" s="93"/>
      <c r="G292" s="85"/>
      <c r="H292" s="87"/>
      <c r="I292" s="94"/>
      <c r="J292" s="93"/>
      <c r="K292" s="85"/>
      <c r="M292" s="94"/>
      <c r="N292" s="93"/>
      <c r="O292" s="85"/>
      <c r="Q292" s="94"/>
      <c r="R292" s="93"/>
      <c r="S292" s="85"/>
      <c r="U292" s="94"/>
      <c r="V292" s="93"/>
      <c r="W292" s="85"/>
      <c r="Y292" s="94"/>
      <c r="Z292" s="93"/>
      <c r="AA292" s="85"/>
      <c r="AC292" s="94"/>
      <c r="AD292" s="93"/>
      <c r="AE292" s="85"/>
    </row>
    <row r="293" spans="6:31" x14ac:dyDescent="0.35">
      <c r="F293" s="93"/>
      <c r="G293" s="85"/>
      <c r="H293" s="87"/>
      <c r="I293" s="94"/>
      <c r="J293" s="93"/>
      <c r="K293" s="85"/>
      <c r="M293" s="94"/>
      <c r="N293" s="93"/>
      <c r="O293" s="85"/>
      <c r="Q293" s="94"/>
      <c r="R293" s="93"/>
      <c r="S293" s="85"/>
      <c r="U293" s="94"/>
      <c r="V293" s="93"/>
      <c r="W293" s="85"/>
      <c r="Y293" s="94"/>
      <c r="Z293" s="93"/>
      <c r="AA293" s="85"/>
      <c r="AC293" s="94"/>
      <c r="AD293" s="93"/>
      <c r="AE293" s="85"/>
    </row>
    <row r="294" spans="6:31" x14ac:dyDescent="0.35">
      <c r="F294" s="93"/>
      <c r="G294" s="85"/>
      <c r="H294" s="87"/>
      <c r="I294" s="94"/>
      <c r="J294" s="93"/>
      <c r="K294" s="85"/>
      <c r="M294" s="94"/>
      <c r="N294" s="93"/>
      <c r="O294" s="85"/>
      <c r="Q294" s="94"/>
      <c r="R294" s="93"/>
      <c r="S294" s="85"/>
      <c r="U294" s="94"/>
      <c r="V294" s="93"/>
      <c r="W294" s="85"/>
      <c r="Y294" s="94"/>
      <c r="Z294" s="93"/>
      <c r="AA294" s="85"/>
      <c r="AC294" s="94"/>
      <c r="AD294" s="93"/>
      <c r="AE294" s="85"/>
    </row>
    <row r="295" spans="6:31" x14ac:dyDescent="0.35">
      <c r="F295" s="93"/>
      <c r="G295" s="85"/>
      <c r="H295" s="87"/>
      <c r="I295" s="94"/>
      <c r="J295" s="93"/>
      <c r="K295" s="85"/>
      <c r="M295" s="94"/>
      <c r="N295" s="93"/>
      <c r="O295" s="85"/>
      <c r="Q295" s="94"/>
      <c r="R295" s="93"/>
      <c r="S295" s="85"/>
      <c r="U295" s="94"/>
      <c r="V295" s="93"/>
      <c r="W295" s="85"/>
      <c r="Y295" s="94"/>
      <c r="Z295" s="93"/>
      <c r="AA295" s="85"/>
      <c r="AC295" s="94"/>
      <c r="AD295" s="93"/>
      <c r="AE295" s="85"/>
    </row>
    <row r="296" spans="6:31" x14ac:dyDescent="0.35">
      <c r="F296" s="93"/>
      <c r="G296" s="85"/>
      <c r="H296" s="87"/>
      <c r="I296" s="94"/>
      <c r="J296" s="93"/>
      <c r="K296" s="85"/>
      <c r="M296" s="94"/>
      <c r="N296" s="93"/>
      <c r="O296" s="85"/>
      <c r="Q296" s="94"/>
      <c r="R296" s="93"/>
      <c r="S296" s="85"/>
      <c r="U296" s="94"/>
      <c r="V296" s="93"/>
      <c r="W296" s="85"/>
      <c r="Y296" s="94"/>
      <c r="Z296" s="93"/>
      <c r="AA296" s="85"/>
      <c r="AC296" s="94"/>
      <c r="AD296" s="93"/>
      <c r="AE296" s="85"/>
    </row>
    <row r="297" spans="6:31" x14ac:dyDescent="0.35">
      <c r="F297" s="93"/>
      <c r="G297" s="85"/>
      <c r="H297" s="87"/>
      <c r="I297" s="94"/>
      <c r="J297" s="93"/>
      <c r="K297" s="85"/>
      <c r="M297" s="94"/>
      <c r="N297" s="93"/>
      <c r="O297" s="85"/>
      <c r="Q297" s="94"/>
      <c r="R297" s="93"/>
      <c r="S297" s="85"/>
      <c r="U297" s="94"/>
      <c r="V297" s="93"/>
      <c r="W297" s="85"/>
      <c r="Y297" s="94"/>
      <c r="Z297" s="93"/>
      <c r="AA297" s="85"/>
      <c r="AC297" s="94"/>
      <c r="AD297" s="93"/>
      <c r="AE297" s="85"/>
    </row>
    <row r="298" spans="6:31" x14ac:dyDescent="0.35">
      <c r="F298" s="93"/>
      <c r="G298" s="85"/>
      <c r="H298" s="87"/>
      <c r="I298" s="94"/>
      <c r="J298" s="93"/>
      <c r="K298" s="85"/>
      <c r="M298" s="94"/>
      <c r="N298" s="93"/>
      <c r="O298" s="85"/>
      <c r="Q298" s="94"/>
      <c r="R298" s="93"/>
      <c r="S298" s="85"/>
      <c r="U298" s="94"/>
      <c r="V298" s="93"/>
      <c r="W298" s="85"/>
      <c r="Y298" s="94"/>
      <c r="Z298" s="93"/>
      <c r="AA298" s="85"/>
      <c r="AC298" s="94"/>
      <c r="AD298" s="93"/>
      <c r="AE298" s="85"/>
    </row>
    <row r="299" spans="6:31" x14ac:dyDescent="0.35">
      <c r="F299" s="93"/>
      <c r="G299" s="85"/>
      <c r="H299" s="87"/>
      <c r="I299" s="94"/>
      <c r="J299" s="93"/>
      <c r="K299" s="85"/>
      <c r="M299" s="94"/>
      <c r="N299" s="93"/>
      <c r="O299" s="85"/>
      <c r="Q299" s="94"/>
      <c r="R299" s="93"/>
      <c r="S299" s="85"/>
      <c r="U299" s="94"/>
      <c r="V299" s="93"/>
      <c r="W299" s="85"/>
      <c r="Y299" s="94"/>
      <c r="Z299" s="93"/>
      <c r="AA299" s="85"/>
      <c r="AC299" s="94"/>
      <c r="AD299" s="93"/>
      <c r="AE299" s="85"/>
    </row>
    <row r="300" spans="6:31" x14ac:dyDescent="0.35">
      <c r="F300" s="93"/>
      <c r="G300" s="85"/>
      <c r="H300" s="87"/>
      <c r="I300" s="94"/>
      <c r="J300" s="93"/>
      <c r="K300" s="85"/>
      <c r="M300" s="94"/>
      <c r="N300" s="93"/>
      <c r="O300" s="85"/>
      <c r="Q300" s="94"/>
      <c r="R300" s="93"/>
      <c r="S300" s="85"/>
      <c r="U300" s="94"/>
      <c r="V300" s="93"/>
      <c r="W300" s="85"/>
      <c r="Y300" s="94"/>
      <c r="Z300" s="93"/>
      <c r="AA300" s="85"/>
      <c r="AC300" s="94"/>
      <c r="AD300" s="93"/>
      <c r="AE300" s="85"/>
    </row>
    <row r="301" spans="6:31" x14ac:dyDescent="0.35">
      <c r="F301" s="93"/>
      <c r="G301" s="85"/>
      <c r="H301" s="87"/>
      <c r="I301" s="94"/>
      <c r="J301" s="93"/>
      <c r="K301" s="85"/>
      <c r="M301" s="94"/>
      <c r="N301" s="93"/>
      <c r="O301" s="85"/>
      <c r="Q301" s="94"/>
      <c r="R301" s="93"/>
      <c r="S301" s="85"/>
      <c r="U301" s="94"/>
      <c r="V301" s="93"/>
      <c r="W301" s="85"/>
      <c r="Y301" s="94"/>
      <c r="Z301" s="93"/>
      <c r="AA301" s="85"/>
      <c r="AC301" s="94"/>
      <c r="AD301" s="93"/>
      <c r="AE301" s="85"/>
    </row>
    <row r="302" spans="6:31" x14ac:dyDescent="0.35">
      <c r="F302" s="93"/>
      <c r="G302" s="85"/>
      <c r="H302" s="87"/>
      <c r="I302" s="94"/>
      <c r="J302" s="93"/>
      <c r="K302" s="85"/>
      <c r="M302" s="94"/>
      <c r="N302" s="93"/>
      <c r="O302" s="85"/>
      <c r="Q302" s="94"/>
      <c r="R302" s="93"/>
      <c r="S302" s="85"/>
      <c r="U302" s="94"/>
      <c r="V302" s="93"/>
      <c r="W302" s="85"/>
      <c r="Y302" s="94"/>
      <c r="Z302" s="93"/>
      <c r="AA302" s="85"/>
      <c r="AC302" s="94"/>
      <c r="AD302" s="93"/>
      <c r="AE302" s="85"/>
    </row>
    <row r="303" spans="6:31" x14ac:dyDescent="0.35">
      <c r="F303" s="93"/>
      <c r="G303" s="85"/>
      <c r="H303" s="87"/>
      <c r="I303" s="94"/>
      <c r="J303" s="93"/>
      <c r="K303" s="85"/>
      <c r="M303" s="94"/>
      <c r="N303" s="93"/>
      <c r="O303" s="85"/>
      <c r="Q303" s="94"/>
      <c r="R303" s="93"/>
      <c r="S303" s="85"/>
      <c r="U303" s="94"/>
      <c r="V303" s="93"/>
      <c r="W303" s="85"/>
      <c r="Y303" s="94"/>
      <c r="Z303" s="93"/>
      <c r="AA303" s="85"/>
      <c r="AC303" s="94"/>
      <c r="AD303" s="93"/>
      <c r="AE303" s="85"/>
    </row>
    <row r="304" spans="6:31" x14ac:dyDescent="0.35">
      <c r="F304" s="93"/>
      <c r="G304" s="85"/>
      <c r="H304" s="87"/>
      <c r="I304" s="94"/>
      <c r="J304" s="93"/>
      <c r="K304" s="85"/>
      <c r="M304" s="94"/>
      <c r="N304" s="93"/>
      <c r="O304" s="85"/>
      <c r="Q304" s="94"/>
      <c r="R304" s="93"/>
      <c r="S304" s="85"/>
      <c r="U304" s="94"/>
      <c r="V304" s="93"/>
      <c r="W304" s="85"/>
      <c r="Y304" s="94"/>
      <c r="Z304" s="93"/>
      <c r="AA304" s="85"/>
      <c r="AC304" s="94"/>
      <c r="AD304" s="93"/>
      <c r="AE304" s="85"/>
    </row>
    <row r="305" spans="6:31" x14ac:dyDescent="0.35">
      <c r="F305" s="93"/>
      <c r="G305" s="85"/>
      <c r="H305" s="87"/>
      <c r="I305" s="94"/>
      <c r="J305" s="93"/>
      <c r="K305" s="85"/>
      <c r="M305" s="94"/>
      <c r="N305" s="93"/>
      <c r="O305" s="85"/>
      <c r="Q305" s="94"/>
      <c r="R305" s="93"/>
      <c r="S305" s="85"/>
      <c r="U305" s="94"/>
      <c r="V305" s="93"/>
      <c r="W305" s="85"/>
      <c r="Y305" s="94"/>
      <c r="Z305" s="93"/>
      <c r="AA305" s="85"/>
      <c r="AC305" s="94"/>
      <c r="AD305" s="93"/>
      <c r="AE305" s="85"/>
    </row>
    <row r="306" spans="6:31" x14ac:dyDescent="0.35">
      <c r="F306" s="93"/>
      <c r="G306" s="85"/>
      <c r="H306" s="87"/>
      <c r="I306" s="94"/>
      <c r="J306" s="93"/>
      <c r="K306" s="85"/>
      <c r="M306" s="94"/>
      <c r="N306" s="93"/>
      <c r="O306" s="85"/>
      <c r="Q306" s="94"/>
      <c r="R306" s="93"/>
      <c r="S306" s="85"/>
      <c r="U306" s="94"/>
      <c r="V306" s="93"/>
      <c r="W306" s="85"/>
      <c r="Y306" s="94"/>
      <c r="Z306" s="93"/>
      <c r="AA306" s="85"/>
      <c r="AC306" s="94"/>
      <c r="AD306" s="93"/>
      <c r="AE306" s="85"/>
    </row>
    <row r="307" spans="6:31" x14ac:dyDescent="0.35">
      <c r="F307" s="93"/>
      <c r="G307" s="85"/>
      <c r="H307" s="87"/>
      <c r="I307" s="94"/>
      <c r="J307" s="93"/>
      <c r="K307" s="85"/>
      <c r="M307" s="94"/>
      <c r="N307" s="93"/>
      <c r="O307" s="85"/>
      <c r="Q307" s="94"/>
      <c r="R307" s="93"/>
      <c r="S307" s="85"/>
      <c r="U307" s="94"/>
      <c r="V307" s="93"/>
      <c r="W307" s="85"/>
      <c r="Y307" s="94"/>
      <c r="Z307" s="93"/>
      <c r="AA307" s="85"/>
      <c r="AC307" s="94"/>
      <c r="AD307" s="93"/>
      <c r="AE307" s="85"/>
    </row>
    <row r="308" spans="6:31" x14ac:dyDescent="0.35">
      <c r="F308" s="93"/>
      <c r="G308" s="85"/>
      <c r="H308" s="87"/>
      <c r="I308" s="94"/>
      <c r="J308" s="93"/>
      <c r="K308" s="85"/>
      <c r="M308" s="94"/>
      <c r="N308" s="93"/>
      <c r="O308" s="85"/>
      <c r="Q308" s="94"/>
      <c r="R308" s="93"/>
      <c r="S308" s="85"/>
      <c r="U308" s="94"/>
      <c r="V308" s="93"/>
      <c r="W308" s="85"/>
      <c r="Y308" s="94"/>
      <c r="Z308" s="93"/>
      <c r="AA308" s="85"/>
      <c r="AC308" s="94"/>
      <c r="AD308" s="93"/>
      <c r="AE308" s="85"/>
    </row>
    <row r="309" spans="6:31" x14ac:dyDescent="0.35">
      <c r="F309" s="93"/>
      <c r="G309" s="85"/>
      <c r="H309" s="87"/>
      <c r="I309" s="94"/>
      <c r="J309" s="93"/>
      <c r="K309" s="85"/>
      <c r="M309" s="94"/>
      <c r="N309" s="93"/>
      <c r="O309" s="85"/>
      <c r="Q309" s="94"/>
      <c r="R309" s="93"/>
      <c r="S309" s="85"/>
      <c r="U309" s="94"/>
      <c r="V309" s="93"/>
      <c r="W309" s="85"/>
      <c r="Y309" s="94"/>
      <c r="Z309" s="93"/>
      <c r="AA309" s="85"/>
      <c r="AC309" s="94"/>
      <c r="AD309" s="93"/>
      <c r="AE309" s="85"/>
    </row>
    <row r="310" spans="6:31" x14ac:dyDescent="0.35">
      <c r="F310" s="93"/>
      <c r="G310" s="85"/>
      <c r="H310" s="87"/>
      <c r="I310" s="94"/>
      <c r="J310" s="93"/>
      <c r="K310" s="85"/>
      <c r="M310" s="94"/>
      <c r="N310" s="93"/>
      <c r="O310" s="85"/>
      <c r="Q310" s="94"/>
      <c r="R310" s="93"/>
      <c r="S310" s="85"/>
      <c r="U310" s="94"/>
      <c r="V310" s="93"/>
      <c r="W310" s="85"/>
      <c r="Y310" s="94"/>
      <c r="Z310" s="93"/>
      <c r="AA310" s="85"/>
      <c r="AC310" s="94"/>
      <c r="AD310" s="93"/>
      <c r="AE310" s="85"/>
    </row>
    <row r="311" spans="6:31" x14ac:dyDescent="0.35">
      <c r="F311" s="93"/>
      <c r="G311" s="85"/>
      <c r="H311" s="87"/>
      <c r="I311" s="94"/>
      <c r="J311" s="93"/>
      <c r="K311" s="85"/>
      <c r="M311" s="94"/>
      <c r="N311" s="93"/>
      <c r="O311" s="85"/>
      <c r="Q311" s="94"/>
      <c r="R311" s="93"/>
      <c r="S311" s="85"/>
      <c r="U311" s="94"/>
      <c r="V311" s="93"/>
      <c r="W311" s="85"/>
      <c r="Y311" s="94"/>
      <c r="Z311" s="93"/>
      <c r="AA311" s="85"/>
      <c r="AC311" s="94"/>
      <c r="AD311" s="93"/>
      <c r="AE311" s="85"/>
    </row>
    <row r="312" spans="6:31" x14ac:dyDescent="0.35">
      <c r="F312" s="93"/>
      <c r="G312" s="85"/>
      <c r="H312" s="87"/>
      <c r="I312" s="94"/>
      <c r="J312" s="93"/>
      <c r="K312" s="85"/>
      <c r="M312" s="94"/>
      <c r="N312" s="93"/>
      <c r="O312" s="85"/>
      <c r="Q312" s="94"/>
      <c r="R312" s="93"/>
      <c r="S312" s="85"/>
      <c r="U312" s="94"/>
      <c r="V312" s="93"/>
      <c r="W312" s="85"/>
      <c r="Y312" s="94"/>
      <c r="Z312" s="93"/>
      <c r="AA312" s="85"/>
      <c r="AC312" s="94"/>
      <c r="AD312" s="93"/>
      <c r="AE312" s="85"/>
    </row>
    <row r="313" spans="6:31" x14ac:dyDescent="0.35">
      <c r="F313" s="93"/>
      <c r="G313" s="85"/>
      <c r="H313" s="87"/>
      <c r="I313" s="94"/>
      <c r="J313" s="93"/>
      <c r="K313" s="85"/>
      <c r="M313" s="94"/>
      <c r="N313" s="93"/>
      <c r="O313" s="85"/>
      <c r="Q313" s="94"/>
      <c r="R313" s="93"/>
      <c r="S313" s="85"/>
      <c r="U313" s="94"/>
      <c r="V313" s="93"/>
      <c r="W313" s="85"/>
      <c r="Y313" s="94"/>
      <c r="Z313" s="93"/>
      <c r="AA313" s="85"/>
      <c r="AC313" s="94"/>
      <c r="AD313" s="93"/>
      <c r="AE313" s="85"/>
    </row>
    <row r="314" spans="6:31" x14ac:dyDescent="0.35">
      <c r="F314" s="93"/>
      <c r="G314" s="85"/>
      <c r="H314" s="87"/>
      <c r="I314" s="94"/>
      <c r="J314" s="93"/>
      <c r="K314" s="85"/>
      <c r="M314" s="94"/>
      <c r="N314" s="93"/>
      <c r="O314" s="85"/>
      <c r="Q314" s="94"/>
      <c r="R314" s="93"/>
      <c r="S314" s="85"/>
      <c r="U314" s="94"/>
      <c r="V314" s="93"/>
      <c r="W314" s="85"/>
      <c r="Y314" s="94"/>
      <c r="Z314" s="93"/>
      <c r="AA314" s="85"/>
      <c r="AC314" s="94"/>
      <c r="AD314" s="93"/>
      <c r="AE314" s="85"/>
    </row>
    <row r="315" spans="6:31" x14ac:dyDescent="0.35">
      <c r="F315" s="93"/>
      <c r="G315" s="85"/>
      <c r="H315" s="87"/>
      <c r="I315" s="94"/>
      <c r="J315" s="93"/>
      <c r="K315" s="85"/>
      <c r="M315" s="94"/>
      <c r="N315" s="93"/>
      <c r="O315" s="85"/>
      <c r="Q315" s="94"/>
      <c r="R315" s="93"/>
      <c r="S315" s="85"/>
      <c r="U315" s="94"/>
      <c r="V315" s="93"/>
      <c r="W315" s="85"/>
      <c r="Y315" s="94"/>
      <c r="Z315" s="93"/>
      <c r="AA315" s="85"/>
      <c r="AC315" s="94"/>
      <c r="AD315" s="93"/>
      <c r="AE315" s="85"/>
    </row>
    <row r="316" spans="6:31" x14ac:dyDescent="0.35">
      <c r="F316" s="93"/>
      <c r="G316" s="85"/>
      <c r="H316" s="87"/>
      <c r="I316" s="94"/>
      <c r="J316" s="93"/>
      <c r="K316" s="85"/>
      <c r="M316" s="94"/>
      <c r="N316" s="93"/>
      <c r="O316" s="85"/>
      <c r="Q316" s="94"/>
      <c r="R316" s="93"/>
      <c r="S316" s="85"/>
      <c r="U316" s="94"/>
      <c r="V316" s="93"/>
      <c r="W316" s="85"/>
      <c r="Y316" s="94"/>
      <c r="Z316" s="93"/>
      <c r="AA316" s="85"/>
      <c r="AC316" s="94"/>
      <c r="AD316" s="93"/>
      <c r="AE316" s="85"/>
    </row>
    <row r="317" spans="6:31" x14ac:dyDescent="0.35">
      <c r="F317" s="93"/>
      <c r="G317" s="85"/>
      <c r="H317" s="87"/>
      <c r="I317" s="94"/>
      <c r="J317" s="93"/>
      <c r="K317" s="85"/>
      <c r="M317" s="94"/>
      <c r="N317" s="93"/>
      <c r="O317" s="85"/>
      <c r="Q317" s="94"/>
      <c r="R317" s="93"/>
      <c r="S317" s="85"/>
      <c r="U317" s="94"/>
      <c r="V317" s="93"/>
      <c r="W317" s="85"/>
      <c r="Y317" s="94"/>
      <c r="Z317" s="93"/>
      <c r="AA317" s="85"/>
      <c r="AC317" s="94"/>
      <c r="AD317" s="93"/>
      <c r="AE317" s="85"/>
    </row>
    <row r="318" spans="6:31" x14ac:dyDescent="0.35">
      <c r="F318" s="93"/>
      <c r="G318" s="85"/>
      <c r="H318" s="87"/>
      <c r="I318" s="94"/>
      <c r="J318" s="93"/>
      <c r="K318" s="85"/>
      <c r="M318" s="94"/>
      <c r="N318" s="93"/>
      <c r="O318" s="85"/>
      <c r="Q318" s="94"/>
      <c r="R318" s="93"/>
      <c r="S318" s="85"/>
      <c r="U318" s="94"/>
      <c r="V318" s="93"/>
      <c r="W318" s="85"/>
      <c r="Y318" s="94"/>
      <c r="Z318" s="93"/>
      <c r="AA318" s="85"/>
      <c r="AC318" s="94"/>
      <c r="AD318" s="93"/>
      <c r="AE318" s="85"/>
    </row>
    <row r="319" spans="6:31" x14ac:dyDescent="0.35">
      <c r="F319" s="93"/>
      <c r="G319" s="85"/>
      <c r="H319" s="87"/>
      <c r="I319" s="94"/>
      <c r="J319" s="93"/>
      <c r="K319" s="85"/>
      <c r="M319" s="94"/>
      <c r="N319" s="93"/>
      <c r="O319" s="85"/>
      <c r="Q319" s="94"/>
      <c r="R319" s="93"/>
      <c r="S319" s="85"/>
      <c r="U319" s="94"/>
      <c r="V319" s="93"/>
      <c r="W319" s="85"/>
      <c r="Y319" s="94"/>
      <c r="Z319" s="93"/>
      <c r="AA319" s="85"/>
      <c r="AC319" s="94"/>
      <c r="AD319" s="93"/>
      <c r="AE319" s="85"/>
    </row>
    <row r="320" spans="6:31" x14ac:dyDescent="0.35">
      <c r="F320" s="93"/>
      <c r="G320" s="85"/>
      <c r="H320" s="87"/>
      <c r="I320" s="94"/>
      <c r="J320" s="93"/>
      <c r="K320" s="85"/>
      <c r="M320" s="94"/>
      <c r="N320" s="93"/>
      <c r="O320" s="85"/>
      <c r="Q320" s="94"/>
      <c r="R320" s="93"/>
      <c r="S320" s="85"/>
      <c r="U320" s="94"/>
      <c r="V320" s="93"/>
      <c r="W320" s="85"/>
      <c r="Y320" s="94"/>
      <c r="Z320" s="93"/>
      <c r="AA320" s="85"/>
      <c r="AC320" s="94"/>
      <c r="AD320" s="93"/>
      <c r="AE320" s="85"/>
    </row>
    <row r="321" spans="6:31" x14ac:dyDescent="0.35">
      <c r="F321" s="93"/>
      <c r="G321" s="85"/>
      <c r="H321" s="87"/>
      <c r="I321" s="94"/>
      <c r="J321" s="93"/>
      <c r="K321" s="85"/>
      <c r="M321" s="94"/>
      <c r="N321" s="93"/>
      <c r="O321" s="85"/>
      <c r="Q321" s="94"/>
      <c r="R321" s="93"/>
      <c r="S321" s="85"/>
      <c r="U321" s="94"/>
      <c r="V321" s="93"/>
      <c r="W321" s="85"/>
      <c r="Y321" s="94"/>
      <c r="Z321" s="93"/>
      <c r="AA321" s="85"/>
      <c r="AC321" s="94"/>
      <c r="AD321" s="93"/>
      <c r="AE321" s="85"/>
    </row>
    <row r="322" spans="6:31" x14ac:dyDescent="0.35">
      <c r="F322" s="93"/>
      <c r="G322" s="85"/>
      <c r="H322" s="87"/>
      <c r="I322" s="94"/>
      <c r="J322" s="93"/>
      <c r="K322" s="85"/>
      <c r="M322" s="94"/>
      <c r="N322" s="93"/>
      <c r="O322" s="85"/>
      <c r="Q322" s="94"/>
      <c r="R322" s="93"/>
      <c r="S322" s="85"/>
      <c r="U322" s="94"/>
      <c r="V322" s="93"/>
      <c r="W322" s="85"/>
      <c r="Y322" s="94"/>
      <c r="Z322" s="93"/>
      <c r="AA322" s="85"/>
      <c r="AC322" s="94"/>
      <c r="AD322" s="93"/>
      <c r="AE322" s="85"/>
    </row>
    <row r="323" spans="6:31" x14ac:dyDescent="0.35">
      <c r="F323" s="93"/>
      <c r="G323" s="85"/>
      <c r="H323" s="87"/>
      <c r="I323" s="94"/>
      <c r="J323" s="93"/>
      <c r="K323" s="85"/>
      <c r="M323" s="94"/>
      <c r="N323" s="93"/>
      <c r="O323" s="85"/>
      <c r="Q323" s="94"/>
      <c r="R323" s="93"/>
      <c r="S323" s="85"/>
      <c r="U323" s="94"/>
      <c r="V323" s="93"/>
      <c r="W323" s="85"/>
      <c r="Y323" s="94"/>
      <c r="Z323" s="93"/>
      <c r="AA323" s="85"/>
      <c r="AC323" s="94"/>
      <c r="AD323" s="93"/>
      <c r="AE323" s="85"/>
    </row>
    <row r="324" spans="6:31" x14ac:dyDescent="0.35">
      <c r="F324" s="93"/>
      <c r="G324" s="85"/>
      <c r="H324" s="87"/>
      <c r="I324" s="94"/>
      <c r="J324" s="93"/>
      <c r="K324" s="85"/>
      <c r="M324" s="94"/>
      <c r="N324" s="93"/>
      <c r="O324" s="85"/>
      <c r="Q324" s="94"/>
      <c r="R324" s="93"/>
      <c r="S324" s="85"/>
      <c r="U324" s="94"/>
      <c r="V324" s="93"/>
      <c r="W324" s="85"/>
      <c r="Y324" s="94"/>
      <c r="Z324" s="93"/>
      <c r="AA324" s="85"/>
      <c r="AC324" s="94"/>
      <c r="AD324" s="93"/>
      <c r="AE324" s="85"/>
    </row>
    <row r="325" spans="6:31" x14ac:dyDescent="0.35">
      <c r="F325" s="93"/>
      <c r="G325" s="85"/>
      <c r="H325" s="87"/>
      <c r="I325" s="94"/>
      <c r="J325" s="93"/>
      <c r="K325" s="85"/>
      <c r="M325" s="94"/>
      <c r="N325" s="93"/>
      <c r="O325" s="85"/>
      <c r="Q325" s="94"/>
      <c r="R325" s="93"/>
      <c r="S325" s="85"/>
      <c r="U325" s="94"/>
      <c r="V325" s="93"/>
      <c r="W325" s="85"/>
      <c r="Y325" s="94"/>
      <c r="Z325" s="93"/>
      <c r="AA325" s="85"/>
      <c r="AC325" s="94"/>
      <c r="AD325" s="93"/>
      <c r="AE325" s="85"/>
    </row>
    <row r="326" spans="6:31" x14ac:dyDescent="0.35">
      <c r="F326" s="93"/>
      <c r="G326" s="85"/>
      <c r="H326" s="87"/>
      <c r="I326" s="94"/>
      <c r="J326" s="93"/>
      <c r="K326" s="85"/>
      <c r="M326" s="94"/>
      <c r="N326" s="93"/>
      <c r="O326" s="85"/>
      <c r="Q326" s="94"/>
      <c r="R326" s="93"/>
      <c r="S326" s="85"/>
      <c r="U326" s="94"/>
      <c r="V326" s="93"/>
      <c r="W326" s="85"/>
      <c r="Y326" s="94"/>
      <c r="Z326" s="93"/>
      <c r="AA326" s="85"/>
      <c r="AC326" s="94"/>
      <c r="AD326" s="93"/>
      <c r="AE326" s="85"/>
    </row>
    <row r="327" spans="6:31" x14ac:dyDescent="0.35">
      <c r="F327" s="93"/>
      <c r="G327" s="85"/>
      <c r="H327" s="87"/>
      <c r="I327" s="94"/>
      <c r="J327" s="93"/>
      <c r="K327" s="85"/>
      <c r="M327" s="94"/>
      <c r="N327" s="93"/>
      <c r="O327" s="85"/>
      <c r="Q327" s="94"/>
      <c r="R327" s="93"/>
      <c r="S327" s="85"/>
      <c r="U327" s="94"/>
      <c r="V327" s="93"/>
      <c r="W327" s="85"/>
      <c r="Y327" s="94"/>
      <c r="Z327" s="93"/>
      <c r="AA327" s="85"/>
      <c r="AC327" s="94"/>
      <c r="AD327" s="93"/>
      <c r="AE327" s="85"/>
    </row>
    <row r="328" spans="6:31" x14ac:dyDescent="0.35">
      <c r="F328" s="93"/>
      <c r="G328" s="85"/>
      <c r="H328" s="87"/>
      <c r="I328" s="94"/>
      <c r="J328" s="93"/>
      <c r="K328" s="85"/>
      <c r="M328" s="94"/>
      <c r="N328" s="93"/>
      <c r="O328" s="85"/>
      <c r="Q328" s="94"/>
      <c r="R328" s="93"/>
      <c r="S328" s="85"/>
      <c r="U328" s="94"/>
      <c r="V328" s="93"/>
      <c r="W328" s="85"/>
      <c r="Y328" s="94"/>
      <c r="Z328" s="93"/>
      <c r="AA328" s="85"/>
      <c r="AC328" s="94"/>
      <c r="AD328" s="93"/>
      <c r="AE328" s="85"/>
    </row>
    <row r="329" spans="6:31" x14ac:dyDescent="0.35">
      <c r="F329" s="93"/>
      <c r="G329" s="85"/>
      <c r="H329" s="87"/>
      <c r="I329" s="94"/>
      <c r="J329" s="93"/>
      <c r="K329" s="85"/>
      <c r="M329" s="94"/>
      <c r="N329" s="93"/>
      <c r="O329" s="85"/>
      <c r="Q329" s="94"/>
      <c r="R329" s="93"/>
      <c r="S329" s="85"/>
      <c r="U329" s="94"/>
      <c r="V329" s="93"/>
      <c r="W329" s="85"/>
      <c r="Y329" s="94"/>
      <c r="Z329" s="93"/>
      <c r="AA329" s="85"/>
      <c r="AC329" s="94"/>
      <c r="AD329" s="93"/>
      <c r="AE329" s="85"/>
    </row>
    <row r="330" spans="6:31" x14ac:dyDescent="0.35">
      <c r="F330" s="93"/>
      <c r="G330" s="85"/>
      <c r="H330" s="87"/>
      <c r="I330" s="94"/>
      <c r="J330" s="93"/>
      <c r="K330" s="85"/>
      <c r="M330" s="94"/>
      <c r="N330" s="93"/>
      <c r="O330" s="85"/>
      <c r="Q330" s="94"/>
      <c r="R330" s="93"/>
      <c r="S330" s="85"/>
      <c r="U330" s="94"/>
      <c r="V330" s="93"/>
      <c r="W330" s="85"/>
      <c r="Y330" s="94"/>
      <c r="Z330" s="93"/>
      <c r="AA330" s="85"/>
      <c r="AC330" s="94"/>
      <c r="AD330" s="93"/>
      <c r="AE330" s="85"/>
    </row>
    <row r="331" spans="6:31" x14ac:dyDescent="0.35">
      <c r="F331" s="93"/>
      <c r="G331" s="85"/>
      <c r="H331" s="87"/>
      <c r="I331" s="94"/>
      <c r="J331" s="93"/>
      <c r="K331" s="85"/>
      <c r="M331" s="94"/>
      <c r="N331" s="93"/>
      <c r="O331" s="85"/>
      <c r="Q331" s="94"/>
      <c r="R331" s="93"/>
      <c r="S331" s="85"/>
      <c r="U331" s="94"/>
      <c r="V331" s="93"/>
      <c r="W331" s="85"/>
      <c r="Y331" s="94"/>
      <c r="Z331" s="93"/>
      <c r="AA331" s="85"/>
      <c r="AC331" s="94"/>
      <c r="AD331" s="93"/>
      <c r="AE331" s="85"/>
    </row>
    <row r="332" spans="6:31" x14ac:dyDescent="0.35">
      <c r="F332" s="93"/>
      <c r="G332" s="85"/>
      <c r="H332" s="87"/>
      <c r="I332" s="94"/>
      <c r="J332" s="93"/>
      <c r="K332" s="85"/>
      <c r="M332" s="94"/>
      <c r="N332" s="93"/>
      <c r="O332" s="85"/>
      <c r="Q332" s="94"/>
      <c r="R332" s="93"/>
      <c r="S332" s="85"/>
      <c r="U332" s="94"/>
      <c r="V332" s="93"/>
      <c r="W332" s="85"/>
      <c r="Y332" s="94"/>
      <c r="Z332" s="93"/>
      <c r="AA332" s="85"/>
      <c r="AC332" s="94"/>
      <c r="AD332" s="93"/>
      <c r="AE332" s="85"/>
    </row>
    <row r="333" spans="6:31" x14ac:dyDescent="0.35">
      <c r="F333" s="93"/>
      <c r="G333" s="85"/>
      <c r="H333" s="87"/>
      <c r="I333" s="94"/>
      <c r="J333" s="93"/>
      <c r="K333" s="85"/>
      <c r="M333" s="94"/>
      <c r="N333" s="93"/>
      <c r="O333" s="85"/>
      <c r="Q333" s="94"/>
      <c r="R333" s="93"/>
      <c r="S333" s="85"/>
      <c r="U333" s="94"/>
      <c r="V333" s="93"/>
      <c r="W333" s="85"/>
      <c r="Y333" s="94"/>
      <c r="Z333" s="93"/>
      <c r="AA333" s="85"/>
      <c r="AC333" s="94"/>
      <c r="AD333" s="93"/>
      <c r="AE333" s="85"/>
    </row>
    <row r="334" spans="6:31" x14ac:dyDescent="0.35">
      <c r="F334" s="93"/>
      <c r="G334" s="85"/>
      <c r="H334" s="87"/>
      <c r="I334" s="94"/>
      <c r="J334" s="93"/>
      <c r="K334" s="85"/>
      <c r="M334" s="94"/>
      <c r="N334" s="93"/>
      <c r="O334" s="85"/>
      <c r="Q334" s="94"/>
      <c r="R334" s="93"/>
      <c r="S334" s="85"/>
      <c r="U334" s="94"/>
      <c r="V334" s="93"/>
      <c r="W334" s="85"/>
      <c r="Y334" s="94"/>
      <c r="Z334" s="93"/>
      <c r="AA334" s="85"/>
      <c r="AC334" s="94"/>
      <c r="AD334" s="93"/>
      <c r="AE334" s="85"/>
    </row>
    <row r="335" spans="6:31" x14ac:dyDescent="0.35">
      <c r="F335" s="93"/>
      <c r="G335" s="85"/>
      <c r="H335" s="87"/>
      <c r="I335" s="94"/>
      <c r="J335" s="93"/>
      <c r="K335" s="85"/>
      <c r="M335" s="94"/>
      <c r="N335" s="93"/>
      <c r="O335" s="85"/>
      <c r="Q335" s="94"/>
      <c r="R335" s="93"/>
      <c r="S335" s="85"/>
      <c r="U335" s="94"/>
      <c r="V335" s="93"/>
      <c r="W335" s="85"/>
      <c r="Y335" s="94"/>
      <c r="Z335" s="93"/>
      <c r="AA335" s="85"/>
      <c r="AC335" s="94"/>
      <c r="AD335" s="93"/>
      <c r="AE335" s="85"/>
    </row>
    <row r="336" spans="6:31" x14ac:dyDescent="0.35">
      <c r="F336" s="93"/>
      <c r="G336" s="85"/>
      <c r="H336" s="87"/>
      <c r="I336" s="94"/>
      <c r="J336" s="93"/>
      <c r="K336" s="85"/>
      <c r="M336" s="94"/>
      <c r="N336" s="93"/>
      <c r="O336" s="85"/>
      <c r="Q336" s="94"/>
      <c r="R336" s="93"/>
      <c r="S336" s="85"/>
      <c r="U336" s="94"/>
      <c r="V336" s="93"/>
      <c r="W336" s="85"/>
      <c r="Y336" s="94"/>
      <c r="Z336" s="93"/>
      <c r="AA336" s="85"/>
      <c r="AC336" s="94"/>
      <c r="AD336" s="93"/>
      <c r="AE336" s="85"/>
    </row>
    <row r="337" spans="6:31" x14ac:dyDescent="0.35">
      <c r="F337" s="93"/>
      <c r="G337" s="85"/>
      <c r="H337" s="87"/>
      <c r="I337" s="94"/>
      <c r="J337" s="93"/>
      <c r="K337" s="85"/>
      <c r="M337" s="94"/>
      <c r="N337" s="93"/>
      <c r="O337" s="85"/>
      <c r="Q337" s="94"/>
      <c r="R337" s="93"/>
      <c r="S337" s="85"/>
      <c r="U337" s="94"/>
      <c r="V337" s="93"/>
      <c r="W337" s="85"/>
      <c r="Y337" s="94"/>
      <c r="Z337" s="93"/>
      <c r="AA337" s="85"/>
      <c r="AC337" s="94"/>
      <c r="AD337" s="93"/>
      <c r="AE337" s="85"/>
    </row>
    <row r="338" spans="6:31" x14ac:dyDescent="0.35">
      <c r="F338" s="93"/>
      <c r="G338" s="85"/>
      <c r="H338" s="87"/>
      <c r="I338" s="94"/>
      <c r="J338" s="93"/>
      <c r="K338" s="85"/>
      <c r="M338" s="94"/>
      <c r="N338" s="93"/>
      <c r="O338" s="85"/>
      <c r="Q338" s="94"/>
      <c r="R338" s="93"/>
      <c r="S338" s="85"/>
      <c r="U338" s="94"/>
      <c r="V338" s="93"/>
      <c r="W338" s="85"/>
      <c r="Y338" s="94"/>
      <c r="Z338" s="93"/>
      <c r="AA338" s="85"/>
      <c r="AC338" s="94"/>
      <c r="AD338" s="93"/>
      <c r="AE338" s="85"/>
    </row>
    <row r="339" spans="6:31" x14ac:dyDescent="0.35">
      <c r="F339" s="93"/>
      <c r="G339" s="85"/>
      <c r="H339" s="87"/>
      <c r="I339" s="94"/>
      <c r="J339" s="93"/>
      <c r="K339" s="85"/>
      <c r="M339" s="94"/>
      <c r="N339" s="93"/>
      <c r="O339" s="85"/>
      <c r="Q339" s="94"/>
      <c r="R339" s="93"/>
      <c r="S339" s="85"/>
      <c r="U339" s="94"/>
      <c r="V339" s="93"/>
      <c r="W339" s="85"/>
      <c r="Y339" s="94"/>
      <c r="Z339" s="93"/>
      <c r="AA339" s="85"/>
      <c r="AC339" s="94"/>
      <c r="AD339" s="93"/>
      <c r="AE339" s="85"/>
    </row>
    <row r="340" spans="6:31" x14ac:dyDescent="0.35">
      <c r="F340" s="93"/>
      <c r="G340" s="85"/>
      <c r="H340" s="87"/>
      <c r="I340" s="94"/>
      <c r="J340" s="93"/>
      <c r="K340" s="85"/>
      <c r="M340" s="94"/>
      <c r="N340" s="93"/>
      <c r="O340" s="85"/>
      <c r="Q340" s="94"/>
      <c r="R340" s="93"/>
      <c r="S340" s="85"/>
      <c r="U340" s="94"/>
      <c r="V340" s="93"/>
      <c r="W340" s="85"/>
      <c r="Y340" s="94"/>
      <c r="Z340" s="93"/>
      <c r="AA340" s="85"/>
      <c r="AC340" s="94"/>
      <c r="AD340" s="93"/>
      <c r="AE340" s="85"/>
    </row>
    <row r="341" spans="6:31" x14ac:dyDescent="0.35">
      <c r="F341" s="93"/>
      <c r="G341" s="85"/>
      <c r="H341" s="87"/>
      <c r="I341" s="94"/>
      <c r="J341" s="93"/>
      <c r="K341" s="85"/>
      <c r="M341" s="94"/>
      <c r="N341" s="93"/>
      <c r="O341" s="85"/>
      <c r="Q341" s="94"/>
      <c r="R341" s="93"/>
      <c r="S341" s="85"/>
      <c r="U341" s="94"/>
      <c r="V341" s="93"/>
      <c r="W341" s="85"/>
      <c r="Y341" s="94"/>
      <c r="Z341" s="93"/>
      <c r="AA341" s="85"/>
      <c r="AC341" s="94"/>
      <c r="AD341" s="93"/>
      <c r="AE341" s="85"/>
    </row>
    <row r="342" spans="6:31" x14ac:dyDescent="0.35">
      <c r="F342" s="93"/>
      <c r="G342" s="85"/>
      <c r="H342" s="87"/>
      <c r="I342" s="94"/>
      <c r="J342" s="93"/>
      <c r="K342" s="85"/>
      <c r="M342" s="94"/>
      <c r="N342" s="93"/>
      <c r="O342" s="85"/>
      <c r="Q342" s="94"/>
      <c r="R342" s="93"/>
      <c r="S342" s="85"/>
      <c r="U342" s="94"/>
      <c r="V342" s="93"/>
      <c r="W342" s="85"/>
      <c r="Y342" s="94"/>
      <c r="Z342" s="93"/>
      <c r="AA342" s="85"/>
      <c r="AC342" s="94"/>
      <c r="AD342" s="93"/>
      <c r="AE342" s="85"/>
    </row>
    <row r="343" spans="6:31" x14ac:dyDescent="0.35">
      <c r="F343" s="93"/>
      <c r="G343" s="85"/>
      <c r="H343" s="87"/>
      <c r="I343" s="94"/>
      <c r="J343" s="93"/>
      <c r="K343" s="85"/>
      <c r="M343" s="94"/>
      <c r="N343" s="93"/>
      <c r="O343" s="85"/>
      <c r="Q343" s="94"/>
      <c r="R343" s="93"/>
      <c r="S343" s="85"/>
      <c r="U343" s="94"/>
      <c r="V343" s="93"/>
      <c r="W343" s="85"/>
      <c r="Y343" s="94"/>
      <c r="Z343" s="93"/>
      <c r="AA343" s="85"/>
      <c r="AC343" s="94"/>
      <c r="AD343" s="93"/>
      <c r="AE343" s="85"/>
    </row>
    <row r="344" spans="6:31" x14ac:dyDescent="0.35">
      <c r="F344" s="93"/>
      <c r="G344" s="85"/>
      <c r="H344" s="87"/>
      <c r="I344" s="94"/>
      <c r="J344" s="93"/>
      <c r="K344" s="85"/>
      <c r="M344" s="94"/>
      <c r="N344" s="93"/>
      <c r="O344" s="85"/>
      <c r="Q344" s="94"/>
      <c r="R344" s="93"/>
      <c r="S344" s="85"/>
      <c r="U344" s="94"/>
      <c r="V344" s="93"/>
      <c r="W344" s="85"/>
      <c r="Y344" s="94"/>
      <c r="Z344" s="93"/>
      <c r="AA344" s="85"/>
      <c r="AC344" s="94"/>
      <c r="AD344" s="93"/>
      <c r="AE344" s="85"/>
    </row>
    <row r="345" spans="6:31" x14ac:dyDescent="0.35">
      <c r="F345" s="93"/>
      <c r="G345" s="85"/>
      <c r="H345" s="87"/>
      <c r="I345" s="94"/>
      <c r="J345" s="93"/>
      <c r="K345" s="85"/>
      <c r="M345" s="94"/>
      <c r="N345" s="93"/>
      <c r="O345" s="85"/>
      <c r="Q345" s="94"/>
      <c r="R345" s="93"/>
      <c r="S345" s="85"/>
      <c r="U345" s="94"/>
      <c r="V345" s="93"/>
      <c r="W345" s="85"/>
      <c r="Y345" s="94"/>
      <c r="Z345" s="93"/>
      <c r="AA345" s="85"/>
      <c r="AC345" s="94"/>
      <c r="AD345" s="93"/>
      <c r="AE345" s="85"/>
    </row>
    <row r="346" spans="6:31" x14ac:dyDescent="0.35">
      <c r="F346" s="93"/>
      <c r="G346" s="85"/>
      <c r="H346" s="87"/>
      <c r="I346" s="94"/>
      <c r="J346" s="93"/>
      <c r="K346" s="85"/>
      <c r="M346" s="94"/>
      <c r="N346" s="93"/>
      <c r="O346" s="85"/>
      <c r="Q346" s="94"/>
      <c r="R346" s="93"/>
      <c r="S346" s="85"/>
      <c r="U346" s="94"/>
      <c r="V346" s="93"/>
      <c r="W346" s="85"/>
      <c r="Y346" s="94"/>
      <c r="Z346" s="93"/>
      <c r="AA346" s="85"/>
      <c r="AC346" s="94"/>
      <c r="AD346" s="93"/>
      <c r="AE346" s="85"/>
    </row>
    <row r="347" spans="6:31" x14ac:dyDescent="0.35">
      <c r="F347" s="93"/>
      <c r="G347" s="85"/>
      <c r="H347" s="87"/>
      <c r="I347" s="94"/>
      <c r="J347" s="93"/>
      <c r="K347" s="85"/>
      <c r="M347" s="94"/>
      <c r="N347" s="93"/>
      <c r="O347" s="85"/>
      <c r="Q347" s="94"/>
      <c r="R347" s="93"/>
      <c r="S347" s="85"/>
      <c r="U347" s="94"/>
      <c r="V347" s="93"/>
      <c r="W347" s="85"/>
      <c r="Y347" s="94"/>
      <c r="Z347" s="93"/>
      <c r="AA347" s="85"/>
      <c r="AC347" s="94"/>
      <c r="AD347" s="93"/>
      <c r="AE347" s="85"/>
    </row>
    <row r="348" spans="6:31" x14ac:dyDescent="0.35">
      <c r="F348" s="93"/>
      <c r="G348" s="85"/>
      <c r="H348" s="87"/>
      <c r="I348" s="94"/>
      <c r="J348" s="93"/>
      <c r="K348" s="85"/>
      <c r="M348" s="94"/>
      <c r="N348" s="93"/>
      <c r="O348" s="85"/>
      <c r="Q348" s="94"/>
      <c r="R348" s="93"/>
      <c r="S348" s="85"/>
      <c r="U348" s="94"/>
      <c r="V348" s="93"/>
      <c r="W348" s="85"/>
      <c r="Y348" s="94"/>
      <c r="Z348" s="93"/>
      <c r="AA348" s="85"/>
      <c r="AC348" s="94"/>
      <c r="AD348" s="93"/>
      <c r="AE348" s="85"/>
    </row>
    <row r="349" spans="6:31" x14ac:dyDescent="0.35">
      <c r="F349" s="93"/>
      <c r="G349" s="85"/>
      <c r="H349" s="87"/>
      <c r="I349" s="94"/>
      <c r="J349" s="93"/>
      <c r="K349" s="85"/>
      <c r="M349" s="94"/>
      <c r="N349" s="93"/>
      <c r="O349" s="85"/>
      <c r="Q349" s="94"/>
      <c r="R349" s="93"/>
      <c r="S349" s="85"/>
      <c r="U349" s="94"/>
      <c r="V349" s="93"/>
      <c r="W349" s="85"/>
      <c r="Y349" s="94"/>
      <c r="Z349" s="93"/>
      <c r="AA349" s="85"/>
      <c r="AC349" s="94"/>
      <c r="AD349" s="93"/>
      <c r="AE349" s="85"/>
    </row>
    <row r="350" spans="6:31" x14ac:dyDescent="0.35">
      <c r="F350" s="93"/>
      <c r="G350" s="85"/>
      <c r="H350" s="87"/>
      <c r="I350" s="94"/>
      <c r="J350" s="93"/>
      <c r="K350" s="85"/>
      <c r="M350" s="94"/>
      <c r="N350" s="93"/>
      <c r="O350" s="85"/>
      <c r="Q350" s="94"/>
      <c r="R350" s="93"/>
      <c r="S350" s="85"/>
      <c r="U350" s="94"/>
      <c r="V350" s="93"/>
      <c r="W350" s="85"/>
      <c r="Y350" s="94"/>
      <c r="Z350" s="93"/>
      <c r="AA350" s="85"/>
      <c r="AC350" s="94"/>
      <c r="AD350" s="93"/>
      <c r="AE350" s="85"/>
    </row>
    <row r="351" spans="6:31" x14ac:dyDescent="0.35">
      <c r="F351" s="93"/>
      <c r="G351" s="85"/>
      <c r="H351" s="87"/>
      <c r="I351" s="94"/>
      <c r="J351" s="93"/>
      <c r="K351" s="85"/>
      <c r="M351" s="94"/>
      <c r="N351" s="93"/>
      <c r="O351" s="85"/>
      <c r="Q351" s="94"/>
      <c r="R351" s="93"/>
      <c r="S351" s="85"/>
      <c r="U351" s="94"/>
      <c r="V351" s="93"/>
      <c r="W351" s="85"/>
      <c r="Y351" s="94"/>
      <c r="Z351" s="93"/>
      <c r="AA351" s="85"/>
      <c r="AC351" s="94"/>
      <c r="AD351" s="93"/>
      <c r="AE351" s="85"/>
    </row>
    <row r="352" spans="6:31" x14ac:dyDescent="0.35">
      <c r="F352" s="93"/>
      <c r="G352" s="85"/>
      <c r="H352" s="87"/>
      <c r="I352" s="94"/>
      <c r="J352" s="93"/>
      <c r="K352" s="85"/>
      <c r="M352" s="94"/>
      <c r="N352" s="93"/>
      <c r="O352" s="85"/>
      <c r="Q352" s="94"/>
      <c r="R352" s="93"/>
      <c r="S352" s="85"/>
      <c r="U352" s="94"/>
      <c r="V352" s="93"/>
      <c r="W352" s="85"/>
      <c r="Y352" s="94"/>
      <c r="Z352" s="93"/>
      <c r="AA352" s="85"/>
      <c r="AC352" s="94"/>
      <c r="AD352" s="93"/>
      <c r="AE352" s="85"/>
    </row>
    <row r="353" spans="6:31" x14ac:dyDescent="0.35">
      <c r="F353" s="93"/>
      <c r="G353" s="85"/>
      <c r="H353" s="87"/>
      <c r="I353" s="94"/>
      <c r="J353" s="93"/>
      <c r="K353" s="85"/>
      <c r="M353" s="94"/>
      <c r="N353" s="93"/>
      <c r="O353" s="85"/>
      <c r="Q353" s="94"/>
      <c r="R353" s="93"/>
      <c r="S353" s="85"/>
      <c r="U353" s="94"/>
      <c r="V353" s="93"/>
      <c r="W353" s="85"/>
      <c r="Y353" s="94"/>
      <c r="Z353" s="93"/>
      <c r="AA353" s="85"/>
      <c r="AC353" s="94"/>
      <c r="AD353" s="93"/>
      <c r="AE353" s="85"/>
    </row>
    <row r="354" spans="6:31" x14ac:dyDescent="0.35">
      <c r="F354" s="93"/>
      <c r="G354" s="85"/>
      <c r="H354" s="87"/>
      <c r="I354" s="94"/>
      <c r="J354" s="93"/>
      <c r="K354" s="85"/>
      <c r="M354" s="94"/>
      <c r="N354" s="93"/>
      <c r="O354" s="85"/>
      <c r="Q354" s="94"/>
      <c r="R354" s="93"/>
      <c r="S354" s="85"/>
      <c r="U354" s="94"/>
      <c r="V354" s="93"/>
      <c r="W354" s="85"/>
      <c r="Y354" s="94"/>
      <c r="Z354" s="93"/>
      <c r="AA354" s="85"/>
      <c r="AC354" s="94"/>
      <c r="AD354" s="93"/>
      <c r="AE354" s="85"/>
    </row>
    <row r="355" spans="6:31" x14ac:dyDescent="0.35">
      <c r="F355" s="93"/>
      <c r="G355" s="85"/>
      <c r="H355" s="87"/>
      <c r="I355" s="94"/>
      <c r="J355" s="93"/>
      <c r="K355" s="85"/>
      <c r="M355" s="94"/>
      <c r="N355" s="93"/>
      <c r="O355" s="85"/>
      <c r="Q355" s="94"/>
      <c r="R355" s="93"/>
      <c r="S355" s="85"/>
      <c r="U355" s="94"/>
      <c r="V355" s="93"/>
      <c r="W355" s="85"/>
      <c r="Y355" s="94"/>
      <c r="Z355" s="93"/>
      <c r="AA355" s="85"/>
      <c r="AC355" s="94"/>
      <c r="AD355" s="93"/>
      <c r="AE355" s="85"/>
    </row>
    <row r="356" spans="6:31" x14ac:dyDescent="0.35">
      <c r="F356" s="93"/>
      <c r="G356" s="85"/>
      <c r="H356" s="87"/>
      <c r="I356" s="94"/>
      <c r="J356" s="93"/>
      <c r="K356" s="85"/>
      <c r="M356" s="94"/>
      <c r="N356" s="93"/>
      <c r="O356" s="85"/>
      <c r="Q356" s="94"/>
      <c r="R356" s="93"/>
      <c r="S356" s="85"/>
      <c r="U356" s="94"/>
      <c r="V356" s="93"/>
      <c r="W356" s="85"/>
      <c r="Y356" s="94"/>
      <c r="Z356" s="93"/>
      <c r="AA356" s="85"/>
      <c r="AC356" s="94"/>
      <c r="AD356" s="93"/>
      <c r="AE356" s="85"/>
    </row>
    <row r="357" spans="6:31" x14ac:dyDescent="0.35">
      <c r="F357" s="93"/>
      <c r="G357" s="85"/>
      <c r="H357" s="87"/>
      <c r="I357" s="94"/>
      <c r="J357" s="93"/>
      <c r="K357" s="85"/>
      <c r="M357" s="94"/>
      <c r="N357" s="93"/>
      <c r="O357" s="85"/>
      <c r="Q357" s="94"/>
      <c r="R357" s="93"/>
      <c r="S357" s="85"/>
      <c r="U357" s="94"/>
      <c r="V357" s="93"/>
      <c r="W357" s="85"/>
      <c r="Y357" s="94"/>
      <c r="Z357" s="93"/>
      <c r="AA357" s="85"/>
      <c r="AC357" s="94"/>
      <c r="AD357" s="93"/>
      <c r="AE357" s="85"/>
    </row>
    <row r="358" spans="6:31" x14ac:dyDescent="0.35">
      <c r="F358" s="93"/>
      <c r="G358" s="85"/>
      <c r="H358" s="87"/>
      <c r="I358" s="94"/>
      <c r="J358" s="93"/>
      <c r="K358" s="85"/>
      <c r="M358" s="94"/>
      <c r="N358" s="93"/>
      <c r="O358" s="85"/>
      <c r="Q358" s="94"/>
      <c r="R358" s="93"/>
      <c r="S358" s="85"/>
      <c r="U358" s="94"/>
      <c r="V358" s="93"/>
      <c r="W358" s="85"/>
      <c r="Y358" s="94"/>
      <c r="Z358" s="93"/>
      <c r="AA358" s="85"/>
      <c r="AC358" s="94"/>
      <c r="AD358" s="93"/>
      <c r="AE358" s="85"/>
    </row>
    <row r="359" spans="6:31" x14ac:dyDescent="0.35">
      <c r="F359" s="93"/>
      <c r="G359" s="85"/>
      <c r="H359" s="87"/>
      <c r="I359" s="94"/>
      <c r="J359" s="93"/>
      <c r="K359" s="85"/>
      <c r="M359" s="94"/>
      <c r="N359" s="93"/>
      <c r="O359" s="85"/>
      <c r="Q359" s="94"/>
      <c r="R359" s="93"/>
      <c r="S359" s="85"/>
      <c r="U359" s="94"/>
      <c r="V359" s="93"/>
      <c r="W359" s="85"/>
      <c r="Y359" s="94"/>
      <c r="Z359" s="93"/>
      <c r="AA359" s="85"/>
      <c r="AC359" s="94"/>
      <c r="AD359" s="93"/>
      <c r="AE359" s="85"/>
    </row>
    <row r="360" spans="6:31" x14ac:dyDescent="0.35">
      <c r="F360" s="93"/>
      <c r="G360" s="85"/>
      <c r="H360" s="87"/>
      <c r="I360" s="94"/>
      <c r="J360" s="93"/>
      <c r="K360" s="85"/>
      <c r="M360" s="94"/>
      <c r="N360" s="93"/>
      <c r="O360" s="85"/>
      <c r="Q360" s="94"/>
      <c r="R360" s="93"/>
      <c r="S360" s="85"/>
      <c r="U360" s="94"/>
      <c r="V360" s="93"/>
      <c r="W360" s="85"/>
      <c r="Y360" s="94"/>
      <c r="Z360" s="93"/>
      <c r="AA360" s="85"/>
      <c r="AC360" s="94"/>
      <c r="AD360" s="93"/>
      <c r="AE360" s="85"/>
    </row>
    <row r="361" spans="6:31" x14ac:dyDescent="0.35">
      <c r="F361" s="93"/>
      <c r="G361" s="85"/>
      <c r="H361" s="87"/>
      <c r="I361" s="94"/>
      <c r="J361" s="93"/>
      <c r="K361" s="85"/>
      <c r="M361" s="94"/>
      <c r="N361" s="93"/>
      <c r="O361" s="85"/>
      <c r="Q361" s="94"/>
      <c r="R361" s="93"/>
      <c r="S361" s="85"/>
      <c r="U361" s="94"/>
      <c r="V361" s="93"/>
      <c r="W361" s="85"/>
      <c r="Y361" s="94"/>
      <c r="Z361" s="93"/>
      <c r="AA361" s="85"/>
      <c r="AC361" s="94"/>
      <c r="AD361" s="93"/>
      <c r="AE361" s="85"/>
    </row>
    <row r="362" spans="6:31" x14ac:dyDescent="0.35">
      <c r="F362" s="93"/>
      <c r="G362" s="85"/>
      <c r="H362" s="87"/>
      <c r="I362" s="94"/>
      <c r="J362" s="93"/>
      <c r="K362" s="85"/>
      <c r="M362" s="94"/>
      <c r="N362" s="93"/>
      <c r="O362" s="85"/>
      <c r="Q362" s="94"/>
      <c r="R362" s="93"/>
      <c r="S362" s="85"/>
      <c r="U362" s="94"/>
      <c r="V362" s="93"/>
      <c r="W362" s="85"/>
      <c r="Y362" s="94"/>
      <c r="Z362" s="93"/>
      <c r="AA362" s="85"/>
      <c r="AC362" s="94"/>
      <c r="AD362" s="93"/>
      <c r="AE362" s="85"/>
    </row>
    <row r="363" spans="6:31" x14ac:dyDescent="0.35">
      <c r="F363" s="93"/>
      <c r="G363" s="85"/>
      <c r="H363" s="87"/>
      <c r="I363" s="94"/>
      <c r="J363" s="93"/>
      <c r="K363" s="85"/>
      <c r="M363" s="94"/>
      <c r="N363" s="93"/>
      <c r="O363" s="85"/>
      <c r="Q363" s="94"/>
      <c r="R363" s="93"/>
      <c r="S363" s="85"/>
      <c r="U363" s="94"/>
      <c r="V363" s="93"/>
      <c r="W363" s="85"/>
      <c r="Y363" s="94"/>
      <c r="Z363" s="93"/>
      <c r="AA363" s="85"/>
      <c r="AC363" s="94"/>
      <c r="AD363" s="93"/>
      <c r="AE363" s="85"/>
    </row>
    <row r="364" spans="6:31" x14ac:dyDescent="0.35">
      <c r="F364" s="93"/>
      <c r="G364" s="85"/>
      <c r="H364" s="87"/>
      <c r="I364" s="94"/>
      <c r="J364" s="93"/>
      <c r="K364" s="85"/>
      <c r="M364" s="94"/>
      <c r="N364" s="93"/>
      <c r="O364" s="85"/>
      <c r="Q364" s="94"/>
      <c r="R364" s="93"/>
      <c r="S364" s="85"/>
      <c r="U364" s="94"/>
      <c r="V364" s="93"/>
      <c r="W364" s="85"/>
      <c r="Y364" s="94"/>
      <c r="Z364" s="93"/>
      <c r="AA364" s="85"/>
      <c r="AC364" s="94"/>
      <c r="AD364" s="93"/>
      <c r="AE364" s="85"/>
    </row>
    <row r="365" spans="6:31" x14ac:dyDescent="0.35">
      <c r="F365" s="93"/>
      <c r="G365" s="85"/>
      <c r="H365" s="87"/>
      <c r="I365" s="94"/>
      <c r="J365" s="93"/>
      <c r="K365" s="85"/>
      <c r="M365" s="94"/>
      <c r="N365" s="93"/>
      <c r="O365" s="85"/>
      <c r="Q365" s="94"/>
      <c r="R365" s="93"/>
      <c r="S365" s="85"/>
      <c r="U365" s="94"/>
      <c r="V365" s="93"/>
      <c r="W365" s="85"/>
      <c r="Y365" s="94"/>
      <c r="Z365" s="93"/>
      <c r="AA365" s="85"/>
      <c r="AC365" s="94"/>
      <c r="AD365" s="93"/>
      <c r="AE365" s="85"/>
    </row>
    <row r="366" spans="6:31" x14ac:dyDescent="0.35">
      <c r="F366" s="93"/>
      <c r="G366" s="85"/>
      <c r="H366" s="87"/>
      <c r="I366" s="94"/>
      <c r="J366" s="93"/>
      <c r="K366" s="85"/>
      <c r="M366" s="94"/>
      <c r="N366" s="93"/>
      <c r="O366" s="85"/>
      <c r="Q366" s="94"/>
      <c r="R366" s="93"/>
      <c r="S366" s="85"/>
      <c r="U366" s="94"/>
      <c r="V366" s="93"/>
      <c r="W366" s="85"/>
      <c r="Y366" s="94"/>
      <c r="Z366" s="93"/>
      <c r="AA366" s="85"/>
      <c r="AC366" s="94"/>
      <c r="AD366" s="93"/>
      <c r="AE366" s="85"/>
    </row>
    <row r="367" spans="6:31" x14ac:dyDescent="0.35">
      <c r="F367" s="93"/>
      <c r="G367" s="85"/>
      <c r="H367" s="87"/>
      <c r="I367" s="94"/>
      <c r="J367" s="93"/>
      <c r="K367" s="85"/>
      <c r="M367" s="94"/>
      <c r="N367" s="93"/>
      <c r="O367" s="85"/>
      <c r="Q367" s="94"/>
      <c r="R367" s="93"/>
      <c r="S367" s="85"/>
      <c r="U367" s="94"/>
      <c r="V367" s="93"/>
      <c r="W367" s="85"/>
      <c r="Y367" s="94"/>
      <c r="Z367" s="93"/>
      <c r="AA367" s="85"/>
      <c r="AC367" s="94"/>
      <c r="AD367" s="93"/>
      <c r="AE367" s="85"/>
    </row>
    <row r="368" spans="6:31" x14ac:dyDescent="0.35">
      <c r="F368" s="93"/>
      <c r="G368" s="85"/>
      <c r="H368" s="87"/>
      <c r="I368" s="94"/>
      <c r="J368" s="93"/>
      <c r="K368" s="85"/>
      <c r="M368" s="94"/>
      <c r="N368" s="93"/>
      <c r="O368" s="85"/>
      <c r="Q368" s="94"/>
      <c r="R368" s="93"/>
      <c r="S368" s="85"/>
      <c r="U368" s="94"/>
      <c r="V368" s="93"/>
      <c r="W368" s="85"/>
      <c r="Y368" s="94"/>
      <c r="Z368" s="93"/>
      <c r="AA368" s="85"/>
      <c r="AC368" s="94"/>
      <c r="AD368" s="93"/>
      <c r="AE368" s="85"/>
    </row>
    <row r="369" spans="6:31" x14ac:dyDescent="0.35">
      <c r="F369" s="93"/>
      <c r="G369" s="85"/>
      <c r="H369" s="87"/>
      <c r="I369" s="94"/>
      <c r="J369" s="93"/>
      <c r="K369" s="85"/>
      <c r="M369" s="94"/>
      <c r="N369" s="93"/>
      <c r="O369" s="85"/>
      <c r="Q369" s="94"/>
      <c r="R369" s="93"/>
      <c r="S369" s="85"/>
      <c r="U369" s="94"/>
      <c r="V369" s="93"/>
      <c r="W369" s="85"/>
      <c r="Y369" s="94"/>
      <c r="Z369" s="93"/>
      <c r="AA369" s="85"/>
      <c r="AC369" s="94"/>
      <c r="AD369" s="93"/>
      <c r="AE369" s="85"/>
    </row>
    <row r="370" spans="6:31" x14ac:dyDescent="0.35">
      <c r="F370" s="93"/>
      <c r="G370" s="85"/>
      <c r="H370" s="87"/>
      <c r="I370" s="94"/>
      <c r="J370" s="93"/>
      <c r="K370" s="85"/>
      <c r="M370" s="94"/>
      <c r="N370" s="93"/>
      <c r="O370" s="85"/>
      <c r="Q370" s="94"/>
      <c r="R370" s="93"/>
      <c r="S370" s="85"/>
      <c r="U370" s="94"/>
      <c r="V370" s="93"/>
      <c r="W370" s="85"/>
      <c r="Y370" s="94"/>
      <c r="Z370" s="93"/>
      <c r="AA370" s="85"/>
      <c r="AC370" s="94"/>
      <c r="AD370" s="93"/>
      <c r="AE370" s="85"/>
    </row>
    <row r="371" spans="6:31" x14ac:dyDescent="0.35">
      <c r="F371" s="93"/>
      <c r="G371" s="85"/>
      <c r="H371" s="87"/>
      <c r="I371" s="94"/>
      <c r="J371" s="93"/>
      <c r="K371" s="85"/>
      <c r="M371" s="94"/>
      <c r="N371" s="93"/>
      <c r="O371" s="85"/>
      <c r="Q371" s="94"/>
      <c r="R371" s="93"/>
      <c r="S371" s="85"/>
      <c r="U371" s="94"/>
      <c r="V371" s="93"/>
      <c r="W371" s="85"/>
      <c r="Y371" s="94"/>
      <c r="Z371" s="93"/>
      <c r="AA371" s="85"/>
      <c r="AC371" s="94"/>
      <c r="AD371" s="93"/>
      <c r="AE371" s="85"/>
    </row>
    <row r="372" spans="6:31" x14ac:dyDescent="0.35">
      <c r="F372" s="93"/>
      <c r="G372" s="85"/>
      <c r="H372" s="87"/>
      <c r="I372" s="94"/>
      <c r="J372" s="93"/>
      <c r="K372" s="85"/>
      <c r="M372" s="94"/>
      <c r="N372" s="93"/>
      <c r="O372" s="85"/>
      <c r="Q372" s="94"/>
      <c r="R372" s="93"/>
      <c r="S372" s="85"/>
      <c r="U372" s="94"/>
      <c r="V372" s="93"/>
      <c r="W372" s="85"/>
      <c r="Y372" s="94"/>
      <c r="Z372" s="93"/>
      <c r="AA372" s="85"/>
      <c r="AC372" s="94"/>
      <c r="AD372" s="93"/>
      <c r="AE372" s="85"/>
    </row>
    <row r="373" spans="6:31" x14ac:dyDescent="0.35">
      <c r="F373" s="93"/>
      <c r="G373" s="85"/>
      <c r="H373" s="87"/>
      <c r="I373" s="94"/>
      <c r="J373" s="93"/>
      <c r="K373" s="85"/>
      <c r="M373" s="94"/>
      <c r="N373" s="93"/>
      <c r="O373" s="85"/>
      <c r="Q373" s="94"/>
      <c r="R373" s="93"/>
      <c r="S373" s="85"/>
      <c r="U373" s="94"/>
      <c r="V373" s="93"/>
      <c r="W373" s="85"/>
      <c r="Y373" s="94"/>
      <c r="Z373" s="93"/>
      <c r="AA373" s="85"/>
      <c r="AC373" s="94"/>
      <c r="AD373" s="93"/>
      <c r="AE373" s="85"/>
    </row>
    <row r="374" spans="6:31" x14ac:dyDescent="0.35">
      <c r="F374" s="93"/>
      <c r="G374" s="85"/>
      <c r="H374" s="87"/>
      <c r="I374" s="94"/>
      <c r="J374" s="93"/>
      <c r="K374" s="85"/>
      <c r="M374" s="94"/>
      <c r="N374" s="93"/>
      <c r="O374" s="85"/>
      <c r="Q374" s="94"/>
      <c r="R374" s="93"/>
      <c r="S374" s="85"/>
      <c r="U374" s="94"/>
      <c r="V374" s="93"/>
      <c r="W374" s="85"/>
      <c r="Y374" s="94"/>
      <c r="Z374" s="93"/>
      <c r="AA374" s="85"/>
      <c r="AC374" s="94"/>
      <c r="AD374" s="93"/>
      <c r="AE374" s="85"/>
    </row>
    <row r="375" spans="6:31" x14ac:dyDescent="0.35">
      <c r="F375" s="93"/>
      <c r="G375" s="85"/>
      <c r="H375" s="87"/>
      <c r="I375" s="94"/>
      <c r="J375" s="93"/>
      <c r="K375" s="85"/>
      <c r="M375" s="94"/>
      <c r="N375" s="93"/>
      <c r="O375" s="85"/>
      <c r="Q375" s="94"/>
      <c r="R375" s="93"/>
      <c r="S375" s="85"/>
      <c r="U375" s="94"/>
      <c r="V375" s="93"/>
      <c r="W375" s="85"/>
      <c r="Y375" s="94"/>
      <c r="Z375" s="93"/>
      <c r="AA375" s="85"/>
      <c r="AC375" s="94"/>
      <c r="AD375" s="93"/>
      <c r="AE375" s="85"/>
    </row>
    <row r="376" spans="6:31" x14ac:dyDescent="0.35">
      <c r="F376" s="93"/>
      <c r="G376" s="85"/>
      <c r="H376" s="87"/>
      <c r="I376" s="94"/>
      <c r="J376" s="93"/>
      <c r="K376" s="85"/>
      <c r="M376" s="94"/>
      <c r="N376" s="93"/>
      <c r="O376" s="85"/>
      <c r="Q376" s="94"/>
      <c r="R376" s="93"/>
      <c r="S376" s="85"/>
      <c r="U376" s="94"/>
      <c r="V376" s="93"/>
      <c r="W376" s="85"/>
      <c r="Y376" s="94"/>
      <c r="Z376" s="93"/>
      <c r="AA376" s="85"/>
      <c r="AC376" s="94"/>
      <c r="AD376" s="93"/>
      <c r="AE376" s="85"/>
    </row>
    <row r="377" spans="6:31" x14ac:dyDescent="0.35">
      <c r="F377" s="93"/>
      <c r="G377" s="85"/>
      <c r="H377" s="87"/>
      <c r="I377" s="94"/>
      <c r="J377" s="93"/>
      <c r="K377" s="85"/>
      <c r="M377" s="94"/>
      <c r="N377" s="93"/>
      <c r="O377" s="85"/>
      <c r="Q377" s="94"/>
      <c r="R377" s="93"/>
      <c r="S377" s="85"/>
      <c r="U377" s="94"/>
      <c r="V377" s="93"/>
      <c r="W377" s="85"/>
      <c r="Y377" s="94"/>
      <c r="Z377" s="93"/>
      <c r="AA377" s="85"/>
      <c r="AC377" s="94"/>
      <c r="AD377" s="93"/>
      <c r="AE377" s="85"/>
    </row>
    <row r="378" spans="6:31" x14ac:dyDescent="0.35">
      <c r="F378" s="93"/>
      <c r="G378" s="85"/>
      <c r="H378" s="87"/>
      <c r="I378" s="94"/>
      <c r="J378" s="93"/>
      <c r="K378" s="85"/>
      <c r="M378" s="94"/>
      <c r="N378" s="93"/>
      <c r="O378" s="85"/>
      <c r="Q378" s="94"/>
      <c r="R378" s="93"/>
      <c r="S378" s="85"/>
      <c r="U378" s="94"/>
      <c r="V378" s="93"/>
      <c r="W378" s="85"/>
      <c r="Y378" s="94"/>
      <c r="Z378" s="93"/>
      <c r="AA378" s="85"/>
      <c r="AC378" s="94"/>
      <c r="AD378" s="93"/>
      <c r="AE378" s="85"/>
    </row>
    <row r="379" spans="6:31" x14ac:dyDescent="0.35">
      <c r="F379" s="93"/>
      <c r="G379" s="85"/>
      <c r="H379" s="87"/>
      <c r="I379" s="94"/>
      <c r="J379" s="93"/>
      <c r="K379" s="85"/>
      <c r="M379" s="94"/>
      <c r="N379" s="93"/>
      <c r="O379" s="85"/>
      <c r="Q379" s="94"/>
      <c r="R379" s="93"/>
      <c r="S379" s="85"/>
      <c r="U379" s="94"/>
      <c r="V379" s="93"/>
      <c r="W379" s="85"/>
      <c r="Y379" s="94"/>
      <c r="Z379" s="93"/>
      <c r="AA379" s="85"/>
      <c r="AC379" s="94"/>
      <c r="AD379" s="93"/>
      <c r="AE379" s="85"/>
    </row>
    <row r="380" spans="6:31" x14ac:dyDescent="0.35">
      <c r="F380" s="93"/>
      <c r="G380" s="85"/>
      <c r="H380" s="87"/>
      <c r="I380" s="94"/>
      <c r="J380" s="93"/>
      <c r="K380" s="85"/>
      <c r="M380" s="94"/>
      <c r="N380" s="93"/>
      <c r="O380" s="85"/>
      <c r="Q380" s="94"/>
      <c r="R380" s="93"/>
      <c r="S380" s="85"/>
      <c r="U380" s="94"/>
      <c r="V380" s="93"/>
      <c r="W380" s="85"/>
      <c r="Y380" s="94"/>
      <c r="Z380" s="93"/>
      <c r="AA380" s="85"/>
      <c r="AC380" s="94"/>
      <c r="AD380" s="93"/>
      <c r="AE380" s="85"/>
    </row>
    <row r="381" spans="6:31" x14ac:dyDescent="0.35">
      <c r="F381" s="93"/>
      <c r="G381" s="85"/>
      <c r="H381" s="87"/>
      <c r="I381" s="94"/>
      <c r="J381" s="93"/>
      <c r="K381" s="85"/>
      <c r="M381" s="94"/>
      <c r="N381" s="93"/>
      <c r="O381" s="85"/>
      <c r="Q381" s="94"/>
      <c r="R381" s="93"/>
      <c r="S381" s="85"/>
      <c r="U381" s="94"/>
      <c r="V381" s="93"/>
      <c r="W381" s="85"/>
      <c r="Y381" s="94"/>
      <c r="Z381" s="93"/>
      <c r="AA381" s="85"/>
      <c r="AC381" s="94"/>
      <c r="AD381" s="93"/>
      <c r="AE381" s="85"/>
    </row>
    <row r="382" spans="6:31" x14ac:dyDescent="0.35">
      <c r="F382" s="93"/>
      <c r="G382" s="85"/>
      <c r="H382" s="87"/>
      <c r="I382" s="94"/>
      <c r="J382" s="93"/>
      <c r="K382" s="85"/>
      <c r="M382" s="94"/>
      <c r="N382" s="93"/>
      <c r="O382" s="85"/>
      <c r="Q382" s="94"/>
      <c r="R382" s="93"/>
      <c r="S382" s="85"/>
      <c r="U382" s="94"/>
      <c r="V382" s="93"/>
      <c r="W382" s="85"/>
      <c r="Y382" s="94"/>
      <c r="Z382" s="93"/>
      <c r="AA382" s="85"/>
      <c r="AC382" s="94"/>
      <c r="AD382" s="93"/>
      <c r="AE382" s="85"/>
    </row>
    <row r="383" spans="6:31" x14ac:dyDescent="0.35">
      <c r="F383" s="93"/>
      <c r="G383" s="85"/>
      <c r="H383" s="87"/>
      <c r="I383" s="94"/>
      <c r="J383" s="93"/>
      <c r="K383" s="85"/>
      <c r="M383" s="94"/>
      <c r="N383" s="93"/>
      <c r="O383" s="85"/>
      <c r="Q383" s="94"/>
      <c r="R383" s="93"/>
      <c r="S383" s="85"/>
      <c r="U383" s="94"/>
      <c r="V383" s="93"/>
      <c r="W383" s="85"/>
      <c r="Y383" s="94"/>
      <c r="Z383" s="93"/>
      <c r="AA383" s="85"/>
      <c r="AC383" s="94"/>
      <c r="AD383" s="93"/>
      <c r="AE383" s="85"/>
    </row>
    <row r="384" spans="6:31" x14ac:dyDescent="0.35">
      <c r="F384" s="93"/>
      <c r="G384" s="85"/>
      <c r="H384" s="87"/>
      <c r="I384" s="94"/>
      <c r="J384" s="93"/>
      <c r="K384" s="85"/>
      <c r="M384" s="94"/>
      <c r="N384" s="93"/>
      <c r="O384" s="85"/>
      <c r="Q384" s="94"/>
      <c r="R384" s="93"/>
      <c r="S384" s="85"/>
      <c r="U384" s="94"/>
      <c r="V384" s="93"/>
      <c r="W384" s="85"/>
      <c r="Y384" s="94"/>
      <c r="Z384" s="93"/>
      <c r="AA384" s="85"/>
      <c r="AC384" s="94"/>
      <c r="AD384" s="93"/>
      <c r="AE384" s="85"/>
    </row>
    <row r="385" spans="6:31" x14ac:dyDescent="0.35">
      <c r="F385" s="93"/>
      <c r="G385" s="85"/>
      <c r="H385" s="87"/>
      <c r="I385" s="94"/>
      <c r="J385" s="93"/>
      <c r="K385" s="85"/>
      <c r="M385" s="94"/>
      <c r="N385" s="93"/>
      <c r="O385" s="85"/>
      <c r="Q385" s="94"/>
      <c r="R385" s="93"/>
      <c r="S385" s="85"/>
      <c r="U385" s="94"/>
      <c r="V385" s="93"/>
      <c r="W385" s="85"/>
      <c r="Y385" s="94"/>
      <c r="Z385" s="93"/>
      <c r="AA385" s="85"/>
      <c r="AC385" s="94"/>
      <c r="AD385" s="93"/>
      <c r="AE385" s="85"/>
    </row>
    <row r="386" spans="6:31" x14ac:dyDescent="0.35">
      <c r="F386" s="93"/>
      <c r="G386" s="85"/>
      <c r="H386" s="87"/>
      <c r="I386" s="94"/>
      <c r="J386" s="93"/>
      <c r="K386" s="85"/>
      <c r="M386" s="94"/>
      <c r="N386" s="93"/>
      <c r="O386" s="85"/>
      <c r="Q386" s="94"/>
      <c r="R386" s="93"/>
      <c r="S386" s="85"/>
      <c r="U386" s="94"/>
      <c r="V386" s="93"/>
      <c r="W386" s="85"/>
      <c r="Y386" s="94"/>
      <c r="Z386" s="93"/>
      <c r="AA386" s="85"/>
      <c r="AC386" s="94"/>
      <c r="AD386" s="93"/>
      <c r="AE386" s="85"/>
    </row>
    <row r="387" spans="6:31" x14ac:dyDescent="0.35">
      <c r="F387" s="93"/>
      <c r="G387" s="85"/>
      <c r="H387" s="87"/>
      <c r="I387" s="94"/>
      <c r="J387" s="93"/>
      <c r="K387" s="85"/>
      <c r="M387" s="94"/>
      <c r="N387" s="93"/>
      <c r="O387" s="85"/>
      <c r="Q387" s="94"/>
      <c r="R387" s="93"/>
      <c r="S387" s="85"/>
      <c r="U387" s="94"/>
      <c r="V387" s="93"/>
      <c r="W387" s="85"/>
      <c r="Y387" s="94"/>
      <c r="Z387" s="93"/>
      <c r="AA387" s="85"/>
      <c r="AC387" s="94"/>
      <c r="AD387" s="93"/>
      <c r="AE387" s="85"/>
    </row>
    <row r="388" spans="6:31" x14ac:dyDescent="0.35">
      <c r="F388" s="93"/>
      <c r="G388" s="85"/>
      <c r="H388" s="87"/>
      <c r="I388" s="94"/>
      <c r="J388" s="93"/>
      <c r="K388" s="85"/>
      <c r="M388" s="94"/>
      <c r="N388" s="93"/>
      <c r="O388" s="85"/>
      <c r="Q388" s="94"/>
      <c r="R388" s="93"/>
      <c r="S388" s="85"/>
      <c r="U388" s="94"/>
      <c r="V388" s="93"/>
      <c r="W388" s="85"/>
      <c r="Y388" s="94"/>
      <c r="Z388" s="93"/>
      <c r="AA388" s="85"/>
      <c r="AC388" s="94"/>
      <c r="AD388" s="93"/>
      <c r="AE388" s="85"/>
    </row>
    <row r="389" spans="6:31" x14ac:dyDescent="0.35">
      <c r="F389" s="93"/>
      <c r="G389" s="85"/>
      <c r="H389" s="87"/>
      <c r="I389" s="94"/>
      <c r="J389" s="93"/>
      <c r="K389" s="85"/>
      <c r="M389" s="94"/>
      <c r="N389" s="93"/>
      <c r="O389" s="85"/>
      <c r="Q389" s="94"/>
      <c r="R389" s="93"/>
      <c r="S389" s="85"/>
      <c r="U389" s="94"/>
      <c r="V389" s="93"/>
      <c r="W389" s="85"/>
      <c r="Y389" s="94"/>
      <c r="Z389" s="93"/>
      <c r="AA389" s="85"/>
      <c r="AC389" s="94"/>
      <c r="AD389" s="93"/>
      <c r="AE389" s="85"/>
    </row>
    <row r="390" spans="6:31" x14ac:dyDescent="0.35">
      <c r="F390" s="93"/>
      <c r="G390" s="85"/>
      <c r="H390" s="87"/>
      <c r="I390" s="94"/>
      <c r="J390" s="93"/>
      <c r="K390" s="85"/>
      <c r="M390" s="94"/>
      <c r="N390" s="93"/>
      <c r="O390" s="85"/>
      <c r="Q390" s="94"/>
      <c r="R390" s="93"/>
      <c r="S390" s="85"/>
      <c r="U390" s="94"/>
      <c r="V390" s="93"/>
      <c r="W390" s="85"/>
      <c r="Y390" s="94"/>
      <c r="Z390" s="93"/>
      <c r="AA390" s="85"/>
      <c r="AC390" s="94"/>
      <c r="AD390" s="93"/>
      <c r="AE390" s="85"/>
    </row>
    <row r="391" spans="6:31" x14ac:dyDescent="0.35">
      <c r="F391" s="93"/>
      <c r="G391" s="85"/>
      <c r="H391" s="87"/>
      <c r="I391" s="94"/>
      <c r="J391" s="93"/>
      <c r="K391" s="85"/>
      <c r="M391" s="94"/>
      <c r="N391" s="93"/>
      <c r="O391" s="85"/>
      <c r="Q391" s="94"/>
      <c r="R391" s="93"/>
      <c r="S391" s="85"/>
      <c r="U391" s="94"/>
      <c r="V391" s="93"/>
      <c r="W391" s="85"/>
      <c r="Y391" s="94"/>
      <c r="Z391" s="93"/>
      <c r="AA391" s="85"/>
      <c r="AC391" s="94"/>
      <c r="AD391" s="93"/>
      <c r="AE391" s="85"/>
    </row>
    <row r="392" spans="6:31" x14ac:dyDescent="0.35">
      <c r="F392" s="93"/>
      <c r="G392" s="85"/>
      <c r="H392" s="87"/>
      <c r="I392" s="94"/>
      <c r="J392" s="93"/>
      <c r="K392" s="85"/>
      <c r="M392" s="94"/>
      <c r="N392" s="93"/>
      <c r="O392" s="85"/>
      <c r="Q392" s="94"/>
      <c r="R392" s="93"/>
      <c r="S392" s="85"/>
      <c r="U392" s="94"/>
      <c r="V392" s="93"/>
      <c r="W392" s="85"/>
      <c r="Y392" s="94"/>
      <c r="Z392" s="93"/>
      <c r="AA392" s="85"/>
      <c r="AC392" s="94"/>
      <c r="AD392" s="93"/>
      <c r="AE392" s="85"/>
    </row>
    <row r="393" spans="6:31" x14ac:dyDescent="0.35">
      <c r="F393" s="93"/>
      <c r="G393" s="85"/>
      <c r="H393" s="87"/>
      <c r="I393" s="94"/>
      <c r="J393" s="93"/>
      <c r="K393" s="85"/>
      <c r="M393" s="94"/>
      <c r="N393" s="93"/>
      <c r="O393" s="85"/>
      <c r="Q393" s="94"/>
      <c r="R393" s="93"/>
      <c r="S393" s="85"/>
      <c r="U393" s="94"/>
      <c r="V393" s="93"/>
      <c r="W393" s="85"/>
      <c r="Y393" s="94"/>
      <c r="Z393" s="93"/>
      <c r="AA393" s="85"/>
      <c r="AC393" s="94"/>
      <c r="AD393" s="93"/>
      <c r="AE393" s="85"/>
    </row>
    <row r="394" spans="6:31" x14ac:dyDescent="0.35">
      <c r="F394" s="93"/>
      <c r="G394" s="85"/>
      <c r="H394" s="87"/>
      <c r="I394" s="94"/>
      <c r="J394" s="93"/>
      <c r="K394" s="85"/>
      <c r="M394" s="94"/>
      <c r="N394" s="93"/>
      <c r="O394" s="85"/>
      <c r="Q394" s="94"/>
      <c r="R394" s="93"/>
      <c r="S394" s="85"/>
      <c r="U394" s="94"/>
      <c r="V394" s="93"/>
      <c r="W394" s="85"/>
      <c r="Y394" s="94"/>
      <c r="Z394" s="93"/>
      <c r="AA394" s="85"/>
      <c r="AC394" s="94"/>
      <c r="AD394" s="93"/>
      <c r="AE394" s="85"/>
    </row>
    <row r="395" spans="6:31" x14ac:dyDescent="0.35">
      <c r="F395" s="93"/>
      <c r="G395" s="85"/>
      <c r="H395" s="87"/>
      <c r="I395" s="94"/>
      <c r="J395" s="93"/>
      <c r="K395" s="85"/>
      <c r="M395" s="94"/>
      <c r="N395" s="93"/>
      <c r="O395" s="85"/>
      <c r="Q395" s="94"/>
      <c r="R395" s="93"/>
      <c r="S395" s="85"/>
      <c r="U395" s="94"/>
      <c r="V395" s="93"/>
      <c r="W395" s="85"/>
      <c r="Y395" s="94"/>
      <c r="Z395" s="93"/>
      <c r="AA395" s="85"/>
      <c r="AC395" s="94"/>
      <c r="AD395" s="93"/>
      <c r="AE395" s="85"/>
    </row>
    <row r="396" spans="6:31" x14ac:dyDescent="0.35">
      <c r="F396" s="93"/>
      <c r="G396" s="85"/>
      <c r="H396" s="87"/>
      <c r="I396" s="94"/>
      <c r="J396" s="93"/>
      <c r="K396" s="85"/>
      <c r="M396" s="94"/>
      <c r="N396" s="93"/>
      <c r="O396" s="85"/>
      <c r="Q396" s="94"/>
      <c r="R396" s="93"/>
      <c r="S396" s="85"/>
      <c r="U396" s="94"/>
      <c r="V396" s="93"/>
      <c r="W396" s="85"/>
      <c r="Y396" s="94"/>
      <c r="Z396" s="93"/>
      <c r="AA396" s="85"/>
      <c r="AC396" s="94"/>
      <c r="AD396" s="93"/>
      <c r="AE396" s="85"/>
    </row>
    <row r="397" spans="6:31" x14ac:dyDescent="0.35">
      <c r="F397" s="93"/>
      <c r="G397" s="85"/>
      <c r="H397" s="87"/>
      <c r="I397" s="94"/>
      <c r="J397" s="93"/>
      <c r="K397" s="85"/>
      <c r="M397" s="94"/>
      <c r="N397" s="93"/>
      <c r="O397" s="85"/>
      <c r="Q397" s="94"/>
      <c r="R397" s="93"/>
      <c r="S397" s="85"/>
      <c r="U397" s="94"/>
      <c r="V397" s="93"/>
      <c r="W397" s="85"/>
      <c r="Y397" s="94"/>
      <c r="Z397" s="93"/>
      <c r="AA397" s="85"/>
      <c r="AC397" s="94"/>
      <c r="AD397" s="93"/>
      <c r="AE397" s="85"/>
    </row>
    <row r="398" spans="6:31" x14ac:dyDescent="0.35">
      <c r="F398" s="93"/>
      <c r="G398" s="85"/>
      <c r="H398" s="87"/>
      <c r="I398" s="94"/>
      <c r="J398" s="93"/>
      <c r="K398" s="85"/>
      <c r="M398" s="94"/>
      <c r="N398" s="93"/>
      <c r="O398" s="85"/>
      <c r="Q398" s="94"/>
      <c r="R398" s="93"/>
      <c r="S398" s="85"/>
      <c r="U398" s="94"/>
      <c r="V398" s="93"/>
      <c r="W398" s="85"/>
      <c r="Y398" s="94"/>
      <c r="Z398" s="93"/>
      <c r="AA398" s="85"/>
      <c r="AC398" s="94"/>
      <c r="AD398" s="93"/>
      <c r="AE398" s="85"/>
    </row>
    <row r="399" spans="6:31" x14ac:dyDescent="0.35">
      <c r="F399" s="93"/>
      <c r="G399" s="85"/>
      <c r="H399" s="87"/>
      <c r="I399" s="94"/>
      <c r="J399" s="93"/>
      <c r="K399" s="85"/>
      <c r="M399" s="94"/>
      <c r="N399" s="93"/>
      <c r="O399" s="85"/>
      <c r="Q399" s="94"/>
      <c r="R399" s="93"/>
      <c r="S399" s="85"/>
      <c r="U399" s="94"/>
      <c r="V399" s="93"/>
      <c r="W399" s="85"/>
      <c r="Y399" s="94"/>
      <c r="Z399" s="93"/>
      <c r="AA399" s="85"/>
      <c r="AC399" s="94"/>
      <c r="AD399" s="93"/>
      <c r="AE399" s="85"/>
    </row>
    <row r="400" spans="6:31" x14ac:dyDescent="0.35">
      <c r="F400" s="93"/>
      <c r="G400" s="85"/>
      <c r="H400" s="87"/>
      <c r="I400" s="94"/>
      <c r="J400" s="93"/>
      <c r="K400" s="85"/>
      <c r="M400" s="94"/>
      <c r="N400" s="93"/>
      <c r="O400" s="85"/>
      <c r="Q400" s="94"/>
      <c r="R400" s="93"/>
      <c r="S400" s="85"/>
      <c r="U400" s="94"/>
      <c r="V400" s="93"/>
      <c r="W400" s="85"/>
      <c r="Y400" s="94"/>
      <c r="Z400" s="93"/>
      <c r="AA400" s="85"/>
      <c r="AC400" s="94"/>
      <c r="AD400" s="93"/>
      <c r="AE400" s="85"/>
    </row>
    <row r="401" spans="6:31" x14ac:dyDescent="0.35">
      <c r="F401" s="93"/>
      <c r="G401" s="85"/>
      <c r="H401" s="87"/>
      <c r="I401" s="94"/>
      <c r="J401" s="93"/>
      <c r="K401" s="85"/>
      <c r="M401" s="94"/>
      <c r="N401" s="93"/>
      <c r="O401" s="85"/>
      <c r="Q401" s="94"/>
      <c r="R401" s="93"/>
      <c r="S401" s="85"/>
      <c r="U401" s="94"/>
      <c r="V401" s="93"/>
      <c r="W401" s="85"/>
      <c r="Y401" s="94"/>
      <c r="Z401" s="93"/>
      <c r="AA401" s="85"/>
      <c r="AC401" s="94"/>
      <c r="AD401" s="93"/>
      <c r="AE401" s="85"/>
    </row>
    <row r="402" spans="6:31" x14ac:dyDescent="0.35">
      <c r="F402" s="93"/>
      <c r="G402" s="85"/>
      <c r="H402" s="87"/>
      <c r="I402" s="94"/>
      <c r="J402" s="93"/>
      <c r="K402" s="85"/>
      <c r="M402" s="94"/>
      <c r="N402" s="93"/>
      <c r="O402" s="85"/>
      <c r="Q402" s="94"/>
      <c r="R402" s="93"/>
      <c r="S402" s="85"/>
      <c r="U402" s="94"/>
      <c r="V402" s="93"/>
      <c r="W402" s="85"/>
      <c r="Y402" s="94"/>
      <c r="Z402" s="93"/>
      <c r="AA402" s="85"/>
      <c r="AC402" s="94"/>
      <c r="AD402" s="93"/>
      <c r="AE402" s="85"/>
    </row>
    <row r="403" spans="6:31" x14ac:dyDescent="0.35">
      <c r="F403" s="93"/>
      <c r="G403" s="85"/>
      <c r="H403" s="87"/>
      <c r="I403" s="94"/>
      <c r="J403" s="93"/>
      <c r="K403" s="85"/>
      <c r="M403" s="94"/>
      <c r="N403" s="93"/>
      <c r="O403" s="85"/>
      <c r="Q403" s="94"/>
      <c r="R403" s="93"/>
      <c r="S403" s="85"/>
      <c r="U403" s="94"/>
      <c r="V403" s="93"/>
      <c r="W403" s="85"/>
      <c r="Y403" s="94"/>
      <c r="Z403" s="93"/>
      <c r="AA403" s="85"/>
      <c r="AC403" s="94"/>
      <c r="AD403" s="93"/>
      <c r="AE403" s="85"/>
    </row>
    <row r="404" spans="6:31" x14ac:dyDescent="0.35">
      <c r="F404" s="93"/>
      <c r="G404" s="85"/>
      <c r="H404" s="87"/>
      <c r="I404" s="94"/>
      <c r="J404" s="93"/>
      <c r="K404" s="85"/>
      <c r="M404" s="94"/>
      <c r="N404" s="93"/>
      <c r="O404" s="85"/>
      <c r="Q404" s="94"/>
      <c r="R404" s="93"/>
      <c r="S404" s="85"/>
      <c r="U404" s="94"/>
      <c r="V404" s="93"/>
      <c r="W404" s="85"/>
      <c r="Y404" s="94"/>
      <c r="Z404" s="93"/>
      <c r="AA404" s="85"/>
      <c r="AC404" s="94"/>
      <c r="AD404" s="93"/>
      <c r="AE404" s="85"/>
    </row>
    <row r="405" spans="6:31" x14ac:dyDescent="0.35">
      <c r="F405" s="93"/>
      <c r="G405" s="85"/>
      <c r="H405" s="87"/>
      <c r="I405" s="94"/>
      <c r="J405" s="93"/>
      <c r="K405" s="85"/>
      <c r="M405" s="94"/>
      <c r="N405" s="93"/>
      <c r="O405" s="85"/>
      <c r="Q405" s="94"/>
      <c r="R405" s="93"/>
      <c r="S405" s="85"/>
      <c r="U405" s="94"/>
      <c r="V405" s="93"/>
      <c r="W405" s="85"/>
      <c r="Y405" s="94"/>
      <c r="Z405" s="93"/>
      <c r="AA405" s="85"/>
      <c r="AC405" s="94"/>
      <c r="AD405" s="93"/>
      <c r="AE405" s="85"/>
    </row>
    <row r="406" spans="6:31" x14ac:dyDescent="0.35">
      <c r="F406" s="93"/>
      <c r="G406" s="85"/>
      <c r="H406" s="87"/>
      <c r="I406" s="94"/>
      <c r="J406" s="93"/>
      <c r="K406" s="85"/>
      <c r="M406" s="94"/>
      <c r="N406" s="93"/>
      <c r="O406" s="85"/>
      <c r="Q406" s="94"/>
      <c r="R406" s="93"/>
      <c r="S406" s="85"/>
      <c r="U406" s="94"/>
      <c r="V406" s="93"/>
      <c r="W406" s="85"/>
      <c r="Y406" s="94"/>
      <c r="Z406" s="93"/>
      <c r="AA406" s="85"/>
      <c r="AC406" s="94"/>
      <c r="AD406" s="93"/>
      <c r="AE406" s="85"/>
    </row>
    <row r="407" spans="6:31" x14ac:dyDescent="0.35">
      <c r="F407" s="93"/>
      <c r="G407" s="85"/>
      <c r="H407" s="87"/>
      <c r="I407" s="94"/>
      <c r="J407" s="93"/>
      <c r="K407" s="85"/>
      <c r="M407" s="94"/>
      <c r="N407" s="93"/>
      <c r="O407" s="85"/>
      <c r="Q407" s="94"/>
      <c r="R407" s="93"/>
      <c r="S407" s="85"/>
      <c r="U407" s="94"/>
      <c r="V407" s="93"/>
      <c r="W407" s="85"/>
      <c r="Y407" s="94"/>
      <c r="Z407" s="93"/>
      <c r="AA407" s="85"/>
      <c r="AC407" s="94"/>
      <c r="AD407" s="93"/>
      <c r="AE407" s="85"/>
    </row>
    <row r="408" spans="6:31" x14ac:dyDescent="0.35">
      <c r="F408" s="93"/>
      <c r="G408" s="85"/>
      <c r="H408" s="87"/>
      <c r="I408" s="94"/>
      <c r="J408" s="93"/>
      <c r="K408" s="85"/>
      <c r="M408" s="94"/>
      <c r="N408" s="93"/>
      <c r="O408" s="85"/>
      <c r="Q408" s="94"/>
      <c r="R408" s="93"/>
      <c r="S408" s="85"/>
      <c r="U408" s="94"/>
      <c r="V408" s="93"/>
      <c r="W408" s="85"/>
      <c r="Y408" s="94"/>
      <c r="Z408" s="93"/>
      <c r="AA408" s="85"/>
      <c r="AC408" s="94"/>
      <c r="AD408" s="93"/>
      <c r="AE408" s="85"/>
    </row>
    <row r="409" spans="6:31" x14ac:dyDescent="0.35">
      <c r="F409" s="93"/>
      <c r="G409" s="85"/>
      <c r="H409" s="87"/>
      <c r="I409" s="94"/>
      <c r="J409" s="93"/>
      <c r="K409" s="85"/>
      <c r="M409" s="94"/>
      <c r="N409" s="93"/>
      <c r="O409" s="85"/>
      <c r="Q409" s="94"/>
      <c r="R409" s="93"/>
      <c r="S409" s="85"/>
      <c r="U409" s="94"/>
      <c r="V409" s="93"/>
      <c r="W409" s="85"/>
      <c r="Y409" s="94"/>
      <c r="Z409" s="93"/>
      <c r="AA409" s="85"/>
      <c r="AC409" s="94"/>
      <c r="AD409" s="93"/>
      <c r="AE409" s="85"/>
    </row>
    <row r="410" spans="6:31" x14ac:dyDescent="0.35">
      <c r="F410" s="93"/>
      <c r="G410" s="85"/>
      <c r="H410" s="87"/>
      <c r="I410" s="94"/>
      <c r="J410" s="93"/>
      <c r="K410" s="85"/>
      <c r="M410" s="94"/>
      <c r="N410" s="93"/>
      <c r="O410" s="85"/>
      <c r="Q410" s="94"/>
      <c r="R410" s="93"/>
      <c r="S410" s="85"/>
      <c r="U410" s="94"/>
      <c r="V410" s="93"/>
      <c r="W410" s="85"/>
      <c r="Y410" s="94"/>
      <c r="Z410" s="93"/>
      <c r="AA410" s="85"/>
      <c r="AC410" s="94"/>
      <c r="AD410" s="93"/>
      <c r="AE410" s="85"/>
    </row>
    <row r="411" spans="6:31" x14ac:dyDescent="0.35">
      <c r="F411" s="93"/>
      <c r="G411" s="85"/>
      <c r="H411" s="87"/>
      <c r="I411" s="94"/>
      <c r="J411" s="93"/>
      <c r="K411" s="85"/>
      <c r="M411" s="94"/>
      <c r="N411" s="93"/>
      <c r="O411" s="85"/>
      <c r="Q411" s="94"/>
      <c r="R411" s="93"/>
      <c r="S411" s="85"/>
      <c r="U411" s="94"/>
      <c r="V411" s="93"/>
      <c r="W411" s="85"/>
      <c r="Y411" s="94"/>
      <c r="Z411" s="93"/>
      <c r="AA411" s="85"/>
      <c r="AC411" s="94"/>
      <c r="AD411" s="93"/>
      <c r="AE411" s="85"/>
    </row>
    <row r="412" spans="6:31" x14ac:dyDescent="0.35">
      <c r="F412" s="93"/>
      <c r="G412" s="85"/>
      <c r="H412" s="87"/>
      <c r="I412" s="94"/>
      <c r="J412" s="93"/>
      <c r="K412" s="85"/>
      <c r="M412" s="94"/>
      <c r="N412" s="93"/>
      <c r="O412" s="85"/>
      <c r="Q412" s="94"/>
      <c r="R412" s="93"/>
      <c r="S412" s="85"/>
      <c r="U412" s="94"/>
      <c r="V412" s="93"/>
      <c r="W412" s="85"/>
      <c r="Y412" s="94"/>
      <c r="Z412" s="93"/>
      <c r="AA412" s="85"/>
      <c r="AC412" s="94"/>
      <c r="AD412" s="93"/>
      <c r="AE412" s="85"/>
    </row>
    <row r="413" spans="6:31" x14ac:dyDescent="0.35">
      <c r="F413" s="93"/>
      <c r="G413" s="85"/>
      <c r="H413" s="87"/>
      <c r="I413" s="94"/>
      <c r="J413" s="93"/>
      <c r="K413" s="85"/>
      <c r="M413" s="94"/>
      <c r="N413" s="93"/>
      <c r="O413" s="85"/>
      <c r="Q413" s="94"/>
      <c r="R413" s="93"/>
      <c r="S413" s="85"/>
      <c r="U413" s="94"/>
      <c r="V413" s="93"/>
      <c r="W413" s="85"/>
      <c r="Y413" s="94"/>
      <c r="Z413" s="93"/>
      <c r="AA413" s="85"/>
      <c r="AC413" s="94"/>
      <c r="AD413" s="93"/>
      <c r="AE413" s="85"/>
    </row>
    <row r="414" spans="6:31" x14ac:dyDescent="0.35">
      <c r="F414" s="93"/>
      <c r="G414" s="85"/>
      <c r="H414" s="87"/>
      <c r="I414" s="94"/>
      <c r="J414" s="93"/>
      <c r="K414" s="85"/>
      <c r="M414" s="94"/>
      <c r="N414" s="93"/>
      <c r="O414" s="85"/>
      <c r="Q414" s="94"/>
      <c r="R414" s="93"/>
      <c r="S414" s="85"/>
      <c r="U414" s="94"/>
      <c r="V414" s="93"/>
      <c r="W414" s="85"/>
      <c r="Y414" s="94"/>
      <c r="Z414" s="93"/>
      <c r="AA414" s="85"/>
      <c r="AC414" s="94"/>
      <c r="AD414" s="93"/>
      <c r="AE414" s="85"/>
    </row>
    <row r="415" spans="6:31" x14ac:dyDescent="0.35">
      <c r="F415" s="93"/>
      <c r="G415" s="85"/>
      <c r="H415" s="87"/>
      <c r="I415" s="94"/>
      <c r="J415" s="93"/>
      <c r="K415" s="85"/>
      <c r="M415" s="94"/>
      <c r="N415" s="93"/>
      <c r="O415" s="85"/>
      <c r="Q415" s="94"/>
      <c r="R415" s="93"/>
      <c r="S415" s="85"/>
      <c r="U415" s="94"/>
      <c r="V415" s="93"/>
      <c r="W415" s="85"/>
      <c r="Y415" s="94"/>
      <c r="Z415" s="93"/>
      <c r="AA415" s="85"/>
      <c r="AC415" s="94"/>
      <c r="AD415" s="93"/>
      <c r="AE415" s="85"/>
    </row>
    <row r="416" spans="6:31" x14ac:dyDescent="0.35">
      <c r="F416" s="93"/>
      <c r="G416" s="85"/>
      <c r="H416" s="87"/>
      <c r="I416" s="94"/>
      <c r="J416" s="93"/>
      <c r="K416" s="85"/>
      <c r="M416" s="94"/>
      <c r="N416" s="93"/>
      <c r="O416" s="85"/>
      <c r="Q416" s="94"/>
      <c r="R416" s="93"/>
      <c r="S416" s="85"/>
      <c r="U416" s="94"/>
      <c r="V416" s="93"/>
      <c r="W416" s="85"/>
      <c r="Y416" s="94"/>
      <c r="Z416" s="93"/>
      <c r="AA416" s="85"/>
      <c r="AC416" s="94"/>
      <c r="AD416" s="93"/>
      <c r="AE416" s="85"/>
    </row>
    <row r="417" spans="6:31" x14ac:dyDescent="0.35">
      <c r="F417" s="93"/>
      <c r="G417" s="85"/>
      <c r="H417" s="87"/>
      <c r="I417" s="94"/>
      <c r="J417" s="93"/>
      <c r="K417" s="85"/>
      <c r="M417" s="94"/>
      <c r="N417" s="93"/>
      <c r="O417" s="85"/>
      <c r="Q417" s="94"/>
      <c r="R417" s="93"/>
      <c r="S417" s="85"/>
      <c r="U417" s="94"/>
      <c r="V417" s="93"/>
      <c r="W417" s="85"/>
      <c r="Y417" s="94"/>
      <c r="Z417" s="93"/>
      <c r="AA417" s="85"/>
      <c r="AC417" s="94"/>
      <c r="AD417" s="93"/>
      <c r="AE417" s="85"/>
    </row>
    <row r="418" spans="6:31" x14ac:dyDescent="0.35">
      <c r="F418" s="93"/>
      <c r="G418" s="85"/>
      <c r="H418" s="87"/>
      <c r="I418" s="94"/>
      <c r="J418" s="93"/>
      <c r="K418" s="85"/>
      <c r="M418" s="94"/>
      <c r="N418" s="93"/>
      <c r="O418" s="85"/>
      <c r="Q418" s="94"/>
      <c r="R418" s="93"/>
      <c r="S418" s="85"/>
      <c r="U418" s="94"/>
      <c r="V418" s="93"/>
      <c r="W418" s="85"/>
      <c r="Y418" s="94"/>
      <c r="Z418" s="93"/>
      <c r="AA418" s="85"/>
      <c r="AC418" s="94"/>
      <c r="AD418" s="93"/>
      <c r="AE418" s="85"/>
    </row>
    <row r="419" spans="6:31" x14ac:dyDescent="0.35">
      <c r="F419" s="93"/>
      <c r="G419" s="85"/>
      <c r="H419" s="87"/>
      <c r="I419" s="94"/>
      <c r="J419" s="93"/>
      <c r="K419" s="85"/>
      <c r="M419" s="94"/>
      <c r="N419" s="93"/>
      <c r="O419" s="85"/>
      <c r="Q419" s="94"/>
      <c r="R419" s="93"/>
      <c r="S419" s="85"/>
      <c r="U419" s="94"/>
      <c r="V419" s="93"/>
      <c r="W419" s="85"/>
      <c r="Y419" s="94"/>
      <c r="Z419" s="93"/>
      <c r="AA419" s="85"/>
      <c r="AC419" s="94"/>
      <c r="AD419" s="93"/>
      <c r="AE419" s="85"/>
    </row>
    <row r="420" spans="6:31" x14ac:dyDescent="0.35">
      <c r="F420" s="93"/>
      <c r="G420" s="85"/>
      <c r="H420" s="87"/>
      <c r="I420" s="94"/>
      <c r="J420" s="93"/>
      <c r="K420" s="85"/>
      <c r="M420" s="94"/>
      <c r="N420" s="93"/>
      <c r="O420" s="85"/>
      <c r="Q420" s="94"/>
      <c r="R420" s="93"/>
      <c r="S420" s="85"/>
      <c r="U420" s="94"/>
      <c r="V420" s="93"/>
      <c r="W420" s="85"/>
      <c r="Y420" s="94"/>
      <c r="Z420" s="93"/>
      <c r="AA420" s="85"/>
      <c r="AC420" s="94"/>
      <c r="AD420" s="93"/>
      <c r="AE420" s="85"/>
    </row>
    <row r="421" spans="6:31" x14ac:dyDescent="0.35">
      <c r="F421" s="93"/>
      <c r="G421" s="85"/>
      <c r="H421" s="87"/>
      <c r="I421" s="94"/>
      <c r="J421" s="93"/>
      <c r="K421" s="85"/>
      <c r="M421" s="94"/>
      <c r="N421" s="93"/>
      <c r="O421" s="85"/>
      <c r="Q421" s="94"/>
      <c r="R421" s="93"/>
      <c r="S421" s="85"/>
      <c r="U421" s="94"/>
      <c r="V421" s="93"/>
      <c r="W421" s="85"/>
      <c r="Y421" s="94"/>
      <c r="Z421" s="93"/>
      <c r="AA421" s="85"/>
      <c r="AC421" s="94"/>
      <c r="AD421" s="93"/>
      <c r="AE421" s="85"/>
    </row>
    <row r="422" spans="6:31" x14ac:dyDescent="0.35">
      <c r="F422" s="93"/>
      <c r="G422" s="85"/>
      <c r="H422" s="87"/>
      <c r="I422" s="94"/>
      <c r="J422" s="93"/>
      <c r="K422" s="85"/>
      <c r="M422" s="94"/>
      <c r="N422" s="93"/>
      <c r="O422" s="85"/>
      <c r="Q422" s="94"/>
      <c r="R422" s="93"/>
      <c r="S422" s="85"/>
      <c r="U422" s="94"/>
      <c r="V422" s="93"/>
      <c r="W422" s="85"/>
      <c r="Y422" s="94"/>
      <c r="Z422" s="93"/>
      <c r="AA422" s="85"/>
      <c r="AC422" s="94"/>
      <c r="AD422" s="93"/>
      <c r="AE422" s="85"/>
    </row>
    <row r="423" spans="6:31" x14ac:dyDescent="0.35">
      <c r="F423" s="93"/>
      <c r="G423" s="85"/>
      <c r="H423" s="87"/>
      <c r="I423" s="94"/>
      <c r="J423" s="93"/>
      <c r="K423" s="85"/>
      <c r="M423" s="94"/>
      <c r="N423" s="93"/>
      <c r="O423" s="85"/>
      <c r="Q423" s="94"/>
      <c r="R423" s="93"/>
      <c r="S423" s="85"/>
      <c r="U423" s="94"/>
      <c r="V423" s="93"/>
      <c r="W423" s="85"/>
      <c r="Y423" s="94"/>
      <c r="Z423" s="93"/>
      <c r="AA423" s="85"/>
      <c r="AC423" s="94"/>
      <c r="AD423" s="93"/>
      <c r="AE423" s="85"/>
    </row>
    <row r="424" spans="6:31" x14ac:dyDescent="0.35">
      <c r="F424" s="93"/>
      <c r="G424" s="85"/>
      <c r="H424" s="87"/>
      <c r="I424" s="94"/>
      <c r="J424" s="93"/>
      <c r="K424" s="85"/>
      <c r="M424" s="94"/>
      <c r="N424" s="93"/>
      <c r="O424" s="85"/>
      <c r="Q424" s="94"/>
      <c r="R424" s="93"/>
      <c r="S424" s="85"/>
      <c r="U424" s="94"/>
      <c r="V424" s="93"/>
      <c r="W424" s="85"/>
      <c r="Y424" s="94"/>
      <c r="Z424" s="93"/>
      <c r="AA424" s="85"/>
      <c r="AC424" s="94"/>
      <c r="AD424" s="93"/>
      <c r="AE424" s="85"/>
    </row>
    <row r="425" spans="6:31" x14ac:dyDescent="0.35">
      <c r="F425" s="93"/>
      <c r="G425" s="85"/>
      <c r="H425" s="87"/>
      <c r="I425" s="94"/>
      <c r="J425" s="93"/>
      <c r="K425" s="85"/>
      <c r="M425" s="94"/>
      <c r="N425" s="93"/>
      <c r="O425" s="85"/>
      <c r="Q425" s="94"/>
      <c r="R425" s="93"/>
      <c r="S425" s="85"/>
      <c r="U425" s="94"/>
      <c r="V425" s="93"/>
      <c r="W425" s="85"/>
      <c r="Y425" s="94"/>
      <c r="Z425" s="93"/>
      <c r="AA425" s="85"/>
      <c r="AC425" s="94"/>
      <c r="AD425" s="93"/>
      <c r="AE425" s="85"/>
    </row>
    <row r="426" spans="6:31" x14ac:dyDescent="0.35">
      <c r="F426" s="93"/>
      <c r="G426" s="85"/>
      <c r="H426" s="87"/>
      <c r="I426" s="94"/>
      <c r="J426" s="93"/>
      <c r="K426" s="85"/>
      <c r="M426" s="94"/>
      <c r="N426" s="93"/>
      <c r="O426" s="85"/>
      <c r="Q426" s="94"/>
      <c r="R426" s="93"/>
      <c r="S426" s="85"/>
      <c r="U426" s="94"/>
      <c r="V426" s="93"/>
      <c r="W426" s="85"/>
      <c r="Y426" s="94"/>
      <c r="Z426" s="93"/>
      <c r="AA426" s="85"/>
      <c r="AC426" s="94"/>
      <c r="AD426" s="93"/>
      <c r="AE426" s="85"/>
    </row>
    <row r="427" spans="6:31" x14ac:dyDescent="0.35">
      <c r="F427" s="93"/>
      <c r="G427" s="85"/>
      <c r="H427" s="87"/>
      <c r="I427" s="94"/>
      <c r="J427" s="93"/>
      <c r="K427" s="85"/>
      <c r="M427" s="94"/>
      <c r="N427" s="93"/>
      <c r="O427" s="85"/>
      <c r="Q427" s="94"/>
      <c r="R427" s="93"/>
      <c r="S427" s="85"/>
      <c r="U427" s="94"/>
      <c r="V427" s="93"/>
      <c r="W427" s="85"/>
      <c r="Y427" s="94"/>
      <c r="Z427" s="93"/>
      <c r="AA427" s="85"/>
      <c r="AC427" s="94"/>
      <c r="AD427" s="93"/>
      <c r="AE427" s="85"/>
    </row>
    <row r="428" spans="6:31" x14ac:dyDescent="0.35">
      <c r="F428" s="93"/>
      <c r="G428" s="85"/>
      <c r="H428" s="87"/>
      <c r="I428" s="94"/>
      <c r="J428" s="93"/>
      <c r="K428" s="85"/>
      <c r="M428" s="94"/>
      <c r="N428" s="93"/>
      <c r="O428" s="85"/>
      <c r="Q428" s="94"/>
      <c r="R428" s="93"/>
      <c r="S428" s="85"/>
      <c r="U428" s="94"/>
      <c r="V428" s="93"/>
      <c r="W428" s="85"/>
      <c r="Y428" s="94"/>
      <c r="Z428" s="93"/>
      <c r="AA428" s="85"/>
      <c r="AC428" s="94"/>
      <c r="AD428" s="93"/>
      <c r="AE428" s="85"/>
    </row>
    <row r="429" spans="6:31" x14ac:dyDescent="0.35">
      <c r="F429" s="93"/>
      <c r="G429" s="85"/>
      <c r="H429" s="87"/>
      <c r="I429" s="94"/>
      <c r="J429" s="93"/>
      <c r="K429" s="85"/>
      <c r="M429" s="94"/>
      <c r="N429" s="93"/>
      <c r="O429" s="85"/>
      <c r="Q429" s="94"/>
      <c r="R429" s="93"/>
      <c r="S429" s="85"/>
      <c r="U429" s="94"/>
      <c r="V429" s="93"/>
      <c r="W429" s="85"/>
      <c r="Y429" s="94"/>
      <c r="Z429" s="93"/>
      <c r="AA429" s="85"/>
      <c r="AC429" s="94"/>
      <c r="AD429" s="93"/>
      <c r="AE429" s="85"/>
    </row>
    <row r="430" spans="6:31" x14ac:dyDescent="0.35">
      <c r="F430" s="93"/>
      <c r="G430" s="85"/>
      <c r="H430" s="87"/>
      <c r="I430" s="94"/>
      <c r="J430" s="93"/>
      <c r="K430" s="85"/>
      <c r="M430" s="94"/>
      <c r="N430" s="93"/>
      <c r="O430" s="85"/>
      <c r="Q430" s="94"/>
      <c r="R430" s="93"/>
      <c r="S430" s="85"/>
      <c r="U430" s="94"/>
      <c r="V430" s="93"/>
      <c r="W430" s="85"/>
      <c r="Y430" s="94"/>
      <c r="Z430" s="93"/>
      <c r="AA430" s="85"/>
      <c r="AC430" s="94"/>
      <c r="AD430" s="93"/>
      <c r="AE430" s="85"/>
    </row>
    <row r="431" spans="6:31" x14ac:dyDescent="0.35">
      <c r="F431" s="93"/>
      <c r="G431" s="85"/>
      <c r="H431" s="87"/>
      <c r="I431" s="94"/>
      <c r="J431" s="93"/>
      <c r="K431" s="85"/>
      <c r="M431" s="94"/>
      <c r="N431" s="93"/>
      <c r="O431" s="85"/>
      <c r="Q431" s="94"/>
      <c r="R431" s="93"/>
      <c r="S431" s="85"/>
      <c r="U431" s="94"/>
      <c r="V431" s="93"/>
      <c r="W431" s="85"/>
      <c r="Y431" s="94"/>
      <c r="Z431" s="93"/>
      <c r="AA431" s="85"/>
      <c r="AC431" s="94"/>
      <c r="AD431" s="93"/>
      <c r="AE431" s="85"/>
    </row>
    <row r="432" spans="6:31" x14ac:dyDescent="0.35">
      <c r="F432" s="93"/>
      <c r="G432" s="85"/>
      <c r="H432" s="87"/>
      <c r="I432" s="94"/>
      <c r="J432" s="93"/>
      <c r="K432" s="85"/>
      <c r="M432" s="94"/>
      <c r="N432" s="93"/>
      <c r="O432" s="85"/>
      <c r="Q432" s="94"/>
      <c r="R432" s="93"/>
      <c r="S432" s="85"/>
      <c r="U432" s="94"/>
      <c r="V432" s="93"/>
      <c r="W432" s="85"/>
      <c r="Y432" s="94"/>
      <c r="Z432" s="93"/>
      <c r="AA432" s="85"/>
      <c r="AC432" s="94"/>
      <c r="AD432" s="93"/>
      <c r="AE432" s="85"/>
    </row>
    <row r="433" spans="6:31" x14ac:dyDescent="0.35">
      <c r="F433" s="93"/>
      <c r="G433" s="85"/>
      <c r="H433" s="87"/>
      <c r="I433" s="94"/>
      <c r="J433" s="93"/>
      <c r="K433" s="85"/>
      <c r="M433" s="94"/>
      <c r="N433" s="93"/>
      <c r="O433" s="85"/>
      <c r="Q433" s="94"/>
      <c r="R433" s="93"/>
      <c r="S433" s="85"/>
      <c r="U433" s="94"/>
      <c r="V433" s="93"/>
      <c r="W433" s="85"/>
      <c r="Y433" s="94"/>
      <c r="Z433" s="93"/>
      <c r="AA433" s="85"/>
      <c r="AC433" s="94"/>
      <c r="AD433" s="93"/>
      <c r="AE433" s="85"/>
    </row>
    <row r="434" spans="6:31" x14ac:dyDescent="0.35">
      <c r="F434" s="93"/>
      <c r="G434" s="85"/>
      <c r="H434" s="87"/>
      <c r="I434" s="94"/>
      <c r="J434" s="93"/>
      <c r="K434" s="85"/>
      <c r="M434" s="94"/>
      <c r="N434" s="93"/>
      <c r="O434" s="85"/>
      <c r="Q434" s="94"/>
      <c r="R434" s="93"/>
      <c r="S434" s="85"/>
      <c r="U434" s="94"/>
      <c r="V434" s="93"/>
      <c r="W434" s="85"/>
      <c r="Y434" s="94"/>
      <c r="Z434" s="93"/>
      <c r="AA434" s="85"/>
      <c r="AC434" s="94"/>
      <c r="AD434" s="93"/>
      <c r="AE434" s="85"/>
    </row>
    <row r="435" spans="6:31" x14ac:dyDescent="0.35">
      <c r="F435" s="93"/>
      <c r="G435" s="85"/>
      <c r="H435" s="87"/>
      <c r="I435" s="94"/>
      <c r="J435" s="93"/>
      <c r="K435" s="85"/>
      <c r="M435" s="94"/>
      <c r="N435" s="93"/>
      <c r="O435" s="85"/>
      <c r="Q435" s="94"/>
      <c r="R435" s="93"/>
      <c r="S435" s="85"/>
      <c r="U435" s="94"/>
      <c r="V435" s="93"/>
      <c r="W435" s="85"/>
      <c r="Y435" s="94"/>
      <c r="Z435" s="93"/>
      <c r="AA435" s="85"/>
      <c r="AC435" s="94"/>
      <c r="AD435" s="93"/>
      <c r="AE435" s="85"/>
    </row>
    <row r="436" spans="6:31" x14ac:dyDescent="0.35">
      <c r="F436" s="93"/>
      <c r="G436" s="85"/>
      <c r="H436" s="87"/>
      <c r="I436" s="94"/>
      <c r="J436" s="93"/>
      <c r="K436" s="85"/>
      <c r="M436" s="94"/>
      <c r="N436" s="93"/>
      <c r="O436" s="85"/>
      <c r="Q436" s="94"/>
      <c r="R436" s="93"/>
      <c r="S436" s="85"/>
      <c r="U436" s="94"/>
      <c r="V436" s="93"/>
      <c r="W436" s="85"/>
      <c r="Y436" s="94"/>
      <c r="Z436" s="93"/>
      <c r="AA436" s="85"/>
      <c r="AC436" s="94"/>
      <c r="AD436" s="93"/>
      <c r="AE436" s="85"/>
    </row>
    <row r="437" spans="6:31" x14ac:dyDescent="0.35">
      <c r="F437" s="93"/>
      <c r="G437" s="85"/>
      <c r="H437" s="87"/>
      <c r="I437" s="94"/>
      <c r="J437" s="93"/>
      <c r="K437" s="85"/>
      <c r="M437" s="94"/>
      <c r="N437" s="93"/>
      <c r="O437" s="85"/>
      <c r="Q437" s="94"/>
      <c r="R437" s="93"/>
      <c r="S437" s="85"/>
      <c r="U437" s="94"/>
      <c r="V437" s="93"/>
      <c r="W437" s="85"/>
      <c r="Y437" s="94"/>
      <c r="Z437" s="93"/>
      <c r="AA437" s="85"/>
      <c r="AC437" s="94"/>
      <c r="AD437" s="93"/>
      <c r="AE437" s="85"/>
    </row>
    <row r="438" spans="6:31" x14ac:dyDescent="0.35">
      <c r="F438" s="93"/>
      <c r="G438" s="85"/>
      <c r="H438" s="87"/>
      <c r="I438" s="94"/>
      <c r="J438" s="93"/>
      <c r="K438" s="85"/>
      <c r="M438" s="94"/>
      <c r="N438" s="93"/>
      <c r="O438" s="85"/>
      <c r="Q438" s="94"/>
      <c r="R438" s="93"/>
      <c r="S438" s="85"/>
      <c r="U438" s="94"/>
      <c r="V438" s="93"/>
      <c r="W438" s="85"/>
      <c r="Y438" s="94"/>
      <c r="Z438" s="93"/>
      <c r="AA438" s="85"/>
      <c r="AC438" s="94"/>
      <c r="AD438" s="93"/>
      <c r="AE438" s="85"/>
    </row>
    <row r="439" spans="6:31" x14ac:dyDescent="0.35">
      <c r="F439" s="93"/>
      <c r="G439" s="85"/>
      <c r="H439" s="87"/>
      <c r="I439" s="94"/>
      <c r="J439" s="93"/>
      <c r="K439" s="85"/>
      <c r="M439" s="94"/>
      <c r="N439" s="93"/>
      <c r="O439" s="85"/>
      <c r="Q439" s="94"/>
      <c r="R439" s="93"/>
      <c r="S439" s="85"/>
      <c r="U439" s="94"/>
      <c r="V439" s="93"/>
      <c r="W439" s="85"/>
      <c r="Y439" s="94"/>
      <c r="Z439" s="93"/>
      <c r="AA439" s="85"/>
      <c r="AC439" s="94"/>
      <c r="AD439" s="93"/>
      <c r="AE439" s="85"/>
    </row>
    <row r="440" spans="6:31" x14ac:dyDescent="0.35">
      <c r="F440" s="93"/>
      <c r="G440" s="85"/>
      <c r="H440" s="87"/>
      <c r="I440" s="94"/>
      <c r="J440" s="93"/>
      <c r="K440" s="85"/>
      <c r="M440" s="94"/>
      <c r="N440" s="93"/>
      <c r="O440" s="85"/>
      <c r="Q440" s="94"/>
      <c r="R440" s="93"/>
      <c r="S440" s="85"/>
      <c r="U440" s="94"/>
      <c r="V440" s="93"/>
      <c r="W440" s="85"/>
      <c r="Y440" s="94"/>
      <c r="Z440" s="93"/>
      <c r="AA440" s="85"/>
      <c r="AC440" s="94"/>
      <c r="AD440" s="93"/>
      <c r="AE440" s="85"/>
    </row>
    <row r="441" spans="6:31" x14ac:dyDescent="0.35">
      <c r="F441" s="93"/>
      <c r="G441" s="85"/>
      <c r="H441" s="87"/>
      <c r="I441" s="94"/>
      <c r="J441" s="93"/>
      <c r="K441" s="85"/>
      <c r="M441" s="94"/>
      <c r="N441" s="93"/>
      <c r="O441" s="85"/>
      <c r="Q441" s="94"/>
      <c r="R441" s="93"/>
      <c r="S441" s="85"/>
      <c r="U441" s="94"/>
      <c r="V441" s="93"/>
      <c r="W441" s="85"/>
      <c r="Y441" s="94"/>
      <c r="Z441" s="93"/>
      <c r="AA441" s="85"/>
      <c r="AC441" s="94"/>
      <c r="AD441" s="93"/>
      <c r="AE441" s="85"/>
    </row>
    <row r="442" spans="6:31" x14ac:dyDescent="0.35">
      <c r="F442" s="93"/>
      <c r="G442" s="85"/>
      <c r="H442" s="87"/>
      <c r="I442" s="94"/>
      <c r="J442" s="93"/>
      <c r="K442" s="85"/>
      <c r="M442" s="94"/>
      <c r="N442" s="93"/>
      <c r="O442" s="85"/>
      <c r="Q442" s="94"/>
      <c r="R442" s="93"/>
      <c r="S442" s="85"/>
      <c r="U442" s="94"/>
      <c r="V442" s="93"/>
      <c r="W442" s="85"/>
      <c r="Y442" s="94"/>
      <c r="Z442" s="93"/>
      <c r="AA442" s="85"/>
      <c r="AC442" s="94"/>
      <c r="AD442" s="93"/>
      <c r="AE442" s="85"/>
    </row>
    <row r="443" spans="6:31" x14ac:dyDescent="0.35">
      <c r="F443" s="93"/>
      <c r="G443" s="85"/>
      <c r="H443" s="87"/>
      <c r="I443" s="94"/>
      <c r="J443" s="93"/>
      <c r="K443" s="85"/>
      <c r="M443" s="94"/>
      <c r="N443" s="93"/>
      <c r="O443" s="85"/>
      <c r="Q443" s="94"/>
      <c r="R443" s="93"/>
      <c r="S443" s="85"/>
      <c r="U443" s="94"/>
      <c r="V443" s="93"/>
      <c r="W443" s="85"/>
      <c r="Y443" s="94"/>
      <c r="Z443" s="93"/>
      <c r="AA443" s="85"/>
      <c r="AC443" s="94"/>
      <c r="AD443" s="93"/>
      <c r="AE443" s="85"/>
    </row>
    <row r="444" spans="6:31" x14ac:dyDescent="0.35">
      <c r="F444" s="93"/>
      <c r="G444" s="85"/>
      <c r="H444" s="87"/>
      <c r="I444" s="94"/>
      <c r="J444" s="93"/>
      <c r="K444" s="85"/>
      <c r="M444" s="94"/>
      <c r="N444" s="93"/>
      <c r="O444" s="85"/>
      <c r="Q444" s="94"/>
      <c r="R444" s="93"/>
      <c r="S444" s="85"/>
      <c r="U444" s="94"/>
      <c r="V444" s="93"/>
      <c r="W444" s="85"/>
      <c r="Y444" s="94"/>
      <c r="Z444" s="93"/>
      <c r="AA444" s="85"/>
      <c r="AC444" s="94"/>
      <c r="AD444" s="93"/>
      <c r="AE444" s="85"/>
    </row>
    <row r="445" spans="6:31" x14ac:dyDescent="0.35">
      <c r="F445" s="93"/>
      <c r="G445" s="85"/>
      <c r="H445" s="87"/>
      <c r="I445" s="94"/>
      <c r="J445" s="93"/>
      <c r="K445" s="85"/>
      <c r="M445" s="94"/>
      <c r="N445" s="93"/>
      <c r="O445" s="85"/>
      <c r="Q445" s="94"/>
      <c r="R445" s="93"/>
      <c r="S445" s="85"/>
      <c r="U445" s="94"/>
      <c r="V445" s="93"/>
      <c r="W445" s="85"/>
      <c r="Y445" s="94"/>
      <c r="Z445" s="93"/>
      <c r="AA445" s="85"/>
      <c r="AC445" s="94"/>
      <c r="AD445" s="93"/>
      <c r="AE445" s="85"/>
    </row>
    <row r="446" spans="6:31" x14ac:dyDescent="0.35">
      <c r="F446" s="93"/>
      <c r="G446" s="85"/>
      <c r="H446" s="87"/>
      <c r="I446" s="94"/>
      <c r="J446" s="93"/>
      <c r="K446" s="85"/>
      <c r="M446" s="94"/>
      <c r="N446" s="93"/>
      <c r="O446" s="85"/>
      <c r="Q446" s="94"/>
      <c r="R446" s="93"/>
      <c r="S446" s="85"/>
      <c r="U446" s="94"/>
      <c r="V446" s="93"/>
      <c r="W446" s="85"/>
      <c r="Y446" s="94"/>
      <c r="Z446" s="93"/>
      <c r="AA446" s="85"/>
      <c r="AC446" s="94"/>
      <c r="AD446" s="93"/>
      <c r="AE446" s="85"/>
    </row>
    <row r="447" spans="6:31" x14ac:dyDescent="0.35">
      <c r="F447" s="93"/>
      <c r="G447" s="85"/>
      <c r="H447" s="87"/>
      <c r="I447" s="94"/>
      <c r="J447" s="93"/>
      <c r="K447" s="85"/>
      <c r="M447" s="94"/>
      <c r="N447" s="93"/>
      <c r="O447" s="85"/>
      <c r="Q447" s="94"/>
      <c r="R447" s="93"/>
      <c r="S447" s="85"/>
      <c r="U447" s="94"/>
      <c r="V447" s="93"/>
      <c r="W447" s="85"/>
      <c r="Y447" s="94"/>
      <c r="Z447" s="93"/>
      <c r="AA447" s="85"/>
      <c r="AC447" s="94"/>
      <c r="AD447" s="93"/>
      <c r="AE447" s="85"/>
    </row>
    <row r="448" spans="6:31" x14ac:dyDescent="0.35">
      <c r="F448" s="93"/>
      <c r="G448" s="85"/>
      <c r="H448" s="87"/>
      <c r="I448" s="94"/>
      <c r="J448" s="93"/>
      <c r="K448" s="85"/>
      <c r="M448" s="94"/>
      <c r="N448" s="93"/>
      <c r="O448" s="85"/>
      <c r="Q448" s="94"/>
      <c r="R448" s="93"/>
      <c r="S448" s="85"/>
      <c r="U448" s="94"/>
      <c r="V448" s="93"/>
      <c r="W448" s="85"/>
      <c r="Y448" s="94"/>
      <c r="Z448" s="93"/>
      <c r="AA448" s="85"/>
      <c r="AC448" s="94"/>
      <c r="AD448" s="93"/>
      <c r="AE448" s="85"/>
    </row>
    <row r="449" spans="6:31" x14ac:dyDescent="0.35">
      <c r="F449" s="93"/>
      <c r="G449" s="85"/>
      <c r="H449" s="87"/>
      <c r="I449" s="94"/>
      <c r="J449" s="93"/>
      <c r="K449" s="85"/>
      <c r="M449" s="94"/>
      <c r="N449" s="93"/>
      <c r="O449" s="85"/>
      <c r="Q449" s="94"/>
      <c r="R449" s="93"/>
      <c r="S449" s="85"/>
      <c r="U449" s="94"/>
      <c r="V449" s="93"/>
      <c r="W449" s="85"/>
      <c r="Y449" s="94"/>
      <c r="Z449" s="93"/>
      <c r="AA449" s="85"/>
      <c r="AC449" s="94"/>
      <c r="AD449" s="93"/>
      <c r="AE449" s="85"/>
    </row>
    <row r="450" spans="6:31" x14ac:dyDescent="0.35">
      <c r="F450" s="93"/>
      <c r="G450" s="85"/>
      <c r="H450" s="87"/>
      <c r="I450" s="94"/>
      <c r="J450" s="93"/>
      <c r="K450" s="85"/>
      <c r="M450" s="94"/>
      <c r="N450" s="93"/>
      <c r="O450" s="85"/>
      <c r="Q450" s="94"/>
      <c r="R450" s="93"/>
      <c r="S450" s="85"/>
      <c r="U450" s="94"/>
      <c r="V450" s="93"/>
      <c r="W450" s="85"/>
      <c r="Y450" s="94"/>
      <c r="Z450" s="93"/>
      <c r="AA450" s="85"/>
      <c r="AC450" s="94"/>
      <c r="AD450" s="93"/>
      <c r="AE450" s="85"/>
    </row>
    <row r="451" spans="6:31" x14ac:dyDescent="0.35">
      <c r="F451" s="93"/>
      <c r="G451" s="85"/>
      <c r="H451" s="87"/>
      <c r="I451" s="94"/>
      <c r="J451" s="93"/>
      <c r="K451" s="85"/>
      <c r="M451" s="94"/>
      <c r="N451" s="93"/>
      <c r="O451" s="85"/>
      <c r="Q451" s="94"/>
      <c r="R451" s="93"/>
      <c r="S451" s="85"/>
      <c r="U451" s="94"/>
      <c r="V451" s="93"/>
      <c r="W451" s="85"/>
      <c r="Y451" s="94"/>
      <c r="Z451" s="93"/>
      <c r="AA451" s="85"/>
      <c r="AC451" s="94"/>
      <c r="AD451" s="93"/>
      <c r="AE451" s="85"/>
    </row>
    <row r="452" spans="6:31" x14ac:dyDescent="0.35">
      <c r="F452" s="93"/>
      <c r="G452" s="85"/>
      <c r="H452" s="87"/>
      <c r="I452" s="94"/>
      <c r="J452" s="93"/>
      <c r="K452" s="85"/>
      <c r="M452" s="94"/>
      <c r="N452" s="93"/>
      <c r="O452" s="85"/>
      <c r="Q452" s="94"/>
      <c r="R452" s="93"/>
      <c r="S452" s="85"/>
      <c r="U452" s="94"/>
      <c r="V452" s="93"/>
      <c r="W452" s="85"/>
      <c r="Y452" s="94"/>
      <c r="Z452" s="93"/>
      <c r="AA452" s="85"/>
      <c r="AC452" s="94"/>
      <c r="AD452" s="93"/>
      <c r="AE452" s="85"/>
    </row>
    <row r="453" spans="6:31" x14ac:dyDescent="0.35">
      <c r="F453" s="93"/>
      <c r="G453" s="85"/>
      <c r="H453" s="87"/>
      <c r="I453" s="94"/>
      <c r="J453" s="93"/>
      <c r="K453" s="85"/>
      <c r="M453" s="94"/>
      <c r="N453" s="93"/>
      <c r="O453" s="85"/>
      <c r="Q453" s="94"/>
      <c r="R453" s="93"/>
      <c r="S453" s="85"/>
      <c r="U453" s="94"/>
      <c r="V453" s="93"/>
      <c r="W453" s="85"/>
      <c r="Y453" s="94"/>
      <c r="Z453" s="93"/>
      <c r="AA453" s="85"/>
      <c r="AC453" s="94"/>
      <c r="AD453" s="93"/>
      <c r="AE453" s="85"/>
    </row>
    <row r="454" spans="6:31" x14ac:dyDescent="0.35">
      <c r="F454" s="93"/>
      <c r="G454" s="85"/>
      <c r="H454" s="87"/>
      <c r="I454" s="94"/>
      <c r="J454" s="93"/>
      <c r="K454" s="85"/>
      <c r="M454" s="94"/>
      <c r="N454" s="93"/>
      <c r="O454" s="85"/>
      <c r="Q454" s="94"/>
      <c r="R454" s="93"/>
      <c r="S454" s="85"/>
      <c r="U454" s="94"/>
      <c r="V454" s="93"/>
      <c r="W454" s="85"/>
      <c r="Y454" s="94"/>
      <c r="Z454" s="93"/>
      <c r="AA454" s="85"/>
      <c r="AC454" s="94"/>
      <c r="AD454" s="93"/>
      <c r="AE454" s="85"/>
    </row>
    <row r="455" spans="6:31" x14ac:dyDescent="0.35">
      <c r="F455" s="93"/>
      <c r="G455" s="85"/>
      <c r="H455" s="87"/>
      <c r="I455" s="94"/>
      <c r="J455" s="93"/>
      <c r="K455" s="85"/>
      <c r="M455" s="94"/>
      <c r="N455" s="93"/>
      <c r="O455" s="85"/>
      <c r="Q455" s="94"/>
      <c r="R455" s="93"/>
      <c r="S455" s="85"/>
      <c r="U455" s="94"/>
      <c r="V455" s="93"/>
      <c r="W455" s="85"/>
      <c r="Y455" s="94"/>
      <c r="Z455" s="93"/>
      <c r="AA455" s="85"/>
      <c r="AC455" s="94"/>
      <c r="AD455" s="93"/>
      <c r="AE455" s="85"/>
    </row>
    <row r="456" spans="6:31" x14ac:dyDescent="0.35">
      <c r="F456" s="93"/>
      <c r="G456" s="85"/>
      <c r="H456" s="87"/>
      <c r="I456" s="94"/>
      <c r="J456" s="93"/>
      <c r="K456" s="85"/>
      <c r="M456" s="94"/>
      <c r="N456" s="93"/>
      <c r="O456" s="85"/>
      <c r="Q456" s="94"/>
      <c r="R456" s="93"/>
      <c r="S456" s="85"/>
      <c r="U456" s="94"/>
      <c r="V456" s="93"/>
      <c r="W456" s="85"/>
      <c r="Y456" s="94"/>
      <c r="Z456" s="93"/>
      <c r="AA456" s="85"/>
      <c r="AC456" s="94"/>
      <c r="AD456" s="93"/>
      <c r="AE456" s="85"/>
    </row>
    <row r="457" spans="6:31" x14ac:dyDescent="0.35">
      <c r="F457" s="93"/>
      <c r="G457" s="85"/>
      <c r="H457" s="87"/>
      <c r="I457" s="94"/>
      <c r="J457" s="93"/>
      <c r="K457" s="85"/>
      <c r="M457" s="94"/>
      <c r="N457" s="93"/>
      <c r="O457" s="85"/>
      <c r="Q457" s="94"/>
      <c r="R457" s="93"/>
      <c r="S457" s="85"/>
      <c r="U457" s="94"/>
      <c r="V457" s="93"/>
      <c r="W457" s="85"/>
      <c r="Y457" s="94"/>
      <c r="Z457" s="93"/>
      <c r="AA457" s="85"/>
      <c r="AC457" s="94"/>
      <c r="AD457" s="93"/>
      <c r="AE457" s="85"/>
    </row>
    <row r="458" spans="6:31" x14ac:dyDescent="0.35">
      <c r="F458" s="93"/>
      <c r="G458" s="85"/>
      <c r="H458" s="87"/>
      <c r="I458" s="94"/>
      <c r="J458" s="93"/>
      <c r="K458" s="85"/>
      <c r="M458" s="94"/>
      <c r="N458" s="93"/>
      <c r="O458" s="85"/>
      <c r="Q458" s="94"/>
      <c r="R458" s="93"/>
      <c r="S458" s="85"/>
      <c r="U458" s="94"/>
      <c r="V458" s="93"/>
      <c r="W458" s="85"/>
      <c r="Y458" s="94"/>
      <c r="Z458" s="93"/>
      <c r="AA458" s="85"/>
      <c r="AC458" s="94"/>
      <c r="AD458" s="93"/>
      <c r="AE458" s="85"/>
    </row>
    <row r="459" spans="6:31" x14ac:dyDescent="0.35">
      <c r="F459" s="93"/>
      <c r="G459" s="85"/>
      <c r="H459" s="87"/>
      <c r="I459" s="94"/>
      <c r="J459" s="93"/>
      <c r="K459" s="85"/>
      <c r="M459" s="94"/>
      <c r="N459" s="93"/>
      <c r="O459" s="85"/>
      <c r="Q459" s="94"/>
      <c r="R459" s="93"/>
      <c r="S459" s="85"/>
      <c r="U459" s="94"/>
      <c r="V459" s="93"/>
      <c r="W459" s="85"/>
      <c r="Y459" s="94"/>
      <c r="Z459" s="93"/>
      <c r="AA459" s="85"/>
      <c r="AC459" s="94"/>
      <c r="AD459" s="93"/>
      <c r="AE459" s="85"/>
    </row>
    <row r="460" spans="6:31" x14ac:dyDescent="0.35">
      <c r="F460" s="93"/>
      <c r="G460" s="85"/>
      <c r="H460" s="87"/>
      <c r="I460" s="94"/>
      <c r="J460" s="93"/>
      <c r="K460" s="85"/>
      <c r="M460" s="94"/>
      <c r="N460" s="93"/>
      <c r="O460" s="85"/>
      <c r="Q460" s="94"/>
      <c r="R460" s="93"/>
      <c r="S460" s="85"/>
      <c r="U460" s="94"/>
      <c r="V460" s="93"/>
      <c r="W460" s="85"/>
      <c r="Y460" s="94"/>
      <c r="Z460" s="93"/>
      <c r="AA460" s="85"/>
      <c r="AC460" s="94"/>
      <c r="AD460" s="93"/>
      <c r="AE460" s="85"/>
    </row>
    <row r="461" spans="6:31" x14ac:dyDescent="0.35">
      <c r="F461" s="93"/>
      <c r="G461" s="85"/>
      <c r="H461" s="87"/>
      <c r="I461" s="94"/>
      <c r="J461" s="93"/>
      <c r="K461" s="85"/>
      <c r="M461" s="94"/>
      <c r="N461" s="93"/>
      <c r="O461" s="85"/>
      <c r="Q461" s="94"/>
      <c r="R461" s="93"/>
      <c r="S461" s="85"/>
      <c r="U461" s="94"/>
      <c r="V461" s="93"/>
      <c r="W461" s="85"/>
      <c r="Y461" s="94"/>
      <c r="Z461" s="93"/>
      <c r="AA461" s="85"/>
      <c r="AC461" s="94"/>
      <c r="AD461" s="93"/>
      <c r="AE461" s="85"/>
    </row>
    <row r="462" spans="6:31" x14ac:dyDescent="0.35">
      <c r="F462" s="93"/>
      <c r="G462" s="85"/>
      <c r="H462" s="87"/>
      <c r="I462" s="94"/>
      <c r="J462" s="93"/>
      <c r="K462" s="85"/>
      <c r="M462" s="94"/>
      <c r="N462" s="93"/>
      <c r="O462" s="85"/>
      <c r="Q462" s="94"/>
      <c r="R462" s="93"/>
      <c r="S462" s="85"/>
      <c r="U462" s="94"/>
      <c r="V462" s="93"/>
      <c r="W462" s="85"/>
      <c r="Y462" s="94"/>
      <c r="Z462" s="93"/>
      <c r="AA462" s="85"/>
      <c r="AC462" s="94"/>
      <c r="AD462" s="93"/>
      <c r="AE462" s="85"/>
    </row>
    <row r="463" spans="6:31" x14ac:dyDescent="0.35">
      <c r="F463" s="93"/>
      <c r="G463" s="85"/>
      <c r="H463" s="87"/>
      <c r="I463" s="94"/>
      <c r="J463" s="93"/>
      <c r="K463" s="85"/>
      <c r="M463" s="94"/>
      <c r="N463" s="93"/>
      <c r="O463" s="85"/>
      <c r="Q463" s="94"/>
      <c r="R463" s="93"/>
      <c r="S463" s="85"/>
      <c r="U463" s="94"/>
      <c r="V463" s="93"/>
      <c r="W463" s="85"/>
      <c r="Y463" s="94"/>
      <c r="Z463" s="93"/>
      <c r="AA463" s="85"/>
      <c r="AC463" s="94"/>
      <c r="AD463" s="93"/>
      <c r="AE463" s="85"/>
    </row>
    <row r="464" spans="6:31" x14ac:dyDescent="0.35">
      <c r="F464" s="93"/>
      <c r="G464" s="85"/>
      <c r="H464" s="87"/>
      <c r="I464" s="94"/>
      <c r="J464" s="93"/>
      <c r="K464" s="85"/>
      <c r="M464" s="94"/>
      <c r="N464" s="93"/>
      <c r="O464" s="85"/>
      <c r="Q464" s="94"/>
      <c r="R464" s="93"/>
      <c r="S464" s="85"/>
      <c r="U464" s="94"/>
      <c r="V464" s="93"/>
      <c r="W464" s="85"/>
      <c r="Y464" s="94"/>
      <c r="Z464" s="93"/>
      <c r="AA464" s="85"/>
      <c r="AC464" s="94"/>
      <c r="AD464" s="93"/>
      <c r="AE464" s="85"/>
    </row>
    <row r="465" spans="6:31" x14ac:dyDescent="0.35">
      <c r="F465" s="93"/>
      <c r="G465" s="85"/>
      <c r="H465" s="87"/>
      <c r="I465" s="94"/>
      <c r="J465" s="93"/>
      <c r="K465" s="85"/>
      <c r="M465" s="94"/>
      <c r="N465" s="93"/>
      <c r="O465" s="85"/>
      <c r="Q465" s="94"/>
      <c r="R465" s="93"/>
      <c r="S465" s="85"/>
      <c r="U465" s="94"/>
      <c r="V465" s="93"/>
      <c r="W465" s="85"/>
      <c r="Y465" s="94"/>
      <c r="Z465" s="93"/>
      <c r="AA465" s="85"/>
      <c r="AC465" s="94"/>
      <c r="AD465" s="93"/>
      <c r="AE465" s="85"/>
    </row>
    <row r="466" spans="6:31" x14ac:dyDescent="0.35">
      <c r="F466" s="93"/>
      <c r="G466" s="85"/>
      <c r="H466" s="87"/>
      <c r="I466" s="94"/>
      <c r="J466" s="93"/>
      <c r="K466" s="85"/>
      <c r="M466" s="94"/>
      <c r="N466" s="93"/>
      <c r="O466" s="85"/>
      <c r="Q466" s="94"/>
      <c r="R466" s="93"/>
      <c r="S466" s="85"/>
      <c r="U466" s="94"/>
      <c r="V466" s="93"/>
      <c r="W466" s="85"/>
      <c r="Y466" s="94"/>
      <c r="Z466" s="93"/>
      <c r="AA466" s="85"/>
      <c r="AC466" s="94"/>
      <c r="AD466" s="93"/>
      <c r="AE466" s="85"/>
    </row>
    <row r="467" spans="6:31" x14ac:dyDescent="0.35">
      <c r="F467" s="93"/>
      <c r="G467" s="85"/>
      <c r="H467" s="87"/>
      <c r="I467" s="94"/>
      <c r="J467" s="93"/>
      <c r="K467" s="85"/>
      <c r="M467" s="94"/>
      <c r="N467" s="93"/>
      <c r="O467" s="85"/>
      <c r="Q467" s="94"/>
      <c r="R467" s="93"/>
      <c r="S467" s="85"/>
      <c r="U467" s="94"/>
      <c r="V467" s="93"/>
      <c r="W467" s="85"/>
      <c r="Y467" s="94"/>
      <c r="Z467" s="93"/>
      <c r="AA467" s="85"/>
      <c r="AC467" s="94"/>
      <c r="AD467" s="93"/>
      <c r="AE467" s="85"/>
    </row>
    <row r="468" spans="6:31" x14ac:dyDescent="0.35">
      <c r="F468" s="93"/>
      <c r="G468" s="85"/>
      <c r="H468" s="87"/>
      <c r="I468" s="94"/>
      <c r="J468" s="93"/>
      <c r="K468" s="85"/>
      <c r="M468" s="94"/>
      <c r="N468" s="93"/>
      <c r="O468" s="85"/>
      <c r="Q468" s="94"/>
      <c r="R468" s="93"/>
      <c r="S468" s="85"/>
      <c r="U468" s="94"/>
      <c r="V468" s="93"/>
      <c r="W468" s="85"/>
      <c r="Y468" s="94"/>
      <c r="Z468" s="93"/>
      <c r="AA468" s="85"/>
      <c r="AC468" s="94"/>
      <c r="AD468" s="93"/>
      <c r="AE468" s="85"/>
    </row>
    <row r="469" spans="6:31" x14ac:dyDescent="0.35">
      <c r="F469" s="93"/>
      <c r="G469" s="85"/>
      <c r="H469" s="87"/>
      <c r="I469" s="94"/>
      <c r="J469" s="93"/>
      <c r="K469" s="85"/>
      <c r="M469" s="94"/>
      <c r="N469" s="93"/>
      <c r="O469" s="85"/>
      <c r="Q469" s="94"/>
      <c r="R469" s="93"/>
      <c r="S469" s="85"/>
      <c r="U469" s="94"/>
      <c r="V469" s="93"/>
      <c r="W469" s="85"/>
      <c r="Y469" s="94"/>
      <c r="Z469" s="93"/>
      <c r="AA469" s="85"/>
      <c r="AC469" s="94"/>
      <c r="AD469" s="93"/>
      <c r="AE469" s="85"/>
    </row>
    <row r="470" spans="6:31" x14ac:dyDescent="0.35">
      <c r="F470" s="93"/>
      <c r="G470" s="85"/>
      <c r="H470" s="87"/>
      <c r="I470" s="94"/>
      <c r="J470" s="93"/>
      <c r="K470" s="85"/>
      <c r="M470" s="94"/>
      <c r="N470" s="93"/>
      <c r="O470" s="85"/>
      <c r="Q470" s="94"/>
      <c r="R470" s="93"/>
      <c r="S470" s="85"/>
      <c r="U470" s="94"/>
      <c r="V470" s="93"/>
      <c r="W470" s="85"/>
      <c r="Y470" s="94"/>
      <c r="Z470" s="93"/>
      <c r="AA470" s="85"/>
      <c r="AC470" s="94"/>
      <c r="AD470" s="93"/>
      <c r="AE470" s="85"/>
    </row>
    <row r="471" spans="6:31" x14ac:dyDescent="0.35">
      <c r="F471" s="93"/>
      <c r="G471" s="85"/>
      <c r="H471" s="87"/>
      <c r="I471" s="94"/>
      <c r="J471" s="93"/>
      <c r="K471" s="85"/>
      <c r="M471" s="94"/>
      <c r="N471" s="93"/>
      <c r="O471" s="85"/>
      <c r="Q471" s="94"/>
      <c r="R471" s="93"/>
      <c r="S471" s="85"/>
      <c r="U471" s="94"/>
      <c r="V471" s="93"/>
      <c r="W471" s="85"/>
      <c r="Y471" s="94"/>
      <c r="Z471" s="93"/>
      <c r="AA471" s="85"/>
      <c r="AC471" s="94"/>
      <c r="AD471" s="93"/>
      <c r="AE471" s="85"/>
    </row>
    <row r="472" spans="6:31" x14ac:dyDescent="0.35">
      <c r="F472" s="93"/>
      <c r="G472" s="85"/>
      <c r="H472" s="87"/>
      <c r="I472" s="94"/>
      <c r="J472" s="93"/>
      <c r="K472" s="85"/>
      <c r="M472" s="94"/>
      <c r="N472" s="93"/>
      <c r="O472" s="85"/>
      <c r="Q472" s="94"/>
      <c r="R472" s="93"/>
      <c r="S472" s="85"/>
      <c r="U472" s="94"/>
      <c r="V472" s="93"/>
      <c r="W472" s="85"/>
      <c r="Y472" s="94"/>
      <c r="Z472" s="93"/>
      <c r="AA472" s="85"/>
      <c r="AC472" s="94"/>
      <c r="AD472" s="93"/>
      <c r="AE472" s="85"/>
    </row>
    <row r="473" spans="6:31" x14ac:dyDescent="0.35">
      <c r="F473" s="93"/>
      <c r="G473" s="85"/>
      <c r="H473" s="87"/>
      <c r="I473" s="94"/>
      <c r="J473" s="93"/>
      <c r="K473" s="85"/>
      <c r="M473" s="94"/>
      <c r="N473" s="93"/>
      <c r="O473" s="85"/>
      <c r="Q473" s="94"/>
      <c r="R473" s="93"/>
      <c r="S473" s="85"/>
      <c r="U473" s="94"/>
      <c r="V473" s="93"/>
      <c r="W473" s="85"/>
      <c r="Y473" s="94"/>
      <c r="Z473" s="93"/>
      <c r="AA473" s="85"/>
      <c r="AC473" s="94"/>
      <c r="AD473" s="93"/>
      <c r="AE473" s="85"/>
    </row>
    <row r="474" spans="6:31" x14ac:dyDescent="0.35">
      <c r="F474" s="93"/>
      <c r="G474" s="85"/>
      <c r="H474" s="87"/>
      <c r="I474" s="94"/>
      <c r="J474" s="93"/>
      <c r="K474" s="85"/>
      <c r="M474" s="94"/>
      <c r="N474" s="93"/>
      <c r="O474" s="85"/>
      <c r="Q474" s="94"/>
      <c r="R474" s="93"/>
      <c r="S474" s="85"/>
      <c r="U474" s="94"/>
      <c r="V474" s="93"/>
      <c r="W474" s="85"/>
      <c r="Y474" s="94"/>
      <c r="Z474" s="93"/>
      <c r="AA474" s="85"/>
      <c r="AC474" s="94"/>
      <c r="AD474" s="93"/>
      <c r="AE474" s="85"/>
    </row>
    <row r="475" spans="6:31" x14ac:dyDescent="0.35">
      <c r="F475" s="93"/>
      <c r="G475" s="85"/>
      <c r="H475" s="87"/>
      <c r="I475" s="94"/>
      <c r="J475" s="93"/>
      <c r="K475" s="85"/>
      <c r="M475" s="94"/>
      <c r="N475" s="93"/>
      <c r="O475" s="85"/>
      <c r="Q475" s="94"/>
      <c r="R475" s="93"/>
      <c r="S475" s="85"/>
      <c r="U475" s="94"/>
      <c r="V475" s="93"/>
      <c r="W475" s="85"/>
      <c r="Y475" s="94"/>
      <c r="Z475" s="93"/>
      <c r="AA475" s="85"/>
      <c r="AC475" s="94"/>
      <c r="AD475" s="93"/>
      <c r="AE475" s="85"/>
    </row>
    <row r="476" spans="6:31" x14ac:dyDescent="0.35">
      <c r="F476" s="93"/>
      <c r="G476" s="85"/>
      <c r="H476" s="87"/>
      <c r="I476" s="94"/>
      <c r="J476" s="93"/>
      <c r="K476" s="85"/>
      <c r="M476" s="94"/>
      <c r="N476" s="93"/>
      <c r="O476" s="85"/>
      <c r="Q476" s="94"/>
      <c r="R476" s="93"/>
      <c r="S476" s="85"/>
      <c r="U476" s="94"/>
      <c r="V476" s="93"/>
      <c r="W476" s="85"/>
      <c r="Y476" s="94"/>
      <c r="Z476" s="93"/>
      <c r="AA476" s="85"/>
      <c r="AC476" s="94"/>
      <c r="AD476" s="93"/>
      <c r="AE476" s="85"/>
    </row>
    <row r="477" spans="6:31" x14ac:dyDescent="0.35">
      <c r="F477" s="93"/>
      <c r="G477" s="85"/>
      <c r="H477" s="87"/>
      <c r="I477" s="94"/>
      <c r="J477" s="93"/>
      <c r="K477" s="85"/>
      <c r="M477" s="94"/>
      <c r="N477" s="93"/>
      <c r="O477" s="85"/>
      <c r="Q477" s="94"/>
      <c r="R477" s="93"/>
      <c r="S477" s="85"/>
      <c r="U477" s="94"/>
      <c r="V477" s="93"/>
      <c r="W477" s="85"/>
      <c r="Y477" s="94"/>
      <c r="Z477" s="93"/>
      <c r="AA477" s="85"/>
      <c r="AC477" s="94"/>
      <c r="AD477" s="93"/>
      <c r="AE477" s="85"/>
    </row>
    <row r="478" spans="6:31" x14ac:dyDescent="0.35">
      <c r="F478" s="93"/>
      <c r="G478" s="85"/>
      <c r="H478" s="87"/>
      <c r="I478" s="94"/>
      <c r="J478" s="93"/>
      <c r="K478" s="85"/>
      <c r="M478" s="94"/>
      <c r="N478" s="93"/>
      <c r="O478" s="85"/>
      <c r="Q478" s="94"/>
      <c r="R478" s="93"/>
      <c r="S478" s="85"/>
      <c r="U478" s="94"/>
      <c r="V478" s="93"/>
      <c r="W478" s="85"/>
      <c r="Y478" s="94"/>
      <c r="Z478" s="93"/>
      <c r="AA478" s="85"/>
      <c r="AC478" s="94"/>
      <c r="AD478" s="93"/>
      <c r="AE478" s="85"/>
    </row>
    <row r="479" spans="6:31" x14ac:dyDescent="0.35">
      <c r="F479" s="93"/>
      <c r="G479" s="85"/>
      <c r="H479" s="87"/>
      <c r="I479" s="94"/>
      <c r="J479" s="93"/>
      <c r="K479" s="85"/>
      <c r="M479" s="94"/>
      <c r="N479" s="93"/>
      <c r="O479" s="85"/>
      <c r="Q479" s="94"/>
      <c r="R479" s="93"/>
      <c r="S479" s="85"/>
      <c r="U479" s="94"/>
      <c r="V479" s="93"/>
      <c r="W479" s="85"/>
      <c r="Y479" s="94"/>
      <c r="Z479" s="93"/>
      <c r="AA479" s="85"/>
      <c r="AC479" s="94"/>
      <c r="AD479" s="93"/>
      <c r="AE479" s="85"/>
    </row>
    <row r="480" spans="6:31" x14ac:dyDescent="0.35">
      <c r="F480" s="93"/>
      <c r="G480" s="85"/>
      <c r="H480" s="87"/>
      <c r="I480" s="94"/>
      <c r="J480" s="93"/>
      <c r="K480" s="85"/>
      <c r="M480" s="94"/>
      <c r="N480" s="93"/>
      <c r="O480" s="85"/>
      <c r="Q480" s="94"/>
      <c r="R480" s="93"/>
      <c r="S480" s="85"/>
      <c r="U480" s="94"/>
      <c r="V480" s="93"/>
      <c r="W480" s="85"/>
      <c r="Y480" s="94"/>
      <c r="Z480" s="93"/>
      <c r="AA480" s="85"/>
      <c r="AC480" s="94"/>
      <c r="AD480" s="93"/>
      <c r="AE480" s="85"/>
    </row>
    <row r="481" spans="6:31" x14ac:dyDescent="0.35">
      <c r="F481" s="93"/>
      <c r="G481" s="85"/>
      <c r="H481" s="87"/>
      <c r="I481" s="94"/>
      <c r="J481" s="93"/>
      <c r="K481" s="85"/>
      <c r="M481" s="94"/>
      <c r="N481" s="93"/>
      <c r="O481" s="85"/>
      <c r="Q481" s="94"/>
      <c r="R481" s="93"/>
      <c r="S481" s="85"/>
      <c r="U481" s="94"/>
      <c r="V481" s="93"/>
      <c r="W481" s="85"/>
      <c r="Y481" s="94"/>
      <c r="Z481" s="93"/>
      <c r="AA481" s="85"/>
      <c r="AC481" s="94"/>
      <c r="AD481" s="93"/>
      <c r="AE481" s="85"/>
    </row>
    <row r="482" spans="6:31" x14ac:dyDescent="0.35">
      <c r="F482" s="93"/>
      <c r="G482" s="85"/>
      <c r="H482" s="87"/>
      <c r="I482" s="94"/>
      <c r="J482" s="93"/>
      <c r="K482" s="85"/>
      <c r="M482" s="94"/>
      <c r="N482" s="93"/>
      <c r="O482" s="85"/>
      <c r="Q482" s="94"/>
      <c r="R482" s="93"/>
      <c r="S482" s="85"/>
      <c r="U482" s="94"/>
      <c r="V482" s="93"/>
      <c r="W482" s="85"/>
      <c r="Y482" s="94"/>
      <c r="Z482" s="93"/>
      <c r="AA482" s="85"/>
      <c r="AC482" s="94"/>
      <c r="AD482" s="93"/>
      <c r="AE482" s="85"/>
    </row>
    <row r="483" spans="6:31" x14ac:dyDescent="0.35">
      <c r="F483" s="93"/>
      <c r="G483" s="85"/>
      <c r="H483" s="87"/>
      <c r="I483" s="94"/>
      <c r="J483" s="93"/>
      <c r="K483" s="85"/>
      <c r="M483" s="94"/>
      <c r="N483" s="93"/>
      <c r="O483" s="85"/>
      <c r="Q483" s="94"/>
      <c r="R483" s="93"/>
      <c r="S483" s="85"/>
      <c r="U483" s="94"/>
      <c r="V483" s="93"/>
      <c r="W483" s="85"/>
      <c r="Y483" s="94"/>
      <c r="Z483" s="93"/>
      <c r="AA483" s="85"/>
      <c r="AC483" s="94"/>
      <c r="AD483" s="93"/>
      <c r="AE483" s="85"/>
    </row>
    <row r="484" spans="6:31" x14ac:dyDescent="0.35">
      <c r="F484" s="93"/>
      <c r="G484" s="85"/>
      <c r="H484" s="87"/>
      <c r="I484" s="94"/>
      <c r="J484" s="93"/>
      <c r="K484" s="85"/>
      <c r="M484" s="94"/>
      <c r="N484" s="93"/>
      <c r="O484" s="85"/>
      <c r="Q484" s="94"/>
      <c r="R484" s="93"/>
      <c r="S484" s="85"/>
      <c r="U484" s="94"/>
      <c r="V484" s="93"/>
      <c r="W484" s="85"/>
      <c r="Y484" s="94"/>
      <c r="Z484" s="93"/>
      <c r="AA484" s="85"/>
      <c r="AC484" s="94"/>
      <c r="AD484" s="93"/>
      <c r="AE484" s="85"/>
    </row>
    <row r="485" spans="6:31" x14ac:dyDescent="0.35">
      <c r="F485" s="93"/>
      <c r="G485" s="85"/>
      <c r="H485" s="87"/>
      <c r="I485" s="94"/>
      <c r="J485" s="93"/>
      <c r="K485" s="85"/>
      <c r="M485" s="94"/>
      <c r="N485" s="93"/>
      <c r="O485" s="85"/>
      <c r="Q485" s="94"/>
      <c r="R485" s="93"/>
      <c r="S485" s="85"/>
      <c r="U485" s="94"/>
      <c r="V485" s="93"/>
      <c r="W485" s="85"/>
      <c r="Y485" s="94"/>
      <c r="Z485" s="93"/>
      <c r="AA485" s="85"/>
      <c r="AC485" s="94"/>
      <c r="AD485" s="93"/>
      <c r="AE485" s="85"/>
    </row>
    <row r="486" spans="6:31" x14ac:dyDescent="0.35">
      <c r="F486" s="93"/>
      <c r="G486" s="85"/>
      <c r="H486" s="87"/>
      <c r="I486" s="94"/>
      <c r="J486" s="93"/>
      <c r="K486" s="85"/>
      <c r="M486" s="94"/>
      <c r="N486" s="93"/>
      <c r="O486" s="85"/>
      <c r="Q486" s="94"/>
      <c r="R486" s="93"/>
      <c r="S486" s="85"/>
      <c r="U486" s="94"/>
      <c r="V486" s="93"/>
      <c r="W486" s="85"/>
      <c r="Y486" s="94"/>
      <c r="Z486" s="93"/>
      <c r="AA486" s="85"/>
      <c r="AC486" s="94"/>
      <c r="AD486" s="93"/>
      <c r="AE486" s="85"/>
    </row>
    <row r="487" spans="6:31" x14ac:dyDescent="0.35">
      <c r="F487" s="93"/>
      <c r="G487" s="85"/>
      <c r="H487" s="87"/>
      <c r="I487" s="94"/>
      <c r="J487" s="93"/>
      <c r="K487" s="85"/>
      <c r="M487" s="94"/>
      <c r="N487" s="93"/>
      <c r="O487" s="85"/>
      <c r="Q487" s="94"/>
      <c r="R487" s="93"/>
      <c r="S487" s="85"/>
      <c r="U487" s="94"/>
      <c r="V487" s="93"/>
      <c r="W487" s="85"/>
      <c r="Y487" s="94"/>
      <c r="Z487" s="93"/>
      <c r="AA487" s="85"/>
      <c r="AC487" s="94"/>
      <c r="AD487" s="93"/>
      <c r="AE487" s="85"/>
    </row>
    <row r="488" spans="6:31" x14ac:dyDescent="0.35">
      <c r="F488" s="93"/>
      <c r="G488" s="85"/>
      <c r="H488" s="87"/>
      <c r="I488" s="94"/>
      <c r="J488" s="93"/>
      <c r="K488" s="85"/>
      <c r="M488" s="94"/>
      <c r="N488" s="93"/>
      <c r="O488" s="85"/>
      <c r="Q488" s="94"/>
      <c r="R488" s="93"/>
      <c r="S488" s="85"/>
      <c r="U488" s="94"/>
      <c r="V488" s="93"/>
      <c r="W488" s="85"/>
      <c r="Y488" s="94"/>
      <c r="Z488" s="93"/>
      <c r="AA488" s="85"/>
      <c r="AC488" s="94"/>
      <c r="AD488" s="93"/>
      <c r="AE488" s="85"/>
    </row>
    <row r="489" spans="6:31" x14ac:dyDescent="0.35">
      <c r="F489" s="93"/>
      <c r="G489" s="85"/>
      <c r="H489" s="87"/>
      <c r="I489" s="94"/>
      <c r="J489" s="93"/>
      <c r="K489" s="85"/>
      <c r="M489" s="94"/>
      <c r="N489" s="93"/>
      <c r="O489" s="85"/>
      <c r="Q489" s="94"/>
      <c r="R489" s="93"/>
      <c r="S489" s="85"/>
      <c r="U489" s="94"/>
      <c r="V489" s="93"/>
      <c r="W489" s="85"/>
      <c r="Y489" s="94"/>
      <c r="Z489" s="93"/>
      <c r="AA489" s="85"/>
      <c r="AC489" s="94"/>
      <c r="AD489" s="93"/>
      <c r="AE489" s="85"/>
    </row>
    <row r="490" spans="6:31" x14ac:dyDescent="0.35">
      <c r="F490" s="93"/>
      <c r="G490" s="85"/>
      <c r="H490" s="87"/>
      <c r="I490" s="94"/>
      <c r="J490" s="93"/>
      <c r="K490" s="85"/>
      <c r="M490" s="94"/>
      <c r="N490" s="93"/>
      <c r="O490" s="85"/>
      <c r="Q490" s="94"/>
      <c r="R490" s="93"/>
      <c r="S490" s="85"/>
      <c r="U490" s="94"/>
      <c r="V490" s="93"/>
      <c r="W490" s="85"/>
      <c r="Y490" s="94"/>
      <c r="Z490" s="93"/>
      <c r="AA490" s="85"/>
      <c r="AC490" s="94"/>
      <c r="AD490" s="93"/>
      <c r="AE490" s="85"/>
    </row>
    <row r="491" spans="6:31" x14ac:dyDescent="0.35">
      <c r="F491" s="93"/>
      <c r="G491" s="85"/>
      <c r="H491" s="87"/>
      <c r="I491" s="94"/>
      <c r="J491" s="93"/>
      <c r="K491" s="85"/>
      <c r="M491" s="94"/>
      <c r="N491" s="93"/>
      <c r="O491" s="85"/>
      <c r="Q491" s="94"/>
      <c r="R491" s="93"/>
      <c r="S491" s="85"/>
      <c r="U491" s="94"/>
      <c r="V491" s="93"/>
      <c r="W491" s="85"/>
      <c r="Y491" s="94"/>
      <c r="Z491" s="93"/>
      <c r="AA491" s="85"/>
      <c r="AC491" s="94"/>
      <c r="AD491" s="93"/>
      <c r="AE491" s="85"/>
    </row>
    <row r="492" spans="6:31" x14ac:dyDescent="0.35">
      <c r="F492" s="93"/>
      <c r="G492" s="85"/>
      <c r="H492" s="87"/>
      <c r="I492" s="94"/>
      <c r="J492" s="93"/>
      <c r="K492" s="85"/>
      <c r="M492" s="94"/>
      <c r="N492" s="93"/>
      <c r="O492" s="85"/>
      <c r="Q492" s="94"/>
      <c r="R492" s="93"/>
      <c r="S492" s="85"/>
      <c r="U492" s="94"/>
      <c r="V492" s="93"/>
      <c r="W492" s="85"/>
      <c r="Y492" s="94"/>
      <c r="Z492" s="93"/>
      <c r="AA492" s="85"/>
      <c r="AC492" s="94"/>
      <c r="AD492" s="93"/>
      <c r="AE492" s="85"/>
    </row>
    <row r="493" spans="6:31" x14ac:dyDescent="0.35">
      <c r="F493" s="93"/>
      <c r="G493" s="85"/>
      <c r="H493" s="87"/>
      <c r="I493" s="94"/>
      <c r="J493" s="93"/>
      <c r="K493" s="85"/>
      <c r="M493" s="94"/>
      <c r="N493" s="93"/>
      <c r="O493" s="85"/>
      <c r="Q493" s="94"/>
      <c r="R493" s="93"/>
      <c r="S493" s="85"/>
      <c r="U493" s="94"/>
      <c r="V493" s="93"/>
      <c r="W493" s="85"/>
      <c r="Y493" s="94"/>
      <c r="Z493" s="93"/>
      <c r="AA493" s="85"/>
      <c r="AC493" s="94"/>
      <c r="AD493" s="93"/>
      <c r="AE493" s="85"/>
    </row>
    <row r="494" spans="6:31" x14ac:dyDescent="0.35">
      <c r="F494" s="93"/>
      <c r="G494" s="85"/>
      <c r="H494" s="87"/>
      <c r="I494" s="94"/>
      <c r="J494" s="93"/>
      <c r="K494" s="85"/>
      <c r="M494" s="94"/>
      <c r="N494" s="93"/>
      <c r="O494" s="85"/>
      <c r="Q494" s="94"/>
      <c r="R494" s="93"/>
      <c r="S494" s="85"/>
      <c r="U494" s="94"/>
      <c r="V494" s="93"/>
      <c r="W494" s="85"/>
      <c r="Y494" s="94"/>
      <c r="Z494" s="93"/>
      <c r="AA494" s="85"/>
      <c r="AC494" s="94"/>
      <c r="AD494" s="93"/>
      <c r="AE494" s="85"/>
    </row>
    <row r="495" spans="6:31" x14ac:dyDescent="0.35">
      <c r="F495" s="93"/>
      <c r="G495" s="85"/>
      <c r="H495" s="87"/>
      <c r="I495" s="94"/>
      <c r="J495" s="93"/>
      <c r="K495" s="85"/>
      <c r="M495" s="94"/>
      <c r="N495" s="93"/>
      <c r="O495" s="85"/>
      <c r="Q495" s="94"/>
      <c r="R495" s="93"/>
      <c r="S495" s="85"/>
      <c r="U495" s="94"/>
      <c r="V495" s="93"/>
      <c r="W495" s="85"/>
      <c r="Y495" s="94"/>
      <c r="Z495" s="93"/>
      <c r="AA495" s="85"/>
      <c r="AC495" s="94"/>
      <c r="AD495" s="93"/>
      <c r="AE495" s="85"/>
    </row>
    <row r="496" spans="6:31" x14ac:dyDescent="0.35">
      <c r="F496" s="93"/>
      <c r="G496" s="85"/>
      <c r="H496" s="87"/>
      <c r="I496" s="94"/>
      <c r="J496" s="93"/>
      <c r="K496" s="85"/>
      <c r="M496" s="94"/>
      <c r="N496" s="93"/>
      <c r="O496" s="85"/>
      <c r="Q496" s="94"/>
      <c r="R496" s="93"/>
      <c r="S496" s="85"/>
      <c r="U496" s="94"/>
      <c r="V496" s="93"/>
      <c r="W496" s="85"/>
      <c r="Y496" s="94"/>
      <c r="Z496" s="93"/>
      <c r="AA496" s="85"/>
      <c r="AC496" s="94"/>
      <c r="AD496" s="93"/>
      <c r="AE496" s="85"/>
    </row>
    <row r="497" spans="6:31" x14ac:dyDescent="0.35">
      <c r="F497" s="93"/>
      <c r="G497" s="85"/>
      <c r="H497" s="87"/>
      <c r="I497" s="94"/>
      <c r="J497" s="93"/>
      <c r="K497" s="85"/>
      <c r="M497" s="94"/>
      <c r="N497" s="93"/>
      <c r="O497" s="85"/>
      <c r="Q497" s="94"/>
      <c r="R497" s="93"/>
      <c r="S497" s="85"/>
      <c r="U497" s="94"/>
      <c r="V497" s="93"/>
      <c r="W497" s="85"/>
      <c r="Y497" s="94"/>
      <c r="Z497" s="93"/>
      <c r="AA497" s="85"/>
      <c r="AC497" s="94"/>
      <c r="AD497" s="93"/>
      <c r="AE497" s="85"/>
    </row>
    <row r="498" spans="6:31" x14ac:dyDescent="0.35">
      <c r="F498" s="93"/>
      <c r="G498" s="85"/>
      <c r="H498" s="87"/>
      <c r="I498" s="94"/>
      <c r="J498" s="93"/>
      <c r="K498" s="85"/>
      <c r="M498" s="94"/>
      <c r="N498" s="93"/>
      <c r="O498" s="85"/>
      <c r="Q498" s="94"/>
      <c r="R498" s="93"/>
      <c r="S498" s="85"/>
      <c r="U498" s="94"/>
      <c r="V498" s="93"/>
      <c r="W498" s="85"/>
      <c r="Y498" s="94"/>
      <c r="Z498" s="93"/>
      <c r="AA498" s="85"/>
      <c r="AC498" s="94"/>
      <c r="AD498" s="93"/>
      <c r="AE498" s="85"/>
    </row>
    <row r="499" spans="6:31" x14ac:dyDescent="0.35">
      <c r="F499" s="93"/>
      <c r="G499" s="85"/>
      <c r="H499" s="87"/>
      <c r="I499" s="94"/>
      <c r="J499" s="93"/>
      <c r="K499" s="85"/>
      <c r="M499" s="94"/>
      <c r="N499" s="93"/>
      <c r="O499" s="85"/>
      <c r="Q499" s="94"/>
      <c r="R499" s="93"/>
      <c r="S499" s="85"/>
      <c r="U499" s="94"/>
      <c r="V499" s="93"/>
      <c r="W499" s="85"/>
      <c r="Y499" s="94"/>
      <c r="Z499" s="93"/>
      <c r="AA499" s="85"/>
      <c r="AC499" s="94"/>
      <c r="AD499" s="93"/>
      <c r="AE499" s="85"/>
    </row>
    <row r="500" spans="6:31" x14ac:dyDescent="0.35">
      <c r="F500" s="93"/>
      <c r="G500" s="85"/>
      <c r="H500" s="87"/>
      <c r="I500" s="94"/>
      <c r="J500" s="93"/>
      <c r="K500" s="85"/>
      <c r="M500" s="94"/>
      <c r="N500" s="93"/>
      <c r="O500" s="85"/>
      <c r="Q500" s="94"/>
      <c r="R500" s="93"/>
      <c r="S500" s="85"/>
      <c r="U500" s="94"/>
      <c r="V500" s="93"/>
      <c r="W500" s="85"/>
      <c r="Y500" s="94"/>
      <c r="Z500" s="93"/>
      <c r="AA500" s="85"/>
      <c r="AC500" s="94"/>
      <c r="AD500" s="93"/>
      <c r="AE500" s="85"/>
    </row>
    <row r="501" spans="6:31" x14ac:dyDescent="0.35">
      <c r="F501" s="93"/>
      <c r="G501" s="85"/>
      <c r="H501" s="87"/>
      <c r="I501" s="94"/>
      <c r="J501" s="93"/>
      <c r="K501" s="85"/>
      <c r="M501" s="94"/>
      <c r="N501" s="93"/>
      <c r="O501" s="85"/>
      <c r="Q501" s="94"/>
      <c r="R501" s="93"/>
      <c r="S501" s="85"/>
      <c r="U501" s="94"/>
      <c r="V501" s="93"/>
      <c r="W501" s="85"/>
      <c r="Y501" s="94"/>
      <c r="Z501" s="93"/>
      <c r="AA501" s="85"/>
      <c r="AC501" s="94"/>
      <c r="AD501" s="93"/>
      <c r="AE501" s="85"/>
    </row>
    <row r="502" spans="6:31" x14ac:dyDescent="0.35">
      <c r="F502" s="93"/>
      <c r="G502" s="85"/>
      <c r="H502" s="87"/>
      <c r="I502" s="94"/>
      <c r="J502" s="93"/>
      <c r="K502" s="85"/>
      <c r="M502" s="94"/>
      <c r="N502" s="93"/>
      <c r="O502" s="85"/>
      <c r="Q502" s="94"/>
      <c r="R502" s="93"/>
      <c r="S502" s="85"/>
      <c r="U502" s="94"/>
      <c r="V502" s="93"/>
      <c r="W502" s="85"/>
      <c r="Y502" s="94"/>
      <c r="Z502" s="93"/>
      <c r="AA502" s="85"/>
      <c r="AC502" s="94"/>
      <c r="AD502" s="93"/>
      <c r="AE502" s="85"/>
    </row>
    <row r="503" spans="6:31" x14ac:dyDescent="0.35">
      <c r="F503" s="93"/>
      <c r="G503" s="85"/>
      <c r="H503" s="87"/>
      <c r="I503" s="94"/>
      <c r="J503" s="93"/>
      <c r="K503" s="85"/>
      <c r="M503" s="94"/>
      <c r="N503" s="93"/>
      <c r="O503" s="85"/>
      <c r="Q503" s="94"/>
      <c r="R503" s="93"/>
      <c r="S503" s="85"/>
      <c r="U503" s="94"/>
      <c r="V503" s="93"/>
      <c r="W503" s="85"/>
      <c r="Y503" s="94"/>
      <c r="Z503" s="93"/>
      <c r="AA503" s="85"/>
      <c r="AC503" s="94"/>
      <c r="AD503" s="93"/>
      <c r="AE503" s="85"/>
    </row>
    <row r="504" spans="6:31" x14ac:dyDescent="0.35">
      <c r="F504" s="93"/>
      <c r="G504" s="85"/>
      <c r="H504" s="87"/>
      <c r="I504" s="94"/>
      <c r="J504" s="93"/>
      <c r="K504" s="85"/>
      <c r="M504" s="94"/>
      <c r="N504" s="93"/>
      <c r="O504" s="85"/>
      <c r="Q504" s="94"/>
      <c r="R504" s="93"/>
      <c r="S504" s="85"/>
      <c r="U504" s="94"/>
      <c r="V504" s="93"/>
      <c r="W504" s="85"/>
      <c r="Y504" s="94"/>
      <c r="Z504" s="93"/>
      <c r="AA504" s="85"/>
      <c r="AC504" s="94"/>
      <c r="AD504" s="93"/>
      <c r="AE504" s="85"/>
    </row>
    <row r="505" spans="6:31" x14ac:dyDescent="0.35">
      <c r="F505" s="93"/>
      <c r="G505" s="85"/>
      <c r="H505" s="87"/>
      <c r="I505" s="94"/>
      <c r="J505" s="93"/>
      <c r="K505" s="85"/>
      <c r="M505" s="94"/>
      <c r="N505" s="93"/>
      <c r="O505" s="85"/>
      <c r="Q505" s="94"/>
      <c r="R505" s="93"/>
      <c r="S505" s="85"/>
      <c r="U505" s="94"/>
      <c r="V505" s="93"/>
      <c r="W505" s="85"/>
      <c r="Y505" s="94"/>
      <c r="Z505" s="93"/>
      <c r="AA505" s="85"/>
      <c r="AC505" s="94"/>
      <c r="AD505" s="93"/>
      <c r="AE505" s="85"/>
    </row>
    <row r="506" spans="6:31" x14ac:dyDescent="0.35">
      <c r="F506" s="93"/>
      <c r="G506" s="85"/>
      <c r="H506" s="87"/>
      <c r="I506" s="94"/>
      <c r="J506" s="93"/>
      <c r="K506" s="85"/>
      <c r="M506" s="94"/>
      <c r="N506" s="93"/>
      <c r="O506" s="85"/>
      <c r="Q506" s="94"/>
      <c r="R506" s="93"/>
      <c r="S506" s="85"/>
      <c r="U506" s="94"/>
      <c r="V506" s="93"/>
      <c r="W506" s="85"/>
      <c r="Y506" s="94"/>
      <c r="Z506" s="93"/>
      <c r="AA506" s="85"/>
      <c r="AC506" s="94"/>
      <c r="AD506" s="93"/>
      <c r="AE506" s="85"/>
    </row>
    <row r="507" spans="6:31" x14ac:dyDescent="0.35">
      <c r="F507" s="93"/>
      <c r="G507" s="85"/>
      <c r="H507" s="87"/>
      <c r="I507" s="94"/>
      <c r="J507" s="93"/>
      <c r="K507" s="85"/>
      <c r="M507" s="94"/>
      <c r="N507" s="93"/>
      <c r="O507" s="85"/>
      <c r="Q507" s="94"/>
      <c r="R507" s="93"/>
      <c r="S507" s="85"/>
      <c r="U507" s="94"/>
      <c r="V507" s="93"/>
      <c r="W507" s="85"/>
      <c r="Y507" s="94"/>
      <c r="Z507" s="93"/>
      <c r="AA507" s="85"/>
      <c r="AC507" s="94"/>
      <c r="AD507" s="93"/>
      <c r="AE507" s="85"/>
    </row>
    <row r="508" spans="6:31" x14ac:dyDescent="0.35">
      <c r="F508" s="93"/>
      <c r="G508" s="85"/>
      <c r="H508" s="87"/>
      <c r="I508" s="94"/>
      <c r="J508" s="93"/>
      <c r="K508" s="85"/>
      <c r="M508" s="94"/>
      <c r="N508" s="93"/>
      <c r="O508" s="85"/>
      <c r="Q508" s="94"/>
      <c r="R508" s="93"/>
      <c r="S508" s="85"/>
      <c r="U508" s="94"/>
      <c r="V508" s="93"/>
      <c r="W508" s="85"/>
      <c r="Y508" s="94"/>
      <c r="Z508" s="93"/>
      <c r="AA508" s="85"/>
      <c r="AC508" s="94"/>
      <c r="AD508" s="93"/>
      <c r="AE508" s="85"/>
    </row>
    <row r="509" spans="6:31" x14ac:dyDescent="0.35">
      <c r="F509" s="93"/>
      <c r="G509" s="85"/>
      <c r="H509" s="87"/>
      <c r="I509" s="94"/>
      <c r="J509" s="93"/>
      <c r="K509" s="85"/>
      <c r="M509" s="94"/>
      <c r="N509" s="93"/>
      <c r="O509" s="85"/>
      <c r="Q509" s="94"/>
      <c r="R509" s="93"/>
      <c r="S509" s="85"/>
      <c r="U509" s="94"/>
      <c r="V509" s="93"/>
      <c r="W509" s="85"/>
      <c r="Y509" s="94"/>
      <c r="Z509" s="93"/>
      <c r="AA509" s="85"/>
      <c r="AC509" s="94"/>
      <c r="AD509" s="93"/>
      <c r="AE509" s="85"/>
    </row>
    <row r="510" spans="6:31" x14ac:dyDescent="0.35">
      <c r="F510" s="93"/>
      <c r="G510" s="85"/>
      <c r="H510" s="87"/>
      <c r="I510" s="94"/>
      <c r="J510" s="93"/>
      <c r="K510" s="85"/>
      <c r="M510" s="94"/>
      <c r="N510" s="93"/>
      <c r="O510" s="85"/>
      <c r="Q510" s="94"/>
      <c r="R510" s="93"/>
      <c r="S510" s="85"/>
      <c r="U510" s="94"/>
      <c r="V510" s="93"/>
      <c r="W510" s="85"/>
      <c r="Y510" s="94"/>
      <c r="Z510" s="93"/>
      <c r="AA510" s="85"/>
      <c r="AC510" s="94"/>
      <c r="AD510" s="93"/>
      <c r="AE510" s="85"/>
    </row>
    <row r="511" spans="6:31" x14ac:dyDescent="0.35">
      <c r="F511" s="93"/>
      <c r="G511" s="85"/>
      <c r="H511" s="87"/>
      <c r="I511" s="94"/>
      <c r="J511" s="93"/>
      <c r="K511" s="85"/>
      <c r="M511" s="94"/>
      <c r="N511" s="93"/>
      <c r="O511" s="85"/>
      <c r="Q511" s="94"/>
      <c r="R511" s="93"/>
      <c r="S511" s="85"/>
      <c r="U511" s="94"/>
      <c r="V511" s="93"/>
      <c r="W511" s="85"/>
      <c r="Y511" s="94"/>
      <c r="Z511" s="93"/>
      <c r="AA511" s="85"/>
      <c r="AC511" s="94"/>
      <c r="AD511" s="93"/>
      <c r="AE511" s="85"/>
    </row>
    <row r="512" spans="6:31" x14ac:dyDescent="0.35">
      <c r="F512" s="93"/>
      <c r="G512" s="85"/>
      <c r="H512" s="87"/>
      <c r="I512" s="94"/>
      <c r="J512" s="93"/>
      <c r="K512" s="85"/>
      <c r="M512" s="94"/>
      <c r="N512" s="93"/>
      <c r="O512" s="85"/>
      <c r="Q512" s="94"/>
      <c r="R512" s="93"/>
      <c r="S512" s="85"/>
      <c r="U512" s="94"/>
      <c r="V512" s="93"/>
      <c r="W512" s="85"/>
      <c r="Y512" s="94"/>
      <c r="Z512" s="93"/>
      <c r="AA512" s="85"/>
      <c r="AC512" s="94"/>
      <c r="AD512" s="93"/>
      <c r="AE512" s="85"/>
    </row>
    <row r="513" spans="6:31" x14ac:dyDescent="0.35">
      <c r="F513" s="93"/>
      <c r="G513" s="85"/>
      <c r="H513" s="87"/>
      <c r="I513" s="94"/>
      <c r="J513" s="93"/>
      <c r="K513" s="85"/>
      <c r="M513" s="94"/>
      <c r="N513" s="93"/>
      <c r="O513" s="85"/>
      <c r="Q513" s="94"/>
      <c r="R513" s="93"/>
      <c r="S513" s="85"/>
      <c r="U513" s="94"/>
      <c r="V513" s="93"/>
      <c r="W513" s="85"/>
      <c r="Y513" s="94"/>
      <c r="Z513" s="93"/>
      <c r="AA513" s="85"/>
      <c r="AC513" s="94"/>
      <c r="AD513" s="93"/>
      <c r="AE513" s="85"/>
    </row>
    <row r="514" spans="6:31" x14ac:dyDescent="0.35">
      <c r="F514" s="93"/>
      <c r="G514" s="85"/>
      <c r="H514" s="87"/>
      <c r="I514" s="94"/>
      <c r="J514" s="93"/>
      <c r="K514" s="85"/>
      <c r="M514" s="94"/>
      <c r="N514" s="93"/>
      <c r="O514" s="85"/>
      <c r="Q514" s="94"/>
      <c r="R514" s="93"/>
      <c r="S514" s="85"/>
      <c r="U514" s="94"/>
      <c r="V514" s="93"/>
      <c r="W514" s="85"/>
      <c r="Y514" s="94"/>
      <c r="Z514" s="93"/>
      <c r="AA514" s="85"/>
      <c r="AC514" s="94"/>
      <c r="AD514" s="93"/>
      <c r="AE514" s="85"/>
    </row>
    <row r="515" spans="6:31" x14ac:dyDescent="0.35">
      <c r="F515" s="93"/>
      <c r="G515" s="85"/>
      <c r="H515" s="87"/>
      <c r="I515" s="94"/>
      <c r="J515" s="93"/>
      <c r="K515" s="85"/>
      <c r="M515" s="94"/>
      <c r="N515" s="93"/>
      <c r="O515" s="85"/>
      <c r="Q515" s="94"/>
      <c r="R515" s="93"/>
      <c r="S515" s="85"/>
      <c r="U515" s="94"/>
      <c r="V515" s="93"/>
      <c r="W515" s="85"/>
      <c r="Y515" s="94"/>
      <c r="Z515" s="93"/>
      <c r="AA515" s="85"/>
      <c r="AC515" s="94"/>
      <c r="AD515" s="93"/>
      <c r="AE515" s="85"/>
    </row>
    <row r="516" spans="6:31" x14ac:dyDescent="0.35">
      <c r="F516" s="93"/>
      <c r="G516" s="85"/>
      <c r="H516" s="87"/>
      <c r="I516" s="94"/>
      <c r="J516" s="93"/>
      <c r="K516" s="85"/>
      <c r="M516" s="94"/>
      <c r="N516" s="93"/>
      <c r="O516" s="85"/>
      <c r="Q516" s="94"/>
      <c r="R516" s="93"/>
      <c r="S516" s="85"/>
      <c r="U516" s="94"/>
      <c r="V516" s="93"/>
      <c r="W516" s="85"/>
      <c r="Y516" s="94"/>
      <c r="Z516" s="93"/>
      <c r="AA516" s="85"/>
      <c r="AC516" s="94"/>
      <c r="AD516" s="93"/>
      <c r="AE516" s="85"/>
    </row>
    <row r="517" spans="6:31" x14ac:dyDescent="0.35">
      <c r="F517" s="93"/>
      <c r="G517" s="85"/>
      <c r="H517" s="87"/>
      <c r="I517" s="94"/>
      <c r="J517" s="93"/>
      <c r="K517" s="85"/>
      <c r="M517" s="94"/>
      <c r="N517" s="93"/>
      <c r="O517" s="85"/>
      <c r="Q517" s="94"/>
      <c r="R517" s="93"/>
      <c r="S517" s="85"/>
      <c r="U517" s="94"/>
      <c r="V517" s="93"/>
      <c r="W517" s="85"/>
      <c r="Y517" s="94"/>
      <c r="Z517" s="93"/>
      <c r="AA517" s="85"/>
      <c r="AC517" s="94"/>
      <c r="AD517" s="93"/>
      <c r="AE517" s="85"/>
    </row>
    <row r="518" spans="6:31" x14ac:dyDescent="0.35">
      <c r="F518" s="93"/>
      <c r="G518" s="85"/>
      <c r="H518" s="87"/>
      <c r="I518" s="94"/>
      <c r="J518" s="93"/>
      <c r="K518" s="85"/>
      <c r="M518" s="94"/>
      <c r="N518" s="93"/>
      <c r="O518" s="85"/>
      <c r="Q518" s="94"/>
      <c r="R518" s="93"/>
      <c r="S518" s="85"/>
      <c r="U518" s="94"/>
      <c r="V518" s="93"/>
      <c r="W518" s="85"/>
      <c r="Y518" s="94"/>
      <c r="Z518" s="93"/>
      <c r="AA518" s="85"/>
      <c r="AC518" s="94"/>
      <c r="AD518" s="93"/>
      <c r="AE518" s="85"/>
    </row>
    <row r="519" spans="6:31" x14ac:dyDescent="0.35">
      <c r="F519" s="93"/>
      <c r="G519" s="85"/>
      <c r="H519" s="87"/>
      <c r="I519" s="94"/>
      <c r="J519" s="93"/>
      <c r="K519" s="85"/>
      <c r="M519" s="94"/>
      <c r="N519" s="93"/>
      <c r="O519" s="85"/>
      <c r="Q519" s="94"/>
      <c r="R519" s="93"/>
      <c r="S519" s="85"/>
      <c r="U519" s="94"/>
      <c r="V519" s="93"/>
      <c r="W519" s="85"/>
      <c r="Y519" s="94"/>
      <c r="Z519" s="93"/>
      <c r="AA519" s="85"/>
      <c r="AC519" s="94"/>
      <c r="AD519" s="93"/>
      <c r="AE519" s="85"/>
    </row>
    <row r="520" spans="6:31" x14ac:dyDescent="0.35">
      <c r="F520" s="93"/>
      <c r="G520" s="85"/>
      <c r="H520" s="87"/>
      <c r="I520" s="94"/>
      <c r="J520" s="93"/>
      <c r="K520" s="85"/>
      <c r="M520" s="94"/>
      <c r="N520" s="93"/>
      <c r="O520" s="85"/>
      <c r="Q520" s="94"/>
      <c r="R520" s="93"/>
      <c r="S520" s="85"/>
      <c r="U520" s="94"/>
      <c r="V520" s="93"/>
      <c r="W520" s="85"/>
      <c r="Y520" s="94"/>
      <c r="Z520" s="93"/>
      <c r="AA520" s="85"/>
      <c r="AC520" s="94"/>
      <c r="AD520" s="93"/>
      <c r="AE520" s="85"/>
    </row>
    <row r="521" spans="6:31" x14ac:dyDescent="0.35">
      <c r="F521" s="93"/>
      <c r="G521" s="85"/>
      <c r="H521" s="87"/>
      <c r="I521" s="94"/>
      <c r="J521" s="93"/>
      <c r="K521" s="85"/>
      <c r="M521" s="94"/>
      <c r="N521" s="93"/>
      <c r="O521" s="85"/>
      <c r="Q521" s="94"/>
      <c r="R521" s="93"/>
      <c r="S521" s="85"/>
      <c r="U521" s="94"/>
      <c r="V521" s="93"/>
      <c r="W521" s="85"/>
      <c r="Y521" s="94"/>
      <c r="Z521" s="93"/>
      <c r="AA521" s="85"/>
      <c r="AC521" s="94"/>
      <c r="AD521" s="93"/>
      <c r="AE521" s="85"/>
    </row>
    <row r="522" spans="6:31" x14ac:dyDescent="0.35">
      <c r="F522" s="93"/>
      <c r="G522" s="85"/>
      <c r="H522" s="87"/>
      <c r="I522" s="94"/>
      <c r="J522" s="93"/>
      <c r="K522" s="85"/>
      <c r="M522" s="94"/>
      <c r="N522" s="93"/>
      <c r="O522" s="85"/>
      <c r="Q522" s="94"/>
      <c r="R522" s="93"/>
      <c r="S522" s="85"/>
      <c r="U522" s="94"/>
      <c r="V522" s="93"/>
      <c r="W522" s="85"/>
      <c r="Y522" s="94"/>
      <c r="Z522" s="93"/>
      <c r="AA522" s="85"/>
      <c r="AC522" s="94"/>
      <c r="AD522" s="93"/>
      <c r="AE522" s="85"/>
    </row>
    <row r="523" spans="6:31" x14ac:dyDescent="0.35">
      <c r="F523" s="93"/>
      <c r="G523" s="85"/>
      <c r="H523" s="87"/>
      <c r="I523" s="94"/>
      <c r="J523" s="93"/>
      <c r="K523" s="85"/>
      <c r="M523" s="94"/>
      <c r="N523" s="93"/>
      <c r="O523" s="85"/>
      <c r="Q523" s="94"/>
      <c r="R523" s="93"/>
      <c r="S523" s="85"/>
      <c r="U523" s="94"/>
      <c r="V523" s="93"/>
      <c r="W523" s="85"/>
      <c r="Y523" s="94"/>
      <c r="Z523" s="93"/>
      <c r="AA523" s="85"/>
      <c r="AC523" s="94"/>
      <c r="AD523" s="93"/>
      <c r="AE523" s="85"/>
    </row>
    <row r="524" spans="6:31" x14ac:dyDescent="0.35">
      <c r="F524" s="93"/>
      <c r="G524" s="85"/>
      <c r="H524" s="87"/>
      <c r="I524" s="94"/>
      <c r="J524" s="93"/>
      <c r="K524" s="85"/>
      <c r="M524" s="94"/>
      <c r="N524" s="93"/>
      <c r="O524" s="85"/>
      <c r="Q524" s="94"/>
      <c r="R524" s="93"/>
      <c r="S524" s="85"/>
      <c r="U524" s="94"/>
      <c r="V524" s="93"/>
      <c r="W524" s="85"/>
      <c r="Y524" s="94"/>
      <c r="Z524" s="93"/>
      <c r="AA524" s="85"/>
      <c r="AC524" s="94"/>
      <c r="AD524" s="93"/>
      <c r="AE524" s="85"/>
    </row>
    <row r="525" spans="6:31" x14ac:dyDescent="0.35">
      <c r="F525" s="93"/>
      <c r="G525" s="85"/>
      <c r="H525" s="87"/>
      <c r="I525" s="94"/>
      <c r="J525" s="93"/>
      <c r="K525" s="85"/>
      <c r="M525" s="94"/>
      <c r="N525" s="93"/>
      <c r="O525" s="85"/>
      <c r="Q525" s="94"/>
      <c r="R525" s="93"/>
      <c r="S525" s="85"/>
      <c r="U525" s="94"/>
      <c r="V525" s="93"/>
      <c r="W525" s="85"/>
      <c r="Y525" s="94"/>
      <c r="Z525" s="93"/>
      <c r="AA525" s="85"/>
      <c r="AC525" s="94"/>
      <c r="AD525" s="93"/>
      <c r="AE525" s="85"/>
    </row>
    <row r="526" spans="6:31" x14ac:dyDescent="0.35">
      <c r="F526" s="93"/>
      <c r="G526" s="85"/>
      <c r="H526" s="87"/>
      <c r="I526" s="94"/>
      <c r="J526" s="93"/>
      <c r="K526" s="85"/>
      <c r="M526" s="94"/>
      <c r="N526" s="93"/>
      <c r="O526" s="85"/>
      <c r="Q526" s="94"/>
      <c r="R526" s="93"/>
      <c r="S526" s="85"/>
      <c r="U526" s="94"/>
      <c r="V526" s="93"/>
      <c r="W526" s="85"/>
      <c r="Y526" s="94"/>
      <c r="Z526" s="93"/>
      <c r="AA526" s="85"/>
      <c r="AC526" s="94"/>
      <c r="AD526" s="93"/>
      <c r="AE526" s="85"/>
    </row>
    <row r="527" spans="6:31" x14ac:dyDescent="0.35">
      <c r="F527" s="93"/>
      <c r="G527" s="85"/>
      <c r="H527" s="87"/>
      <c r="I527" s="94"/>
      <c r="J527" s="93"/>
      <c r="K527" s="85"/>
      <c r="M527" s="94"/>
      <c r="N527" s="93"/>
      <c r="O527" s="85"/>
      <c r="Q527" s="94"/>
      <c r="R527" s="93"/>
      <c r="S527" s="85"/>
      <c r="U527" s="94"/>
      <c r="V527" s="93"/>
      <c r="W527" s="85"/>
      <c r="Y527" s="94"/>
      <c r="Z527" s="93"/>
      <c r="AA527" s="85"/>
      <c r="AC527" s="94"/>
      <c r="AD527" s="93"/>
      <c r="AE527" s="85"/>
    </row>
    <row r="528" spans="6:31" x14ac:dyDescent="0.35">
      <c r="F528" s="93"/>
      <c r="G528" s="85"/>
      <c r="H528" s="87"/>
      <c r="I528" s="94"/>
      <c r="J528" s="93"/>
      <c r="K528" s="85"/>
      <c r="M528" s="94"/>
      <c r="N528" s="93"/>
      <c r="O528" s="85"/>
      <c r="Q528" s="94"/>
      <c r="R528" s="93"/>
      <c r="S528" s="85"/>
      <c r="U528" s="94"/>
      <c r="V528" s="93"/>
      <c r="W528" s="85"/>
      <c r="Y528" s="94"/>
      <c r="Z528" s="93"/>
      <c r="AA528" s="85"/>
      <c r="AC528" s="94"/>
      <c r="AD528" s="93"/>
      <c r="AE528" s="85"/>
    </row>
    <row r="529" spans="6:31" x14ac:dyDescent="0.35">
      <c r="F529" s="93"/>
      <c r="G529" s="85"/>
      <c r="H529" s="87"/>
      <c r="I529" s="94"/>
      <c r="J529" s="93"/>
      <c r="K529" s="85"/>
      <c r="M529" s="94"/>
      <c r="N529" s="93"/>
      <c r="O529" s="85"/>
      <c r="Q529" s="94"/>
      <c r="R529" s="93"/>
      <c r="S529" s="85"/>
      <c r="U529" s="94"/>
      <c r="V529" s="93"/>
      <c r="W529" s="85"/>
      <c r="Y529" s="94"/>
      <c r="Z529" s="93"/>
      <c r="AA529" s="85"/>
      <c r="AC529" s="94"/>
      <c r="AD529" s="93"/>
      <c r="AE529" s="85"/>
    </row>
    <row r="530" spans="6:31" x14ac:dyDescent="0.35">
      <c r="F530" s="93"/>
      <c r="G530" s="85"/>
      <c r="H530" s="87"/>
      <c r="I530" s="94"/>
      <c r="J530" s="93"/>
      <c r="K530" s="85"/>
      <c r="M530" s="94"/>
      <c r="N530" s="93"/>
      <c r="O530" s="85"/>
      <c r="Q530" s="94"/>
      <c r="R530" s="93"/>
      <c r="S530" s="85"/>
      <c r="U530" s="94"/>
      <c r="V530" s="93"/>
      <c r="W530" s="85"/>
      <c r="Y530" s="94"/>
      <c r="Z530" s="93"/>
      <c r="AA530" s="85"/>
      <c r="AC530" s="94"/>
      <c r="AD530" s="93"/>
      <c r="AE530" s="85"/>
    </row>
    <row r="531" spans="6:31" x14ac:dyDescent="0.35">
      <c r="F531" s="93"/>
      <c r="G531" s="85"/>
      <c r="H531" s="87"/>
      <c r="I531" s="94"/>
      <c r="J531" s="93"/>
      <c r="K531" s="85"/>
      <c r="M531" s="94"/>
      <c r="N531" s="93"/>
      <c r="O531" s="85"/>
      <c r="Q531" s="94"/>
      <c r="R531" s="93"/>
      <c r="S531" s="85"/>
      <c r="U531" s="94"/>
      <c r="V531" s="93"/>
      <c r="W531" s="85"/>
      <c r="Y531" s="94"/>
      <c r="Z531" s="93"/>
      <c r="AA531" s="85"/>
      <c r="AC531" s="94"/>
      <c r="AD531" s="93"/>
      <c r="AE531" s="85"/>
    </row>
    <row r="532" spans="6:31" x14ac:dyDescent="0.35">
      <c r="F532" s="93"/>
      <c r="G532" s="85"/>
      <c r="H532" s="87"/>
      <c r="I532" s="94"/>
      <c r="J532" s="93"/>
      <c r="K532" s="85"/>
      <c r="M532" s="94"/>
      <c r="N532" s="93"/>
      <c r="O532" s="85"/>
      <c r="Q532" s="94"/>
      <c r="R532" s="93"/>
      <c r="S532" s="85"/>
      <c r="U532" s="94"/>
      <c r="V532" s="93"/>
      <c r="W532" s="85"/>
      <c r="Y532" s="94"/>
      <c r="Z532" s="93"/>
      <c r="AA532" s="85"/>
      <c r="AC532" s="94"/>
      <c r="AD532" s="93"/>
      <c r="AE532" s="85"/>
    </row>
    <row r="533" spans="6:31" x14ac:dyDescent="0.35">
      <c r="F533" s="93"/>
      <c r="G533" s="85"/>
      <c r="H533" s="87"/>
      <c r="I533" s="94"/>
      <c r="J533" s="93"/>
      <c r="K533" s="85"/>
      <c r="M533" s="94"/>
      <c r="N533" s="93"/>
      <c r="O533" s="85"/>
      <c r="Q533" s="94"/>
      <c r="R533" s="93"/>
      <c r="S533" s="85"/>
      <c r="U533" s="94"/>
      <c r="V533" s="93"/>
      <c r="W533" s="85"/>
      <c r="Y533" s="94"/>
      <c r="Z533" s="93"/>
      <c r="AA533" s="85"/>
      <c r="AC533" s="94"/>
      <c r="AD533" s="93"/>
      <c r="AE533" s="85"/>
    </row>
    <row r="534" spans="6:31" x14ac:dyDescent="0.35">
      <c r="F534" s="93"/>
      <c r="G534" s="85"/>
      <c r="H534" s="87"/>
      <c r="I534" s="94"/>
      <c r="J534" s="93"/>
      <c r="K534" s="85"/>
      <c r="M534" s="94"/>
      <c r="N534" s="93"/>
      <c r="O534" s="85"/>
      <c r="Q534" s="94"/>
      <c r="R534" s="93"/>
      <c r="S534" s="85"/>
      <c r="U534" s="94"/>
      <c r="V534" s="93"/>
      <c r="W534" s="85"/>
      <c r="Y534" s="94"/>
      <c r="Z534" s="93"/>
      <c r="AA534" s="85"/>
      <c r="AC534" s="94"/>
      <c r="AD534" s="93"/>
      <c r="AE534" s="85"/>
    </row>
    <row r="535" spans="6:31" x14ac:dyDescent="0.35">
      <c r="F535" s="93"/>
      <c r="G535" s="85"/>
      <c r="H535" s="87"/>
      <c r="I535" s="94"/>
      <c r="J535" s="93"/>
      <c r="K535" s="85"/>
      <c r="M535" s="94"/>
      <c r="N535" s="93"/>
      <c r="O535" s="85"/>
      <c r="Q535" s="94"/>
      <c r="R535" s="93"/>
      <c r="S535" s="85"/>
      <c r="U535" s="94"/>
      <c r="V535" s="93"/>
      <c r="W535" s="85"/>
      <c r="Y535" s="94"/>
      <c r="Z535" s="93"/>
      <c r="AA535" s="85"/>
      <c r="AC535" s="94"/>
      <c r="AD535" s="93"/>
      <c r="AE535" s="85"/>
    </row>
    <row r="536" spans="6:31" x14ac:dyDescent="0.35">
      <c r="F536" s="93"/>
      <c r="G536" s="85"/>
      <c r="H536" s="87"/>
      <c r="I536" s="94"/>
      <c r="J536" s="93"/>
      <c r="K536" s="85"/>
      <c r="M536" s="94"/>
      <c r="N536" s="93"/>
      <c r="O536" s="85"/>
      <c r="Q536" s="94"/>
      <c r="R536" s="93"/>
      <c r="S536" s="85"/>
      <c r="U536" s="94"/>
      <c r="V536" s="93"/>
      <c r="W536" s="85"/>
      <c r="Y536" s="94"/>
      <c r="Z536" s="93"/>
      <c r="AA536" s="85"/>
      <c r="AC536" s="94"/>
      <c r="AD536" s="93"/>
      <c r="AE536" s="85"/>
    </row>
    <row r="537" spans="6:31" x14ac:dyDescent="0.35">
      <c r="F537" s="93"/>
      <c r="G537" s="85"/>
      <c r="H537" s="87"/>
      <c r="I537" s="94"/>
      <c r="J537" s="93"/>
      <c r="K537" s="85"/>
      <c r="M537" s="94"/>
      <c r="N537" s="93"/>
      <c r="O537" s="85"/>
      <c r="Q537" s="94"/>
      <c r="R537" s="93"/>
      <c r="S537" s="85"/>
      <c r="U537" s="94"/>
      <c r="V537" s="93"/>
      <c r="W537" s="85"/>
      <c r="Y537" s="94"/>
      <c r="Z537" s="93"/>
      <c r="AA537" s="85"/>
      <c r="AC537" s="94"/>
      <c r="AD537" s="93"/>
      <c r="AE537" s="85"/>
    </row>
    <row r="538" spans="6:31" x14ac:dyDescent="0.35">
      <c r="F538" s="93"/>
      <c r="G538" s="85"/>
      <c r="H538" s="87"/>
      <c r="I538" s="94"/>
      <c r="J538" s="93"/>
      <c r="K538" s="85"/>
      <c r="M538" s="94"/>
      <c r="N538" s="93"/>
      <c r="O538" s="85"/>
      <c r="Q538" s="94"/>
      <c r="R538" s="93"/>
      <c r="S538" s="85"/>
      <c r="U538" s="94"/>
      <c r="V538" s="93"/>
      <c r="W538" s="85"/>
      <c r="Y538" s="94"/>
      <c r="Z538" s="93"/>
      <c r="AA538" s="85"/>
      <c r="AC538" s="94"/>
      <c r="AD538" s="93"/>
      <c r="AE538" s="85"/>
    </row>
    <row r="539" spans="6:31" x14ac:dyDescent="0.35">
      <c r="F539" s="93"/>
      <c r="G539" s="85"/>
      <c r="H539" s="87"/>
      <c r="I539" s="94"/>
      <c r="J539" s="93"/>
      <c r="K539" s="85"/>
      <c r="M539" s="94"/>
      <c r="N539" s="93"/>
      <c r="O539" s="85"/>
      <c r="Q539" s="94"/>
      <c r="R539" s="93"/>
      <c r="S539" s="85"/>
      <c r="U539" s="94"/>
      <c r="V539" s="93"/>
      <c r="W539" s="85"/>
      <c r="Y539" s="94"/>
      <c r="Z539" s="93"/>
      <c r="AA539" s="85"/>
      <c r="AC539" s="94"/>
      <c r="AD539" s="93"/>
      <c r="AE539" s="85"/>
    </row>
    <row r="540" spans="6:31" x14ac:dyDescent="0.35">
      <c r="F540" s="93"/>
      <c r="G540" s="85"/>
      <c r="H540" s="87"/>
      <c r="I540" s="94"/>
      <c r="J540" s="93"/>
      <c r="K540" s="85"/>
      <c r="M540" s="94"/>
      <c r="N540" s="93"/>
      <c r="O540" s="85"/>
      <c r="Q540" s="94"/>
      <c r="R540" s="93"/>
      <c r="S540" s="85"/>
      <c r="U540" s="94"/>
      <c r="V540" s="93"/>
      <c r="W540" s="85"/>
      <c r="Y540" s="94"/>
      <c r="Z540" s="93"/>
      <c r="AA540" s="85"/>
      <c r="AC540" s="94"/>
      <c r="AD540" s="93"/>
      <c r="AE540" s="85"/>
    </row>
    <row r="541" spans="6:31" x14ac:dyDescent="0.35">
      <c r="F541" s="93"/>
      <c r="G541" s="85"/>
      <c r="H541" s="87"/>
      <c r="I541" s="94"/>
      <c r="J541" s="93"/>
      <c r="K541" s="85"/>
      <c r="M541" s="94"/>
      <c r="N541" s="93"/>
      <c r="O541" s="85"/>
      <c r="Q541" s="94"/>
      <c r="R541" s="93"/>
      <c r="S541" s="85"/>
      <c r="U541" s="94"/>
      <c r="V541" s="93"/>
      <c r="W541" s="85"/>
      <c r="Y541" s="94"/>
      <c r="Z541" s="93"/>
      <c r="AA541" s="85"/>
      <c r="AC541" s="94"/>
      <c r="AD541" s="93"/>
      <c r="AE541" s="85"/>
    </row>
    <row r="542" spans="6:31" x14ac:dyDescent="0.35">
      <c r="F542" s="93"/>
      <c r="G542" s="85"/>
      <c r="H542" s="87"/>
      <c r="I542" s="94"/>
      <c r="J542" s="93"/>
      <c r="K542" s="85"/>
      <c r="M542" s="94"/>
      <c r="N542" s="93"/>
      <c r="O542" s="85"/>
      <c r="Q542" s="94"/>
      <c r="R542" s="93"/>
      <c r="S542" s="85"/>
      <c r="U542" s="94"/>
      <c r="V542" s="93"/>
      <c r="W542" s="85"/>
      <c r="Y542" s="94"/>
      <c r="Z542" s="93"/>
      <c r="AA542" s="85"/>
      <c r="AC542" s="94"/>
      <c r="AD542" s="93"/>
      <c r="AE542" s="85"/>
    </row>
    <row r="543" spans="6:31" x14ac:dyDescent="0.35">
      <c r="F543" s="93"/>
      <c r="G543" s="85"/>
      <c r="H543" s="87"/>
      <c r="I543" s="94"/>
      <c r="J543" s="93"/>
      <c r="K543" s="85"/>
      <c r="M543" s="94"/>
      <c r="N543" s="93"/>
      <c r="O543" s="85"/>
      <c r="Q543" s="94"/>
      <c r="R543" s="93"/>
      <c r="S543" s="85"/>
      <c r="U543" s="94"/>
      <c r="V543" s="93"/>
      <c r="W543" s="85"/>
      <c r="Y543" s="94"/>
      <c r="Z543" s="93"/>
      <c r="AA543" s="85"/>
      <c r="AC543" s="94"/>
      <c r="AD543" s="93"/>
      <c r="AE543" s="85"/>
    </row>
    <row r="544" spans="6:31" x14ac:dyDescent="0.35">
      <c r="F544" s="93"/>
      <c r="G544" s="85"/>
      <c r="H544" s="87"/>
      <c r="I544" s="94"/>
      <c r="J544" s="93"/>
      <c r="K544" s="85"/>
      <c r="M544" s="94"/>
      <c r="N544" s="93"/>
      <c r="O544" s="85"/>
      <c r="Q544" s="94"/>
      <c r="R544" s="93"/>
      <c r="S544" s="85"/>
      <c r="U544" s="94"/>
      <c r="V544" s="93"/>
      <c r="W544" s="85"/>
      <c r="Y544" s="94"/>
      <c r="Z544" s="93"/>
      <c r="AA544" s="85"/>
      <c r="AC544" s="94"/>
      <c r="AD544" s="93"/>
      <c r="AE544" s="85"/>
    </row>
    <row r="545" spans="6:31" x14ac:dyDescent="0.35">
      <c r="F545" s="93"/>
      <c r="G545" s="85"/>
      <c r="H545" s="87"/>
      <c r="I545" s="94"/>
      <c r="J545" s="93"/>
      <c r="K545" s="85"/>
      <c r="M545" s="94"/>
      <c r="N545" s="93"/>
      <c r="O545" s="85"/>
      <c r="Q545" s="94"/>
      <c r="R545" s="93"/>
      <c r="S545" s="85"/>
      <c r="U545" s="94"/>
      <c r="V545" s="93"/>
      <c r="W545" s="85"/>
      <c r="Y545" s="94"/>
      <c r="Z545" s="93"/>
      <c r="AA545" s="85"/>
      <c r="AC545" s="94"/>
      <c r="AD545" s="93"/>
      <c r="AE545" s="85"/>
    </row>
    <row r="546" spans="6:31" x14ac:dyDescent="0.35">
      <c r="F546" s="93"/>
      <c r="G546" s="85"/>
      <c r="H546" s="87"/>
      <c r="I546" s="94"/>
      <c r="J546" s="93"/>
      <c r="K546" s="85"/>
      <c r="M546" s="94"/>
      <c r="N546" s="93"/>
      <c r="O546" s="85"/>
      <c r="Q546" s="94"/>
      <c r="R546" s="93"/>
      <c r="S546" s="85"/>
      <c r="U546" s="94"/>
      <c r="V546" s="93"/>
      <c r="W546" s="85"/>
      <c r="Y546" s="94"/>
      <c r="Z546" s="93"/>
      <c r="AA546" s="85"/>
      <c r="AC546" s="94"/>
      <c r="AD546" s="93"/>
      <c r="AE546" s="85"/>
    </row>
    <row r="547" spans="6:31" x14ac:dyDescent="0.35">
      <c r="F547" s="93"/>
      <c r="G547" s="85"/>
      <c r="H547" s="87"/>
      <c r="I547" s="94"/>
      <c r="J547" s="93"/>
      <c r="K547" s="85"/>
      <c r="M547" s="94"/>
      <c r="N547" s="93"/>
      <c r="O547" s="85"/>
      <c r="Q547" s="94"/>
      <c r="R547" s="93"/>
      <c r="S547" s="85"/>
      <c r="U547" s="94"/>
      <c r="V547" s="93"/>
      <c r="W547" s="85"/>
      <c r="Y547" s="94"/>
      <c r="Z547" s="93"/>
      <c r="AA547" s="85"/>
      <c r="AC547" s="94"/>
      <c r="AD547" s="93"/>
      <c r="AE547" s="85"/>
    </row>
    <row r="548" spans="6:31" x14ac:dyDescent="0.35">
      <c r="F548" s="93"/>
      <c r="G548" s="85"/>
      <c r="H548" s="87"/>
      <c r="I548" s="94"/>
      <c r="J548" s="93"/>
      <c r="K548" s="85"/>
      <c r="M548" s="94"/>
      <c r="N548" s="93"/>
      <c r="O548" s="85"/>
      <c r="Q548" s="94"/>
      <c r="R548" s="93"/>
      <c r="S548" s="85"/>
      <c r="U548" s="94"/>
      <c r="V548" s="93"/>
      <c r="W548" s="85"/>
      <c r="Y548" s="94"/>
      <c r="Z548" s="93"/>
      <c r="AA548" s="85"/>
      <c r="AC548" s="94"/>
      <c r="AD548" s="93"/>
      <c r="AE548" s="85"/>
    </row>
    <row r="549" spans="6:31" x14ac:dyDescent="0.35">
      <c r="F549" s="93"/>
      <c r="G549" s="85"/>
      <c r="H549" s="87"/>
      <c r="I549" s="94"/>
      <c r="J549" s="93"/>
      <c r="K549" s="85"/>
      <c r="M549" s="94"/>
      <c r="N549" s="93"/>
      <c r="O549" s="85"/>
      <c r="Q549" s="94"/>
      <c r="R549" s="93"/>
      <c r="S549" s="85"/>
      <c r="U549" s="94"/>
      <c r="V549" s="93"/>
      <c r="W549" s="85"/>
      <c r="Y549" s="94"/>
      <c r="Z549" s="93"/>
      <c r="AA549" s="85"/>
      <c r="AC549" s="94"/>
      <c r="AD549" s="93"/>
      <c r="AE549" s="85"/>
    </row>
    <row r="550" spans="6:31" x14ac:dyDescent="0.35">
      <c r="F550" s="93"/>
      <c r="G550" s="85"/>
      <c r="H550" s="87"/>
      <c r="I550" s="94"/>
      <c r="J550" s="93"/>
      <c r="K550" s="85"/>
      <c r="M550" s="94"/>
      <c r="N550" s="93"/>
      <c r="O550" s="85"/>
      <c r="Q550" s="94"/>
      <c r="R550" s="93"/>
      <c r="S550" s="85"/>
      <c r="U550" s="94"/>
      <c r="V550" s="93"/>
      <c r="W550" s="85"/>
      <c r="Y550" s="94"/>
      <c r="Z550" s="93"/>
      <c r="AA550" s="85"/>
      <c r="AC550" s="94"/>
      <c r="AD550" s="93"/>
      <c r="AE550" s="85"/>
    </row>
    <row r="551" spans="6:31" x14ac:dyDescent="0.35">
      <c r="F551" s="93"/>
      <c r="G551" s="85"/>
      <c r="H551" s="87"/>
      <c r="I551" s="94"/>
      <c r="J551" s="93"/>
      <c r="K551" s="85"/>
      <c r="M551" s="94"/>
      <c r="N551" s="93"/>
      <c r="O551" s="85"/>
      <c r="Q551" s="94"/>
      <c r="R551" s="93"/>
      <c r="S551" s="85"/>
      <c r="U551" s="94"/>
      <c r="V551" s="93"/>
      <c r="W551" s="85"/>
      <c r="Y551" s="94"/>
      <c r="Z551" s="93"/>
      <c r="AA551" s="85"/>
      <c r="AC551" s="94"/>
      <c r="AD551" s="93"/>
      <c r="AE551" s="85"/>
    </row>
    <row r="552" spans="6:31" x14ac:dyDescent="0.35">
      <c r="F552" s="93"/>
      <c r="G552" s="85"/>
      <c r="H552" s="87"/>
      <c r="I552" s="94"/>
      <c r="J552" s="93"/>
      <c r="K552" s="85"/>
      <c r="M552" s="94"/>
      <c r="N552" s="93"/>
      <c r="O552" s="85"/>
      <c r="Q552" s="94"/>
      <c r="R552" s="93"/>
      <c r="S552" s="85"/>
      <c r="U552" s="94"/>
      <c r="V552" s="93"/>
      <c r="W552" s="85"/>
      <c r="Y552" s="94"/>
      <c r="Z552" s="93"/>
      <c r="AA552" s="85"/>
      <c r="AC552" s="94"/>
      <c r="AD552" s="93"/>
      <c r="AE552" s="85"/>
    </row>
    <row r="553" spans="6:31" x14ac:dyDescent="0.35">
      <c r="F553" s="93"/>
      <c r="G553" s="85"/>
      <c r="H553" s="87"/>
      <c r="I553" s="94"/>
      <c r="J553" s="93"/>
      <c r="K553" s="85"/>
      <c r="M553" s="94"/>
      <c r="N553" s="93"/>
      <c r="O553" s="85"/>
      <c r="Q553" s="94"/>
      <c r="R553" s="93"/>
      <c r="S553" s="85"/>
      <c r="U553" s="94"/>
      <c r="V553" s="93"/>
      <c r="W553" s="85"/>
      <c r="Y553" s="94"/>
      <c r="Z553" s="93"/>
      <c r="AA553" s="85"/>
      <c r="AC553" s="94"/>
      <c r="AD553" s="93"/>
      <c r="AE553" s="85"/>
    </row>
    <row r="554" spans="6:31" x14ac:dyDescent="0.35">
      <c r="F554" s="93"/>
      <c r="G554" s="85"/>
      <c r="H554" s="87"/>
      <c r="I554" s="94"/>
      <c r="J554" s="93"/>
      <c r="K554" s="85"/>
      <c r="M554" s="94"/>
      <c r="N554" s="93"/>
      <c r="O554" s="85"/>
      <c r="Q554" s="94"/>
      <c r="R554" s="93"/>
      <c r="S554" s="85"/>
      <c r="U554" s="94"/>
      <c r="V554" s="93"/>
      <c r="W554" s="85"/>
      <c r="Y554" s="94"/>
      <c r="Z554" s="93"/>
      <c r="AA554" s="85"/>
      <c r="AC554" s="94"/>
      <c r="AD554" s="93"/>
      <c r="AE554" s="85"/>
    </row>
    <row r="555" spans="6:31" x14ac:dyDescent="0.35">
      <c r="F555" s="93"/>
      <c r="G555" s="85"/>
      <c r="H555" s="87"/>
      <c r="I555" s="94"/>
      <c r="J555" s="93"/>
      <c r="K555" s="85"/>
      <c r="M555" s="94"/>
      <c r="N555" s="93"/>
      <c r="O555" s="85"/>
      <c r="Q555" s="94"/>
      <c r="R555" s="93"/>
      <c r="S555" s="85"/>
      <c r="U555" s="94"/>
      <c r="V555" s="93"/>
      <c r="W555" s="85"/>
      <c r="Y555" s="94"/>
      <c r="Z555" s="93"/>
      <c r="AA555" s="85"/>
      <c r="AC555" s="94"/>
      <c r="AD555" s="93"/>
      <c r="AE555" s="85"/>
    </row>
    <row r="556" spans="6:31" x14ac:dyDescent="0.35">
      <c r="F556" s="93"/>
      <c r="G556" s="85"/>
      <c r="H556" s="87"/>
      <c r="I556" s="94"/>
      <c r="J556" s="93"/>
      <c r="K556" s="85"/>
      <c r="M556" s="94"/>
      <c r="N556" s="93"/>
      <c r="O556" s="85"/>
      <c r="Q556" s="94"/>
      <c r="R556" s="93"/>
      <c r="S556" s="85"/>
      <c r="U556" s="94"/>
      <c r="V556" s="93"/>
      <c r="W556" s="85"/>
      <c r="Y556" s="94"/>
      <c r="Z556" s="93"/>
      <c r="AA556" s="85"/>
      <c r="AC556" s="94"/>
      <c r="AD556" s="93"/>
      <c r="AE556" s="85"/>
    </row>
    <row r="557" spans="6:31" x14ac:dyDescent="0.35">
      <c r="F557" s="93"/>
      <c r="G557" s="85"/>
      <c r="H557" s="87"/>
      <c r="I557" s="94"/>
      <c r="J557" s="93"/>
      <c r="K557" s="85"/>
      <c r="M557" s="94"/>
      <c r="N557" s="93"/>
      <c r="O557" s="85"/>
      <c r="Q557" s="94"/>
      <c r="R557" s="93"/>
      <c r="S557" s="85"/>
      <c r="U557" s="94"/>
      <c r="V557" s="93"/>
      <c r="W557" s="85"/>
      <c r="Y557" s="94"/>
      <c r="Z557" s="93"/>
      <c r="AA557" s="85"/>
      <c r="AC557" s="94"/>
      <c r="AD557" s="93"/>
      <c r="AE557" s="85"/>
    </row>
    <row r="558" spans="6:31" x14ac:dyDescent="0.35">
      <c r="F558" s="93"/>
      <c r="G558" s="85"/>
      <c r="H558" s="87"/>
      <c r="I558" s="94"/>
      <c r="J558" s="93"/>
      <c r="K558" s="85"/>
      <c r="M558" s="94"/>
      <c r="N558" s="93"/>
      <c r="O558" s="85"/>
      <c r="Q558" s="94"/>
      <c r="R558" s="93"/>
      <c r="S558" s="85"/>
      <c r="U558" s="94"/>
      <c r="V558" s="93"/>
      <c r="W558" s="85"/>
      <c r="Y558" s="94"/>
      <c r="Z558" s="93"/>
      <c r="AA558" s="85"/>
      <c r="AC558" s="94"/>
      <c r="AD558" s="93"/>
      <c r="AE558" s="85"/>
    </row>
    <row r="559" spans="6:31" x14ac:dyDescent="0.35">
      <c r="F559" s="93"/>
      <c r="G559" s="85"/>
      <c r="H559" s="87"/>
      <c r="I559" s="94"/>
      <c r="J559" s="93"/>
      <c r="K559" s="85"/>
      <c r="M559" s="94"/>
      <c r="N559" s="93"/>
      <c r="O559" s="85"/>
      <c r="Q559" s="94"/>
      <c r="R559" s="93"/>
      <c r="S559" s="85"/>
      <c r="U559" s="94"/>
      <c r="V559" s="93"/>
      <c r="W559" s="85"/>
      <c r="Y559" s="94"/>
      <c r="Z559" s="93"/>
      <c r="AA559" s="85"/>
      <c r="AC559" s="94"/>
      <c r="AD559" s="93"/>
      <c r="AE559" s="85"/>
    </row>
    <row r="560" spans="6:31" x14ac:dyDescent="0.35">
      <c r="F560" s="93"/>
      <c r="G560" s="85"/>
      <c r="H560" s="87"/>
      <c r="I560" s="94"/>
      <c r="J560" s="93"/>
      <c r="K560" s="85"/>
      <c r="M560" s="94"/>
      <c r="N560" s="93"/>
      <c r="O560" s="85"/>
      <c r="Q560" s="94"/>
      <c r="R560" s="93"/>
      <c r="S560" s="85"/>
      <c r="U560" s="94"/>
      <c r="V560" s="93"/>
      <c r="W560" s="85"/>
      <c r="Y560" s="94"/>
      <c r="Z560" s="93"/>
      <c r="AA560" s="85"/>
      <c r="AC560" s="94"/>
      <c r="AD560" s="93"/>
      <c r="AE560" s="85"/>
    </row>
    <row r="561" spans="6:31" x14ac:dyDescent="0.35">
      <c r="F561" s="93"/>
      <c r="G561" s="85"/>
      <c r="H561" s="87"/>
      <c r="I561" s="94"/>
      <c r="J561" s="93"/>
      <c r="K561" s="85"/>
      <c r="M561" s="94"/>
      <c r="N561" s="93"/>
      <c r="O561" s="85"/>
      <c r="Q561" s="94"/>
      <c r="R561" s="93"/>
      <c r="S561" s="85"/>
      <c r="U561" s="94"/>
      <c r="V561" s="93"/>
      <c r="W561" s="85"/>
      <c r="Y561" s="94"/>
      <c r="Z561" s="93"/>
      <c r="AA561" s="85"/>
      <c r="AC561" s="94"/>
      <c r="AD561" s="93"/>
      <c r="AE561" s="85"/>
    </row>
    <row r="562" spans="6:31" x14ac:dyDescent="0.35">
      <c r="F562" s="93"/>
      <c r="G562" s="85"/>
      <c r="H562" s="87"/>
      <c r="I562" s="94"/>
      <c r="J562" s="93"/>
      <c r="K562" s="85"/>
      <c r="M562" s="94"/>
      <c r="N562" s="93"/>
      <c r="O562" s="85"/>
      <c r="Q562" s="94"/>
      <c r="R562" s="93"/>
      <c r="S562" s="85"/>
      <c r="U562" s="94"/>
      <c r="V562" s="93"/>
      <c r="W562" s="85"/>
      <c r="Y562" s="94"/>
      <c r="Z562" s="93"/>
      <c r="AA562" s="85"/>
      <c r="AC562" s="94"/>
      <c r="AD562" s="93"/>
      <c r="AE562" s="85"/>
    </row>
    <row r="563" spans="6:31" x14ac:dyDescent="0.35">
      <c r="F563" s="93"/>
      <c r="G563" s="85"/>
      <c r="H563" s="87"/>
      <c r="I563" s="94"/>
      <c r="J563" s="93"/>
      <c r="K563" s="85"/>
      <c r="M563" s="94"/>
      <c r="N563" s="93"/>
      <c r="O563" s="85"/>
      <c r="Q563" s="94"/>
      <c r="R563" s="93"/>
      <c r="S563" s="85"/>
      <c r="U563" s="94"/>
      <c r="V563" s="93"/>
      <c r="W563" s="85"/>
      <c r="Y563" s="94"/>
      <c r="Z563" s="93"/>
      <c r="AA563" s="85"/>
      <c r="AC563" s="94"/>
      <c r="AD563" s="93"/>
      <c r="AE563" s="85"/>
    </row>
    <row r="564" spans="6:31" x14ac:dyDescent="0.35">
      <c r="F564" s="93"/>
      <c r="G564" s="85"/>
      <c r="H564" s="87"/>
      <c r="I564" s="94"/>
      <c r="J564" s="93"/>
      <c r="K564" s="85"/>
      <c r="M564" s="94"/>
      <c r="N564" s="93"/>
      <c r="O564" s="85"/>
      <c r="Q564" s="94"/>
      <c r="R564" s="93"/>
      <c r="S564" s="85"/>
      <c r="U564" s="94"/>
      <c r="V564" s="93"/>
      <c r="W564" s="85"/>
      <c r="Y564" s="94"/>
      <c r="Z564" s="93"/>
      <c r="AA564" s="85"/>
      <c r="AC564" s="94"/>
      <c r="AD564" s="93"/>
      <c r="AE564" s="85"/>
    </row>
    <row r="565" spans="6:31" x14ac:dyDescent="0.35">
      <c r="F565" s="93"/>
      <c r="G565" s="85"/>
      <c r="H565" s="87"/>
      <c r="I565" s="94"/>
      <c r="J565" s="93"/>
      <c r="K565" s="85"/>
      <c r="M565" s="94"/>
      <c r="N565" s="93"/>
      <c r="O565" s="85"/>
      <c r="Q565" s="94"/>
      <c r="R565" s="93"/>
      <c r="S565" s="85"/>
      <c r="U565" s="94"/>
      <c r="V565" s="93"/>
      <c r="W565" s="85"/>
      <c r="Y565" s="94"/>
      <c r="Z565" s="93"/>
      <c r="AA565" s="85"/>
      <c r="AC565" s="94"/>
      <c r="AD565" s="93"/>
      <c r="AE565" s="85"/>
    </row>
    <row r="566" spans="6:31" x14ac:dyDescent="0.35">
      <c r="F566" s="93"/>
      <c r="G566" s="85"/>
      <c r="H566" s="87"/>
      <c r="I566" s="94"/>
      <c r="J566" s="93"/>
      <c r="K566" s="85"/>
      <c r="M566" s="94"/>
      <c r="N566" s="93"/>
      <c r="O566" s="85"/>
      <c r="Q566" s="94"/>
      <c r="R566" s="93"/>
      <c r="S566" s="85"/>
      <c r="U566" s="94"/>
      <c r="V566" s="93"/>
      <c r="W566" s="85"/>
      <c r="Y566" s="94"/>
      <c r="Z566" s="93"/>
      <c r="AA566" s="85"/>
      <c r="AC566" s="94"/>
      <c r="AD566" s="93"/>
      <c r="AE566" s="85"/>
    </row>
    <row r="567" spans="6:31" x14ac:dyDescent="0.35">
      <c r="F567" s="93"/>
      <c r="G567" s="85"/>
      <c r="H567" s="87"/>
      <c r="I567" s="94"/>
      <c r="J567" s="93"/>
      <c r="K567" s="85"/>
      <c r="M567" s="94"/>
      <c r="N567" s="93"/>
      <c r="O567" s="85"/>
      <c r="Q567" s="94"/>
      <c r="R567" s="93"/>
      <c r="S567" s="85"/>
      <c r="U567" s="94"/>
      <c r="V567" s="93"/>
      <c r="W567" s="85"/>
      <c r="Y567" s="94"/>
      <c r="Z567" s="93"/>
      <c r="AA567" s="85"/>
      <c r="AC567" s="94"/>
      <c r="AD567" s="93"/>
      <c r="AE567" s="85"/>
    </row>
    <row r="568" spans="6:31" x14ac:dyDescent="0.35">
      <c r="F568" s="93"/>
      <c r="G568" s="85"/>
      <c r="H568" s="87"/>
      <c r="I568" s="94"/>
      <c r="J568" s="93"/>
      <c r="K568" s="85"/>
      <c r="M568" s="94"/>
      <c r="N568" s="93"/>
      <c r="O568" s="85"/>
      <c r="Q568" s="94"/>
      <c r="R568" s="93"/>
      <c r="S568" s="85"/>
      <c r="U568" s="94"/>
      <c r="V568" s="93"/>
      <c r="W568" s="85"/>
      <c r="Y568" s="94"/>
      <c r="Z568" s="93"/>
      <c r="AA568" s="85"/>
      <c r="AC568" s="94"/>
      <c r="AD568" s="93"/>
      <c r="AE568" s="85"/>
    </row>
    <row r="569" spans="6:31" x14ac:dyDescent="0.35">
      <c r="F569" s="93"/>
      <c r="G569" s="85"/>
      <c r="H569" s="87"/>
      <c r="I569" s="94"/>
      <c r="J569" s="93"/>
      <c r="K569" s="85"/>
      <c r="M569" s="94"/>
      <c r="N569" s="93"/>
      <c r="O569" s="85"/>
      <c r="Q569" s="94"/>
      <c r="R569" s="93"/>
      <c r="S569" s="85"/>
      <c r="U569" s="94"/>
      <c r="V569" s="93"/>
      <c r="W569" s="85"/>
      <c r="Y569" s="94"/>
      <c r="Z569" s="93"/>
      <c r="AA569" s="85"/>
      <c r="AC569" s="94"/>
      <c r="AD569" s="93"/>
      <c r="AE569" s="85"/>
    </row>
    <row r="570" spans="6:31" x14ac:dyDescent="0.35">
      <c r="F570" s="93"/>
      <c r="G570" s="85"/>
      <c r="H570" s="87"/>
      <c r="I570" s="94"/>
      <c r="J570" s="93"/>
      <c r="K570" s="85"/>
      <c r="M570" s="94"/>
      <c r="N570" s="93"/>
      <c r="O570" s="85"/>
      <c r="Q570" s="94"/>
      <c r="R570" s="93"/>
      <c r="S570" s="85"/>
      <c r="U570" s="94"/>
      <c r="V570" s="93"/>
      <c r="W570" s="85"/>
      <c r="Y570" s="94"/>
      <c r="Z570" s="93"/>
      <c r="AA570" s="85"/>
      <c r="AC570" s="94"/>
      <c r="AD570" s="93"/>
      <c r="AE570" s="85"/>
    </row>
    <row r="571" spans="6:31" x14ac:dyDescent="0.35">
      <c r="F571" s="93"/>
      <c r="G571" s="85"/>
      <c r="H571" s="87"/>
      <c r="I571" s="94"/>
      <c r="J571" s="93"/>
      <c r="K571" s="85"/>
      <c r="M571" s="94"/>
      <c r="N571" s="93"/>
      <c r="O571" s="85"/>
      <c r="Q571" s="94"/>
      <c r="R571" s="93"/>
      <c r="S571" s="85"/>
      <c r="U571" s="94"/>
      <c r="V571" s="93"/>
      <c r="W571" s="85"/>
      <c r="Y571" s="94"/>
      <c r="Z571" s="93"/>
      <c r="AA571" s="85"/>
      <c r="AC571" s="94"/>
      <c r="AD571" s="93"/>
      <c r="AE571" s="85"/>
    </row>
    <row r="572" spans="6:31" x14ac:dyDescent="0.35">
      <c r="F572" s="93"/>
      <c r="G572" s="85"/>
      <c r="H572" s="87"/>
      <c r="I572" s="94"/>
      <c r="J572" s="93"/>
      <c r="K572" s="85"/>
      <c r="M572" s="94"/>
      <c r="N572" s="93"/>
      <c r="O572" s="85"/>
      <c r="Q572" s="94"/>
      <c r="R572" s="93"/>
      <c r="S572" s="85"/>
      <c r="U572" s="94"/>
      <c r="V572" s="93"/>
      <c r="W572" s="85"/>
      <c r="Y572" s="94"/>
      <c r="Z572" s="93"/>
      <c r="AA572" s="85"/>
      <c r="AC572" s="94"/>
      <c r="AD572" s="93"/>
      <c r="AE572" s="85"/>
    </row>
    <row r="573" spans="6:31" x14ac:dyDescent="0.35">
      <c r="F573" s="93"/>
      <c r="G573" s="85"/>
      <c r="H573" s="87"/>
      <c r="I573" s="94"/>
      <c r="J573" s="93"/>
      <c r="K573" s="85"/>
      <c r="M573" s="94"/>
      <c r="N573" s="93"/>
      <c r="O573" s="85"/>
      <c r="Q573" s="94"/>
      <c r="R573" s="93"/>
      <c r="S573" s="85"/>
      <c r="U573" s="94"/>
      <c r="V573" s="93"/>
      <c r="W573" s="85"/>
      <c r="Y573" s="94"/>
      <c r="Z573" s="93"/>
      <c r="AA573" s="85"/>
      <c r="AC573" s="94"/>
      <c r="AD573" s="93"/>
      <c r="AE573" s="85"/>
    </row>
    <row r="574" spans="6:31" x14ac:dyDescent="0.35">
      <c r="F574" s="93"/>
      <c r="G574" s="85"/>
      <c r="H574" s="87"/>
      <c r="I574" s="94"/>
      <c r="J574" s="93"/>
      <c r="K574" s="85"/>
      <c r="M574" s="94"/>
      <c r="N574" s="93"/>
      <c r="O574" s="85"/>
      <c r="Q574" s="94"/>
      <c r="R574" s="93"/>
      <c r="S574" s="85"/>
      <c r="U574" s="94"/>
      <c r="V574" s="93"/>
      <c r="W574" s="85"/>
      <c r="Y574" s="94"/>
      <c r="Z574" s="93"/>
      <c r="AA574" s="85"/>
      <c r="AC574" s="94"/>
      <c r="AD574" s="93"/>
      <c r="AE574" s="85"/>
    </row>
    <row r="575" spans="6:31" x14ac:dyDescent="0.35">
      <c r="F575" s="93"/>
      <c r="G575" s="85"/>
      <c r="H575" s="87"/>
      <c r="I575" s="94"/>
      <c r="J575" s="93"/>
      <c r="K575" s="85"/>
      <c r="M575" s="94"/>
      <c r="N575" s="93"/>
      <c r="O575" s="85"/>
      <c r="Q575" s="94"/>
      <c r="R575" s="93"/>
      <c r="S575" s="85"/>
      <c r="U575" s="94"/>
      <c r="V575" s="93"/>
      <c r="W575" s="85"/>
      <c r="Y575" s="94"/>
      <c r="Z575" s="93"/>
      <c r="AA575" s="85"/>
      <c r="AC575" s="94"/>
      <c r="AD575" s="93"/>
      <c r="AE575" s="85"/>
    </row>
    <row r="576" spans="6:31" x14ac:dyDescent="0.35">
      <c r="F576" s="93"/>
      <c r="G576" s="85"/>
      <c r="H576" s="87"/>
      <c r="I576" s="94"/>
      <c r="J576" s="93"/>
      <c r="K576" s="85"/>
      <c r="M576" s="94"/>
      <c r="N576" s="93"/>
      <c r="O576" s="85"/>
      <c r="Q576" s="94"/>
      <c r="R576" s="93"/>
      <c r="S576" s="85"/>
      <c r="U576" s="94"/>
      <c r="V576" s="93"/>
      <c r="W576" s="85"/>
      <c r="Y576" s="94"/>
      <c r="Z576" s="93"/>
      <c r="AA576" s="85"/>
      <c r="AC576" s="94"/>
      <c r="AD576" s="93"/>
      <c r="AE576" s="85"/>
    </row>
    <row r="577" spans="6:31" x14ac:dyDescent="0.35">
      <c r="F577" s="93"/>
      <c r="G577" s="85"/>
      <c r="H577" s="87"/>
      <c r="I577" s="94"/>
      <c r="J577" s="93"/>
      <c r="K577" s="85"/>
      <c r="M577" s="94"/>
      <c r="N577" s="93"/>
      <c r="O577" s="85"/>
      <c r="Q577" s="94"/>
      <c r="R577" s="93"/>
      <c r="S577" s="85"/>
      <c r="U577" s="94"/>
      <c r="V577" s="93"/>
      <c r="W577" s="85"/>
      <c r="Y577" s="94"/>
      <c r="Z577" s="93"/>
      <c r="AA577" s="85"/>
      <c r="AC577" s="94"/>
      <c r="AD577" s="93"/>
      <c r="AE577" s="85"/>
    </row>
    <row r="578" spans="6:31" x14ac:dyDescent="0.35">
      <c r="F578" s="93"/>
      <c r="G578" s="85"/>
      <c r="H578" s="87"/>
      <c r="I578" s="94"/>
      <c r="J578" s="93"/>
      <c r="K578" s="85"/>
      <c r="M578" s="94"/>
      <c r="N578" s="93"/>
      <c r="O578" s="85"/>
      <c r="Q578" s="94"/>
      <c r="R578" s="93"/>
      <c r="S578" s="85"/>
      <c r="U578" s="94"/>
      <c r="V578" s="93"/>
      <c r="W578" s="85"/>
      <c r="Y578" s="94"/>
      <c r="Z578" s="93"/>
      <c r="AA578" s="85"/>
      <c r="AC578" s="94"/>
      <c r="AD578" s="93"/>
      <c r="AE578" s="85"/>
    </row>
    <row r="579" spans="6:31" x14ac:dyDescent="0.35">
      <c r="F579" s="93"/>
      <c r="G579" s="85"/>
      <c r="H579" s="87"/>
      <c r="I579" s="94"/>
      <c r="J579" s="93"/>
      <c r="K579" s="85"/>
      <c r="M579" s="94"/>
      <c r="N579" s="93"/>
      <c r="O579" s="85"/>
      <c r="Q579" s="94"/>
      <c r="R579" s="93"/>
      <c r="S579" s="85"/>
      <c r="U579" s="94"/>
      <c r="V579" s="93"/>
      <c r="W579" s="85"/>
      <c r="Y579" s="94"/>
      <c r="Z579" s="93"/>
      <c r="AA579" s="85"/>
      <c r="AC579" s="94"/>
      <c r="AD579" s="93"/>
      <c r="AE579" s="85"/>
    </row>
    <row r="580" spans="6:31" x14ac:dyDescent="0.35">
      <c r="F580" s="93"/>
      <c r="G580" s="85"/>
      <c r="H580" s="87"/>
      <c r="I580" s="94"/>
      <c r="J580" s="93"/>
      <c r="K580" s="85"/>
      <c r="M580" s="94"/>
      <c r="N580" s="93"/>
      <c r="O580" s="85"/>
      <c r="Q580" s="94"/>
      <c r="R580" s="93"/>
      <c r="S580" s="85"/>
      <c r="U580" s="94"/>
      <c r="V580" s="93"/>
      <c r="W580" s="85"/>
      <c r="Y580" s="94"/>
      <c r="Z580" s="93"/>
      <c r="AA580" s="85"/>
      <c r="AC580" s="94"/>
      <c r="AD580" s="93"/>
      <c r="AE580" s="85"/>
    </row>
    <row r="581" spans="6:31" x14ac:dyDescent="0.35">
      <c r="F581" s="93"/>
      <c r="G581" s="85"/>
      <c r="H581" s="87"/>
      <c r="I581" s="94"/>
      <c r="J581" s="93"/>
      <c r="K581" s="85"/>
      <c r="M581" s="94"/>
      <c r="N581" s="93"/>
      <c r="O581" s="85"/>
      <c r="Q581" s="94"/>
      <c r="R581" s="93"/>
      <c r="S581" s="85"/>
      <c r="U581" s="94"/>
      <c r="V581" s="93"/>
      <c r="W581" s="85"/>
      <c r="Y581" s="94"/>
      <c r="Z581" s="93"/>
      <c r="AA581" s="85"/>
      <c r="AC581" s="94"/>
      <c r="AD581" s="93"/>
      <c r="AE581" s="85"/>
    </row>
    <row r="582" spans="6:31" x14ac:dyDescent="0.35">
      <c r="F582" s="93"/>
      <c r="G582" s="85"/>
      <c r="H582" s="87"/>
      <c r="I582" s="94"/>
      <c r="J582" s="93"/>
      <c r="K582" s="85"/>
      <c r="M582" s="94"/>
      <c r="N582" s="93"/>
      <c r="O582" s="85"/>
      <c r="Q582" s="94"/>
      <c r="R582" s="93"/>
      <c r="S582" s="85"/>
      <c r="U582" s="94"/>
      <c r="V582" s="93"/>
      <c r="W582" s="85"/>
      <c r="Y582" s="94"/>
      <c r="Z582" s="93"/>
      <c r="AA582" s="85"/>
      <c r="AC582" s="94"/>
      <c r="AD582" s="93"/>
      <c r="AE582" s="85"/>
    </row>
    <row r="583" spans="6:31" x14ac:dyDescent="0.35">
      <c r="F583" s="93"/>
      <c r="G583" s="85"/>
      <c r="H583" s="87"/>
      <c r="I583" s="94"/>
      <c r="J583" s="93"/>
      <c r="K583" s="85"/>
      <c r="M583" s="94"/>
      <c r="N583" s="93"/>
      <c r="O583" s="85"/>
      <c r="Q583" s="94"/>
      <c r="R583" s="93"/>
      <c r="S583" s="85"/>
      <c r="U583" s="94"/>
      <c r="V583" s="93"/>
      <c r="W583" s="85"/>
      <c r="Y583" s="94"/>
      <c r="Z583" s="93"/>
      <c r="AA583" s="85"/>
      <c r="AC583" s="94"/>
      <c r="AD583" s="93"/>
      <c r="AE583" s="85"/>
    </row>
    <row r="584" spans="6:31" x14ac:dyDescent="0.35">
      <c r="F584" s="93"/>
      <c r="G584" s="85"/>
      <c r="H584" s="87"/>
      <c r="I584" s="94"/>
      <c r="J584" s="93"/>
      <c r="K584" s="85"/>
      <c r="M584" s="94"/>
      <c r="N584" s="93"/>
      <c r="O584" s="85"/>
      <c r="Q584" s="94"/>
      <c r="R584" s="93"/>
      <c r="S584" s="85"/>
      <c r="U584" s="94"/>
      <c r="V584" s="93"/>
      <c r="W584" s="85"/>
      <c r="Y584" s="94"/>
      <c r="Z584" s="93"/>
      <c r="AA584" s="85"/>
      <c r="AC584" s="94"/>
      <c r="AD584" s="93"/>
      <c r="AE584" s="85"/>
    </row>
    <row r="585" spans="6:31" x14ac:dyDescent="0.35">
      <c r="F585" s="93"/>
      <c r="G585" s="85"/>
      <c r="H585" s="87"/>
      <c r="I585" s="94"/>
      <c r="J585" s="93"/>
      <c r="K585" s="85"/>
      <c r="M585" s="94"/>
      <c r="N585" s="93"/>
      <c r="O585" s="85"/>
      <c r="Q585" s="94"/>
      <c r="R585" s="93"/>
      <c r="S585" s="85"/>
      <c r="U585" s="94"/>
      <c r="V585" s="93"/>
      <c r="W585" s="85"/>
      <c r="Y585" s="94"/>
      <c r="Z585" s="93"/>
      <c r="AA585" s="85"/>
      <c r="AC585" s="94"/>
      <c r="AD585" s="93"/>
      <c r="AE585" s="85"/>
    </row>
    <row r="586" spans="6:31" x14ac:dyDescent="0.35">
      <c r="F586" s="93"/>
      <c r="G586" s="85"/>
      <c r="H586" s="87"/>
      <c r="I586" s="94"/>
      <c r="J586" s="93"/>
      <c r="K586" s="85"/>
      <c r="M586" s="94"/>
      <c r="N586" s="93"/>
      <c r="O586" s="85"/>
      <c r="Q586" s="94"/>
      <c r="R586" s="93"/>
      <c r="S586" s="85"/>
      <c r="U586" s="94"/>
      <c r="V586" s="93"/>
      <c r="W586" s="85"/>
      <c r="Y586" s="94"/>
      <c r="Z586" s="93"/>
      <c r="AA586" s="85"/>
      <c r="AC586" s="94"/>
      <c r="AD586" s="93"/>
      <c r="AE586" s="85"/>
    </row>
    <row r="587" spans="6:31" x14ac:dyDescent="0.35">
      <c r="F587" s="93"/>
      <c r="G587" s="85"/>
      <c r="H587" s="87"/>
      <c r="I587" s="94"/>
      <c r="J587" s="93"/>
      <c r="K587" s="85"/>
      <c r="M587" s="94"/>
      <c r="N587" s="93"/>
      <c r="O587" s="85"/>
      <c r="Q587" s="94"/>
      <c r="R587" s="93"/>
      <c r="S587" s="85"/>
      <c r="U587" s="94"/>
      <c r="V587" s="93"/>
      <c r="W587" s="85"/>
      <c r="Y587" s="94"/>
      <c r="Z587" s="93"/>
      <c r="AA587" s="85"/>
      <c r="AC587" s="94"/>
      <c r="AD587" s="93"/>
      <c r="AE587" s="85"/>
    </row>
    <row r="588" spans="6:31" x14ac:dyDescent="0.35">
      <c r="F588" s="93"/>
      <c r="G588" s="85"/>
      <c r="H588" s="87"/>
      <c r="I588" s="94"/>
      <c r="J588" s="93"/>
      <c r="K588" s="85"/>
      <c r="M588" s="94"/>
      <c r="N588" s="93"/>
      <c r="O588" s="85"/>
      <c r="Q588" s="94"/>
      <c r="R588" s="93"/>
      <c r="S588" s="85"/>
      <c r="U588" s="94"/>
      <c r="V588" s="93"/>
      <c r="W588" s="85"/>
      <c r="Y588" s="94"/>
      <c r="Z588" s="93"/>
      <c r="AA588" s="85"/>
      <c r="AC588" s="94"/>
      <c r="AD588" s="93"/>
      <c r="AE588" s="85"/>
    </row>
    <row r="589" spans="6:31" x14ac:dyDescent="0.35">
      <c r="F589" s="93"/>
      <c r="G589" s="85"/>
      <c r="H589" s="87"/>
      <c r="I589" s="94"/>
      <c r="J589" s="93"/>
      <c r="K589" s="85"/>
      <c r="M589" s="94"/>
      <c r="N589" s="93"/>
      <c r="O589" s="85"/>
      <c r="Q589" s="94"/>
      <c r="R589" s="93"/>
      <c r="S589" s="85"/>
      <c r="U589" s="94"/>
      <c r="V589" s="93"/>
      <c r="W589" s="85"/>
      <c r="Y589" s="94"/>
      <c r="Z589" s="93"/>
      <c r="AA589" s="85"/>
      <c r="AC589" s="94"/>
      <c r="AD589" s="93"/>
      <c r="AE589" s="85"/>
    </row>
    <row r="590" spans="6:31" x14ac:dyDescent="0.35">
      <c r="F590" s="93"/>
      <c r="G590" s="85"/>
      <c r="H590" s="87"/>
      <c r="I590" s="94"/>
      <c r="J590" s="93"/>
      <c r="K590" s="85"/>
      <c r="M590" s="94"/>
      <c r="N590" s="93"/>
      <c r="O590" s="85"/>
      <c r="Q590" s="94"/>
      <c r="R590" s="93"/>
      <c r="S590" s="85"/>
      <c r="U590" s="94"/>
      <c r="V590" s="93"/>
      <c r="W590" s="85"/>
      <c r="Y590" s="94"/>
      <c r="Z590" s="93"/>
      <c r="AA590" s="85"/>
      <c r="AC590" s="94"/>
      <c r="AD590" s="93"/>
      <c r="AE590" s="85"/>
    </row>
    <row r="591" spans="6:31" x14ac:dyDescent="0.35">
      <c r="F591" s="93"/>
      <c r="G591" s="85"/>
      <c r="H591" s="87"/>
      <c r="I591" s="94"/>
      <c r="J591" s="93"/>
      <c r="K591" s="85"/>
      <c r="M591" s="94"/>
      <c r="N591" s="93"/>
      <c r="O591" s="85"/>
      <c r="Q591" s="94"/>
      <c r="R591" s="93"/>
      <c r="S591" s="85"/>
      <c r="U591" s="94"/>
      <c r="V591" s="93"/>
      <c r="W591" s="85"/>
      <c r="Y591" s="94"/>
      <c r="Z591" s="93"/>
      <c r="AA591" s="85"/>
      <c r="AC591" s="94"/>
      <c r="AD591" s="93"/>
      <c r="AE591" s="85"/>
    </row>
    <row r="592" spans="6:31" x14ac:dyDescent="0.35">
      <c r="F592" s="93"/>
      <c r="G592" s="85"/>
      <c r="H592" s="87"/>
      <c r="I592" s="94"/>
      <c r="J592" s="93"/>
      <c r="K592" s="85"/>
      <c r="M592" s="94"/>
      <c r="N592" s="93"/>
      <c r="O592" s="85"/>
      <c r="Q592" s="94"/>
      <c r="R592" s="93"/>
      <c r="S592" s="85"/>
      <c r="U592" s="94"/>
      <c r="V592" s="93"/>
      <c r="W592" s="85"/>
      <c r="Y592" s="94"/>
      <c r="Z592" s="93"/>
      <c r="AA592" s="85"/>
      <c r="AC592" s="94"/>
      <c r="AD592" s="93"/>
      <c r="AE592" s="85"/>
    </row>
    <row r="593" spans="6:31" x14ac:dyDescent="0.35">
      <c r="F593" s="93"/>
      <c r="G593" s="85"/>
      <c r="H593" s="87"/>
      <c r="I593" s="94"/>
      <c r="J593" s="93"/>
      <c r="K593" s="85"/>
      <c r="M593" s="94"/>
      <c r="N593" s="93"/>
      <c r="O593" s="85"/>
      <c r="Q593" s="94"/>
      <c r="R593" s="93"/>
      <c r="S593" s="85"/>
      <c r="U593" s="94"/>
      <c r="V593" s="93"/>
      <c r="W593" s="85"/>
      <c r="Y593" s="94"/>
      <c r="Z593" s="93"/>
      <c r="AA593" s="85"/>
      <c r="AC593" s="94"/>
      <c r="AD593" s="93"/>
      <c r="AE593" s="85"/>
    </row>
    <row r="594" spans="6:31" x14ac:dyDescent="0.35">
      <c r="F594" s="93"/>
      <c r="G594" s="85"/>
      <c r="H594" s="87"/>
      <c r="I594" s="94"/>
      <c r="J594" s="93"/>
      <c r="K594" s="85"/>
      <c r="M594" s="94"/>
      <c r="N594" s="93"/>
      <c r="O594" s="85"/>
      <c r="Q594" s="94"/>
      <c r="R594" s="93"/>
      <c r="S594" s="85"/>
      <c r="U594" s="94"/>
      <c r="V594" s="93"/>
      <c r="W594" s="85"/>
      <c r="Y594" s="94"/>
      <c r="Z594" s="93"/>
      <c r="AA594" s="85"/>
      <c r="AC594" s="94"/>
      <c r="AD594" s="93"/>
      <c r="AE594" s="85"/>
    </row>
    <row r="595" spans="6:31" x14ac:dyDescent="0.35">
      <c r="F595" s="93"/>
      <c r="G595" s="85"/>
      <c r="H595" s="87"/>
      <c r="I595" s="94"/>
      <c r="J595" s="93"/>
      <c r="K595" s="85"/>
      <c r="M595" s="94"/>
      <c r="N595" s="93"/>
      <c r="O595" s="85"/>
      <c r="Q595" s="94"/>
      <c r="R595" s="93"/>
      <c r="S595" s="85"/>
      <c r="U595" s="94"/>
      <c r="V595" s="93"/>
      <c r="W595" s="85"/>
      <c r="Y595" s="94"/>
      <c r="Z595" s="93"/>
      <c r="AA595" s="85"/>
      <c r="AC595" s="94"/>
      <c r="AD595" s="93"/>
      <c r="AE595" s="85"/>
    </row>
    <row r="596" spans="6:31" x14ac:dyDescent="0.35">
      <c r="F596" s="93"/>
      <c r="G596" s="85"/>
      <c r="H596" s="87"/>
      <c r="I596" s="94"/>
      <c r="J596" s="93"/>
      <c r="K596" s="85"/>
      <c r="M596" s="94"/>
      <c r="N596" s="93"/>
      <c r="O596" s="85"/>
      <c r="Q596" s="94"/>
      <c r="R596" s="93"/>
      <c r="S596" s="85"/>
      <c r="U596" s="94"/>
      <c r="V596" s="93"/>
      <c r="W596" s="85"/>
      <c r="Y596" s="94"/>
      <c r="Z596" s="93"/>
      <c r="AA596" s="85"/>
      <c r="AC596" s="94"/>
      <c r="AD596" s="93"/>
      <c r="AE596" s="85"/>
    </row>
    <row r="597" spans="6:31" x14ac:dyDescent="0.35">
      <c r="F597" s="93"/>
      <c r="G597" s="85"/>
      <c r="H597" s="87"/>
      <c r="I597" s="94"/>
      <c r="J597" s="93"/>
      <c r="K597" s="85"/>
      <c r="M597" s="94"/>
      <c r="N597" s="93"/>
      <c r="O597" s="85"/>
      <c r="Q597" s="94"/>
      <c r="R597" s="93"/>
      <c r="S597" s="85"/>
      <c r="U597" s="94"/>
      <c r="V597" s="93"/>
      <c r="W597" s="85"/>
      <c r="Y597" s="94"/>
      <c r="Z597" s="93"/>
      <c r="AA597" s="85"/>
      <c r="AC597" s="94"/>
      <c r="AD597" s="93"/>
      <c r="AE597" s="85"/>
    </row>
    <row r="598" spans="6:31" x14ac:dyDescent="0.35">
      <c r="F598" s="93"/>
      <c r="G598" s="85"/>
      <c r="H598" s="87"/>
      <c r="I598" s="94"/>
      <c r="J598" s="93"/>
      <c r="K598" s="85"/>
      <c r="M598" s="94"/>
      <c r="N598" s="93"/>
      <c r="O598" s="85"/>
      <c r="Q598" s="94"/>
      <c r="R598" s="93"/>
      <c r="S598" s="85"/>
      <c r="U598" s="94"/>
      <c r="V598" s="93"/>
      <c r="W598" s="85"/>
      <c r="Y598" s="94"/>
      <c r="Z598" s="93"/>
      <c r="AA598" s="85"/>
      <c r="AC598" s="94"/>
      <c r="AD598" s="93"/>
      <c r="AE598" s="85"/>
    </row>
    <row r="599" spans="6:31" x14ac:dyDescent="0.35">
      <c r="F599" s="93"/>
      <c r="G599" s="85"/>
      <c r="H599" s="87"/>
      <c r="I599" s="94"/>
      <c r="J599" s="93"/>
      <c r="K599" s="85"/>
      <c r="M599" s="94"/>
      <c r="N599" s="93"/>
      <c r="O599" s="85"/>
      <c r="Q599" s="94"/>
      <c r="R599" s="93"/>
      <c r="S599" s="85"/>
      <c r="U599" s="94"/>
      <c r="V599" s="93"/>
      <c r="W599" s="85"/>
      <c r="Y599" s="94"/>
      <c r="Z599" s="93"/>
      <c r="AA599" s="85"/>
      <c r="AC599" s="94"/>
      <c r="AD599" s="93"/>
      <c r="AE599" s="85"/>
    </row>
    <row r="600" spans="6:31" x14ac:dyDescent="0.35">
      <c r="F600" s="93"/>
      <c r="G600" s="85"/>
      <c r="H600" s="87"/>
      <c r="I600" s="94"/>
      <c r="J600" s="93"/>
      <c r="K600" s="85"/>
      <c r="M600" s="94"/>
      <c r="N600" s="93"/>
      <c r="O600" s="85"/>
      <c r="Q600" s="94"/>
      <c r="R600" s="93"/>
      <c r="S600" s="85"/>
      <c r="U600" s="94"/>
      <c r="V600" s="93"/>
      <c r="W600" s="85"/>
      <c r="Y600" s="94"/>
      <c r="Z600" s="93"/>
      <c r="AA600" s="85"/>
      <c r="AC600" s="94"/>
      <c r="AD600" s="93"/>
      <c r="AE600" s="85"/>
    </row>
    <row r="601" spans="6:31" x14ac:dyDescent="0.35">
      <c r="F601" s="93"/>
      <c r="G601" s="85"/>
      <c r="H601" s="87"/>
      <c r="I601" s="94"/>
      <c r="J601" s="93"/>
      <c r="K601" s="85"/>
      <c r="M601" s="94"/>
      <c r="N601" s="93"/>
      <c r="O601" s="85"/>
      <c r="Q601" s="94"/>
      <c r="R601" s="93"/>
      <c r="S601" s="85"/>
      <c r="U601" s="94"/>
      <c r="V601" s="93"/>
      <c r="W601" s="85"/>
      <c r="Y601" s="94"/>
      <c r="Z601" s="93"/>
      <c r="AA601" s="85"/>
      <c r="AC601" s="94"/>
      <c r="AD601" s="93"/>
      <c r="AE601" s="85"/>
    </row>
    <row r="602" spans="6:31" x14ac:dyDescent="0.35">
      <c r="F602" s="93"/>
      <c r="G602" s="85"/>
      <c r="H602" s="87"/>
      <c r="I602" s="94"/>
      <c r="J602" s="93"/>
      <c r="K602" s="85"/>
      <c r="M602" s="94"/>
      <c r="N602" s="93"/>
      <c r="O602" s="85"/>
      <c r="Q602" s="94"/>
      <c r="R602" s="93"/>
      <c r="S602" s="85"/>
      <c r="U602" s="94"/>
      <c r="V602" s="93"/>
      <c r="W602" s="85"/>
      <c r="Y602" s="94"/>
      <c r="Z602" s="93"/>
      <c r="AA602" s="85"/>
      <c r="AC602" s="94"/>
      <c r="AD602" s="93"/>
      <c r="AE602" s="85"/>
    </row>
    <row r="603" spans="6:31" x14ac:dyDescent="0.35">
      <c r="F603" s="93"/>
      <c r="G603" s="85"/>
      <c r="H603" s="87"/>
      <c r="I603" s="94"/>
      <c r="J603" s="93"/>
      <c r="K603" s="85"/>
      <c r="M603" s="94"/>
      <c r="N603" s="93"/>
      <c r="O603" s="85"/>
      <c r="Q603" s="94"/>
      <c r="R603" s="93"/>
      <c r="S603" s="85"/>
      <c r="U603" s="94"/>
      <c r="V603" s="93"/>
      <c r="W603" s="85"/>
      <c r="Y603" s="94"/>
      <c r="Z603" s="93"/>
      <c r="AA603" s="85"/>
      <c r="AC603" s="94"/>
      <c r="AD603" s="93"/>
      <c r="AE603" s="85"/>
    </row>
    <row r="604" spans="6:31" x14ac:dyDescent="0.35">
      <c r="F604" s="93"/>
      <c r="G604" s="85"/>
      <c r="H604" s="87"/>
      <c r="I604" s="94"/>
      <c r="J604" s="93"/>
      <c r="K604" s="85"/>
      <c r="M604" s="94"/>
      <c r="N604" s="93"/>
      <c r="O604" s="85"/>
      <c r="Q604" s="94"/>
      <c r="R604" s="93"/>
      <c r="S604" s="85"/>
      <c r="U604" s="94"/>
      <c r="V604" s="93"/>
      <c r="W604" s="85"/>
      <c r="Y604" s="94"/>
      <c r="Z604" s="93"/>
      <c r="AA604" s="85"/>
      <c r="AC604" s="94"/>
      <c r="AD604" s="93"/>
      <c r="AE604" s="85"/>
    </row>
    <row r="605" spans="6:31" x14ac:dyDescent="0.35">
      <c r="F605" s="93"/>
      <c r="G605" s="85"/>
      <c r="H605" s="87"/>
      <c r="I605" s="94"/>
      <c r="J605" s="93"/>
      <c r="K605" s="85"/>
      <c r="M605" s="94"/>
      <c r="N605" s="93"/>
      <c r="O605" s="85"/>
      <c r="Q605" s="94"/>
      <c r="R605" s="93"/>
      <c r="S605" s="85"/>
      <c r="U605" s="94"/>
      <c r="V605" s="93"/>
      <c r="W605" s="85"/>
      <c r="Y605" s="94"/>
      <c r="Z605" s="93"/>
      <c r="AA605" s="85"/>
      <c r="AC605" s="94"/>
      <c r="AD605" s="93"/>
      <c r="AE605" s="85"/>
    </row>
    <row r="606" spans="6:31" x14ac:dyDescent="0.35">
      <c r="F606" s="93"/>
      <c r="G606" s="85"/>
      <c r="H606" s="87"/>
      <c r="I606" s="94"/>
      <c r="J606" s="93"/>
      <c r="K606" s="85"/>
      <c r="M606" s="94"/>
      <c r="N606" s="93"/>
      <c r="O606" s="85"/>
      <c r="Q606" s="94"/>
      <c r="R606" s="93"/>
      <c r="S606" s="85"/>
      <c r="U606" s="94"/>
      <c r="V606" s="93"/>
      <c r="W606" s="85"/>
      <c r="Y606" s="94"/>
      <c r="Z606" s="93"/>
      <c r="AA606" s="85"/>
      <c r="AC606" s="94"/>
      <c r="AD606" s="93"/>
      <c r="AE606" s="85"/>
    </row>
    <row r="607" spans="6:31" x14ac:dyDescent="0.35">
      <c r="F607" s="93"/>
      <c r="G607" s="85"/>
      <c r="H607" s="87"/>
      <c r="I607" s="94"/>
      <c r="J607" s="93"/>
      <c r="K607" s="85"/>
      <c r="M607" s="94"/>
      <c r="N607" s="93"/>
      <c r="O607" s="85"/>
      <c r="Q607" s="94"/>
      <c r="R607" s="93"/>
      <c r="S607" s="85"/>
      <c r="U607" s="94"/>
      <c r="V607" s="93"/>
      <c r="W607" s="85"/>
      <c r="Y607" s="94"/>
      <c r="Z607" s="93"/>
      <c r="AA607" s="85"/>
      <c r="AC607" s="94"/>
      <c r="AD607" s="93"/>
      <c r="AE607" s="85"/>
    </row>
    <row r="608" spans="6:31" x14ac:dyDescent="0.35">
      <c r="F608" s="93"/>
      <c r="G608" s="85"/>
      <c r="H608" s="87"/>
      <c r="I608" s="94"/>
      <c r="J608" s="93"/>
      <c r="K608" s="85"/>
      <c r="M608" s="94"/>
      <c r="N608" s="93"/>
      <c r="O608" s="85"/>
      <c r="Q608" s="94"/>
      <c r="R608" s="93"/>
      <c r="S608" s="85"/>
      <c r="U608" s="94"/>
      <c r="V608" s="93"/>
      <c r="W608" s="85"/>
      <c r="Y608" s="94"/>
      <c r="Z608" s="93"/>
      <c r="AA608" s="85"/>
      <c r="AC608" s="94"/>
      <c r="AD608" s="93"/>
      <c r="AE608" s="85"/>
    </row>
    <row r="609" spans="6:31" x14ac:dyDescent="0.35">
      <c r="F609" s="93"/>
      <c r="G609" s="85"/>
      <c r="H609" s="87"/>
      <c r="I609" s="94"/>
      <c r="J609" s="93"/>
      <c r="K609" s="85"/>
      <c r="M609" s="94"/>
      <c r="N609" s="93"/>
      <c r="O609" s="85"/>
      <c r="Q609" s="94"/>
      <c r="R609" s="93"/>
      <c r="S609" s="85"/>
      <c r="U609" s="94"/>
      <c r="V609" s="93"/>
      <c r="W609" s="85"/>
      <c r="Y609" s="94"/>
      <c r="Z609" s="93"/>
      <c r="AA609" s="85"/>
      <c r="AC609" s="94"/>
      <c r="AD609" s="93"/>
      <c r="AE609" s="85"/>
    </row>
    <row r="610" spans="6:31" x14ac:dyDescent="0.35">
      <c r="F610" s="93"/>
      <c r="G610" s="85"/>
      <c r="H610" s="87"/>
      <c r="I610" s="94"/>
      <c r="J610" s="93"/>
      <c r="K610" s="85"/>
      <c r="M610" s="94"/>
      <c r="N610" s="93"/>
      <c r="O610" s="85"/>
      <c r="Q610" s="94"/>
      <c r="R610" s="93"/>
      <c r="S610" s="85"/>
      <c r="U610" s="94"/>
      <c r="V610" s="93"/>
      <c r="W610" s="85"/>
      <c r="Y610" s="94"/>
      <c r="Z610" s="93"/>
      <c r="AA610" s="85"/>
      <c r="AC610" s="94"/>
      <c r="AD610" s="93"/>
      <c r="AE610" s="85"/>
    </row>
    <row r="611" spans="6:31" x14ac:dyDescent="0.35">
      <c r="F611" s="93"/>
      <c r="G611" s="85"/>
      <c r="H611" s="87"/>
      <c r="I611" s="94"/>
      <c r="J611" s="93"/>
      <c r="K611" s="85"/>
      <c r="M611" s="94"/>
      <c r="N611" s="93"/>
      <c r="O611" s="85"/>
      <c r="Q611" s="94"/>
      <c r="R611" s="93"/>
      <c r="S611" s="85"/>
      <c r="U611" s="94"/>
      <c r="V611" s="93"/>
      <c r="W611" s="85"/>
      <c r="Y611" s="94"/>
      <c r="Z611" s="93"/>
      <c r="AA611" s="85"/>
      <c r="AC611" s="94"/>
      <c r="AD611" s="93"/>
      <c r="AE611" s="85"/>
    </row>
    <row r="612" spans="6:31" x14ac:dyDescent="0.35">
      <c r="F612" s="93"/>
      <c r="G612" s="85"/>
      <c r="H612" s="87"/>
      <c r="I612" s="94"/>
      <c r="J612" s="93"/>
      <c r="K612" s="85"/>
      <c r="M612" s="94"/>
      <c r="N612" s="93"/>
      <c r="O612" s="85"/>
      <c r="Q612" s="94"/>
      <c r="R612" s="93"/>
      <c r="S612" s="85"/>
      <c r="U612" s="94"/>
      <c r="V612" s="93"/>
      <c r="W612" s="85"/>
      <c r="Y612" s="94"/>
      <c r="Z612" s="93"/>
      <c r="AA612" s="85"/>
      <c r="AC612" s="94"/>
      <c r="AD612" s="93"/>
      <c r="AE612" s="85"/>
    </row>
    <row r="613" spans="6:31" x14ac:dyDescent="0.35">
      <c r="F613" s="93"/>
      <c r="G613" s="85"/>
      <c r="H613" s="87"/>
      <c r="I613" s="94"/>
      <c r="J613" s="93"/>
      <c r="K613" s="85"/>
      <c r="M613" s="94"/>
      <c r="N613" s="93"/>
      <c r="O613" s="85"/>
      <c r="Q613" s="94"/>
      <c r="R613" s="93"/>
      <c r="S613" s="85"/>
      <c r="U613" s="94"/>
      <c r="V613" s="93"/>
      <c r="W613" s="85"/>
      <c r="Y613" s="94"/>
      <c r="Z613" s="93"/>
      <c r="AA613" s="85"/>
      <c r="AC613" s="94"/>
      <c r="AD613" s="93"/>
      <c r="AE613" s="85"/>
    </row>
    <row r="614" spans="6:31" x14ac:dyDescent="0.35">
      <c r="F614" s="93"/>
      <c r="G614" s="85"/>
      <c r="H614" s="87"/>
      <c r="I614" s="94"/>
      <c r="J614" s="93"/>
      <c r="K614" s="85"/>
      <c r="M614" s="94"/>
      <c r="N614" s="93"/>
      <c r="O614" s="85"/>
      <c r="Q614" s="94"/>
      <c r="R614" s="93"/>
      <c r="S614" s="85"/>
      <c r="U614" s="94"/>
      <c r="V614" s="93"/>
      <c r="W614" s="85"/>
      <c r="Y614" s="94"/>
      <c r="Z614" s="93"/>
      <c r="AA614" s="85"/>
      <c r="AC614" s="94"/>
      <c r="AD614" s="93"/>
      <c r="AE614" s="85"/>
    </row>
    <row r="615" spans="6:31" x14ac:dyDescent="0.35">
      <c r="F615" s="93"/>
      <c r="G615" s="85"/>
      <c r="H615" s="87"/>
      <c r="I615" s="94"/>
      <c r="J615" s="93"/>
      <c r="K615" s="85"/>
      <c r="M615" s="94"/>
      <c r="N615" s="93"/>
      <c r="O615" s="85"/>
      <c r="Q615" s="94"/>
      <c r="R615" s="93"/>
      <c r="S615" s="85"/>
      <c r="U615" s="94"/>
      <c r="V615" s="93"/>
      <c r="W615" s="85"/>
      <c r="Y615" s="94"/>
      <c r="Z615" s="93"/>
      <c r="AA615" s="85"/>
      <c r="AC615" s="94"/>
      <c r="AD615" s="93"/>
      <c r="AE615" s="85"/>
    </row>
    <row r="616" spans="6:31" x14ac:dyDescent="0.35">
      <c r="F616" s="93"/>
      <c r="G616" s="85"/>
      <c r="H616" s="87"/>
      <c r="I616" s="94"/>
      <c r="J616" s="93"/>
      <c r="K616" s="85"/>
      <c r="M616" s="94"/>
      <c r="N616" s="93"/>
      <c r="O616" s="85"/>
      <c r="Q616" s="94"/>
      <c r="R616" s="93"/>
      <c r="S616" s="85"/>
      <c r="U616" s="94"/>
      <c r="V616" s="93"/>
      <c r="W616" s="85"/>
      <c r="Y616" s="94"/>
      <c r="Z616" s="93"/>
      <c r="AA616" s="85"/>
      <c r="AC616" s="94"/>
      <c r="AD616" s="93"/>
      <c r="AE616" s="85"/>
    </row>
    <row r="617" spans="6:31" x14ac:dyDescent="0.35">
      <c r="F617" s="93"/>
      <c r="G617" s="85"/>
      <c r="H617" s="87"/>
      <c r="I617" s="94"/>
      <c r="J617" s="93"/>
      <c r="K617" s="85"/>
      <c r="M617" s="94"/>
      <c r="N617" s="93"/>
      <c r="O617" s="85"/>
      <c r="Q617" s="94"/>
      <c r="R617" s="93"/>
      <c r="S617" s="85"/>
      <c r="U617" s="94"/>
      <c r="V617" s="93"/>
      <c r="W617" s="85"/>
      <c r="Y617" s="94"/>
      <c r="Z617" s="93"/>
      <c r="AA617" s="85"/>
      <c r="AC617" s="94"/>
      <c r="AD617" s="93"/>
      <c r="AE617" s="85"/>
    </row>
    <row r="618" spans="6:31" x14ac:dyDescent="0.35">
      <c r="F618" s="93"/>
      <c r="G618" s="85"/>
      <c r="H618" s="87"/>
      <c r="I618" s="94"/>
      <c r="J618" s="93"/>
      <c r="K618" s="85"/>
      <c r="M618" s="94"/>
      <c r="N618" s="93"/>
      <c r="O618" s="85"/>
      <c r="Q618" s="94"/>
      <c r="R618" s="93"/>
      <c r="S618" s="85"/>
      <c r="U618" s="94"/>
      <c r="V618" s="93"/>
      <c r="W618" s="85"/>
      <c r="Y618" s="94"/>
      <c r="Z618" s="93"/>
      <c r="AA618" s="85"/>
      <c r="AC618" s="94"/>
      <c r="AD618" s="93"/>
      <c r="AE618" s="85"/>
    </row>
    <row r="619" spans="6:31" x14ac:dyDescent="0.35">
      <c r="F619" s="93"/>
      <c r="G619" s="85"/>
      <c r="H619" s="87"/>
      <c r="I619" s="94"/>
      <c r="J619" s="93"/>
      <c r="K619" s="85"/>
      <c r="M619" s="94"/>
      <c r="N619" s="93"/>
      <c r="O619" s="85"/>
      <c r="Q619" s="94"/>
      <c r="R619" s="93"/>
      <c r="S619" s="85"/>
      <c r="U619" s="94"/>
      <c r="V619" s="93"/>
      <c r="W619" s="85"/>
      <c r="Y619" s="94"/>
      <c r="Z619" s="93"/>
      <c r="AA619" s="85"/>
      <c r="AC619" s="94"/>
      <c r="AD619" s="93"/>
      <c r="AE619" s="85"/>
    </row>
    <row r="620" spans="6:31" x14ac:dyDescent="0.35">
      <c r="F620" s="93"/>
      <c r="G620" s="85"/>
      <c r="H620" s="87"/>
      <c r="I620" s="94"/>
      <c r="J620" s="93"/>
      <c r="K620" s="85"/>
      <c r="M620" s="94"/>
      <c r="N620" s="93"/>
      <c r="O620" s="85"/>
      <c r="Q620" s="94"/>
      <c r="R620" s="93"/>
      <c r="S620" s="85"/>
      <c r="U620" s="94"/>
      <c r="V620" s="93"/>
      <c r="W620" s="85"/>
      <c r="Y620" s="94"/>
      <c r="Z620" s="93"/>
      <c r="AA620" s="85"/>
      <c r="AC620" s="94"/>
      <c r="AD620" s="93"/>
      <c r="AE620" s="85"/>
    </row>
    <row r="621" spans="6:31" x14ac:dyDescent="0.35">
      <c r="F621" s="93"/>
      <c r="G621" s="85"/>
      <c r="H621" s="87"/>
      <c r="I621" s="94"/>
      <c r="J621" s="93"/>
      <c r="K621" s="85"/>
      <c r="M621" s="94"/>
      <c r="N621" s="93"/>
      <c r="O621" s="85"/>
      <c r="Q621" s="94"/>
      <c r="R621" s="93"/>
      <c r="S621" s="85"/>
      <c r="U621" s="94"/>
      <c r="V621" s="93"/>
      <c r="W621" s="85"/>
      <c r="Y621" s="94"/>
      <c r="Z621" s="93"/>
      <c r="AA621" s="85"/>
      <c r="AC621" s="94"/>
      <c r="AD621" s="93"/>
      <c r="AE621" s="85"/>
    </row>
    <row r="622" spans="6:31" x14ac:dyDescent="0.35">
      <c r="F622" s="93"/>
      <c r="G622" s="85"/>
      <c r="H622" s="87"/>
      <c r="I622" s="94"/>
      <c r="J622" s="93"/>
      <c r="K622" s="85"/>
      <c r="M622" s="94"/>
      <c r="N622" s="93"/>
      <c r="O622" s="85"/>
      <c r="Q622" s="94"/>
      <c r="R622" s="93"/>
      <c r="S622" s="85"/>
      <c r="U622" s="94"/>
      <c r="V622" s="93"/>
      <c r="W622" s="85"/>
      <c r="Y622" s="94"/>
      <c r="Z622" s="93"/>
      <c r="AA622" s="85"/>
      <c r="AC622" s="94"/>
      <c r="AD622" s="93"/>
      <c r="AE622" s="85"/>
    </row>
    <row r="623" spans="6:31" x14ac:dyDescent="0.35">
      <c r="F623" s="93"/>
      <c r="G623" s="85"/>
      <c r="H623" s="87"/>
      <c r="I623" s="94"/>
      <c r="J623" s="93"/>
      <c r="K623" s="85"/>
      <c r="M623" s="94"/>
      <c r="N623" s="93"/>
      <c r="O623" s="85"/>
      <c r="Q623" s="94"/>
      <c r="R623" s="93"/>
      <c r="S623" s="85"/>
      <c r="U623" s="94"/>
      <c r="V623" s="93"/>
      <c r="W623" s="85"/>
      <c r="Y623" s="94"/>
      <c r="Z623" s="93"/>
      <c r="AA623" s="85"/>
      <c r="AC623" s="94"/>
      <c r="AD623" s="93"/>
      <c r="AE623" s="85"/>
    </row>
    <row r="624" spans="6:31" x14ac:dyDescent="0.35">
      <c r="F624" s="93"/>
      <c r="G624" s="85"/>
      <c r="H624" s="87"/>
      <c r="I624" s="94"/>
      <c r="J624" s="93"/>
      <c r="K624" s="85"/>
      <c r="M624" s="94"/>
      <c r="N624" s="93"/>
      <c r="O624" s="85"/>
      <c r="Q624" s="94"/>
      <c r="R624" s="93"/>
      <c r="S624" s="85"/>
      <c r="U624" s="94"/>
      <c r="V624" s="93"/>
      <c r="W624" s="85"/>
      <c r="Y624" s="94"/>
      <c r="Z624" s="93"/>
      <c r="AA624" s="85"/>
      <c r="AC624" s="94"/>
      <c r="AD624" s="93"/>
      <c r="AE624" s="85"/>
    </row>
    <row r="625" spans="6:31" x14ac:dyDescent="0.35">
      <c r="F625" s="93"/>
      <c r="G625" s="85"/>
      <c r="H625" s="87"/>
      <c r="I625" s="94"/>
      <c r="J625" s="93"/>
      <c r="K625" s="85"/>
      <c r="M625" s="94"/>
      <c r="N625" s="93"/>
      <c r="O625" s="85"/>
      <c r="Q625" s="94"/>
      <c r="R625" s="93"/>
      <c r="S625" s="85"/>
      <c r="U625" s="94"/>
      <c r="V625" s="93"/>
      <c r="W625" s="85"/>
      <c r="Y625" s="94"/>
      <c r="Z625" s="93"/>
      <c r="AA625" s="85"/>
      <c r="AC625" s="94"/>
      <c r="AD625" s="93"/>
      <c r="AE625" s="85"/>
    </row>
    <row r="626" spans="6:31" x14ac:dyDescent="0.35">
      <c r="F626" s="93"/>
      <c r="G626" s="85"/>
      <c r="H626" s="87"/>
      <c r="I626" s="94"/>
      <c r="J626" s="93"/>
      <c r="K626" s="85"/>
      <c r="M626" s="94"/>
      <c r="N626" s="93"/>
      <c r="O626" s="85"/>
      <c r="Q626" s="94"/>
      <c r="R626" s="93"/>
      <c r="S626" s="85"/>
      <c r="U626" s="94"/>
      <c r="V626" s="93"/>
      <c r="W626" s="85"/>
      <c r="Y626" s="94"/>
      <c r="Z626" s="93"/>
      <c r="AA626" s="85"/>
      <c r="AC626" s="94"/>
      <c r="AD626" s="93"/>
      <c r="AE626" s="85"/>
    </row>
    <row r="627" spans="6:31" x14ac:dyDescent="0.35">
      <c r="F627" s="93"/>
      <c r="G627" s="85"/>
      <c r="H627" s="87"/>
      <c r="I627" s="94"/>
      <c r="J627" s="93"/>
      <c r="K627" s="85"/>
      <c r="M627" s="94"/>
      <c r="N627" s="93"/>
      <c r="O627" s="85"/>
      <c r="Q627" s="94"/>
      <c r="R627" s="93"/>
      <c r="S627" s="85"/>
      <c r="U627" s="94"/>
      <c r="V627" s="93"/>
      <c r="W627" s="85"/>
      <c r="Y627" s="94"/>
      <c r="Z627" s="93"/>
      <c r="AA627" s="85"/>
      <c r="AC627" s="94"/>
      <c r="AD627" s="93"/>
      <c r="AE627" s="85"/>
    </row>
    <row r="628" spans="6:31" x14ac:dyDescent="0.35">
      <c r="F628" s="93"/>
      <c r="G628" s="85"/>
      <c r="H628" s="87"/>
      <c r="I628" s="94"/>
      <c r="J628" s="93"/>
      <c r="K628" s="85"/>
      <c r="M628" s="94"/>
      <c r="N628" s="93"/>
      <c r="O628" s="85"/>
      <c r="Q628" s="94"/>
      <c r="R628" s="93"/>
      <c r="S628" s="85"/>
      <c r="U628" s="94"/>
      <c r="V628" s="93"/>
      <c r="W628" s="85"/>
      <c r="Y628" s="94"/>
      <c r="Z628" s="93"/>
      <c r="AA628" s="85"/>
      <c r="AC628" s="94"/>
      <c r="AD628" s="93"/>
      <c r="AE628" s="85"/>
    </row>
    <row r="629" spans="6:31" x14ac:dyDescent="0.35">
      <c r="F629" s="93"/>
      <c r="G629" s="85"/>
      <c r="H629" s="87"/>
      <c r="I629" s="94"/>
      <c r="J629" s="93"/>
      <c r="K629" s="85"/>
      <c r="M629" s="94"/>
      <c r="N629" s="93"/>
      <c r="O629" s="85"/>
      <c r="Q629" s="94"/>
      <c r="R629" s="93"/>
      <c r="S629" s="85"/>
      <c r="U629" s="94"/>
      <c r="V629" s="93"/>
      <c r="W629" s="85"/>
      <c r="Y629" s="94"/>
      <c r="Z629" s="93"/>
      <c r="AA629" s="85"/>
      <c r="AC629" s="94"/>
      <c r="AD629" s="93"/>
      <c r="AE629" s="85"/>
    </row>
    <row r="630" spans="6:31" x14ac:dyDescent="0.35">
      <c r="F630" s="93"/>
      <c r="G630" s="85"/>
      <c r="H630" s="87"/>
      <c r="I630" s="94"/>
      <c r="J630" s="93"/>
      <c r="K630" s="85"/>
      <c r="M630" s="94"/>
      <c r="N630" s="93"/>
      <c r="O630" s="85"/>
      <c r="Q630" s="94"/>
      <c r="R630" s="93"/>
      <c r="S630" s="85"/>
      <c r="U630" s="94"/>
      <c r="V630" s="93"/>
      <c r="W630" s="85"/>
      <c r="Y630" s="94"/>
      <c r="Z630" s="93"/>
      <c r="AA630" s="85"/>
      <c r="AC630" s="94"/>
      <c r="AD630" s="93"/>
      <c r="AE630" s="85"/>
    </row>
    <row r="631" spans="6:31" x14ac:dyDescent="0.35">
      <c r="F631" s="93"/>
      <c r="G631" s="85"/>
      <c r="H631" s="87"/>
      <c r="I631" s="94"/>
      <c r="J631" s="93"/>
      <c r="K631" s="85"/>
      <c r="M631" s="94"/>
      <c r="N631" s="93"/>
      <c r="O631" s="85"/>
      <c r="Q631" s="94"/>
      <c r="R631" s="93"/>
      <c r="S631" s="85"/>
      <c r="U631" s="94"/>
      <c r="V631" s="93"/>
      <c r="W631" s="85"/>
      <c r="Y631" s="94"/>
      <c r="Z631" s="93"/>
      <c r="AA631" s="85"/>
      <c r="AC631" s="94"/>
      <c r="AD631" s="93"/>
      <c r="AE631" s="85"/>
    </row>
    <row r="632" spans="6:31" x14ac:dyDescent="0.35">
      <c r="F632" s="93"/>
      <c r="G632" s="85"/>
      <c r="H632" s="87"/>
      <c r="I632" s="94"/>
      <c r="J632" s="93"/>
      <c r="K632" s="85"/>
      <c r="M632" s="94"/>
      <c r="N632" s="93"/>
      <c r="O632" s="85"/>
      <c r="Q632" s="94"/>
      <c r="R632" s="93"/>
      <c r="S632" s="85"/>
      <c r="U632" s="94"/>
      <c r="V632" s="93"/>
      <c r="W632" s="85"/>
      <c r="Y632" s="94"/>
      <c r="Z632" s="93"/>
      <c r="AA632" s="85"/>
      <c r="AC632" s="94"/>
      <c r="AD632" s="93"/>
      <c r="AE632" s="85"/>
    </row>
    <row r="633" spans="6:31" x14ac:dyDescent="0.35">
      <c r="F633" s="93"/>
      <c r="G633" s="85"/>
      <c r="H633" s="87"/>
      <c r="I633" s="94"/>
      <c r="J633" s="93"/>
      <c r="K633" s="85"/>
      <c r="M633" s="94"/>
      <c r="N633" s="93"/>
      <c r="O633" s="85"/>
      <c r="Q633" s="94"/>
      <c r="R633" s="93"/>
      <c r="S633" s="85"/>
      <c r="U633" s="94"/>
      <c r="V633" s="93"/>
      <c r="W633" s="85"/>
      <c r="Y633" s="94"/>
      <c r="Z633" s="93"/>
      <c r="AA633" s="85"/>
      <c r="AC633" s="94"/>
      <c r="AD633" s="93"/>
      <c r="AE633" s="85"/>
    </row>
    <row r="634" spans="6:31" x14ac:dyDescent="0.35">
      <c r="F634" s="93"/>
      <c r="G634" s="85"/>
      <c r="H634" s="87"/>
      <c r="I634" s="94"/>
      <c r="J634" s="93"/>
      <c r="K634" s="85"/>
      <c r="M634" s="94"/>
      <c r="N634" s="93"/>
      <c r="O634" s="85"/>
      <c r="Q634" s="94"/>
      <c r="R634" s="93"/>
      <c r="S634" s="85"/>
      <c r="U634" s="94"/>
      <c r="V634" s="93"/>
      <c r="W634" s="85"/>
      <c r="Y634" s="94"/>
      <c r="Z634" s="93"/>
      <c r="AA634" s="85"/>
      <c r="AC634" s="94"/>
      <c r="AD634" s="93"/>
      <c r="AE634" s="85"/>
    </row>
    <row r="635" spans="6:31" x14ac:dyDescent="0.35">
      <c r="F635" s="93"/>
      <c r="G635" s="85"/>
      <c r="H635" s="87"/>
      <c r="I635" s="94"/>
      <c r="J635" s="93"/>
      <c r="K635" s="85"/>
      <c r="M635" s="94"/>
      <c r="N635" s="93"/>
      <c r="O635" s="85"/>
      <c r="Q635" s="94"/>
      <c r="R635" s="93"/>
      <c r="S635" s="85"/>
      <c r="U635" s="94"/>
      <c r="V635" s="93"/>
      <c r="W635" s="85"/>
      <c r="Y635" s="94"/>
      <c r="Z635" s="93"/>
      <c r="AA635" s="85"/>
      <c r="AC635" s="94"/>
      <c r="AD635" s="93"/>
      <c r="AE635" s="85"/>
    </row>
    <row r="636" spans="6:31" x14ac:dyDescent="0.35">
      <c r="F636" s="93"/>
      <c r="G636" s="85"/>
      <c r="H636" s="87"/>
      <c r="I636" s="94"/>
      <c r="J636" s="93"/>
      <c r="K636" s="85"/>
      <c r="M636" s="94"/>
      <c r="N636" s="93"/>
      <c r="O636" s="85"/>
      <c r="Q636" s="94"/>
      <c r="R636" s="93"/>
      <c r="S636" s="85"/>
      <c r="U636" s="94"/>
      <c r="V636" s="93"/>
      <c r="W636" s="85"/>
      <c r="Y636" s="94"/>
      <c r="Z636" s="93"/>
      <c r="AA636" s="85"/>
      <c r="AC636" s="94"/>
      <c r="AD636" s="93"/>
      <c r="AE636" s="85"/>
    </row>
    <row r="637" spans="6:31" x14ac:dyDescent="0.35">
      <c r="F637" s="93"/>
      <c r="G637" s="85"/>
      <c r="H637" s="87"/>
      <c r="I637" s="94"/>
      <c r="J637" s="93"/>
      <c r="K637" s="85"/>
      <c r="M637" s="94"/>
      <c r="N637" s="93"/>
      <c r="O637" s="85"/>
      <c r="Q637" s="94"/>
      <c r="R637" s="93"/>
      <c r="S637" s="85"/>
      <c r="U637" s="94"/>
      <c r="V637" s="93"/>
      <c r="W637" s="85"/>
      <c r="Y637" s="94"/>
      <c r="Z637" s="93"/>
      <c r="AA637" s="85"/>
      <c r="AC637" s="94"/>
      <c r="AD637" s="93"/>
      <c r="AE637" s="85"/>
    </row>
    <row r="638" spans="6:31" x14ac:dyDescent="0.35">
      <c r="F638" s="93"/>
      <c r="G638" s="85"/>
      <c r="H638" s="87"/>
      <c r="I638" s="94"/>
      <c r="J638" s="93"/>
      <c r="K638" s="85"/>
      <c r="M638" s="94"/>
      <c r="N638" s="93"/>
      <c r="O638" s="85"/>
      <c r="Q638" s="94"/>
      <c r="R638" s="93"/>
      <c r="S638" s="85"/>
      <c r="U638" s="94"/>
      <c r="V638" s="93"/>
      <c r="W638" s="85"/>
      <c r="Y638" s="94"/>
      <c r="Z638" s="93"/>
      <c r="AA638" s="85"/>
      <c r="AC638" s="94"/>
      <c r="AD638" s="93"/>
      <c r="AE638" s="85"/>
    </row>
    <row r="639" spans="6:31" x14ac:dyDescent="0.35">
      <c r="F639" s="93"/>
      <c r="G639" s="85"/>
      <c r="H639" s="87"/>
      <c r="I639" s="94"/>
      <c r="J639" s="93"/>
      <c r="K639" s="85"/>
      <c r="M639" s="94"/>
      <c r="N639" s="93"/>
      <c r="O639" s="85"/>
      <c r="Q639" s="94"/>
      <c r="R639" s="93"/>
      <c r="S639" s="85"/>
      <c r="U639" s="94"/>
      <c r="V639" s="93"/>
      <c r="W639" s="85"/>
      <c r="Y639" s="94"/>
      <c r="Z639" s="93"/>
      <c r="AA639" s="85"/>
      <c r="AC639" s="94"/>
      <c r="AD639" s="93"/>
      <c r="AE639" s="85"/>
    </row>
    <row r="640" spans="6:31" x14ac:dyDescent="0.35">
      <c r="F640" s="93"/>
      <c r="G640" s="85"/>
      <c r="H640" s="87"/>
      <c r="I640" s="94"/>
      <c r="J640" s="93"/>
      <c r="K640" s="85"/>
      <c r="M640" s="94"/>
      <c r="N640" s="93"/>
      <c r="O640" s="85"/>
      <c r="Q640" s="94"/>
      <c r="R640" s="93"/>
      <c r="S640" s="85"/>
      <c r="U640" s="94"/>
      <c r="V640" s="93"/>
      <c r="W640" s="85"/>
      <c r="Y640" s="94"/>
      <c r="Z640" s="93"/>
      <c r="AA640" s="85"/>
      <c r="AC640" s="94"/>
      <c r="AD640" s="93"/>
      <c r="AE640" s="85"/>
    </row>
    <row r="641" spans="6:31" x14ac:dyDescent="0.35">
      <c r="F641" s="93"/>
      <c r="G641" s="85"/>
      <c r="H641" s="87"/>
      <c r="I641" s="94"/>
      <c r="J641" s="93"/>
      <c r="K641" s="85"/>
      <c r="M641" s="94"/>
      <c r="N641" s="93"/>
      <c r="O641" s="85"/>
      <c r="Q641" s="94"/>
      <c r="R641" s="93"/>
      <c r="S641" s="85"/>
      <c r="U641" s="94"/>
      <c r="V641" s="93"/>
      <c r="W641" s="85"/>
      <c r="Y641" s="94"/>
      <c r="Z641" s="93"/>
      <c r="AA641" s="85"/>
      <c r="AC641" s="94"/>
      <c r="AD641" s="93"/>
      <c r="AE641" s="85"/>
    </row>
    <row r="642" spans="6:31" x14ac:dyDescent="0.35">
      <c r="F642" s="93"/>
      <c r="G642" s="85"/>
      <c r="H642" s="87"/>
      <c r="I642" s="94"/>
      <c r="J642" s="93"/>
      <c r="K642" s="85"/>
      <c r="M642" s="94"/>
      <c r="N642" s="93"/>
      <c r="O642" s="85"/>
      <c r="Q642" s="94"/>
      <c r="R642" s="93"/>
      <c r="S642" s="85"/>
      <c r="U642" s="94"/>
      <c r="V642" s="93"/>
      <c r="W642" s="85"/>
      <c r="Y642" s="94"/>
      <c r="Z642" s="93"/>
      <c r="AA642" s="85"/>
      <c r="AC642" s="94"/>
      <c r="AD642" s="93"/>
      <c r="AE642" s="85"/>
    </row>
    <row r="643" spans="6:31" x14ac:dyDescent="0.35">
      <c r="F643" s="93"/>
      <c r="G643" s="85"/>
      <c r="H643" s="87"/>
      <c r="I643" s="94"/>
      <c r="J643" s="93"/>
      <c r="K643" s="85"/>
      <c r="M643" s="94"/>
      <c r="N643" s="93"/>
      <c r="O643" s="85"/>
      <c r="Q643" s="94"/>
      <c r="R643" s="93"/>
      <c r="S643" s="85"/>
      <c r="U643" s="94"/>
      <c r="V643" s="93"/>
      <c r="W643" s="85"/>
      <c r="Y643" s="94"/>
      <c r="Z643" s="93"/>
      <c r="AA643" s="85"/>
      <c r="AC643" s="94"/>
      <c r="AD643" s="93"/>
      <c r="AE643" s="85"/>
    </row>
    <row r="644" spans="6:31" x14ac:dyDescent="0.35">
      <c r="F644" s="93"/>
      <c r="G644" s="85"/>
      <c r="H644" s="87"/>
      <c r="I644" s="94"/>
      <c r="J644" s="93"/>
      <c r="K644" s="85"/>
      <c r="M644" s="94"/>
      <c r="N644" s="93"/>
      <c r="O644" s="85"/>
      <c r="Q644" s="94"/>
      <c r="R644" s="93"/>
      <c r="S644" s="85"/>
      <c r="U644" s="94"/>
      <c r="V644" s="93"/>
      <c r="W644" s="85"/>
      <c r="Y644" s="94"/>
      <c r="Z644" s="93"/>
      <c r="AA644" s="85"/>
      <c r="AC644" s="94"/>
      <c r="AD644" s="93"/>
      <c r="AE644" s="85"/>
    </row>
    <row r="645" spans="6:31" x14ac:dyDescent="0.35">
      <c r="F645" s="93"/>
      <c r="G645" s="85"/>
      <c r="H645" s="87"/>
      <c r="I645" s="94"/>
      <c r="J645" s="93"/>
      <c r="K645" s="85"/>
      <c r="M645" s="94"/>
      <c r="N645" s="93"/>
      <c r="O645" s="85"/>
      <c r="Q645" s="94"/>
      <c r="R645" s="93"/>
      <c r="S645" s="85"/>
      <c r="U645" s="94"/>
      <c r="V645" s="93"/>
      <c r="W645" s="85"/>
      <c r="Y645" s="94"/>
      <c r="Z645" s="93"/>
      <c r="AA645" s="85"/>
      <c r="AC645" s="94"/>
      <c r="AD645" s="93"/>
      <c r="AE645" s="85"/>
    </row>
    <row r="646" spans="6:31" x14ac:dyDescent="0.35">
      <c r="F646" s="93"/>
      <c r="G646" s="85"/>
      <c r="H646" s="87"/>
      <c r="I646" s="94"/>
      <c r="J646" s="93"/>
      <c r="K646" s="85"/>
      <c r="M646" s="94"/>
      <c r="N646" s="93"/>
      <c r="O646" s="85"/>
      <c r="Q646" s="94"/>
      <c r="R646" s="93"/>
      <c r="S646" s="85"/>
      <c r="U646" s="94"/>
      <c r="V646" s="93"/>
      <c r="W646" s="85"/>
      <c r="Y646" s="94"/>
      <c r="Z646" s="93"/>
      <c r="AA646" s="85"/>
      <c r="AC646" s="94"/>
      <c r="AD646" s="93"/>
      <c r="AE646" s="85"/>
    </row>
    <row r="647" spans="6:31" x14ac:dyDescent="0.35">
      <c r="F647" s="93"/>
      <c r="G647" s="85"/>
      <c r="H647" s="87"/>
      <c r="I647" s="94"/>
      <c r="J647" s="93"/>
      <c r="K647" s="85"/>
      <c r="M647" s="94"/>
      <c r="N647" s="93"/>
      <c r="O647" s="85"/>
      <c r="Q647" s="94"/>
      <c r="R647" s="93"/>
      <c r="S647" s="85"/>
      <c r="U647" s="94"/>
      <c r="V647" s="93"/>
      <c r="W647" s="85"/>
      <c r="Y647" s="94"/>
      <c r="Z647" s="93"/>
      <c r="AA647" s="85"/>
      <c r="AC647" s="94"/>
      <c r="AD647" s="93"/>
      <c r="AE647" s="85"/>
    </row>
    <row r="648" spans="6:31" x14ac:dyDescent="0.35">
      <c r="F648" s="93"/>
      <c r="G648" s="85"/>
      <c r="H648" s="87"/>
      <c r="I648" s="94"/>
      <c r="J648" s="93"/>
      <c r="K648" s="85"/>
      <c r="M648" s="94"/>
      <c r="N648" s="93"/>
      <c r="O648" s="85"/>
      <c r="Q648" s="94"/>
      <c r="R648" s="93"/>
      <c r="S648" s="85"/>
      <c r="U648" s="94"/>
      <c r="V648" s="93"/>
      <c r="W648" s="85"/>
      <c r="Y648" s="94"/>
      <c r="Z648" s="93"/>
      <c r="AA648" s="85"/>
      <c r="AC648" s="94"/>
      <c r="AD648" s="93"/>
      <c r="AE648" s="85"/>
    </row>
    <row r="649" spans="6:31" x14ac:dyDescent="0.35">
      <c r="F649" s="93"/>
      <c r="G649" s="85"/>
      <c r="H649" s="87"/>
      <c r="I649" s="94"/>
      <c r="J649" s="93"/>
      <c r="K649" s="85"/>
      <c r="M649" s="94"/>
      <c r="N649" s="93"/>
      <c r="O649" s="85"/>
      <c r="Q649" s="94"/>
      <c r="R649" s="93"/>
      <c r="S649" s="85"/>
      <c r="U649" s="94"/>
      <c r="V649" s="93"/>
      <c r="W649" s="85"/>
      <c r="Y649" s="94"/>
      <c r="Z649" s="93"/>
      <c r="AA649" s="85"/>
      <c r="AC649" s="94"/>
      <c r="AD649" s="93"/>
      <c r="AE649" s="85"/>
    </row>
    <row r="650" spans="6:31" x14ac:dyDescent="0.35">
      <c r="F650" s="93"/>
      <c r="G650" s="85"/>
      <c r="H650" s="87"/>
      <c r="I650" s="94"/>
      <c r="J650" s="93"/>
      <c r="K650" s="85"/>
      <c r="M650" s="94"/>
      <c r="N650" s="93"/>
      <c r="O650" s="85"/>
      <c r="Q650" s="94"/>
      <c r="R650" s="93"/>
      <c r="S650" s="85"/>
      <c r="U650" s="94"/>
      <c r="V650" s="93"/>
      <c r="W650" s="85"/>
      <c r="Y650" s="94"/>
      <c r="Z650" s="93"/>
      <c r="AA650" s="85"/>
      <c r="AC650" s="94"/>
      <c r="AD650" s="93"/>
      <c r="AE650" s="85"/>
    </row>
    <row r="651" spans="6:31" x14ac:dyDescent="0.35">
      <c r="F651" s="93"/>
      <c r="G651" s="85"/>
      <c r="H651" s="87"/>
      <c r="I651" s="94"/>
      <c r="J651" s="93"/>
      <c r="K651" s="85"/>
      <c r="M651" s="94"/>
      <c r="N651" s="93"/>
      <c r="O651" s="85"/>
      <c r="Q651" s="94"/>
      <c r="R651" s="93"/>
      <c r="S651" s="85"/>
      <c r="U651" s="94"/>
      <c r="V651" s="93"/>
      <c r="W651" s="85"/>
      <c r="Y651" s="94"/>
      <c r="Z651" s="93"/>
      <c r="AA651" s="85"/>
      <c r="AC651" s="94"/>
      <c r="AD651" s="93"/>
      <c r="AE651" s="85"/>
    </row>
    <row r="652" spans="6:31" x14ac:dyDescent="0.35">
      <c r="F652" s="93"/>
      <c r="G652" s="85"/>
      <c r="H652" s="87"/>
      <c r="I652" s="94"/>
      <c r="J652" s="93"/>
      <c r="K652" s="85"/>
      <c r="M652" s="94"/>
      <c r="N652" s="93"/>
      <c r="O652" s="85"/>
      <c r="Q652" s="94"/>
      <c r="R652" s="93"/>
      <c r="S652" s="85"/>
      <c r="U652" s="94"/>
      <c r="V652" s="93"/>
      <c r="W652" s="85"/>
      <c r="Y652" s="94"/>
      <c r="Z652" s="93"/>
      <c r="AA652" s="85"/>
      <c r="AC652" s="94"/>
      <c r="AD652" s="93"/>
      <c r="AE652" s="85"/>
    </row>
    <row r="653" spans="6:31" x14ac:dyDescent="0.35">
      <c r="F653" s="93"/>
      <c r="G653" s="85"/>
      <c r="H653" s="87"/>
      <c r="I653" s="94"/>
      <c r="J653" s="93"/>
      <c r="K653" s="85"/>
      <c r="M653" s="94"/>
      <c r="N653" s="93"/>
      <c r="O653" s="85"/>
      <c r="Q653" s="94"/>
      <c r="R653" s="93"/>
      <c r="S653" s="85"/>
      <c r="U653" s="94"/>
      <c r="V653" s="93"/>
      <c r="W653" s="85"/>
      <c r="Y653" s="94"/>
      <c r="Z653" s="93"/>
      <c r="AA653" s="85"/>
      <c r="AC653" s="94"/>
      <c r="AD653" s="93"/>
      <c r="AE653" s="85"/>
    </row>
    <row r="654" spans="6:31" x14ac:dyDescent="0.35">
      <c r="F654" s="93"/>
      <c r="G654" s="85"/>
      <c r="H654" s="87"/>
      <c r="I654" s="94"/>
      <c r="J654" s="93"/>
      <c r="K654" s="85"/>
      <c r="M654" s="94"/>
      <c r="N654" s="93"/>
      <c r="O654" s="85"/>
      <c r="Q654" s="94"/>
      <c r="R654" s="93"/>
      <c r="S654" s="85"/>
      <c r="U654" s="94"/>
      <c r="V654" s="93"/>
      <c r="W654" s="85"/>
      <c r="Y654" s="94"/>
      <c r="Z654" s="93"/>
      <c r="AA654" s="85"/>
      <c r="AC654" s="94"/>
      <c r="AD654" s="93"/>
      <c r="AE654" s="85"/>
    </row>
    <row r="655" spans="6:31" x14ac:dyDescent="0.35">
      <c r="F655" s="93"/>
      <c r="G655" s="85"/>
      <c r="H655" s="87"/>
      <c r="I655" s="94"/>
      <c r="J655" s="93"/>
      <c r="K655" s="85"/>
      <c r="M655" s="94"/>
      <c r="N655" s="93"/>
      <c r="O655" s="85"/>
      <c r="Q655" s="94"/>
      <c r="R655" s="93"/>
      <c r="S655" s="85"/>
      <c r="U655" s="94"/>
      <c r="V655" s="93"/>
      <c r="W655" s="85"/>
      <c r="Y655" s="94"/>
      <c r="Z655" s="93"/>
      <c r="AA655" s="85"/>
      <c r="AC655" s="94"/>
      <c r="AD655" s="93"/>
      <c r="AE655" s="85"/>
    </row>
    <row r="656" spans="6:31" x14ac:dyDescent="0.35">
      <c r="F656" s="93"/>
      <c r="G656" s="85"/>
      <c r="H656" s="87"/>
      <c r="I656" s="94"/>
      <c r="J656" s="93"/>
      <c r="K656" s="85"/>
      <c r="M656" s="94"/>
      <c r="N656" s="93"/>
      <c r="O656" s="85"/>
      <c r="Q656" s="94"/>
      <c r="R656" s="93"/>
      <c r="S656" s="85"/>
      <c r="U656" s="94"/>
      <c r="V656" s="93"/>
      <c r="W656" s="85"/>
      <c r="Y656" s="94"/>
      <c r="Z656" s="93"/>
      <c r="AA656" s="85"/>
      <c r="AC656" s="94"/>
      <c r="AD656" s="93"/>
      <c r="AE656" s="85"/>
    </row>
    <row r="657" spans="6:31" x14ac:dyDescent="0.35">
      <c r="F657" s="93"/>
      <c r="G657" s="85"/>
      <c r="H657" s="87"/>
      <c r="I657" s="94"/>
      <c r="J657" s="93"/>
      <c r="K657" s="85"/>
      <c r="M657" s="94"/>
      <c r="N657" s="93"/>
      <c r="O657" s="85"/>
      <c r="Q657" s="94"/>
      <c r="R657" s="93"/>
      <c r="S657" s="85"/>
      <c r="U657" s="94"/>
      <c r="V657" s="93"/>
      <c r="W657" s="85"/>
      <c r="Y657" s="94"/>
      <c r="Z657" s="93"/>
      <c r="AA657" s="85"/>
      <c r="AC657" s="94"/>
      <c r="AD657" s="93"/>
      <c r="AE657" s="85"/>
    </row>
    <row r="658" spans="6:31" x14ac:dyDescent="0.35">
      <c r="F658" s="93"/>
      <c r="G658" s="85"/>
      <c r="H658" s="87"/>
      <c r="I658" s="94"/>
      <c r="J658" s="93"/>
      <c r="K658" s="85"/>
      <c r="M658" s="94"/>
      <c r="N658" s="93"/>
      <c r="O658" s="85"/>
      <c r="Q658" s="94"/>
      <c r="R658" s="93"/>
      <c r="S658" s="85"/>
      <c r="U658" s="94"/>
      <c r="V658" s="93"/>
      <c r="W658" s="85"/>
      <c r="Y658" s="94"/>
      <c r="Z658" s="93"/>
      <c r="AA658" s="85"/>
      <c r="AC658" s="94"/>
      <c r="AD658" s="93"/>
      <c r="AE658" s="85"/>
    </row>
    <row r="659" spans="6:31" x14ac:dyDescent="0.35">
      <c r="F659" s="93"/>
      <c r="G659" s="85"/>
      <c r="H659" s="87"/>
      <c r="I659" s="94"/>
      <c r="J659" s="93"/>
      <c r="K659" s="85"/>
      <c r="M659" s="94"/>
      <c r="N659" s="93"/>
      <c r="O659" s="85"/>
      <c r="Q659" s="94"/>
      <c r="R659" s="93"/>
      <c r="S659" s="85"/>
      <c r="U659" s="94"/>
      <c r="V659" s="93"/>
      <c r="W659" s="85"/>
      <c r="Y659" s="94"/>
      <c r="Z659" s="93"/>
      <c r="AA659" s="85"/>
      <c r="AC659" s="94"/>
      <c r="AD659" s="93"/>
      <c r="AE659" s="85"/>
    </row>
    <row r="660" spans="6:31" x14ac:dyDescent="0.35">
      <c r="F660" s="93"/>
      <c r="G660" s="85"/>
      <c r="H660" s="87"/>
      <c r="I660" s="94"/>
      <c r="J660" s="93"/>
      <c r="K660" s="85"/>
      <c r="M660" s="94"/>
      <c r="N660" s="93"/>
      <c r="O660" s="85"/>
      <c r="Q660" s="94"/>
      <c r="R660" s="93"/>
      <c r="S660" s="85"/>
      <c r="U660" s="94"/>
      <c r="V660" s="93"/>
      <c r="W660" s="85"/>
      <c r="Y660" s="94"/>
      <c r="Z660" s="93"/>
      <c r="AA660" s="85"/>
      <c r="AC660" s="94"/>
      <c r="AD660" s="93"/>
      <c r="AE660" s="85"/>
    </row>
    <row r="661" spans="6:31" x14ac:dyDescent="0.35">
      <c r="F661" s="93"/>
      <c r="G661" s="85"/>
      <c r="H661" s="87"/>
      <c r="I661" s="94"/>
      <c r="J661" s="93"/>
      <c r="K661" s="85"/>
      <c r="M661" s="94"/>
      <c r="N661" s="93"/>
      <c r="O661" s="85"/>
      <c r="Q661" s="94"/>
      <c r="R661" s="93"/>
      <c r="S661" s="85"/>
      <c r="U661" s="94"/>
      <c r="V661" s="93"/>
      <c r="W661" s="85"/>
      <c r="Y661" s="94"/>
      <c r="Z661" s="93"/>
      <c r="AA661" s="85"/>
      <c r="AC661" s="94"/>
      <c r="AD661" s="93"/>
      <c r="AE661" s="85"/>
    </row>
    <row r="662" spans="6:31" x14ac:dyDescent="0.35">
      <c r="F662" s="93"/>
      <c r="G662" s="85"/>
      <c r="H662" s="87"/>
      <c r="I662" s="94"/>
      <c r="J662" s="93"/>
      <c r="K662" s="85"/>
      <c r="M662" s="94"/>
      <c r="N662" s="93"/>
      <c r="O662" s="85"/>
      <c r="Q662" s="94"/>
      <c r="R662" s="93"/>
      <c r="S662" s="85"/>
      <c r="U662" s="94"/>
      <c r="V662" s="93"/>
      <c r="W662" s="85"/>
      <c r="Y662" s="94"/>
      <c r="Z662" s="93"/>
      <c r="AA662" s="85"/>
      <c r="AC662" s="94"/>
      <c r="AD662" s="93"/>
      <c r="AE662" s="85"/>
    </row>
    <row r="663" spans="6:31" x14ac:dyDescent="0.35">
      <c r="F663" s="93"/>
      <c r="G663" s="85"/>
      <c r="H663" s="87"/>
      <c r="I663" s="94"/>
      <c r="J663" s="93"/>
      <c r="K663" s="85"/>
      <c r="M663" s="94"/>
      <c r="N663" s="93"/>
      <c r="O663" s="85"/>
      <c r="Q663" s="94"/>
      <c r="R663" s="93"/>
      <c r="S663" s="85"/>
      <c r="U663" s="94"/>
      <c r="V663" s="93"/>
      <c r="W663" s="85"/>
      <c r="Y663" s="94"/>
      <c r="Z663" s="93"/>
      <c r="AA663" s="85"/>
      <c r="AC663" s="94"/>
      <c r="AD663" s="93"/>
      <c r="AE663" s="85"/>
    </row>
    <row r="664" spans="6:31" x14ac:dyDescent="0.35">
      <c r="F664" s="93"/>
      <c r="G664" s="85"/>
      <c r="H664" s="87"/>
      <c r="I664" s="94"/>
      <c r="J664" s="93"/>
      <c r="K664" s="85"/>
      <c r="M664" s="94"/>
      <c r="N664" s="93"/>
      <c r="O664" s="85"/>
      <c r="Q664" s="94"/>
      <c r="R664" s="93"/>
      <c r="S664" s="85"/>
      <c r="U664" s="94"/>
      <c r="V664" s="93"/>
      <c r="W664" s="85"/>
      <c r="Y664" s="94"/>
      <c r="Z664" s="93"/>
      <c r="AA664" s="85"/>
      <c r="AC664" s="94"/>
      <c r="AD664" s="93"/>
      <c r="AE664" s="85"/>
    </row>
    <row r="665" spans="6:31" x14ac:dyDescent="0.35">
      <c r="F665" s="93"/>
      <c r="G665" s="85"/>
      <c r="H665" s="87"/>
      <c r="I665" s="94"/>
      <c r="J665" s="93"/>
      <c r="K665" s="85"/>
      <c r="M665" s="94"/>
      <c r="N665" s="93"/>
      <c r="O665" s="85"/>
      <c r="Q665" s="94"/>
      <c r="R665" s="93"/>
      <c r="S665" s="85"/>
      <c r="U665" s="94"/>
      <c r="V665" s="93"/>
      <c r="W665" s="85"/>
      <c r="Y665" s="94"/>
      <c r="Z665" s="93"/>
      <c r="AA665" s="85"/>
      <c r="AC665" s="94"/>
      <c r="AD665" s="93"/>
      <c r="AE665" s="85"/>
    </row>
    <row r="666" spans="6:31" x14ac:dyDescent="0.35">
      <c r="F666" s="93"/>
      <c r="G666" s="85"/>
      <c r="H666" s="87"/>
      <c r="I666" s="94"/>
      <c r="J666" s="93"/>
      <c r="K666" s="85"/>
      <c r="M666" s="94"/>
      <c r="N666" s="93"/>
      <c r="O666" s="85"/>
      <c r="Q666" s="94"/>
      <c r="R666" s="93"/>
      <c r="S666" s="85"/>
      <c r="U666" s="94"/>
      <c r="V666" s="93"/>
      <c r="W666" s="85"/>
      <c r="Y666" s="94"/>
      <c r="Z666" s="93"/>
      <c r="AA666" s="85"/>
      <c r="AC666" s="94"/>
      <c r="AD666" s="93"/>
      <c r="AE666" s="85"/>
    </row>
    <row r="667" spans="6:31" x14ac:dyDescent="0.35">
      <c r="F667" s="93"/>
      <c r="G667" s="85"/>
      <c r="H667" s="87"/>
      <c r="I667" s="94"/>
      <c r="J667" s="93"/>
      <c r="K667" s="85"/>
      <c r="M667" s="94"/>
      <c r="N667" s="93"/>
      <c r="O667" s="85"/>
      <c r="Q667" s="94"/>
      <c r="R667" s="93"/>
      <c r="S667" s="85"/>
      <c r="U667" s="94"/>
      <c r="V667" s="93"/>
      <c r="W667" s="85"/>
      <c r="Y667" s="94"/>
      <c r="Z667" s="93"/>
      <c r="AA667" s="85"/>
      <c r="AC667" s="94"/>
      <c r="AD667" s="93"/>
      <c r="AE667" s="85"/>
    </row>
    <row r="668" spans="6:31" x14ac:dyDescent="0.35">
      <c r="F668" s="93"/>
      <c r="G668" s="85"/>
      <c r="H668" s="87"/>
      <c r="I668" s="94"/>
      <c r="J668" s="93"/>
      <c r="K668" s="85"/>
      <c r="M668" s="94"/>
      <c r="N668" s="93"/>
      <c r="O668" s="85"/>
      <c r="Q668" s="94"/>
      <c r="R668" s="93"/>
      <c r="S668" s="85"/>
      <c r="U668" s="94"/>
      <c r="V668" s="93"/>
      <c r="W668" s="85"/>
      <c r="Y668" s="94"/>
      <c r="Z668" s="93"/>
      <c r="AA668" s="85"/>
      <c r="AC668" s="94"/>
      <c r="AD668" s="93"/>
      <c r="AE668" s="85"/>
    </row>
    <row r="669" spans="6:31" x14ac:dyDescent="0.35">
      <c r="F669" s="93"/>
      <c r="G669" s="85"/>
      <c r="H669" s="87"/>
      <c r="I669" s="94"/>
      <c r="J669" s="93"/>
      <c r="K669" s="85"/>
      <c r="M669" s="94"/>
      <c r="N669" s="93"/>
      <c r="O669" s="85"/>
      <c r="Q669" s="94"/>
      <c r="R669" s="93"/>
      <c r="S669" s="85"/>
      <c r="U669" s="94"/>
      <c r="V669" s="93"/>
      <c r="W669" s="85"/>
      <c r="Y669" s="94"/>
      <c r="Z669" s="93"/>
      <c r="AA669" s="85"/>
      <c r="AC669" s="94"/>
      <c r="AD669" s="93"/>
      <c r="AE669" s="85"/>
    </row>
    <row r="670" spans="6:31" x14ac:dyDescent="0.35">
      <c r="F670" s="93"/>
      <c r="G670" s="85"/>
      <c r="H670" s="87"/>
      <c r="I670" s="94"/>
      <c r="J670" s="93"/>
      <c r="K670" s="85"/>
      <c r="M670" s="94"/>
      <c r="N670" s="93"/>
      <c r="O670" s="85"/>
      <c r="Q670" s="94"/>
      <c r="R670" s="93"/>
      <c r="S670" s="85"/>
      <c r="U670" s="94"/>
      <c r="V670" s="93"/>
      <c r="W670" s="85"/>
      <c r="Y670" s="94"/>
      <c r="Z670" s="93"/>
      <c r="AA670" s="85"/>
      <c r="AC670" s="94"/>
      <c r="AD670" s="93"/>
      <c r="AE670" s="85"/>
    </row>
    <row r="671" spans="6:31" x14ac:dyDescent="0.35">
      <c r="F671" s="93"/>
      <c r="G671" s="85"/>
      <c r="H671" s="87"/>
      <c r="I671" s="94"/>
      <c r="J671" s="93"/>
      <c r="K671" s="85"/>
      <c r="M671" s="94"/>
      <c r="N671" s="93"/>
      <c r="O671" s="85"/>
      <c r="Q671" s="94"/>
      <c r="R671" s="93"/>
      <c r="S671" s="85"/>
      <c r="U671" s="94"/>
      <c r="V671" s="93"/>
      <c r="W671" s="85"/>
      <c r="Y671" s="94"/>
      <c r="Z671" s="93"/>
      <c r="AA671" s="85"/>
      <c r="AC671" s="94"/>
      <c r="AD671" s="93"/>
      <c r="AE671" s="85"/>
    </row>
    <row r="672" spans="6:31" x14ac:dyDescent="0.35">
      <c r="F672" s="93"/>
      <c r="G672" s="85"/>
      <c r="H672" s="87"/>
      <c r="I672" s="94"/>
      <c r="J672" s="93"/>
      <c r="K672" s="85"/>
      <c r="M672" s="94"/>
      <c r="N672" s="93"/>
      <c r="O672" s="85"/>
      <c r="Q672" s="94"/>
      <c r="R672" s="93"/>
      <c r="S672" s="85"/>
      <c r="U672" s="94"/>
      <c r="V672" s="93"/>
      <c r="W672" s="85"/>
      <c r="Y672" s="94"/>
      <c r="Z672" s="93"/>
      <c r="AA672" s="85"/>
      <c r="AC672" s="94"/>
      <c r="AD672" s="93"/>
      <c r="AE672" s="85"/>
    </row>
    <row r="673" spans="6:31" x14ac:dyDescent="0.35">
      <c r="F673" s="93"/>
      <c r="G673" s="85"/>
      <c r="H673" s="87"/>
      <c r="I673" s="94"/>
      <c r="J673" s="93"/>
      <c r="K673" s="85"/>
      <c r="M673" s="94"/>
      <c r="N673" s="93"/>
      <c r="O673" s="85"/>
      <c r="Q673" s="94"/>
      <c r="R673" s="93"/>
      <c r="S673" s="85"/>
      <c r="U673" s="94"/>
      <c r="V673" s="93"/>
      <c r="W673" s="85"/>
      <c r="Y673" s="94"/>
      <c r="Z673" s="93"/>
      <c r="AA673" s="85"/>
      <c r="AC673" s="94"/>
      <c r="AD673" s="93"/>
      <c r="AE673" s="85"/>
    </row>
    <row r="674" spans="6:31" x14ac:dyDescent="0.35">
      <c r="F674" s="93"/>
      <c r="G674" s="85"/>
      <c r="H674" s="87"/>
      <c r="I674" s="94"/>
      <c r="J674" s="93"/>
      <c r="K674" s="85"/>
      <c r="M674" s="94"/>
      <c r="N674" s="93"/>
      <c r="O674" s="85"/>
      <c r="Q674" s="94"/>
      <c r="R674" s="93"/>
      <c r="S674" s="85"/>
      <c r="U674" s="94"/>
      <c r="V674" s="93"/>
      <c r="W674" s="85"/>
      <c r="Y674" s="94"/>
      <c r="Z674" s="93"/>
      <c r="AA674" s="85"/>
      <c r="AC674" s="94"/>
      <c r="AD674" s="93"/>
      <c r="AE674" s="85"/>
    </row>
    <row r="675" spans="6:31" x14ac:dyDescent="0.35">
      <c r="F675" s="93"/>
      <c r="G675" s="85"/>
      <c r="H675" s="87"/>
      <c r="I675" s="94"/>
      <c r="J675" s="93"/>
      <c r="K675" s="85"/>
      <c r="M675" s="94"/>
      <c r="N675" s="93"/>
      <c r="O675" s="85"/>
      <c r="Q675" s="94"/>
      <c r="R675" s="93"/>
      <c r="S675" s="85"/>
      <c r="U675" s="94"/>
      <c r="V675" s="93"/>
      <c r="W675" s="85"/>
      <c r="Y675" s="94"/>
      <c r="Z675" s="93"/>
      <c r="AA675" s="85"/>
      <c r="AC675" s="94"/>
      <c r="AD675" s="93"/>
      <c r="AE675" s="85"/>
    </row>
    <row r="676" spans="6:31" x14ac:dyDescent="0.35">
      <c r="F676" s="93"/>
      <c r="G676" s="85"/>
      <c r="H676" s="87"/>
      <c r="I676" s="94"/>
      <c r="J676" s="93"/>
      <c r="K676" s="85"/>
      <c r="M676" s="94"/>
      <c r="N676" s="93"/>
      <c r="O676" s="85"/>
      <c r="Q676" s="94"/>
      <c r="R676" s="93"/>
      <c r="S676" s="85"/>
      <c r="U676" s="94"/>
      <c r="V676" s="93"/>
      <c r="W676" s="85"/>
      <c r="Y676" s="94"/>
      <c r="Z676" s="93"/>
      <c r="AA676" s="85"/>
      <c r="AC676" s="94"/>
      <c r="AD676" s="93"/>
      <c r="AE676" s="85"/>
    </row>
    <row r="677" spans="6:31" x14ac:dyDescent="0.35">
      <c r="F677" s="93"/>
      <c r="G677" s="85"/>
      <c r="H677" s="87"/>
      <c r="I677" s="94"/>
      <c r="J677" s="93"/>
      <c r="K677" s="85"/>
      <c r="M677" s="94"/>
      <c r="N677" s="93"/>
      <c r="O677" s="85"/>
      <c r="Q677" s="94"/>
      <c r="R677" s="93"/>
      <c r="S677" s="85"/>
      <c r="U677" s="94"/>
      <c r="V677" s="93"/>
      <c r="W677" s="85"/>
      <c r="Y677" s="94"/>
      <c r="Z677" s="93"/>
      <c r="AA677" s="85"/>
      <c r="AC677" s="94"/>
      <c r="AD677" s="93"/>
      <c r="AE677" s="85"/>
    </row>
    <row r="678" spans="6:31" x14ac:dyDescent="0.35">
      <c r="F678" s="93"/>
      <c r="G678" s="85"/>
      <c r="H678" s="87"/>
      <c r="I678" s="94"/>
      <c r="J678" s="93"/>
      <c r="K678" s="85"/>
      <c r="M678" s="94"/>
      <c r="N678" s="93"/>
      <c r="O678" s="85"/>
      <c r="Q678" s="94"/>
      <c r="R678" s="93"/>
      <c r="S678" s="85"/>
      <c r="U678" s="94"/>
      <c r="V678" s="93"/>
      <c r="W678" s="85"/>
      <c r="Y678" s="94"/>
      <c r="Z678" s="93"/>
      <c r="AA678" s="85"/>
      <c r="AC678" s="94"/>
      <c r="AD678" s="93"/>
      <c r="AE678" s="85"/>
    </row>
    <row r="679" spans="6:31" x14ac:dyDescent="0.35">
      <c r="F679" s="93"/>
      <c r="G679" s="85"/>
      <c r="H679" s="87"/>
      <c r="I679" s="94"/>
      <c r="J679" s="93"/>
      <c r="K679" s="85"/>
      <c r="M679" s="94"/>
      <c r="N679" s="93"/>
      <c r="O679" s="85"/>
      <c r="Q679" s="94"/>
      <c r="R679" s="93"/>
      <c r="S679" s="85"/>
      <c r="U679" s="94"/>
      <c r="V679" s="93"/>
      <c r="W679" s="85"/>
      <c r="Y679" s="94"/>
      <c r="Z679" s="93"/>
      <c r="AA679" s="85"/>
      <c r="AC679" s="94"/>
      <c r="AD679" s="93"/>
      <c r="AE679" s="85"/>
    </row>
    <row r="680" spans="6:31" x14ac:dyDescent="0.35">
      <c r="F680" s="93"/>
      <c r="G680" s="85"/>
      <c r="H680" s="87"/>
      <c r="I680" s="94"/>
      <c r="J680" s="93"/>
      <c r="K680" s="85"/>
      <c r="M680" s="94"/>
      <c r="N680" s="93"/>
      <c r="O680" s="85"/>
      <c r="Q680" s="94"/>
      <c r="R680" s="93"/>
      <c r="S680" s="85"/>
      <c r="U680" s="94"/>
      <c r="V680" s="93"/>
      <c r="W680" s="85"/>
      <c r="Y680" s="94"/>
      <c r="Z680" s="93"/>
      <c r="AA680" s="85"/>
      <c r="AC680" s="94"/>
      <c r="AD680" s="93"/>
      <c r="AE680" s="85"/>
    </row>
    <row r="681" spans="6:31" x14ac:dyDescent="0.35">
      <c r="F681" s="93"/>
      <c r="G681" s="85"/>
      <c r="H681" s="87"/>
      <c r="I681" s="94"/>
      <c r="J681" s="93"/>
      <c r="K681" s="85"/>
      <c r="M681" s="94"/>
      <c r="N681" s="93"/>
      <c r="O681" s="85"/>
      <c r="Q681" s="94"/>
      <c r="R681" s="93"/>
      <c r="S681" s="85"/>
      <c r="U681" s="94"/>
      <c r="V681" s="93"/>
      <c r="W681" s="85"/>
      <c r="Y681" s="94"/>
      <c r="Z681" s="93"/>
      <c r="AA681" s="85"/>
      <c r="AC681" s="94"/>
      <c r="AD681" s="93"/>
      <c r="AE681" s="85"/>
    </row>
    <row r="682" spans="6:31" x14ac:dyDescent="0.35">
      <c r="F682" s="93"/>
      <c r="G682" s="85"/>
      <c r="H682" s="87"/>
      <c r="I682" s="94"/>
      <c r="J682" s="93"/>
      <c r="K682" s="85"/>
      <c r="M682" s="94"/>
      <c r="N682" s="93"/>
      <c r="O682" s="85"/>
      <c r="Q682" s="94"/>
      <c r="R682" s="93"/>
      <c r="S682" s="85"/>
      <c r="U682" s="94"/>
      <c r="V682" s="93"/>
      <c r="W682" s="85"/>
      <c r="Y682" s="94"/>
      <c r="Z682" s="93"/>
      <c r="AA682" s="85"/>
      <c r="AC682" s="94"/>
      <c r="AD682" s="93"/>
      <c r="AE682" s="85"/>
    </row>
    <row r="683" spans="6:31" x14ac:dyDescent="0.35">
      <c r="F683" s="93"/>
      <c r="G683" s="85"/>
      <c r="H683" s="87"/>
      <c r="I683" s="94"/>
      <c r="J683" s="93"/>
      <c r="K683" s="85"/>
      <c r="M683" s="94"/>
      <c r="N683" s="93"/>
      <c r="O683" s="85"/>
      <c r="Q683" s="94"/>
      <c r="R683" s="93"/>
      <c r="S683" s="85"/>
      <c r="U683" s="94"/>
      <c r="V683" s="93"/>
      <c r="W683" s="85"/>
      <c r="Y683" s="94"/>
      <c r="Z683" s="93"/>
      <c r="AA683" s="85"/>
      <c r="AC683" s="94"/>
      <c r="AD683" s="93"/>
      <c r="AE683" s="85"/>
    </row>
    <row r="684" spans="6:31" x14ac:dyDescent="0.35">
      <c r="F684" s="93"/>
      <c r="G684" s="85"/>
      <c r="H684" s="87"/>
      <c r="I684" s="94"/>
      <c r="J684" s="93"/>
      <c r="K684" s="85"/>
      <c r="M684" s="94"/>
      <c r="N684" s="93"/>
      <c r="O684" s="85"/>
      <c r="Q684" s="94"/>
      <c r="R684" s="93"/>
      <c r="S684" s="85"/>
      <c r="U684" s="94"/>
      <c r="V684" s="93"/>
      <c r="W684" s="85"/>
      <c r="Y684" s="94"/>
      <c r="Z684" s="93"/>
      <c r="AA684" s="85"/>
      <c r="AC684" s="94"/>
      <c r="AD684" s="93"/>
      <c r="AE684" s="85"/>
    </row>
    <row r="685" spans="6:31" x14ac:dyDescent="0.35">
      <c r="F685" s="93"/>
      <c r="G685" s="85"/>
      <c r="H685" s="87"/>
      <c r="I685" s="94"/>
      <c r="J685" s="93"/>
      <c r="K685" s="85"/>
      <c r="M685" s="94"/>
      <c r="N685" s="93"/>
      <c r="O685" s="85"/>
      <c r="Q685" s="94"/>
      <c r="R685" s="93"/>
      <c r="S685" s="85"/>
      <c r="U685" s="94"/>
      <c r="V685" s="93"/>
      <c r="W685" s="85"/>
      <c r="Y685" s="94"/>
      <c r="Z685" s="93"/>
      <c r="AA685" s="85"/>
      <c r="AC685" s="94"/>
      <c r="AD685" s="93"/>
      <c r="AE685" s="85"/>
    </row>
    <row r="686" spans="6:31" x14ac:dyDescent="0.35">
      <c r="F686" s="93"/>
      <c r="G686" s="85"/>
      <c r="H686" s="87"/>
      <c r="I686" s="94"/>
      <c r="J686" s="93"/>
      <c r="K686" s="85"/>
      <c r="M686" s="94"/>
      <c r="N686" s="93"/>
      <c r="O686" s="85"/>
      <c r="Q686" s="94"/>
      <c r="R686" s="93"/>
      <c r="S686" s="85"/>
      <c r="U686" s="94"/>
      <c r="V686" s="93"/>
      <c r="W686" s="85"/>
      <c r="Y686" s="94"/>
      <c r="Z686" s="93"/>
      <c r="AA686" s="85"/>
      <c r="AC686" s="94"/>
      <c r="AD686" s="93"/>
      <c r="AE686" s="85"/>
    </row>
    <row r="687" spans="6:31" x14ac:dyDescent="0.35">
      <c r="F687" s="93"/>
      <c r="G687" s="85"/>
      <c r="H687" s="87"/>
      <c r="I687" s="94"/>
      <c r="J687" s="93"/>
      <c r="K687" s="85"/>
      <c r="M687" s="94"/>
      <c r="N687" s="93"/>
      <c r="O687" s="85"/>
      <c r="Q687" s="94"/>
      <c r="R687" s="93"/>
      <c r="S687" s="85"/>
      <c r="U687" s="94"/>
      <c r="V687" s="93"/>
      <c r="W687" s="85"/>
      <c r="Y687" s="94"/>
      <c r="Z687" s="93"/>
      <c r="AA687" s="85"/>
      <c r="AC687" s="94"/>
      <c r="AD687" s="93"/>
      <c r="AE687" s="85"/>
    </row>
    <row r="688" spans="6:31" x14ac:dyDescent="0.35">
      <c r="F688" s="93"/>
      <c r="G688" s="85"/>
      <c r="H688" s="87"/>
      <c r="I688" s="94"/>
      <c r="J688" s="93"/>
      <c r="K688" s="85"/>
      <c r="M688" s="94"/>
      <c r="N688" s="93"/>
      <c r="O688" s="85"/>
      <c r="Q688" s="94"/>
      <c r="R688" s="93"/>
      <c r="S688" s="85"/>
      <c r="U688" s="94"/>
      <c r="V688" s="93"/>
      <c r="W688" s="85"/>
      <c r="Y688" s="94"/>
      <c r="Z688" s="93"/>
      <c r="AA688" s="85"/>
      <c r="AC688" s="94"/>
      <c r="AD688" s="93"/>
      <c r="AE688" s="85"/>
    </row>
    <row r="689" spans="6:31" x14ac:dyDescent="0.35">
      <c r="F689" s="93"/>
      <c r="G689" s="85"/>
      <c r="H689" s="87"/>
      <c r="I689" s="94"/>
      <c r="J689" s="93"/>
      <c r="K689" s="85"/>
      <c r="M689" s="94"/>
      <c r="N689" s="93"/>
      <c r="O689" s="85"/>
      <c r="Q689" s="94"/>
      <c r="R689" s="93"/>
      <c r="S689" s="85"/>
      <c r="U689" s="94"/>
      <c r="V689" s="93"/>
      <c r="W689" s="85"/>
      <c r="Y689" s="94"/>
      <c r="Z689" s="93"/>
      <c r="AA689" s="85"/>
      <c r="AC689" s="94"/>
      <c r="AD689" s="93"/>
      <c r="AE689" s="85"/>
    </row>
    <row r="690" spans="6:31" x14ac:dyDescent="0.35">
      <c r="F690" s="93"/>
      <c r="G690" s="85"/>
      <c r="H690" s="87"/>
      <c r="I690" s="94"/>
      <c r="J690" s="93"/>
      <c r="K690" s="85"/>
      <c r="M690" s="94"/>
      <c r="N690" s="93"/>
      <c r="O690" s="85"/>
      <c r="Q690" s="94"/>
      <c r="R690" s="93"/>
      <c r="S690" s="85"/>
      <c r="U690" s="94"/>
      <c r="V690" s="93"/>
      <c r="W690" s="85"/>
      <c r="Y690" s="94"/>
      <c r="Z690" s="93"/>
      <c r="AA690" s="85"/>
      <c r="AC690" s="94"/>
      <c r="AD690" s="93"/>
      <c r="AE690" s="85"/>
    </row>
    <row r="691" spans="6:31" x14ac:dyDescent="0.35">
      <c r="F691" s="93"/>
      <c r="G691" s="85"/>
      <c r="H691" s="87"/>
      <c r="I691" s="94"/>
      <c r="J691" s="93"/>
      <c r="K691" s="85"/>
      <c r="M691" s="94"/>
      <c r="N691" s="93"/>
      <c r="O691" s="85"/>
      <c r="Q691" s="94"/>
      <c r="R691" s="93"/>
      <c r="S691" s="85"/>
      <c r="U691" s="94"/>
      <c r="V691" s="93"/>
      <c r="W691" s="85"/>
      <c r="Y691" s="94"/>
      <c r="Z691" s="93"/>
      <c r="AA691" s="85"/>
      <c r="AC691" s="94"/>
      <c r="AD691" s="93"/>
      <c r="AE691" s="85"/>
    </row>
    <row r="692" spans="6:31" x14ac:dyDescent="0.35">
      <c r="F692" s="93"/>
      <c r="G692" s="85"/>
      <c r="H692" s="87"/>
      <c r="I692" s="94"/>
      <c r="J692" s="93"/>
      <c r="K692" s="85"/>
      <c r="M692" s="94"/>
      <c r="N692" s="93"/>
      <c r="O692" s="85"/>
      <c r="Q692" s="94"/>
      <c r="R692" s="93"/>
      <c r="S692" s="85"/>
      <c r="U692" s="94"/>
      <c r="V692" s="93"/>
      <c r="W692" s="85"/>
      <c r="Y692" s="94"/>
      <c r="Z692" s="93"/>
      <c r="AA692" s="85"/>
      <c r="AC692" s="94"/>
      <c r="AD692" s="93"/>
      <c r="AE692" s="85"/>
    </row>
    <row r="693" spans="6:31" x14ac:dyDescent="0.35">
      <c r="F693" s="93"/>
      <c r="G693" s="85"/>
      <c r="H693" s="87"/>
      <c r="I693" s="94"/>
      <c r="J693" s="93"/>
      <c r="K693" s="85"/>
      <c r="M693" s="94"/>
      <c r="N693" s="93"/>
      <c r="O693" s="85"/>
      <c r="Q693" s="94"/>
      <c r="R693" s="93"/>
      <c r="S693" s="85"/>
      <c r="U693" s="94"/>
      <c r="V693" s="93"/>
      <c r="W693" s="85"/>
      <c r="Y693" s="94"/>
      <c r="Z693" s="93"/>
      <c r="AA693" s="85"/>
      <c r="AC693" s="94"/>
      <c r="AD693" s="93"/>
      <c r="AE693" s="85"/>
    </row>
    <row r="694" spans="6:31" x14ac:dyDescent="0.35">
      <c r="F694" s="93"/>
      <c r="G694" s="85"/>
      <c r="H694" s="87"/>
      <c r="I694" s="94"/>
      <c r="J694" s="93"/>
      <c r="K694" s="85"/>
      <c r="M694" s="94"/>
      <c r="N694" s="93"/>
      <c r="O694" s="85"/>
      <c r="Q694" s="94"/>
      <c r="R694" s="93"/>
      <c r="S694" s="85"/>
      <c r="U694" s="94"/>
      <c r="V694" s="93"/>
      <c r="W694" s="85"/>
      <c r="Y694" s="94"/>
      <c r="Z694" s="93"/>
      <c r="AA694" s="85"/>
      <c r="AC694" s="94"/>
      <c r="AD694" s="93"/>
      <c r="AE694" s="85"/>
    </row>
    <row r="695" spans="6:31" x14ac:dyDescent="0.35">
      <c r="F695" s="93"/>
      <c r="G695" s="85"/>
      <c r="H695" s="87"/>
      <c r="I695" s="94"/>
      <c r="J695" s="93"/>
      <c r="K695" s="85"/>
      <c r="M695" s="94"/>
      <c r="N695" s="93"/>
      <c r="O695" s="85"/>
      <c r="Q695" s="94"/>
      <c r="R695" s="93"/>
      <c r="S695" s="85"/>
      <c r="U695" s="94"/>
      <c r="V695" s="93"/>
      <c r="W695" s="85"/>
      <c r="Y695" s="94"/>
      <c r="Z695" s="93"/>
      <c r="AA695" s="85"/>
      <c r="AC695" s="94"/>
      <c r="AD695" s="93"/>
      <c r="AE695" s="85"/>
    </row>
    <row r="696" spans="6:31" x14ac:dyDescent="0.35">
      <c r="F696" s="93"/>
      <c r="G696" s="85"/>
      <c r="H696" s="87"/>
      <c r="I696" s="94"/>
      <c r="J696" s="93"/>
      <c r="K696" s="85"/>
      <c r="M696" s="94"/>
      <c r="N696" s="93"/>
      <c r="O696" s="85"/>
      <c r="Q696" s="94"/>
      <c r="R696" s="93"/>
      <c r="S696" s="85"/>
      <c r="U696" s="94"/>
      <c r="V696" s="93"/>
      <c r="W696" s="85"/>
      <c r="Y696" s="94"/>
      <c r="Z696" s="93"/>
      <c r="AA696" s="85"/>
      <c r="AC696" s="94"/>
      <c r="AD696" s="93"/>
      <c r="AE696" s="85"/>
    </row>
    <row r="697" spans="6:31" x14ac:dyDescent="0.35">
      <c r="F697" s="93"/>
      <c r="G697" s="85"/>
      <c r="H697" s="87"/>
      <c r="I697" s="94"/>
      <c r="J697" s="93"/>
      <c r="K697" s="85"/>
      <c r="M697" s="94"/>
      <c r="N697" s="93"/>
      <c r="O697" s="85"/>
      <c r="Q697" s="94"/>
      <c r="R697" s="93"/>
      <c r="S697" s="85"/>
      <c r="U697" s="94"/>
      <c r="V697" s="93"/>
      <c r="W697" s="85"/>
      <c r="Y697" s="94"/>
      <c r="Z697" s="93"/>
      <c r="AA697" s="85"/>
      <c r="AC697" s="94"/>
      <c r="AD697" s="93"/>
      <c r="AE697" s="85"/>
    </row>
    <row r="698" spans="6:31" x14ac:dyDescent="0.35">
      <c r="F698" s="93"/>
      <c r="G698" s="85"/>
      <c r="H698" s="87"/>
      <c r="I698" s="94"/>
      <c r="J698" s="93"/>
      <c r="K698" s="85"/>
      <c r="M698" s="94"/>
      <c r="N698" s="93"/>
      <c r="O698" s="85"/>
      <c r="Q698" s="94"/>
      <c r="R698" s="93"/>
      <c r="S698" s="85"/>
      <c r="U698" s="94"/>
      <c r="V698" s="93"/>
      <c r="W698" s="85"/>
      <c r="Y698" s="94"/>
      <c r="Z698" s="93"/>
      <c r="AA698" s="85"/>
      <c r="AC698" s="94"/>
      <c r="AD698" s="93"/>
      <c r="AE698" s="85"/>
    </row>
    <row r="699" spans="6:31" x14ac:dyDescent="0.35">
      <c r="F699" s="93"/>
      <c r="G699" s="85"/>
      <c r="H699" s="87"/>
      <c r="I699" s="94"/>
      <c r="J699" s="93"/>
      <c r="K699" s="85"/>
      <c r="M699" s="94"/>
      <c r="N699" s="93"/>
      <c r="O699" s="85"/>
      <c r="Q699" s="94"/>
      <c r="R699" s="93"/>
      <c r="S699" s="85"/>
      <c r="U699" s="94"/>
      <c r="V699" s="93"/>
      <c r="W699" s="85"/>
      <c r="Y699" s="94"/>
      <c r="Z699" s="93"/>
      <c r="AA699" s="85"/>
      <c r="AC699" s="94"/>
      <c r="AD699" s="93"/>
      <c r="AE699" s="85"/>
    </row>
    <row r="700" spans="6:31" x14ac:dyDescent="0.35">
      <c r="F700" s="93"/>
      <c r="G700" s="85"/>
      <c r="H700" s="87"/>
      <c r="I700" s="94"/>
      <c r="J700" s="93"/>
      <c r="K700" s="85"/>
      <c r="M700" s="94"/>
      <c r="N700" s="93"/>
      <c r="O700" s="85"/>
      <c r="Q700" s="94"/>
      <c r="R700" s="93"/>
      <c r="S700" s="85"/>
      <c r="U700" s="94"/>
      <c r="V700" s="93"/>
      <c r="W700" s="85"/>
      <c r="Y700" s="94"/>
      <c r="Z700" s="93"/>
      <c r="AA700" s="85"/>
      <c r="AC700" s="94"/>
      <c r="AD700" s="93"/>
      <c r="AE700" s="85"/>
    </row>
    <row r="701" spans="6:31" x14ac:dyDescent="0.35">
      <c r="F701" s="93"/>
      <c r="G701" s="85"/>
      <c r="H701" s="87"/>
      <c r="I701" s="94"/>
      <c r="J701" s="93"/>
      <c r="K701" s="85"/>
      <c r="M701" s="94"/>
      <c r="N701" s="93"/>
      <c r="O701" s="85"/>
      <c r="Q701" s="94"/>
      <c r="R701" s="93"/>
      <c r="S701" s="85"/>
      <c r="U701" s="94"/>
      <c r="V701" s="93"/>
      <c r="W701" s="85"/>
      <c r="Y701" s="94"/>
      <c r="Z701" s="93"/>
      <c r="AA701" s="85"/>
      <c r="AC701" s="94"/>
      <c r="AD701" s="93"/>
      <c r="AE701" s="85"/>
    </row>
    <row r="702" spans="6:31" x14ac:dyDescent="0.35">
      <c r="F702" s="93"/>
      <c r="G702" s="85"/>
      <c r="H702" s="87"/>
      <c r="I702" s="94"/>
      <c r="J702" s="93"/>
      <c r="K702" s="85"/>
      <c r="M702" s="94"/>
      <c r="N702" s="93"/>
      <c r="O702" s="85"/>
      <c r="Q702" s="94"/>
      <c r="R702" s="93"/>
      <c r="S702" s="85"/>
      <c r="U702" s="94"/>
      <c r="V702" s="93"/>
      <c r="W702" s="85"/>
      <c r="Y702" s="94"/>
      <c r="Z702" s="93"/>
      <c r="AA702" s="85"/>
      <c r="AC702" s="94"/>
      <c r="AD702" s="93"/>
      <c r="AE702" s="85"/>
    </row>
    <row r="703" spans="6:31" x14ac:dyDescent="0.35">
      <c r="F703" s="93"/>
      <c r="G703" s="85"/>
      <c r="H703" s="87"/>
      <c r="I703" s="94"/>
      <c r="J703" s="93"/>
      <c r="K703" s="85"/>
      <c r="M703" s="94"/>
      <c r="N703" s="93"/>
      <c r="O703" s="85"/>
      <c r="Q703" s="94"/>
      <c r="R703" s="93"/>
      <c r="S703" s="85"/>
      <c r="U703" s="94"/>
      <c r="V703" s="93"/>
      <c r="W703" s="85"/>
      <c r="Y703" s="94"/>
      <c r="Z703" s="93"/>
      <c r="AA703" s="85"/>
      <c r="AC703" s="94"/>
      <c r="AD703" s="93"/>
      <c r="AE703" s="85"/>
    </row>
    <row r="704" spans="6:31" x14ac:dyDescent="0.35">
      <c r="F704" s="93"/>
      <c r="G704" s="85"/>
      <c r="H704" s="87"/>
      <c r="I704" s="94"/>
      <c r="J704" s="93"/>
      <c r="K704" s="85"/>
      <c r="M704" s="94"/>
      <c r="N704" s="93"/>
      <c r="O704" s="85"/>
      <c r="Q704" s="94"/>
      <c r="R704" s="93"/>
      <c r="S704" s="85"/>
      <c r="U704" s="94"/>
      <c r="V704" s="93"/>
      <c r="W704" s="85"/>
      <c r="Y704" s="94"/>
      <c r="Z704" s="93"/>
      <c r="AA704" s="85"/>
      <c r="AC704" s="94"/>
      <c r="AD704" s="93"/>
      <c r="AE704" s="85"/>
    </row>
    <row r="705" spans="6:31" x14ac:dyDescent="0.35">
      <c r="F705" s="93"/>
      <c r="G705" s="85"/>
      <c r="H705" s="87"/>
      <c r="I705" s="94"/>
      <c r="J705" s="93"/>
      <c r="K705" s="85"/>
      <c r="M705" s="94"/>
      <c r="N705" s="93"/>
      <c r="O705" s="85"/>
      <c r="Q705" s="94"/>
      <c r="R705" s="93"/>
      <c r="S705" s="85"/>
      <c r="U705" s="94"/>
      <c r="V705" s="93"/>
      <c r="W705" s="85"/>
      <c r="Y705" s="94"/>
      <c r="Z705" s="93"/>
      <c r="AA705" s="85"/>
      <c r="AC705" s="94"/>
      <c r="AD705" s="93"/>
      <c r="AE705" s="85"/>
    </row>
    <row r="706" spans="6:31" x14ac:dyDescent="0.35">
      <c r="F706" s="93"/>
      <c r="G706" s="85"/>
      <c r="H706" s="87"/>
      <c r="I706" s="94"/>
      <c r="J706" s="93"/>
      <c r="K706" s="85"/>
      <c r="M706" s="94"/>
      <c r="N706" s="93"/>
      <c r="O706" s="85"/>
      <c r="Q706" s="94"/>
      <c r="R706" s="93"/>
      <c r="S706" s="85"/>
      <c r="U706" s="94"/>
      <c r="V706" s="93"/>
      <c r="W706" s="85"/>
      <c r="Y706" s="94"/>
      <c r="Z706" s="93"/>
      <c r="AA706" s="85"/>
      <c r="AC706" s="94"/>
      <c r="AD706" s="93"/>
      <c r="AE706" s="85"/>
    </row>
    <row r="707" spans="6:31" x14ac:dyDescent="0.35">
      <c r="F707" s="93"/>
      <c r="G707" s="85"/>
      <c r="H707" s="87"/>
      <c r="I707" s="94"/>
      <c r="J707" s="93"/>
      <c r="K707" s="85"/>
      <c r="M707" s="94"/>
      <c r="N707" s="93"/>
      <c r="O707" s="85"/>
      <c r="Q707" s="94"/>
      <c r="R707" s="93"/>
      <c r="S707" s="85"/>
      <c r="U707" s="94"/>
      <c r="V707" s="93"/>
      <c r="W707" s="85"/>
      <c r="Y707" s="94"/>
      <c r="Z707" s="93"/>
      <c r="AA707" s="85"/>
      <c r="AC707" s="94"/>
      <c r="AD707" s="93"/>
      <c r="AE707" s="85"/>
    </row>
    <row r="708" spans="6:31" x14ac:dyDescent="0.35">
      <c r="F708" s="93"/>
      <c r="G708" s="85"/>
      <c r="H708" s="87"/>
      <c r="I708" s="94"/>
      <c r="J708" s="93"/>
      <c r="K708" s="85"/>
      <c r="M708" s="94"/>
      <c r="N708" s="93"/>
      <c r="O708" s="85"/>
      <c r="Q708" s="94"/>
      <c r="R708" s="93"/>
      <c r="S708" s="85"/>
      <c r="U708" s="94"/>
      <c r="V708" s="93"/>
      <c r="W708" s="85"/>
      <c r="Y708" s="94"/>
      <c r="Z708" s="93"/>
      <c r="AA708" s="85"/>
      <c r="AC708" s="94"/>
      <c r="AD708" s="93"/>
      <c r="AE708" s="85"/>
    </row>
    <row r="709" spans="6:31" x14ac:dyDescent="0.35">
      <c r="F709" s="93"/>
      <c r="G709" s="85"/>
      <c r="H709" s="87"/>
      <c r="I709" s="94"/>
      <c r="J709" s="93"/>
      <c r="K709" s="85"/>
      <c r="M709" s="94"/>
      <c r="N709" s="93"/>
      <c r="O709" s="85"/>
      <c r="Q709" s="94"/>
      <c r="R709" s="93"/>
      <c r="S709" s="85"/>
      <c r="U709" s="94"/>
      <c r="V709" s="93"/>
      <c r="W709" s="85"/>
      <c r="Y709" s="94"/>
      <c r="Z709" s="93"/>
      <c r="AA709" s="85"/>
      <c r="AC709" s="94"/>
      <c r="AD709" s="93"/>
      <c r="AE709" s="85"/>
    </row>
    <row r="710" spans="6:31" x14ac:dyDescent="0.35">
      <c r="F710" s="93"/>
      <c r="G710" s="85"/>
      <c r="H710" s="87"/>
      <c r="I710" s="94"/>
      <c r="J710" s="93"/>
      <c r="K710" s="85"/>
      <c r="M710" s="94"/>
      <c r="N710" s="93"/>
      <c r="O710" s="85"/>
      <c r="Q710" s="94"/>
      <c r="R710" s="93"/>
      <c r="S710" s="85"/>
      <c r="U710" s="94"/>
      <c r="V710" s="93"/>
      <c r="W710" s="85"/>
      <c r="Y710" s="94"/>
      <c r="Z710" s="93"/>
      <c r="AA710" s="85"/>
      <c r="AC710" s="94"/>
      <c r="AD710" s="93"/>
      <c r="AE710" s="85"/>
    </row>
    <row r="711" spans="6:31" x14ac:dyDescent="0.35">
      <c r="F711" s="93"/>
      <c r="G711" s="85"/>
      <c r="H711" s="87"/>
      <c r="I711" s="94"/>
      <c r="J711" s="93"/>
      <c r="K711" s="85"/>
      <c r="M711" s="94"/>
      <c r="N711" s="93"/>
      <c r="O711" s="85"/>
      <c r="Q711" s="94"/>
      <c r="R711" s="93"/>
      <c r="S711" s="85"/>
      <c r="U711" s="94"/>
      <c r="V711" s="93"/>
      <c r="W711" s="85"/>
      <c r="Y711" s="94"/>
      <c r="Z711" s="93"/>
      <c r="AA711" s="85"/>
      <c r="AC711" s="94"/>
      <c r="AD711" s="93"/>
      <c r="AE711" s="85"/>
    </row>
    <row r="712" spans="6:31" x14ac:dyDescent="0.35">
      <c r="F712" s="93"/>
      <c r="G712" s="85"/>
      <c r="H712" s="87"/>
      <c r="I712" s="94"/>
      <c r="J712" s="93"/>
      <c r="K712" s="85"/>
      <c r="M712" s="94"/>
      <c r="N712" s="93"/>
      <c r="O712" s="85"/>
      <c r="Q712" s="94"/>
      <c r="R712" s="93"/>
      <c r="S712" s="85"/>
      <c r="U712" s="94"/>
      <c r="V712" s="93"/>
      <c r="W712" s="85"/>
      <c r="Y712" s="94"/>
      <c r="Z712" s="93"/>
      <c r="AA712" s="85"/>
      <c r="AC712" s="94"/>
      <c r="AD712" s="93"/>
      <c r="AE712" s="85"/>
    </row>
    <row r="713" spans="6:31" x14ac:dyDescent="0.35">
      <c r="F713" s="93"/>
      <c r="G713" s="85"/>
      <c r="H713" s="87"/>
      <c r="I713" s="94"/>
      <c r="J713" s="93"/>
      <c r="K713" s="85"/>
      <c r="M713" s="94"/>
      <c r="N713" s="93"/>
      <c r="O713" s="85"/>
      <c r="Q713" s="94"/>
      <c r="R713" s="93"/>
      <c r="S713" s="85"/>
      <c r="U713" s="94"/>
      <c r="V713" s="93"/>
      <c r="W713" s="85"/>
      <c r="Y713" s="94"/>
      <c r="Z713" s="93"/>
      <c r="AA713" s="85"/>
      <c r="AC713" s="94"/>
      <c r="AD713" s="93"/>
      <c r="AE713" s="85"/>
    </row>
    <row r="714" spans="6:31" x14ac:dyDescent="0.35">
      <c r="F714" s="93"/>
      <c r="G714" s="85"/>
      <c r="H714" s="87"/>
      <c r="I714" s="94"/>
      <c r="J714" s="93"/>
      <c r="K714" s="85"/>
      <c r="M714" s="94"/>
      <c r="N714" s="93"/>
      <c r="O714" s="85"/>
      <c r="Q714" s="94"/>
      <c r="R714" s="93"/>
      <c r="S714" s="85"/>
      <c r="U714" s="94"/>
      <c r="V714" s="93"/>
      <c r="W714" s="85"/>
      <c r="Y714" s="94"/>
      <c r="Z714" s="93"/>
      <c r="AA714" s="85"/>
      <c r="AC714" s="94"/>
      <c r="AD714" s="93"/>
      <c r="AE714" s="85"/>
    </row>
    <row r="715" spans="6:31" x14ac:dyDescent="0.35">
      <c r="F715" s="93"/>
      <c r="G715" s="85"/>
      <c r="H715" s="87"/>
      <c r="I715" s="94"/>
      <c r="J715" s="93"/>
      <c r="K715" s="85"/>
      <c r="M715" s="94"/>
      <c r="N715" s="93"/>
      <c r="O715" s="85"/>
      <c r="Q715" s="94"/>
      <c r="R715" s="93"/>
      <c r="S715" s="85"/>
      <c r="U715" s="94"/>
      <c r="V715" s="93"/>
      <c r="W715" s="85"/>
      <c r="Y715" s="94"/>
      <c r="Z715" s="93"/>
      <c r="AA715" s="85"/>
      <c r="AC715" s="94"/>
      <c r="AD715" s="93"/>
      <c r="AE715" s="85"/>
    </row>
    <row r="716" spans="6:31" x14ac:dyDescent="0.35">
      <c r="F716" s="93"/>
      <c r="G716" s="85"/>
      <c r="H716" s="87"/>
      <c r="I716" s="94"/>
      <c r="J716" s="93"/>
      <c r="K716" s="85"/>
      <c r="M716" s="94"/>
      <c r="N716" s="93"/>
      <c r="O716" s="85"/>
      <c r="Q716" s="94"/>
      <c r="R716" s="93"/>
      <c r="S716" s="85"/>
      <c r="U716" s="94"/>
      <c r="V716" s="93"/>
      <c r="W716" s="85"/>
      <c r="Y716" s="94"/>
      <c r="Z716" s="93"/>
      <c r="AA716" s="85"/>
      <c r="AC716" s="94"/>
      <c r="AD716" s="93"/>
      <c r="AE716" s="85"/>
    </row>
    <row r="717" spans="6:31" x14ac:dyDescent="0.35">
      <c r="F717" s="93"/>
      <c r="G717" s="85"/>
      <c r="H717" s="87"/>
      <c r="I717" s="94"/>
      <c r="J717" s="93"/>
      <c r="K717" s="85"/>
      <c r="M717" s="94"/>
      <c r="N717" s="93"/>
      <c r="O717" s="85"/>
      <c r="Q717" s="94"/>
      <c r="R717" s="93"/>
      <c r="S717" s="85"/>
      <c r="U717" s="94"/>
      <c r="V717" s="93"/>
      <c r="W717" s="85"/>
      <c r="Y717" s="94"/>
      <c r="Z717" s="93"/>
      <c r="AA717" s="85"/>
      <c r="AC717" s="94"/>
      <c r="AD717" s="93"/>
      <c r="AE717" s="85"/>
    </row>
    <row r="718" spans="6:31" x14ac:dyDescent="0.35">
      <c r="F718" s="93"/>
      <c r="G718" s="85"/>
      <c r="H718" s="87"/>
      <c r="I718" s="94"/>
      <c r="J718" s="93"/>
      <c r="K718" s="85"/>
      <c r="M718" s="94"/>
      <c r="N718" s="93"/>
      <c r="O718" s="85"/>
      <c r="Q718" s="94"/>
      <c r="R718" s="93"/>
      <c r="S718" s="85"/>
      <c r="U718" s="94"/>
      <c r="V718" s="93"/>
      <c r="W718" s="85"/>
      <c r="Y718" s="94"/>
      <c r="Z718" s="93"/>
      <c r="AA718" s="85"/>
      <c r="AC718" s="94"/>
      <c r="AD718" s="93"/>
      <c r="AE718" s="85"/>
    </row>
    <row r="719" spans="6:31" x14ac:dyDescent="0.35">
      <c r="F719" s="93"/>
      <c r="G719" s="85"/>
      <c r="H719" s="87"/>
      <c r="I719" s="94"/>
      <c r="J719" s="93"/>
      <c r="K719" s="85"/>
      <c r="M719" s="94"/>
      <c r="N719" s="93"/>
      <c r="O719" s="85"/>
      <c r="Q719" s="94"/>
      <c r="R719" s="93"/>
      <c r="S719" s="85"/>
      <c r="U719" s="94"/>
      <c r="V719" s="93"/>
      <c r="W719" s="85"/>
      <c r="Y719" s="94"/>
      <c r="Z719" s="93"/>
      <c r="AA719" s="85"/>
      <c r="AC719" s="94"/>
      <c r="AD719" s="93"/>
      <c r="AE719" s="85"/>
    </row>
    <row r="720" spans="6:31" x14ac:dyDescent="0.35">
      <c r="F720" s="93"/>
      <c r="G720" s="85"/>
      <c r="H720" s="87"/>
      <c r="I720" s="94"/>
      <c r="J720" s="93"/>
      <c r="K720" s="85"/>
      <c r="M720" s="94"/>
      <c r="N720" s="93"/>
      <c r="O720" s="85"/>
      <c r="Q720" s="94"/>
      <c r="R720" s="93"/>
      <c r="S720" s="85"/>
      <c r="U720" s="94"/>
      <c r="V720" s="93"/>
      <c r="W720" s="85"/>
      <c r="Y720" s="94"/>
      <c r="Z720" s="93"/>
      <c r="AA720" s="85"/>
      <c r="AC720" s="94"/>
      <c r="AD720" s="93"/>
      <c r="AE720" s="85"/>
    </row>
    <row r="721" spans="6:31" x14ac:dyDescent="0.35">
      <c r="F721" s="93"/>
      <c r="G721" s="85"/>
      <c r="H721" s="87"/>
      <c r="I721" s="94"/>
      <c r="J721" s="93"/>
      <c r="K721" s="85"/>
      <c r="M721" s="94"/>
      <c r="N721" s="93"/>
      <c r="O721" s="85"/>
      <c r="Q721" s="94"/>
      <c r="R721" s="93"/>
      <c r="S721" s="85"/>
      <c r="U721" s="94"/>
      <c r="V721" s="93"/>
      <c r="W721" s="85"/>
      <c r="Y721" s="94"/>
      <c r="Z721" s="93"/>
      <c r="AA721" s="85"/>
      <c r="AC721" s="94"/>
      <c r="AD721" s="93"/>
      <c r="AE721" s="85"/>
    </row>
    <row r="722" spans="6:31" x14ac:dyDescent="0.35">
      <c r="F722" s="93"/>
      <c r="G722" s="85"/>
      <c r="H722" s="87"/>
      <c r="I722" s="94"/>
      <c r="J722" s="93"/>
      <c r="K722" s="85"/>
      <c r="M722" s="94"/>
      <c r="N722" s="93"/>
      <c r="O722" s="85"/>
      <c r="Q722" s="94"/>
      <c r="R722" s="93"/>
      <c r="S722" s="85"/>
      <c r="U722" s="94"/>
      <c r="V722" s="93"/>
      <c r="W722" s="85"/>
      <c r="Y722" s="94"/>
      <c r="Z722" s="93"/>
      <c r="AA722" s="85"/>
      <c r="AC722" s="94"/>
      <c r="AD722" s="93"/>
      <c r="AE722" s="85"/>
    </row>
    <row r="723" spans="6:31" x14ac:dyDescent="0.35">
      <c r="F723" s="93"/>
      <c r="G723" s="85"/>
      <c r="H723" s="87"/>
      <c r="I723" s="94"/>
      <c r="J723" s="93"/>
      <c r="K723" s="85"/>
      <c r="M723" s="94"/>
      <c r="N723" s="93"/>
      <c r="O723" s="85"/>
      <c r="Q723" s="94"/>
      <c r="R723" s="93"/>
      <c r="S723" s="85"/>
      <c r="U723" s="94"/>
      <c r="V723" s="93"/>
      <c r="W723" s="85"/>
      <c r="Y723" s="94"/>
      <c r="Z723" s="93"/>
      <c r="AA723" s="85"/>
      <c r="AC723" s="94"/>
      <c r="AD723" s="93"/>
      <c r="AE723" s="85"/>
    </row>
    <row r="724" spans="6:31" x14ac:dyDescent="0.35">
      <c r="F724" s="93"/>
      <c r="G724" s="85"/>
      <c r="H724" s="87"/>
      <c r="I724" s="94"/>
      <c r="J724" s="93"/>
      <c r="K724" s="85"/>
      <c r="M724" s="94"/>
      <c r="N724" s="93"/>
      <c r="O724" s="85"/>
      <c r="Q724" s="94"/>
      <c r="R724" s="93"/>
      <c r="S724" s="85"/>
      <c r="U724" s="94"/>
      <c r="V724" s="93"/>
      <c r="W724" s="85"/>
      <c r="Y724" s="94"/>
      <c r="Z724" s="93"/>
      <c r="AA724" s="85"/>
      <c r="AC724" s="94"/>
      <c r="AD724" s="93"/>
      <c r="AE724" s="85"/>
    </row>
    <row r="725" spans="6:31" x14ac:dyDescent="0.35">
      <c r="F725" s="93"/>
      <c r="G725" s="85"/>
      <c r="H725" s="87"/>
      <c r="I725" s="94"/>
      <c r="J725" s="93"/>
      <c r="K725" s="85"/>
      <c r="M725" s="94"/>
      <c r="N725" s="93"/>
      <c r="O725" s="85"/>
      <c r="Q725" s="94"/>
      <c r="R725" s="93"/>
      <c r="S725" s="85"/>
      <c r="U725" s="94"/>
      <c r="V725" s="93"/>
      <c r="W725" s="85"/>
      <c r="Y725" s="94"/>
      <c r="Z725" s="93"/>
      <c r="AA725" s="85"/>
      <c r="AC725" s="94"/>
      <c r="AD725" s="93"/>
      <c r="AE725" s="85"/>
    </row>
    <row r="726" spans="6:31" x14ac:dyDescent="0.35">
      <c r="F726" s="93"/>
      <c r="G726" s="85"/>
      <c r="H726" s="87"/>
      <c r="I726" s="94"/>
      <c r="J726" s="93"/>
      <c r="K726" s="85"/>
      <c r="M726" s="94"/>
      <c r="N726" s="93"/>
      <c r="O726" s="85"/>
      <c r="Q726" s="94"/>
      <c r="R726" s="93"/>
      <c r="S726" s="85"/>
      <c r="U726" s="94"/>
      <c r="V726" s="93"/>
      <c r="W726" s="85"/>
      <c r="Y726" s="94"/>
      <c r="Z726" s="93"/>
      <c r="AA726" s="85"/>
      <c r="AC726" s="94"/>
      <c r="AD726" s="93"/>
      <c r="AE726" s="85"/>
    </row>
    <row r="727" spans="6:31" x14ac:dyDescent="0.35">
      <c r="F727" s="93"/>
      <c r="G727" s="85"/>
      <c r="H727" s="87"/>
      <c r="I727" s="94"/>
      <c r="J727" s="93"/>
      <c r="K727" s="85"/>
      <c r="M727" s="94"/>
      <c r="N727" s="93"/>
      <c r="O727" s="85"/>
      <c r="Q727" s="94"/>
      <c r="R727" s="93"/>
      <c r="S727" s="85"/>
      <c r="U727" s="94"/>
      <c r="V727" s="93"/>
      <c r="W727" s="85"/>
      <c r="Y727" s="94"/>
      <c r="Z727" s="93"/>
      <c r="AA727" s="85"/>
      <c r="AC727" s="94"/>
      <c r="AD727" s="93"/>
      <c r="AE727" s="85"/>
    </row>
    <row r="728" spans="6:31" x14ac:dyDescent="0.35">
      <c r="F728" s="93"/>
      <c r="G728" s="85"/>
      <c r="H728" s="87"/>
      <c r="I728" s="94"/>
      <c r="J728" s="93"/>
      <c r="K728" s="85"/>
      <c r="M728" s="94"/>
      <c r="N728" s="93"/>
      <c r="O728" s="85"/>
      <c r="Q728" s="94"/>
      <c r="R728" s="93"/>
      <c r="S728" s="85"/>
      <c r="U728" s="94"/>
      <c r="V728" s="93"/>
      <c r="W728" s="85"/>
      <c r="Y728" s="94"/>
      <c r="Z728" s="93"/>
      <c r="AA728" s="85"/>
      <c r="AC728" s="94"/>
      <c r="AD728" s="93"/>
      <c r="AE728" s="85"/>
    </row>
    <row r="729" spans="6:31" x14ac:dyDescent="0.35">
      <c r="F729" s="93"/>
      <c r="G729" s="85"/>
      <c r="H729" s="87"/>
      <c r="I729" s="94"/>
      <c r="J729" s="93"/>
      <c r="K729" s="85"/>
      <c r="M729" s="94"/>
      <c r="N729" s="93"/>
      <c r="O729" s="85"/>
      <c r="Q729" s="94"/>
      <c r="R729" s="93"/>
      <c r="S729" s="85"/>
      <c r="U729" s="94"/>
      <c r="V729" s="93"/>
      <c r="W729" s="85"/>
      <c r="Y729" s="94"/>
      <c r="Z729" s="93"/>
      <c r="AA729" s="85"/>
      <c r="AC729" s="94"/>
      <c r="AD729" s="93"/>
      <c r="AE729" s="85"/>
    </row>
    <row r="730" spans="6:31" x14ac:dyDescent="0.35">
      <c r="F730" s="93"/>
      <c r="G730" s="85"/>
      <c r="H730" s="87"/>
      <c r="I730" s="94"/>
      <c r="J730" s="93"/>
      <c r="K730" s="85"/>
      <c r="M730" s="94"/>
      <c r="N730" s="93"/>
      <c r="O730" s="85"/>
      <c r="Q730" s="94"/>
      <c r="R730" s="93"/>
      <c r="S730" s="85"/>
      <c r="U730" s="94"/>
      <c r="V730" s="93"/>
      <c r="W730" s="85"/>
      <c r="Y730" s="94"/>
      <c r="Z730" s="93"/>
      <c r="AA730" s="85"/>
      <c r="AC730" s="94"/>
      <c r="AD730" s="93"/>
      <c r="AE730" s="85"/>
    </row>
    <row r="731" spans="6:31" x14ac:dyDescent="0.35">
      <c r="F731" s="93"/>
      <c r="G731" s="85"/>
      <c r="H731" s="87"/>
      <c r="I731" s="94"/>
      <c r="J731" s="93"/>
      <c r="K731" s="85"/>
      <c r="M731" s="94"/>
      <c r="N731" s="93"/>
      <c r="O731" s="85"/>
      <c r="Q731" s="94"/>
      <c r="R731" s="93"/>
      <c r="S731" s="85"/>
      <c r="U731" s="94"/>
      <c r="V731" s="93"/>
      <c r="W731" s="85"/>
      <c r="Y731" s="94"/>
      <c r="Z731" s="93"/>
      <c r="AA731" s="85"/>
      <c r="AC731" s="94"/>
      <c r="AD731" s="93"/>
      <c r="AE731" s="85"/>
    </row>
    <row r="732" spans="6:31" x14ac:dyDescent="0.35">
      <c r="F732" s="93"/>
      <c r="G732" s="85"/>
      <c r="H732" s="87"/>
      <c r="I732" s="94"/>
      <c r="J732" s="93"/>
      <c r="K732" s="85"/>
      <c r="M732" s="94"/>
      <c r="N732" s="93"/>
      <c r="O732" s="85"/>
      <c r="Q732" s="94"/>
      <c r="R732" s="93"/>
      <c r="S732" s="85"/>
      <c r="U732" s="94"/>
      <c r="V732" s="93"/>
      <c r="W732" s="85"/>
      <c r="Y732" s="94"/>
      <c r="Z732" s="93"/>
      <c r="AA732" s="85"/>
      <c r="AC732" s="94"/>
      <c r="AD732" s="93"/>
      <c r="AE732" s="85"/>
    </row>
    <row r="733" spans="6:31" x14ac:dyDescent="0.35">
      <c r="F733" s="93"/>
      <c r="G733" s="85"/>
      <c r="H733" s="87"/>
      <c r="I733" s="94"/>
      <c r="J733" s="93"/>
      <c r="K733" s="85"/>
      <c r="M733" s="94"/>
      <c r="N733" s="93"/>
      <c r="O733" s="85"/>
      <c r="Q733" s="94"/>
      <c r="R733" s="93"/>
      <c r="S733" s="85"/>
      <c r="U733" s="94"/>
      <c r="V733" s="93"/>
      <c r="W733" s="85"/>
      <c r="Y733" s="94"/>
      <c r="Z733" s="93"/>
      <c r="AA733" s="85"/>
      <c r="AC733" s="94"/>
      <c r="AD733" s="93"/>
      <c r="AE733" s="85"/>
    </row>
    <row r="734" spans="6:31" x14ac:dyDescent="0.35">
      <c r="F734" s="93"/>
      <c r="G734" s="85"/>
      <c r="H734" s="87"/>
      <c r="I734" s="94"/>
      <c r="J734" s="93"/>
      <c r="K734" s="85"/>
      <c r="M734" s="94"/>
      <c r="N734" s="93"/>
      <c r="O734" s="85"/>
      <c r="Q734" s="94"/>
      <c r="R734" s="93"/>
      <c r="S734" s="85"/>
      <c r="U734" s="94"/>
      <c r="V734" s="93"/>
      <c r="W734" s="85"/>
      <c r="Y734" s="94"/>
      <c r="Z734" s="93"/>
      <c r="AA734" s="85"/>
      <c r="AC734" s="94"/>
      <c r="AD734" s="93"/>
      <c r="AE734" s="85"/>
    </row>
    <row r="735" spans="6:31" x14ac:dyDescent="0.35">
      <c r="F735" s="93"/>
      <c r="G735" s="85"/>
      <c r="H735" s="87"/>
      <c r="I735" s="94"/>
      <c r="J735" s="93"/>
      <c r="K735" s="85"/>
      <c r="M735" s="94"/>
      <c r="N735" s="93"/>
      <c r="O735" s="85"/>
      <c r="Q735" s="94"/>
      <c r="R735" s="93"/>
      <c r="S735" s="85"/>
      <c r="U735" s="94"/>
      <c r="V735" s="93"/>
      <c r="W735" s="85"/>
      <c r="Y735" s="94"/>
      <c r="Z735" s="93"/>
      <c r="AA735" s="85"/>
      <c r="AC735" s="94"/>
      <c r="AD735" s="93"/>
      <c r="AE735" s="85"/>
    </row>
    <row r="736" spans="6:31" x14ac:dyDescent="0.35">
      <c r="F736" s="93"/>
      <c r="G736" s="85"/>
      <c r="H736" s="87"/>
      <c r="I736" s="94"/>
      <c r="J736" s="93"/>
      <c r="K736" s="85"/>
      <c r="M736" s="94"/>
      <c r="N736" s="93"/>
      <c r="O736" s="85"/>
      <c r="Q736" s="94"/>
      <c r="R736" s="93"/>
      <c r="S736" s="85"/>
      <c r="U736" s="94"/>
      <c r="V736" s="93"/>
      <c r="W736" s="85"/>
      <c r="Y736" s="94"/>
      <c r="Z736" s="93"/>
      <c r="AA736" s="85"/>
      <c r="AC736" s="94"/>
      <c r="AD736" s="93"/>
      <c r="AE736" s="85"/>
    </row>
    <row r="737" spans="6:31" x14ac:dyDescent="0.35">
      <c r="F737" s="93"/>
      <c r="G737" s="85"/>
      <c r="H737" s="87"/>
      <c r="I737" s="94"/>
      <c r="J737" s="93"/>
      <c r="K737" s="85"/>
      <c r="M737" s="94"/>
      <c r="N737" s="93"/>
      <c r="O737" s="85"/>
      <c r="Q737" s="94"/>
      <c r="R737" s="93"/>
      <c r="S737" s="85"/>
      <c r="U737" s="94"/>
      <c r="V737" s="93"/>
      <c r="W737" s="85"/>
      <c r="Y737" s="94"/>
      <c r="Z737" s="93"/>
      <c r="AA737" s="85"/>
      <c r="AC737" s="94"/>
      <c r="AD737" s="93"/>
      <c r="AE737" s="85"/>
    </row>
    <row r="738" spans="6:31" x14ac:dyDescent="0.35">
      <c r="F738" s="93"/>
      <c r="G738" s="85"/>
      <c r="H738" s="87"/>
      <c r="I738" s="94"/>
      <c r="J738" s="93"/>
      <c r="K738" s="85"/>
      <c r="M738" s="94"/>
      <c r="N738" s="93"/>
      <c r="O738" s="85"/>
      <c r="Q738" s="94"/>
      <c r="R738" s="93"/>
      <c r="S738" s="85"/>
      <c r="U738" s="94"/>
      <c r="V738" s="93"/>
      <c r="W738" s="85"/>
      <c r="Y738" s="94"/>
      <c r="Z738" s="93"/>
      <c r="AA738" s="85"/>
      <c r="AC738" s="94"/>
      <c r="AD738" s="93"/>
      <c r="AE738" s="85"/>
    </row>
    <row r="739" spans="6:31" x14ac:dyDescent="0.35">
      <c r="F739" s="93"/>
      <c r="G739" s="85"/>
      <c r="H739" s="87"/>
      <c r="I739" s="94"/>
      <c r="J739" s="93"/>
      <c r="K739" s="85"/>
      <c r="M739" s="94"/>
      <c r="N739" s="93"/>
      <c r="O739" s="85"/>
      <c r="Q739" s="94"/>
      <c r="R739" s="93"/>
      <c r="S739" s="85"/>
      <c r="U739" s="94"/>
      <c r="V739" s="93"/>
      <c r="W739" s="85"/>
      <c r="Y739" s="94"/>
      <c r="Z739" s="93"/>
      <c r="AA739" s="85"/>
      <c r="AC739" s="94"/>
      <c r="AD739" s="93"/>
      <c r="AE739" s="85"/>
    </row>
    <row r="740" spans="6:31" x14ac:dyDescent="0.35">
      <c r="F740" s="93"/>
      <c r="G740" s="85"/>
      <c r="H740" s="87"/>
      <c r="I740" s="94"/>
      <c r="J740" s="93"/>
      <c r="K740" s="85"/>
      <c r="M740" s="94"/>
      <c r="N740" s="93"/>
      <c r="O740" s="85"/>
      <c r="Q740" s="94"/>
      <c r="R740" s="93"/>
      <c r="S740" s="85"/>
      <c r="U740" s="94"/>
      <c r="V740" s="93"/>
      <c r="W740" s="85"/>
      <c r="Y740" s="94"/>
      <c r="Z740" s="93"/>
      <c r="AA740" s="85"/>
      <c r="AC740" s="94"/>
      <c r="AD740" s="93"/>
      <c r="AE740" s="85"/>
    </row>
    <row r="741" spans="6:31" x14ac:dyDescent="0.35">
      <c r="F741" s="93"/>
      <c r="G741" s="85"/>
      <c r="H741" s="87"/>
      <c r="I741" s="94"/>
      <c r="J741" s="93"/>
      <c r="K741" s="85"/>
      <c r="M741" s="94"/>
      <c r="N741" s="93"/>
      <c r="O741" s="85"/>
      <c r="Q741" s="94"/>
      <c r="R741" s="93"/>
      <c r="S741" s="85"/>
      <c r="U741" s="94"/>
      <c r="V741" s="93"/>
      <c r="W741" s="85"/>
      <c r="Y741" s="94"/>
      <c r="Z741" s="93"/>
      <c r="AA741" s="85"/>
      <c r="AC741" s="94"/>
      <c r="AD741" s="93"/>
      <c r="AE741" s="85"/>
    </row>
    <row r="742" spans="6:31" x14ac:dyDescent="0.35">
      <c r="F742" s="93"/>
      <c r="G742" s="85"/>
      <c r="H742" s="87"/>
      <c r="I742" s="94"/>
      <c r="J742" s="93"/>
      <c r="K742" s="85"/>
      <c r="M742" s="94"/>
      <c r="N742" s="93"/>
      <c r="O742" s="85"/>
      <c r="Q742" s="94"/>
      <c r="R742" s="93"/>
      <c r="S742" s="85"/>
      <c r="U742" s="94"/>
      <c r="V742" s="93"/>
      <c r="W742" s="85"/>
      <c r="Y742" s="94"/>
      <c r="Z742" s="93"/>
      <c r="AA742" s="85"/>
      <c r="AC742" s="94"/>
      <c r="AD742" s="93"/>
      <c r="AE742" s="85"/>
    </row>
    <row r="743" spans="6:31" x14ac:dyDescent="0.35">
      <c r="F743" s="93"/>
      <c r="G743" s="85"/>
      <c r="H743" s="87"/>
      <c r="I743" s="94"/>
      <c r="J743" s="93"/>
      <c r="K743" s="85"/>
      <c r="M743" s="94"/>
      <c r="N743" s="93"/>
      <c r="O743" s="85"/>
      <c r="Q743" s="94"/>
      <c r="R743" s="93"/>
      <c r="S743" s="85"/>
      <c r="U743" s="94"/>
      <c r="V743" s="93"/>
      <c r="W743" s="85"/>
      <c r="Y743" s="94"/>
      <c r="Z743" s="93"/>
      <c r="AA743" s="85"/>
      <c r="AC743" s="94"/>
      <c r="AD743" s="93"/>
      <c r="AE743" s="85"/>
    </row>
    <row r="744" spans="6:31" x14ac:dyDescent="0.35">
      <c r="F744" s="93"/>
      <c r="G744" s="85"/>
      <c r="H744" s="87"/>
      <c r="I744" s="94"/>
      <c r="J744" s="93"/>
      <c r="K744" s="85"/>
      <c r="M744" s="94"/>
      <c r="N744" s="93"/>
      <c r="O744" s="85"/>
      <c r="Q744" s="94"/>
      <c r="R744" s="93"/>
      <c r="S744" s="85"/>
      <c r="U744" s="94"/>
      <c r="V744" s="93"/>
      <c r="W744" s="85"/>
      <c r="Y744" s="94"/>
      <c r="Z744" s="93"/>
      <c r="AA744" s="85"/>
      <c r="AC744" s="94"/>
      <c r="AD744" s="93"/>
      <c r="AE744" s="85"/>
    </row>
    <row r="745" spans="6:31" x14ac:dyDescent="0.35">
      <c r="F745" s="93"/>
      <c r="G745" s="85"/>
      <c r="H745" s="87"/>
      <c r="I745" s="94"/>
      <c r="J745" s="93"/>
      <c r="K745" s="85"/>
      <c r="M745" s="94"/>
      <c r="N745" s="93"/>
      <c r="O745" s="85"/>
      <c r="Q745" s="94"/>
      <c r="R745" s="93"/>
      <c r="S745" s="85"/>
      <c r="U745" s="94"/>
      <c r="V745" s="93"/>
      <c r="W745" s="85"/>
      <c r="Y745" s="94"/>
      <c r="Z745" s="93"/>
      <c r="AA745" s="85"/>
      <c r="AC745" s="94"/>
      <c r="AD745" s="93"/>
      <c r="AE745" s="85"/>
    </row>
    <row r="746" spans="6:31" x14ac:dyDescent="0.35">
      <c r="F746" s="93"/>
      <c r="G746" s="85"/>
      <c r="H746" s="87"/>
      <c r="I746" s="94"/>
      <c r="J746" s="93"/>
      <c r="K746" s="85"/>
      <c r="M746" s="94"/>
      <c r="N746" s="93"/>
      <c r="O746" s="85"/>
      <c r="Q746" s="94"/>
      <c r="R746" s="93"/>
      <c r="S746" s="85"/>
      <c r="U746" s="94"/>
      <c r="V746" s="93"/>
      <c r="W746" s="85"/>
      <c r="Y746" s="94"/>
      <c r="Z746" s="93"/>
      <c r="AA746" s="85"/>
      <c r="AC746" s="94"/>
      <c r="AD746" s="93"/>
      <c r="AE746" s="85"/>
    </row>
    <row r="747" spans="6:31" x14ac:dyDescent="0.35">
      <c r="F747" s="93"/>
      <c r="G747" s="85"/>
      <c r="H747" s="87"/>
      <c r="I747" s="94"/>
      <c r="J747" s="93"/>
      <c r="K747" s="85"/>
      <c r="M747" s="94"/>
      <c r="N747" s="93"/>
      <c r="O747" s="85"/>
      <c r="Q747" s="94"/>
      <c r="R747" s="93"/>
      <c r="S747" s="85"/>
      <c r="U747" s="94"/>
      <c r="V747" s="93"/>
      <c r="W747" s="85"/>
      <c r="Y747" s="94"/>
      <c r="Z747" s="93"/>
      <c r="AA747" s="85"/>
      <c r="AC747" s="94"/>
      <c r="AD747" s="93"/>
      <c r="AE747" s="85"/>
    </row>
    <row r="748" spans="6:31" x14ac:dyDescent="0.35">
      <c r="F748" s="93"/>
      <c r="G748" s="85"/>
      <c r="H748" s="87"/>
      <c r="I748" s="94"/>
      <c r="J748" s="93"/>
      <c r="K748" s="85"/>
      <c r="M748" s="94"/>
      <c r="N748" s="93"/>
      <c r="O748" s="85"/>
      <c r="Q748" s="94"/>
      <c r="R748" s="93"/>
      <c r="S748" s="85"/>
      <c r="U748" s="94"/>
      <c r="V748" s="93"/>
      <c r="W748" s="85"/>
      <c r="Y748" s="94"/>
      <c r="Z748" s="93"/>
      <c r="AA748" s="85"/>
      <c r="AC748" s="94"/>
      <c r="AD748" s="93"/>
      <c r="AE748" s="85"/>
    </row>
    <row r="749" spans="6:31" x14ac:dyDescent="0.35">
      <c r="F749" s="93"/>
      <c r="G749" s="85"/>
      <c r="H749" s="87"/>
      <c r="I749" s="94"/>
      <c r="J749" s="93"/>
      <c r="K749" s="85"/>
      <c r="M749" s="94"/>
      <c r="N749" s="93"/>
      <c r="O749" s="85"/>
      <c r="Q749" s="94"/>
      <c r="R749" s="93"/>
      <c r="S749" s="85"/>
      <c r="U749" s="94"/>
      <c r="V749" s="93"/>
      <c r="W749" s="85"/>
      <c r="Y749" s="94"/>
      <c r="Z749" s="93"/>
      <c r="AA749" s="85"/>
      <c r="AC749" s="94"/>
      <c r="AD749" s="93"/>
      <c r="AE749" s="85"/>
    </row>
    <row r="750" spans="6:31" x14ac:dyDescent="0.35">
      <c r="F750" s="93"/>
      <c r="G750" s="85"/>
      <c r="H750" s="87"/>
      <c r="I750" s="94"/>
      <c r="J750" s="93"/>
      <c r="K750" s="85"/>
      <c r="M750" s="94"/>
      <c r="N750" s="93"/>
      <c r="O750" s="85"/>
      <c r="Q750" s="94"/>
      <c r="R750" s="93"/>
      <c r="S750" s="85"/>
      <c r="U750" s="94"/>
      <c r="V750" s="93"/>
      <c r="W750" s="85"/>
      <c r="Y750" s="94"/>
      <c r="Z750" s="93"/>
      <c r="AA750" s="85"/>
      <c r="AC750" s="94"/>
      <c r="AD750" s="93"/>
      <c r="AE750" s="85"/>
    </row>
    <row r="751" spans="6:31" x14ac:dyDescent="0.35">
      <c r="F751" s="93"/>
      <c r="G751" s="85"/>
      <c r="H751" s="87"/>
      <c r="I751" s="94"/>
      <c r="J751" s="93"/>
      <c r="K751" s="85"/>
      <c r="M751" s="94"/>
      <c r="N751" s="93"/>
      <c r="O751" s="85"/>
      <c r="Q751" s="94"/>
      <c r="R751" s="93"/>
      <c r="S751" s="85"/>
      <c r="U751" s="94"/>
      <c r="V751" s="93"/>
      <c r="W751" s="85"/>
      <c r="Y751" s="94"/>
      <c r="Z751" s="93"/>
      <c r="AA751" s="85"/>
      <c r="AC751" s="94"/>
      <c r="AD751" s="93"/>
      <c r="AE751" s="85"/>
    </row>
    <row r="752" spans="6:31" x14ac:dyDescent="0.35">
      <c r="F752" s="93"/>
      <c r="G752" s="85"/>
      <c r="H752" s="87"/>
      <c r="I752" s="94"/>
      <c r="J752" s="93"/>
      <c r="K752" s="85"/>
      <c r="M752" s="94"/>
      <c r="N752" s="93"/>
      <c r="O752" s="85"/>
      <c r="Q752" s="94"/>
      <c r="R752" s="93"/>
      <c r="S752" s="85"/>
      <c r="U752" s="94"/>
      <c r="V752" s="93"/>
      <c r="W752" s="85"/>
      <c r="Y752" s="94"/>
      <c r="Z752" s="93"/>
      <c r="AA752" s="85"/>
      <c r="AC752" s="94"/>
      <c r="AD752" s="93"/>
      <c r="AE752" s="85"/>
    </row>
    <row r="753" spans="6:31" x14ac:dyDescent="0.35">
      <c r="F753" s="93"/>
      <c r="G753" s="85"/>
      <c r="H753" s="87"/>
      <c r="I753" s="94"/>
      <c r="J753" s="93"/>
      <c r="K753" s="85"/>
      <c r="M753" s="94"/>
      <c r="N753" s="93"/>
      <c r="O753" s="85"/>
      <c r="Q753" s="94"/>
      <c r="R753" s="93"/>
      <c r="S753" s="85"/>
      <c r="U753" s="94"/>
      <c r="V753" s="93"/>
      <c r="W753" s="85"/>
      <c r="Y753" s="94"/>
      <c r="Z753" s="93"/>
      <c r="AA753" s="85"/>
      <c r="AC753" s="94"/>
      <c r="AD753" s="93"/>
      <c r="AE753" s="85"/>
    </row>
    <row r="754" spans="6:31" x14ac:dyDescent="0.35">
      <c r="F754" s="93"/>
      <c r="G754" s="85"/>
      <c r="H754" s="87"/>
      <c r="I754" s="94"/>
      <c r="J754" s="93"/>
      <c r="K754" s="85"/>
      <c r="M754" s="94"/>
      <c r="N754" s="93"/>
      <c r="O754" s="85"/>
      <c r="Q754" s="94"/>
      <c r="R754" s="93"/>
      <c r="S754" s="85"/>
      <c r="U754" s="94"/>
      <c r="V754" s="93"/>
      <c r="W754" s="85"/>
      <c r="Y754" s="94"/>
      <c r="Z754" s="93"/>
      <c r="AA754" s="85"/>
      <c r="AC754" s="94"/>
      <c r="AD754" s="93"/>
      <c r="AE754" s="85"/>
    </row>
    <row r="755" spans="6:31" x14ac:dyDescent="0.35">
      <c r="F755" s="93"/>
      <c r="G755" s="85"/>
      <c r="H755" s="87"/>
      <c r="I755" s="94"/>
      <c r="J755" s="93"/>
      <c r="K755" s="85"/>
      <c r="M755" s="94"/>
      <c r="N755" s="93"/>
      <c r="O755" s="85"/>
      <c r="Q755" s="94"/>
      <c r="R755" s="93"/>
      <c r="S755" s="85"/>
      <c r="U755" s="94"/>
      <c r="V755" s="93"/>
      <c r="W755" s="85"/>
      <c r="Y755" s="94"/>
      <c r="Z755" s="93"/>
      <c r="AA755" s="85"/>
      <c r="AC755" s="94"/>
      <c r="AD755" s="93"/>
      <c r="AE755" s="85"/>
    </row>
    <row r="756" spans="6:31" x14ac:dyDescent="0.35">
      <c r="F756" s="93"/>
      <c r="G756" s="85"/>
      <c r="H756" s="87"/>
      <c r="I756" s="94"/>
      <c r="J756" s="93"/>
      <c r="K756" s="85"/>
      <c r="M756" s="94"/>
      <c r="N756" s="93"/>
      <c r="O756" s="85"/>
      <c r="Q756" s="94"/>
      <c r="R756" s="93"/>
      <c r="S756" s="85"/>
      <c r="U756" s="94"/>
      <c r="V756" s="93"/>
      <c r="W756" s="85"/>
      <c r="Y756" s="94"/>
      <c r="Z756" s="93"/>
      <c r="AA756" s="85"/>
      <c r="AC756" s="94"/>
      <c r="AD756" s="93"/>
      <c r="AE756" s="85"/>
    </row>
    <row r="757" spans="6:31" x14ac:dyDescent="0.35">
      <c r="F757" s="93"/>
      <c r="G757" s="85"/>
      <c r="H757" s="87"/>
      <c r="I757" s="94"/>
      <c r="J757" s="93"/>
      <c r="K757" s="85"/>
      <c r="M757" s="94"/>
      <c r="N757" s="93"/>
      <c r="O757" s="85"/>
      <c r="Q757" s="94"/>
      <c r="R757" s="93"/>
      <c r="S757" s="85"/>
      <c r="U757" s="94"/>
      <c r="V757" s="93"/>
      <c r="W757" s="85"/>
      <c r="Y757" s="94"/>
      <c r="Z757" s="93"/>
      <c r="AA757" s="85"/>
      <c r="AC757" s="94"/>
      <c r="AD757" s="93"/>
      <c r="AE757" s="85"/>
    </row>
    <row r="758" spans="6:31" x14ac:dyDescent="0.35">
      <c r="F758" s="93"/>
      <c r="G758" s="85"/>
      <c r="H758" s="87"/>
      <c r="I758" s="94"/>
      <c r="J758" s="93"/>
      <c r="K758" s="85"/>
      <c r="M758" s="94"/>
      <c r="N758" s="93"/>
      <c r="O758" s="85"/>
      <c r="Q758" s="94"/>
      <c r="R758" s="93"/>
      <c r="S758" s="85"/>
      <c r="U758" s="94"/>
      <c r="V758" s="93"/>
      <c r="W758" s="85"/>
      <c r="Y758" s="94"/>
      <c r="Z758" s="93"/>
      <c r="AA758" s="85"/>
      <c r="AC758" s="94"/>
      <c r="AD758" s="93"/>
      <c r="AE758" s="85"/>
    </row>
    <row r="759" spans="6:31" x14ac:dyDescent="0.35">
      <c r="F759" s="93"/>
      <c r="G759" s="85"/>
      <c r="H759" s="87"/>
      <c r="I759" s="94"/>
      <c r="J759" s="93"/>
      <c r="K759" s="85"/>
      <c r="M759" s="94"/>
      <c r="N759" s="93"/>
      <c r="O759" s="85"/>
      <c r="Q759" s="94"/>
      <c r="R759" s="93"/>
      <c r="S759" s="85"/>
      <c r="U759" s="94"/>
      <c r="V759" s="93"/>
      <c r="W759" s="85"/>
      <c r="Y759" s="94"/>
      <c r="Z759" s="93"/>
      <c r="AA759" s="85"/>
      <c r="AC759" s="94"/>
      <c r="AD759" s="93"/>
      <c r="AE759" s="85"/>
    </row>
    <row r="760" spans="6:31" x14ac:dyDescent="0.35">
      <c r="F760" s="93"/>
      <c r="G760" s="85"/>
      <c r="H760" s="87"/>
      <c r="I760" s="94"/>
      <c r="J760" s="93"/>
      <c r="K760" s="85"/>
      <c r="M760" s="94"/>
      <c r="N760" s="93"/>
      <c r="O760" s="85"/>
      <c r="Q760" s="94"/>
      <c r="R760" s="93"/>
      <c r="S760" s="85"/>
      <c r="U760" s="94"/>
      <c r="V760" s="93"/>
      <c r="W760" s="85"/>
      <c r="Y760" s="94"/>
      <c r="Z760" s="93"/>
      <c r="AA760" s="85"/>
      <c r="AC760" s="94"/>
      <c r="AD760" s="93"/>
      <c r="AE760" s="85"/>
    </row>
    <row r="761" spans="6:31" x14ac:dyDescent="0.35">
      <c r="F761" s="93"/>
      <c r="G761" s="85"/>
      <c r="H761" s="87"/>
      <c r="I761" s="94"/>
      <c r="J761" s="93"/>
      <c r="K761" s="85"/>
      <c r="M761" s="94"/>
      <c r="N761" s="93"/>
      <c r="O761" s="85"/>
      <c r="Q761" s="94"/>
      <c r="R761" s="93"/>
      <c r="S761" s="85"/>
      <c r="U761" s="94"/>
      <c r="V761" s="93"/>
      <c r="W761" s="85"/>
      <c r="Y761" s="94"/>
      <c r="Z761" s="93"/>
      <c r="AA761" s="85"/>
      <c r="AC761" s="94"/>
      <c r="AD761" s="93"/>
      <c r="AE761" s="85"/>
    </row>
    <row r="762" spans="6:31" x14ac:dyDescent="0.35">
      <c r="F762" s="93"/>
      <c r="G762" s="85"/>
      <c r="H762" s="87"/>
      <c r="I762" s="94"/>
      <c r="J762" s="93"/>
      <c r="K762" s="85"/>
      <c r="M762" s="94"/>
      <c r="N762" s="93"/>
      <c r="O762" s="85"/>
      <c r="Q762" s="94"/>
      <c r="R762" s="93"/>
      <c r="S762" s="85"/>
      <c r="U762" s="94"/>
      <c r="V762" s="93"/>
      <c r="W762" s="85"/>
      <c r="Y762" s="94"/>
      <c r="Z762" s="93"/>
      <c r="AA762" s="85"/>
      <c r="AC762" s="94"/>
      <c r="AD762" s="93"/>
      <c r="AE762" s="85"/>
    </row>
    <row r="763" spans="6:31" x14ac:dyDescent="0.35">
      <c r="F763" s="93"/>
      <c r="G763" s="85"/>
      <c r="H763" s="87"/>
      <c r="I763" s="94"/>
      <c r="J763" s="93"/>
      <c r="K763" s="85"/>
      <c r="M763" s="94"/>
      <c r="N763" s="93"/>
      <c r="O763" s="85"/>
      <c r="Q763" s="94"/>
      <c r="R763" s="93"/>
      <c r="S763" s="85"/>
      <c r="U763" s="94"/>
      <c r="V763" s="93"/>
      <c r="W763" s="85"/>
      <c r="Y763" s="94"/>
      <c r="Z763" s="93"/>
      <c r="AA763" s="85"/>
      <c r="AC763" s="94"/>
      <c r="AD763" s="93"/>
      <c r="AE763" s="85"/>
    </row>
    <row r="764" spans="6:31" x14ac:dyDescent="0.35">
      <c r="F764" s="93"/>
      <c r="G764" s="85"/>
      <c r="H764" s="87"/>
      <c r="I764" s="94"/>
      <c r="J764" s="93"/>
      <c r="K764" s="85"/>
      <c r="M764" s="94"/>
      <c r="N764" s="93"/>
      <c r="O764" s="85"/>
      <c r="Q764" s="94"/>
      <c r="R764" s="93"/>
      <c r="S764" s="85"/>
      <c r="U764" s="94"/>
      <c r="V764" s="93"/>
      <c r="W764" s="85"/>
      <c r="Y764" s="94"/>
      <c r="Z764" s="93"/>
      <c r="AA764" s="85"/>
      <c r="AC764" s="94"/>
      <c r="AD764" s="93"/>
      <c r="AE764" s="85"/>
    </row>
    <row r="765" spans="6:31" x14ac:dyDescent="0.35">
      <c r="F765" s="93"/>
      <c r="G765" s="85"/>
      <c r="H765" s="87"/>
      <c r="I765" s="94"/>
      <c r="J765" s="93"/>
      <c r="K765" s="85"/>
      <c r="M765" s="94"/>
      <c r="N765" s="93"/>
      <c r="O765" s="85"/>
      <c r="Q765" s="94"/>
      <c r="R765" s="93"/>
      <c r="S765" s="85"/>
      <c r="U765" s="94"/>
      <c r="V765" s="93"/>
      <c r="W765" s="85"/>
      <c r="Y765" s="94"/>
      <c r="Z765" s="93"/>
      <c r="AA765" s="85"/>
      <c r="AC765" s="94"/>
      <c r="AD765" s="93"/>
      <c r="AE765" s="85"/>
    </row>
    <row r="766" spans="6:31" x14ac:dyDescent="0.35">
      <c r="F766" s="93"/>
      <c r="G766" s="85"/>
      <c r="H766" s="87"/>
      <c r="I766" s="94"/>
      <c r="J766" s="93"/>
      <c r="K766" s="85"/>
      <c r="M766" s="94"/>
      <c r="N766" s="93"/>
      <c r="O766" s="85"/>
      <c r="Q766" s="94"/>
      <c r="R766" s="93"/>
      <c r="S766" s="85"/>
      <c r="U766" s="94"/>
      <c r="V766" s="93"/>
      <c r="W766" s="85"/>
      <c r="Y766" s="94"/>
      <c r="Z766" s="93"/>
      <c r="AA766" s="85"/>
      <c r="AC766" s="94"/>
      <c r="AD766" s="93"/>
      <c r="AE766" s="85"/>
    </row>
    <row r="767" spans="6:31" x14ac:dyDescent="0.35">
      <c r="F767" s="93"/>
      <c r="G767" s="85"/>
      <c r="H767" s="87"/>
      <c r="I767" s="94"/>
      <c r="J767" s="93"/>
      <c r="K767" s="85"/>
      <c r="M767" s="94"/>
      <c r="N767" s="93"/>
      <c r="O767" s="85"/>
      <c r="Q767" s="94"/>
      <c r="R767" s="93"/>
      <c r="S767" s="85"/>
      <c r="U767" s="94"/>
      <c r="V767" s="93"/>
      <c r="W767" s="85"/>
      <c r="Y767" s="94"/>
      <c r="Z767" s="93"/>
      <c r="AA767" s="85"/>
      <c r="AC767" s="94"/>
      <c r="AD767" s="93"/>
      <c r="AE767" s="85"/>
    </row>
    <row r="768" spans="6:31" x14ac:dyDescent="0.35">
      <c r="F768" s="93"/>
      <c r="G768" s="85"/>
      <c r="H768" s="87"/>
      <c r="I768" s="94"/>
      <c r="J768" s="93"/>
      <c r="K768" s="85"/>
      <c r="M768" s="94"/>
      <c r="N768" s="93"/>
      <c r="O768" s="85"/>
      <c r="Q768" s="94"/>
      <c r="R768" s="93"/>
      <c r="S768" s="85"/>
      <c r="U768" s="94"/>
      <c r="V768" s="93"/>
      <c r="W768" s="85"/>
      <c r="Y768" s="94"/>
      <c r="Z768" s="93"/>
      <c r="AA768" s="85"/>
      <c r="AC768" s="94"/>
      <c r="AD768" s="93"/>
      <c r="AE768" s="85"/>
    </row>
    <row r="769" spans="6:31" x14ac:dyDescent="0.35">
      <c r="F769" s="93"/>
      <c r="G769" s="85"/>
      <c r="H769" s="87"/>
      <c r="I769" s="94"/>
      <c r="J769" s="93"/>
      <c r="K769" s="85"/>
      <c r="M769" s="94"/>
      <c r="N769" s="93"/>
      <c r="O769" s="85"/>
      <c r="Q769" s="94"/>
      <c r="R769" s="93"/>
      <c r="S769" s="85"/>
      <c r="U769" s="94"/>
      <c r="V769" s="93"/>
      <c r="W769" s="85"/>
      <c r="Y769" s="94"/>
      <c r="Z769" s="93"/>
      <c r="AA769" s="85"/>
      <c r="AC769" s="94"/>
      <c r="AD769" s="93"/>
      <c r="AE769" s="85"/>
    </row>
    <row r="770" spans="6:31" x14ac:dyDescent="0.35">
      <c r="F770" s="93"/>
      <c r="G770" s="85"/>
      <c r="H770" s="87"/>
      <c r="I770" s="94"/>
      <c r="J770" s="93"/>
      <c r="K770" s="85"/>
      <c r="M770" s="94"/>
      <c r="N770" s="93"/>
      <c r="O770" s="85"/>
      <c r="Q770" s="94"/>
      <c r="R770" s="93"/>
      <c r="S770" s="85"/>
      <c r="U770" s="94"/>
      <c r="V770" s="93"/>
      <c r="W770" s="85"/>
      <c r="Y770" s="94"/>
      <c r="Z770" s="93"/>
      <c r="AA770" s="85"/>
      <c r="AC770" s="94"/>
      <c r="AD770" s="93"/>
      <c r="AE770" s="85"/>
    </row>
    <row r="771" spans="6:31" x14ac:dyDescent="0.35">
      <c r="F771" s="93"/>
      <c r="G771" s="85"/>
      <c r="H771" s="87"/>
      <c r="I771" s="94"/>
      <c r="J771" s="93"/>
      <c r="K771" s="85"/>
      <c r="M771" s="94"/>
      <c r="N771" s="93"/>
      <c r="O771" s="85"/>
      <c r="Q771" s="94"/>
      <c r="R771" s="93"/>
      <c r="S771" s="85"/>
      <c r="U771" s="94"/>
      <c r="V771" s="93"/>
      <c r="W771" s="85"/>
      <c r="Y771" s="94"/>
      <c r="Z771" s="93"/>
      <c r="AA771" s="85"/>
      <c r="AC771" s="94"/>
      <c r="AD771" s="93"/>
      <c r="AE771" s="85"/>
    </row>
    <row r="772" spans="6:31" x14ac:dyDescent="0.35">
      <c r="F772" s="93"/>
      <c r="G772" s="85"/>
      <c r="H772" s="87"/>
      <c r="I772" s="94"/>
      <c r="J772" s="93"/>
      <c r="K772" s="85"/>
      <c r="M772" s="94"/>
      <c r="N772" s="93"/>
      <c r="O772" s="85"/>
      <c r="Q772" s="94"/>
      <c r="R772" s="93"/>
      <c r="S772" s="85"/>
      <c r="U772" s="94"/>
      <c r="V772" s="93"/>
      <c r="W772" s="85"/>
      <c r="Y772" s="94"/>
      <c r="Z772" s="93"/>
      <c r="AA772" s="85"/>
      <c r="AC772" s="94"/>
      <c r="AD772" s="93"/>
      <c r="AE772" s="85"/>
    </row>
    <row r="773" spans="6:31" x14ac:dyDescent="0.35">
      <c r="F773" s="93"/>
      <c r="G773" s="85"/>
      <c r="H773" s="87"/>
      <c r="I773" s="94"/>
      <c r="J773" s="93"/>
      <c r="K773" s="85"/>
      <c r="M773" s="94"/>
      <c r="N773" s="93"/>
      <c r="O773" s="85"/>
      <c r="Q773" s="94"/>
      <c r="R773" s="93"/>
      <c r="S773" s="85"/>
      <c r="U773" s="94"/>
      <c r="V773" s="93"/>
      <c r="W773" s="85"/>
      <c r="Y773" s="94"/>
      <c r="Z773" s="93"/>
      <c r="AA773" s="85"/>
      <c r="AC773" s="94"/>
      <c r="AD773" s="93"/>
      <c r="AE773" s="85"/>
    </row>
    <row r="774" spans="6:31" x14ac:dyDescent="0.35">
      <c r="F774" s="93"/>
      <c r="G774" s="85"/>
      <c r="H774" s="87"/>
      <c r="I774" s="94"/>
      <c r="J774" s="93"/>
      <c r="K774" s="85"/>
      <c r="M774" s="94"/>
      <c r="N774" s="93"/>
      <c r="O774" s="85"/>
      <c r="Q774" s="94"/>
      <c r="R774" s="93"/>
      <c r="S774" s="85"/>
      <c r="U774" s="94"/>
      <c r="V774" s="93"/>
      <c r="W774" s="85"/>
      <c r="Y774" s="94"/>
      <c r="Z774" s="93"/>
      <c r="AA774" s="85"/>
      <c r="AC774" s="94"/>
      <c r="AD774" s="93"/>
      <c r="AE774" s="85"/>
    </row>
    <row r="775" spans="6:31" x14ac:dyDescent="0.35">
      <c r="F775" s="93"/>
      <c r="G775" s="85"/>
      <c r="H775" s="87"/>
      <c r="I775" s="94"/>
      <c r="J775" s="93"/>
      <c r="K775" s="85"/>
      <c r="M775" s="94"/>
      <c r="N775" s="93"/>
      <c r="O775" s="85"/>
      <c r="Q775" s="94"/>
      <c r="R775" s="93"/>
      <c r="S775" s="85"/>
      <c r="U775" s="94"/>
      <c r="V775" s="93"/>
      <c r="W775" s="85"/>
      <c r="Y775" s="94"/>
      <c r="Z775" s="93"/>
      <c r="AA775" s="85"/>
      <c r="AC775" s="94"/>
      <c r="AD775" s="93"/>
      <c r="AE775" s="85"/>
    </row>
    <row r="776" spans="6:31" x14ac:dyDescent="0.35">
      <c r="F776" s="93"/>
      <c r="G776" s="85"/>
      <c r="H776" s="87"/>
      <c r="I776" s="94"/>
      <c r="J776" s="93"/>
      <c r="K776" s="85"/>
      <c r="M776" s="94"/>
      <c r="N776" s="93"/>
      <c r="O776" s="85"/>
      <c r="Q776" s="94"/>
      <c r="R776" s="93"/>
      <c r="S776" s="85"/>
      <c r="U776" s="94"/>
      <c r="V776" s="93"/>
      <c r="W776" s="85"/>
      <c r="Y776" s="94"/>
      <c r="Z776" s="93"/>
      <c r="AA776" s="85"/>
      <c r="AC776" s="94"/>
      <c r="AD776" s="93"/>
      <c r="AE776" s="85"/>
    </row>
    <row r="777" spans="6:31" x14ac:dyDescent="0.35">
      <c r="F777" s="93"/>
      <c r="G777" s="85"/>
      <c r="H777" s="87"/>
      <c r="I777" s="94"/>
      <c r="J777" s="93"/>
      <c r="K777" s="85"/>
      <c r="M777" s="94"/>
      <c r="N777" s="93"/>
      <c r="O777" s="85"/>
      <c r="Q777" s="94"/>
      <c r="R777" s="93"/>
      <c r="S777" s="85"/>
      <c r="U777" s="94"/>
      <c r="V777" s="93"/>
      <c r="W777" s="85"/>
      <c r="Y777" s="94"/>
      <c r="Z777" s="93"/>
      <c r="AA777" s="85"/>
      <c r="AC777" s="94"/>
      <c r="AD777" s="93"/>
      <c r="AE777" s="85"/>
    </row>
    <row r="778" spans="6:31" x14ac:dyDescent="0.35">
      <c r="F778" s="93"/>
      <c r="G778" s="85"/>
      <c r="H778" s="87"/>
      <c r="I778" s="94"/>
      <c r="J778" s="93"/>
      <c r="K778" s="85"/>
      <c r="M778" s="94"/>
      <c r="N778" s="93"/>
      <c r="O778" s="85"/>
      <c r="Q778" s="94"/>
      <c r="R778" s="93"/>
      <c r="S778" s="85"/>
      <c r="U778" s="94"/>
      <c r="V778" s="93"/>
      <c r="W778" s="85"/>
      <c r="Y778" s="94"/>
      <c r="Z778" s="93"/>
      <c r="AA778" s="85"/>
      <c r="AC778" s="94"/>
      <c r="AD778" s="93"/>
      <c r="AE778" s="85"/>
    </row>
    <row r="779" spans="6:31" x14ac:dyDescent="0.35">
      <c r="F779" s="93"/>
      <c r="G779" s="85"/>
      <c r="H779" s="87"/>
      <c r="I779" s="94"/>
      <c r="J779" s="93"/>
      <c r="K779" s="85"/>
      <c r="M779" s="94"/>
      <c r="N779" s="93"/>
      <c r="O779" s="85"/>
      <c r="Q779" s="94"/>
      <c r="R779" s="93"/>
      <c r="S779" s="85"/>
      <c r="U779" s="94"/>
      <c r="V779" s="93"/>
      <c r="W779" s="85"/>
      <c r="Y779" s="94"/>
      <c r="Z779" s="93"/>
      <c r="AA779" s="85"/>
      <c r="AC779" s="94"/>
      <c r="AD779" s="93"/>
      <c r="AE779" s="85"/>
    </row>
    <row r="780" spans="6:31" x14ac:dyDescent="0.35">
      <c r="F780" s="93"/>
      <c r="G780" s="85"/>
      <c r="H780" s="87"/>
      <c r="I780" s="94"/>
      <c r="J780" s="93"/>
      <c r="K780" s="85"/>
      <c r="M780" s="94"/>
      <c r="N780" s="93"/>
      <c r="O780" s="85"/>
      <c r="Q780" s="94"/>
      <c r="R780" s="93"/>
      <c r="S780" s="85"/>
      <c r="U780" s="94"/>
      <c r="V780" s="93"/>
      <c r="W780" s="85"/>
      <c r="Y780" s="94"/>
      <c r="Z780" s="93"/>
      <c r="AA780" s="85"/>
      <c r="AC780" s="94"/>
      <c r="AD780" s="93"/>
      <c r="AE780" s="85"/>
    </row>
    <row r="781" spans="6:31" x14ac:dyDescent="0.35">
      <c r="F781" s="93"/>
      <c r="G781" s="85"/>
      <c r="H781" s="87"/>
      <c r="I781" s="94"/>
      <c r="J781" s="93"/>
      <c r="K781" s="85"/>
      <c r="M781" s="94"/>
      <c r="N781" s="93"/>
      <c r="O781" s="85"/>
      <c r="Q781" s="94"/>
      <c r="R781" s="93"/>
      <c r="S781" s="85"/>
      <c r="U781" s="94"/>
      <c r="V781" s="93"/>
      <c r="W781" s="85"/>
      <c r="Y781" s="94"/>
      <c r="Z781" s="93"/>
      <c r="AA781" s="85"/>
      <c r="AC781" s="94"/>
      <c r="AD781" s="93"/>
      <c r="AE781" s="85"/>
    </row>
    <row r="782" spans="6:31" x14ac:dyDescent="0.35">
      <c r="F782" s="93"/>
      <c r="G782" s="85"/>
      <c r="H782" s="87"/>
      <c r="I782" s="94"/>
      <c r="J782" s="93"/>
      <c r="K782" s="85"/>
      <c r="M782" s="94"/>
      <c r="N782" s="93"/>
      <c r="O782" s="85"/>
      <c r="Q782" s="94"/>
      <c r="R782" s="93"/>
      <c r="S782" s="85"/>
      <c r="U782" s="94"/>
      <c r="V782" s="93"/>
      <c r="W782" s="85"/>
      <c r="Y782" s="94"/>
      <c r="Z782" s="93"/>
      <c r="AA782" s="85"/>
      <c r="AC782" s="94"/>
      <c r="AD782" s="93"/>
      <c r="AE782" s="85"/>
    </row>
    <row r="783" spans="6:31" x14ac:dyDescent="0.35">
      <c r="F783" s="93"/>
      <c r="G783" s="85"/>
      <c r="H783" s="87"/>
      <c r="I783" s="94"/>
      <c r="J783" s="93"/>
      <c r="K783" s="85"/>
      <c r="M783" s="94"/>
      <c r="N783" s="93"/>
      <c r="O783" s="85"/>
      <c r="Q783" s="94"/>
      <c r="R783" s="93"/>
      <c r="S783" s="85"/>
      <c r="U783" s="94"/>
      <c r="V783" s="93"/>
      <c r="W783" s="85"/>
      <c r="Y783" s="94"/>
      <c r="Z783" s="93"/>
      <c r="AA783" s="85"/>
      <c r="AC783" s="94"/>
      <c r="AD783" s="93"/>
      <c r="AE783" s="85"/>
    </row>
    <row r="784" spans="6:31" x14ac:dyDescent="0.35">
      <c r="F784" s="93"/>
      <c r="G784" s="85"/>
      <c r="H784" s="87"/>
      <c r="I784" s="94"/>
      <c r="J784" s="93"/>
      <c r="K784" s="85"/>
      <c r="M784" s="94"/>
      <c r="N784" s="93"/>
      <c r="O784" s="85"/>
      <c r="Q784" s="94"/>
      <c r="R784" s="93"/>
      <c r="S784" s="85"/>
      <c r="U784" s="94"/>
      <c r="V784" s="93"/>
      <c r="W784" s="85"/>
      <c r="Y784" s="94"/>
      <c r="Z784" s="93"/>
      <c r="AA784" s="85"/>
      <c r="AC784" s="94"/>
      <c r="AD784" s="93"/>
      <c r="AE784" s="85"/>
    </row>
    <row r="785" spans="6:31" x14ac:dyDescent="0.35">
      <c r="F785" s="93"/>
      <c r="G785" s="85"/>
      <c r="H785" s="87"/>
      <c r="I785" s="94"/>
      <c r="J785" s="93"/>
      <c r="K785" s="85"/>
      <c r="M785" s="94"/>
      <c r="N785" s="93"/>
      <c r="O785" s="85"/>
      <c r="Q785" s="94"/>
      <c r="R785" s="93"/>
      <c r="S785" s="85"/>
      <c r="U785" s="94"/>
      <c r="V785" s="93"/>
      <c r="W785" s="85"/>
      <c r="Y785" s="94"/>
      <c r="Z785" s="93"/>
      <c r="AA785" s="85"/>
      <c r="AC785" s="94"/>
      <c r="AD785" s="93"/>
      <c r="AE785" s="85"/>
    </row>
    <row r="786" spans="6:31" x14ac:dyDescent="0.35">
      <c r="F786" s="93"/>
      <c r="G786" s="85"/>
      <c r="H786" s="87"/>
      <c r="I786" s="94"/>
      <c r="J786" s="93"/>
      <c r="K786" s="85"/>
      <c r="M786" s="94"/>
      <c r="N786" s="93"/>
      <c r="O786" s="85"/>
      <c r="Q786" s="94"/>
      <c r="R786" s="93"/>
      <c r="S786" s="85"/>
      <c r="U786" s="94"/>
      <c r="V786" s="93"/>
      <c r="W786" s="85"/>
      <c r="Y786" s="94"/>
      <c r="Z786" s="93"/>
      <c r="AA786" s="85"/>
      <c r="AC786" s="94"/>
      <c r="AD786" s="93"/>
      <c r="AE786" s="85"/>
    </row>
    <row r="787" spans="6:31" x14ac:dyDescent="0.35">
      <c r="F787" s="93"/>
      <c r="G787" s="85"/>
      <c r="H787" s="87"/>
      <c r="I787" s="94"/>
      <c r="J787" s="93"/>
      <c r="K787" s="85"/>
      <c r="M787" s="94"/>
      <c r="N787" s="93"/>
      <c r="O787" s="85"/>
      <c r="Q787" s="94"/>
      <c r="R787" s="93"/>
      <c r="S787" s="85"/>
      <c r="U787" s="94"/>
      <c r="V787" s="93"/>
      <c r="W787" s="85"/>
      <c r="Y787" s="94"/>
      <c r="Z787" s="93"/>
      <c r="AA787" s="85"/>
      <c r="AC787" s="94"/>
      <c r="AD787" s="93"/>
      <c r="AE787" s="85"/>
    </row>
    <row r="788" spans="6:31" x14ac:dyDescent="0.35">
      <c r="F788" s="93"/>
      <c r="G788" s="85"/>
      <c r="H788" s="87"/>
      <c r="I788" s="94"/>
      <c r="J788" s="93"/>
      <c r="K788" s="85"/>
      <c r="M788" s="94"/>
      <c r="N788" s="93"/>
      <c r="O788" s="85"/>
      <c r="Q788" s="94"/>
      <c r="R788" s="93"/>
      <c r="S788" s="85"/>
      <c r="U788" s="94"/>
      <c r="V788" s="93"/>
      <c r="W788" s="85"/>
      <c r="Y788" s="94"/>
      <c r="Z788" s="93"/>
      <c r="AA788" s="85"/>
      <c r="AC788" s="94"/>
      <c r="AD788" s="93"/>
      <c r="AE788" s="85"/>
    </row>
    <row r="789" spans="6:31" x14ac:dyDescent="0.35">
      <c r="F789" s="93"/>
      <c r="G789" s="85"/>
      <c r="H789" s="87"/>
      <c r="I789" s="94"/>
      <c r="J789" s="93"/>
      <c r="K789" s="85"/>
      <c r="M789" s="94"/>
      <c r="N789" s="93"/>
      <c r="O789" s="85"/>
      <c r="Q789" s="94"/>
      <c r="R789" s="93"/>
      <c r="S789" s="85"/>
      <c r="U789" s="94"/>
      <c r="V789" s="93"/>
      <c r="W789" s="85"/>
      <c r="Y789" s="94"/>
      <c r="Z789" s="93"/>
      <c r="AA789" s="85"/>
      <c r="AC789" s="94"/>
      <c r="AD789" s="93"/>
      <c r="AE789" s="85"/>
    </row>
    <row r="790" spans="6:31" x14ac:dyDescent="0.35">
      <c r="F790" s="93"/>
      <c r="G790" s="85"/>
      <c r="H790" s="87"/>
      <c r="I790" s="94"/>
      <c r="J790" s="93"/>
      <c r="K790" s="85"/>
      <c r="M790" s="94"/>
      <c r="N790" s="93"/>
      <c r="O790" s="85"/>
      <c r="Q790" s="94"/>
      <c r="R790" s="93"/>
      <c r="S790" s="85"/>
      <c r="U790" s="94"/>
      <c r="V790" s="93"/>
      <c r="W790" s="85"/>
      <c r="Y790" s="94"/>
      <c r="Z790" s="93"/>
      <c r="AA790" s="85"/>
      <c r="AC790" s="94"/>
      <c r="AD790" s="93"/>
      <c r="AE790" s="85"/>
    </row>
    <row r="791" spans="6:31" x14ac:dyDescent="0.35">
      <c r="F791" s="93"/>
      <c r="G791" s="85"/>
      <c r="H791" s="87"/>
      <c r="I791" s="94"/>
      <c r="J791" s="93"/>
      <c r="K791" s="85"/>
      <c r="M791" s="94"/>
      <c r="N791" s="93"/>
      <c r="O791" s="85"/>
      <c r="Q791" s="94"/>
      <c r="R791" s="93"/>
      <c r="S791" s="85"/>
      <c r="U791" s="94"/>
      <c r="V791" s="93"/>
      <c r="W791" s="85"/>
      <c r="Y791" s="94"/>
      <c r="Z791" s="93"/>
      <c r="AA791" s="85"/>
      <c r="AC791" s="94"/>
      <c r="AD791" s="93"/>
      <c r="AE791" s="85"/>
    </row>
    <row r="792" spans="6:31" x14ac:dyDescent="0.35">
      <c r="F792" s="93"/>
      <c r="G792" s="85"/>
      <c r="H792" s="87"/>
      <c r="I792" s="94"/>
      <c r="J792" s="93"/>
      <c r="K792" s="85"/>
      <c r="M792" s="94"/>
      <c r="N792" s="93"/>
      <c r="O792" s="85"/>
      <c r="Q792" s="94"/>
      <c r="R792" s="93"/>
      <c r="S792" s="85"/>
      <c r="U792" s="94"/>
      <c r="V792" s="93"/>
      <c r="W792" s="85"/>
      <c r="Y792" s="94"/>
      <c r="Z792" s="93"/>
      <c r="AA792" s="85"/>
      <c r="AC792" s="94"/>
      <c r="AD792" s="93"/>
      <c r="AE792" s="85"/>
    </row>
    <row r="793" spans="6:31" x14ac:dyDescent="0.35">
      <c r="F793" s="93"/>
      <c r="G793" s="85"/>
      <c r="H793" s="87"/>
      <c r="I793" s="94"/>
      <c r="J793" s="93"/>
      <c r="K793" s="85"/>
      <c r="M793" s="94"/>
      <c r="N793" s="93"/>
      <c r="O793" s="85"/>
      <c r="Q793" s="94"/>
      <c r="R793" s="93"/>
      <c r="S793" s="85"/>
      <c r="U793" s="94"/>
      <c r="V793" s="93"/>
      <c r="W793" s="85"/>
      <c r="Y793" s="94"/>
      <c r="Z793" s="93"/>
      <c r="AA793" s="85"/>
      <c r="AC793" s="94"/>
      <c r="AD793" s="93"/>
      <c r="AE793" s="85"/>
    </row>
    <row r="794" spans="6:31" x14ac:dyDescent="0.35">
      <c r="F794" s="93"/>
      <c r="G794" s="85"/>
      <c r="H794" s="87"/>
      <c r="I794" s="94"/>
      <c r="J794" s="93"/>
      <c r="K794" s="85"/>
      <c r="M794" s="94"/>
      <c r="N794" s="93"/>
      <c r="O794" s="85"/>
      <c r="Q794" s="94"/>
      <c r="R794" s="93"/>
      <c r="S794" s="85"/>
      <c r="U794" s="94"/>
      <c r="V794" s="93"/>
      <c r="W794" s="85"/>
      <c r="Y794" s="94"/>
      <c r="Z794" s="93"/>
      <c r="AA794" s="85"/>
      <c r="AC794" s="94"/>
      <c r="AD794" s="93"/>
      <c r="AE794" s="85"/>
    </row>
    <row r="795" spans="6:31" x14ac:dyDescent="0.35">
      <c r="F795" s="93"/>
      <c r="G795" s="85"/>
      <c r="H795" s="87"/>
      <c r="I795" s="94"/>
      <c r="J795" s="93"/>
      <c r="K795" s="85"/>
      <c r="M795" s="94"/>
      <c r="N795" s="93"/>
      <c r="O795" s="85"/>
      <c r="Q795" s="94"/>
      <c r="R795" s="93"/>
      <c r="S795" s="85"/>
      <c r="U795" s="94"/>
      <c r="V795" s="93"/>
      <c r="W795" s="85"/>
      <c r="Y795" s="94"/>
      <c r="Z795" s="93"/>
      <c r="AA795" s="85"/>
      <c r="AC795" s="94"/>
      <c r="AD795" s="93"/>
      <c r="AE795" s="85"/>
    </row>
    <row r="796" spans="6:31" x14ac:dyDescent="0.35">
      <c r="F796" s="93"/>
      <c r="G796" s="85"/>
      <c r="H796" s="87"/>
      <c r="I796" s="94"/>
      <c r="J796" s="93"/>
      <c r="K796" s="85"/>
      <c r="M796" s="94"/>
      <c r="N796" s="93"/>
      <c r="O796" s="85"/>
      <c r="Q796" s="94"/>
      <c r="R796" s="93"/>
      <c r="S796" s="85"/>
      <c r="U796" s="94"/>
      <c r="V796" s="93"/>
      <c r="W796" s="85"/>
      <c r="Y796" s="94"/>
      <c r="Z796" s="93"/>
      <c r="AA796" s="85"/>
      <c r="AC796" s="94"/>
      <c r="AD796" s="93"/>
      <c r="AE796" s="85"/>
    </row>
    <row r="797" spans="6:31" x14ac:dyDescent="0.35">
      <c r="F797" s="93"/>
      <c r="G797" s="85"/>
      <c r="H797" s="87"/>
      <c r="I797" s="94"/>
      <c r="J797" s="93"/>
      <c r="K797" s="85"/>
      <c r="M797" s="94"/>
      <c r="N797" s="93"/>
      <c r="O797" s="85"/>
      <c r="Q797" s="94"/>
      <c r="R797" s="93"/>
      <c r="S797" s="85"/>
      <c r="U797" s="94"/>
      <c r="V797" s="93"/>
      <c r="W797" s="85"/>
      <c r="Y797" s="94"/>
      <c r="Z797" s="93"/>
      <c r="AA797" s="85"/>
      <c r="AC797" s="94"/>
      <c r="AD797" s="93"/>
      <c r="AE797" s="85"/>
    </row>
    <row r="798" spans="6:31" x14ac:dyDescent="0.35">
      <c r="F798" s="93"/>
      <c r="G798" s="85"/>
      <c r="H798" s="87"/>
      <c r="I798" s="94"/>
      <c r="J798" s="93"/>
      <c r="K798" s="85"/>
      <c r="M798" s="94"/>
      <c r="N798" s="93"/>
      <c r="O798" s="85"/>
      <c r="Q798" s="94"/>
      <c r="R798" s="93"/>
      <c r="S798" s="85"/>
      <c r="U798" s="94"/>
      <c r="V798" s="93"/>
      <c r="W798" s="85"/>
      <c r="Y798" s="94"/>
      <c r="Z798" s="93"/>
      <c r="AA798" s="85"/>
      <c r="AC798" s="94"/>
      <c r="AD798" s="93"/>
      <c r="AE798" s="85"/>
    </row>
    <row r="799" spans="6:31" x14ac:dyDescent="0.35">
      <c r="F799" s="93"/>
      <c r="G799" s="85"/>
      <c r="H799" s="87"/>
      <c r="I799" s="94"/>
      <c r="J799" s="93"/>
      <c r="K799" s="85"/>
      <c r="M799" s="94"/>
      <c r="N799" s="93"/>
      <c r="O799" s="85"/>
      <c r="Q799" s="94"/>
      <c r="R799" s="93"/>
      <c r="S799" s="85"/>
      <c r="U799" s="94"/>
      <c r="V799" s="93"/>
      <c r="W799" s="85"/>
      <c r="Y799" s="94"/>
      <c r="Z799" s="93"/>
      <c r="AA799" s="85"/>
      <c r="AC799" s="94"/>
      <c r="AD799" s="93"/>
      <c r="AE799" s="85"/>
    </row>
    <row r="800" spans="6:31" x14ac:dyDescent="0.35">
      <c r="F800" s="93"/>
      <c r="G800" s="85"/>
      <c r="H800" s="87"/>
      <c r="I800" s="94"/>
      <c r="J800" s="93"/>
      <c r="K800" s="85"/>
      <c r="M800" s="94"/>
      <c r="N800" s="93"/>
      <c r="O800" s="85"/>
      <c r="Q800" s="94"/>
      <c r="R800" s="93"/>
      <c r="S800" s="85"/>
      <c r="U800" s="94"/>
      <c r="V800" s="93"/>
      <c r="W800" s="85"/>
      <c r="Y800" s="94"/>
      <c r="Z800" s="93"/>
      <c r="AA800" s="85"/>
      <c r="AC800" s="94"/>
      <c r="AD800" s="93"/>
      <c r="AE800" s="85"/>
    </row>
    <row r="801" spans="6:31" x14ac:dyDescent="0.35">
      <c r="F801" s="93"/>
      <c r="G801" s="85"/>
      <c r="H801" s="87"/>
      <c r="I801" s="94"/>
      <c r="J801" s="93"/>
      <c r="K801" s="85"/>
      <c r="M801" s="94"/>
      <c r="N801" s="93"/>
      <c r="O801" s="85"/>
      <c r="Q801" s="94"/>
      <c r="R801" s="93"/>
      <c r="S801" s="85"/>
      <c r="U801" s="94"/>
      <c r="V801" s="93"/>
      <c r="W801" s="85"/>
      <c r="Y801" s="94"/>
      <c r="Z801" s="93"/>
      <c r="AA801" s="85"/>
      <c r="AC801" s="94"/>
      <c r="AD801" s="93"/>
      <c r="AE801" s="85"/>
    </row>
    <row r="802" spans="6:31" x14ac:dyDescent="0.35">
      <c r="F802" s="93"/>
      <c r="G802" s="85"/>
      <c r="H802" s="87"/>
      <c r="I802" s="94"/>
      <c r="J802" s="93"/>
      <c r="K802" s="85"/>
      <c r="M802" s="94"/>
      <c r="N802" s="93"/>
      <c r="O802" s="85"/>
      <c r="Q802" s="94"/>
      <c r="R802" s="93"/>
      <c r="S802" s="85"/>
      <c r="U802" s="94"/>
      <c r="V802" s="93"/>
      <c r="W802" s="85"/>
      <c r="Y802" s="94"/>
      <c r="Z802" s="93"/>
      <c r="AA802" s="85"/>
      <c r="AC802" s="94"/>
      <c r="AD802" s="93"/>
      <c r="AE802" s="85"/>
    </row>
    <row r="803" spans="6:31" x14ac:dyDescent="0.35">
      <c r="F803" s="93"/>
      <c r="G803" s="85"/>
      <c r="H803" s="87"/>
      <c r="I803" s="94"/>
      <c r="J803" s="93"/>
      <c r="K803" s="85"/>
      <c r="M803" s="94"/>
      <c r="N803" s="93"/>
      <c r="O803" s="85"/>
      <c r="Q803" s="94"/>
      <c r="R803" s="93"/>
      <c r="S803" s="85"/>
      <c r="U803" s="94"/>
      <c r="V803" s="93"/>
      <c r="W803" s="85"/>
      <c r="Y803" s="94"/>
      <c r="Z803" s="93"/>
      <c r="AA803" s="85"/>
      <c r="AC803" s="94"/>
      <c r="AD803" s="93"/>
      <c r="AE803" s="85"/>
    </row>
    <row r="804" spans="6:31" x14ac:dyDescent="0.35">
      <c r="F804" s="93"/>
      <c r="G804" s="85"/>
      <c r="H804" s="87"/>
      <c r="I804" s="94"/>
      <c r="J804" s="93"/>
      <c r="K804" s="85"/>
      <c r="M804" s="94"/>
      <c r="N804" s="93"/>
      <c r="O804" s="85"/>
      <c r="Q804" s="94"/>
      <c r="R804" s="93"/>
      <c r="S804" s="85"/>
      <c r="U804" s="94"/>
      <c r="V804" s="93"/>
      <c r="W804" s="85"/>
      <c r="Y804" s="94"/>
      <c r="Z804" s="93"/>
      <c r="AA804" s="85"/>
      <c r="AC804" s="94"/>
      <c r="AD804" s="93"/>
      <c r="AE804" s="85"/>
    </row>
    <row r="805" spans="6:31" x14ac:dyDescent="0.35">
      <c r="F805" s="93"/>
      <c r="G805" s="85"/>
      <c r="H805" s="87"/>
      <c r="I805" s="94"/>
      <c r="J805" s="93"/>
      <c r="K805" s="85"/>
      <c r="M805" s="94"/>
      <c r="N805" s="93"/>
      <c r="O805" s="85"/>
      <c r="Q805" s="94"/>
      <c r="R805" s="93"/>
      <c r="S805" s="85"/>
      <c r="U805" s="94"/>
      <c r="V805" s="93"/>
      <c r="W805" s="85"/>
      <c r="Y805" s="94"/>
      <c r="Z805" s="93"/>
      <c r="AA805" s="85"/>
      <c r="AC805" s="94"/>
      <c r="AD805" s="93"/>
      <c r="AE805" s="85"/>
    </row>
    <row r="806" spans="6:31" x14ac:dyDescent="0.35">
      <c r="F806" s="93"/>
      <c r="G806" s="85"/>
      <c r="H806" s="87"/>
      <c r="I806" s="94"/>
      <c r="J806" s="93"/>
      <c r="K806" s="85"/>
      <c r="M806" s="94"/>
      <c r="N806" s="93"/>
      <c r="O806" s="85"/>
      <c r="Q806" s="94"/>
      <c r="R806" s="93"/>
      <c r="S806" s="85"/>
      <c r="U806" s="94"/>
      <c r="V806" s="93"/>
      <c r="W806" s="85"/>
      <c r="Y806" s="94"/>
      <c r="Z806" s="93"/>
      <c r="AA806" s="85"/>
      <c r="AC806" s="94"/>
      <c r="AD806" s="93"/>
      <c r="AE806" s="85"/>
    </row>
    <row r="807" spans="6:31" x14ac:dyDescent="0.35">
      <c r="F807" s="93"/>
      <c r="G807" s="85"/>
      <c r="H807" s="87"/>
      <c r="I807" s="94"/>
      <c r="J807" s="93"/>
      <c r="K807" s="85"/>
      <c r="M807" s="94"/>
      <c r="N807" s="93"/>
      <c r="O807" s="85"/>
      <c r="Q807" s="94"/>
      <c r="R807" s="93"/>
      <c r="S807" s="85"/>
      <c r="U807" s="94"/>
      <c r="V807" s="93"/>
      <c r="W807" s="85"/>
      <c r="Y807" s="94"/>
      <c r="Z807" s="93"/>
      <c r="AA807" s="85"/>
      <c r="AC807" s="94"/>
      <c r="AD807" s="93"/>
      <c r="AE807" s="85"/>
    </row>
    <row r="808" spans="6:31" x14ac:dyDescent="0.35">
      <c r="F808" s="93"/>
      <c r="G808" s="85"/>
      <c r="H808" s="87"/>
      <c r="I808" s="94"/>
      <c r="J808" s="93"/>
      <c r="K808" s="85"/>
      <c r="M808" s="94"/>
      <c r="N808" s="93"/>
      <c r="O808" s="85"/>
      <c r="Q808" s="94"/>
      <c r="R808" s="93"/>
      <c r="S808" s="85"/>
      <c r="U808" s="94"/>
      <c r="V808" s="93"/>
      <c r="W808" s="85"/>
      <c r="Y808" s="94"/>
      <c r="Z808" s="93"/>
      <c r="AA808" s="85"/>
      <c r="AC808" s="94"/>
      <c r="AD808" s="93"/>
      <c r="AE808" s="85"/>
    </row>
    <row r="809" spans="6:31" x14ac:dyDescent="0.35">
      <c r="F809" s="93"/>
      <c r="G809" s="85"/>
      <c r="H809" s="87"/>
      <c r="I809" s="94"/>
      <c r="J809" s="93"/>
      <c r="K809" s="85"/>
      <c r="M809" s="94"/>
      <c r="N809" s="93"/>
      <c r="O809" s="85"/>
      <c r="Q809" s="94"/>
      <c r="R809" s="93"/>
      <c r="S809" s="85"/>
      <c r="U809" s="94"/>
      <c r="V809" s="93"/>
      <c r="W809" s="85"/>
      <c r="Y809" s="94"/>
      <c r="Z809" s="93"/>
      <c r="AA809" s="85"/>
      <c r="AC809" s="94"/>
      <c r="AD809" s="93"/>
      <c r="AE809" s="85"/>
    </row>
    <row r="810" spans="6:31" x14ac:dyDescent="0.35">
      <c r="F810" s="93"/>
      <c r="G810" s="85"/>
      <c r="H810" s="87"/>
      <c r="I810" s="94"/>
      <c r="J810" s="93"/>
      <c r="K810" s="85"/>
      <c r="M810" s="94"/>
      <c r="N810" s="93"/>
      <c r="O810" s="85"/>
      <c r="Q810" s="94"/>
      <c r="R810" s="93"/>
      <c r="S810" s="85"/>
      <c r="U810" s="94"/>
      <c r="V810" s="93"/>
      <c r="W810" s="85"/>
      <c r="Y810" s="94"/>
      <c r="Z810" s="93"/>
      <c r="AA810" s="85"/>
      <c r="AC810" s="94"/>
      <c r="AD810" s="93"/>
      <c r="AE810" s="85"/>
    </row>
    <row r="811" spans="6:31" x14ac:dyDescent="0.35">
      <c r="F811" s="93"/>
      <c r="G811" s="85"/>
      <c r="H811" s="87"/>
      <c r="I811" s="94"/>
      <c r="J811" s="93"/>
      <c r="K811" s="85"/>
      <c r="M811" s="94"/>
      <c r="N811" s="93"/>
      <c r="O811" s="85"/>
      <c r="Q811" s="94"/>
      <c r="R811" s="93"/>
      <c r="S811" s="85"/>
      <c r="U811" s="94"/>
      <c r="V811" s="93"/>
      <c r="W811" s="85"/>
      <c r="Y811" s="94"/>
      <c r="Z811" s="93"/>
      <c r="AA811" s="85"/>
      <c r="AC811" s="94"/>
      <c r="AD811" s="93"/>
      <c r="AE811" s="85"/>
    </row>
    <row r="812" spans="6:31" x14ac:dyDescent="0.35">
      <c r="F812" s="93"/>
      <c r="G812" s="85"/>
      <c r="H812" s="87"/>
      <c r="I812" s="94"/>
      <c r="J812" s="93"/>
      <c r="K812" s="85"/>
      <c r="M812" s="94"/>
      <c r="N812" s="93"/>
      <c r="O812" s="85"/>
      <c r="Q812" s="94"/>
      <c r="R812" s="93"/>
      <c r="S812" s="85"/>
      <c r="U812" s="94"/>
      <c r="V812" s="93"/>
      <c r="W812" s="85"/>
      <c r="Y812" s="94"/>
      <c r="Z812" s="93"/>
      <c r="AA812" s="85"/>
      <c r="AC812" s="94"/>
      <c r="AD812" s="93"/>
      <c r="AE812" s="85"/>
    </row>
    <row r="813" spans="6:31" x14ac:dyDescent="0.35">
      <c r="F813" s="93"/>
      <c r="G813" s="85"/>
      <c r="H813" s="87"/>
      <c r="I813" s="94"/>
      <c r="J813" s="93"/>
      <c r="K813" s="85"/>
      <c r="M813" s="94"/>
      <c r="N813" s="93"/>
      <c r="O813" s="85"/>
      <c r="Q813" s="94"/>
      <c r="R813" s="93"/>
      <c r="S813" s="85"/>
      <c r="U813" s="94"/>
      <c r="V813" s="93"/>
      <c r="W813" s="85"/>
      <c r="Y813" s="94"/>
      <c r="Z813" s="93"/>
      <c r="AA813" s="85"/>
      <c r="AC813" s="94"/>
      <c r="AD813" s="93"/>
      <c r="AE813" s="85"/>
    </row>
    <row r="814" spans="6:31" x14ac:dyDescent="0.35">
      <c r="F814" s="93"/>
      <c r="G814" s="85"/>
      <c r="H814" s="87"/>
      <c r="I814" s="94"/>
      <c r="J814" s="93"/>
      <c r="K814" s="85"/>
      <c r="M814" s="94"/>
      <c r="N814" s="93"/>
      <c r="O814" s="85"/>
      <c r="Q814" s="94"/>
      <c r="R814" s="93"/>
      <c r="S814" s="85"/>
      <c r="U814" s="94"/>
      <c r="V814" s="93"/>
      <c r="W814" s="85"/>
      <c r="Y814" s="94"/>
      <c r="Z814" s="93"/>
      <c r="AA814" s="85"/>
      <c r="AC814" s="94"/>
      <c r="AD814" s="93"/>
      <c r="AE814" s="85"/>
    </row>
    <row r="815" spans="6:31" x14ac:dyDescent="0.35">
      <c r="F815" s="93"/>
      <c r="G815" s="85"/>
      <c r="H815" s="87"/>
      <c r="I815" s="94"/>
      <c r="J815" s="93"/>
      <c r="K815" s="85"/>
      <c r="M815" s="94"/>
      <c r="N815" s="93"/>
      <c r="O815" s="85"/>
      <c r="Q815" s="94"/>
      <c r="R815" s="93"/>
      <c r="S815" s="85"/>
      <c r="U815" s="94"/>
      <c r="V815" s="93"/>
      <c r="W815" s="85"/>
      <c r="Y815" s="94"/>
      <c r="Z815" s="93"/>
      <c r="AA815" s="85"/>
      <c r="AC815" s="94"/>
      <c r="AD815" s="93"/>
      <c r="AE815" s="85"/>
    </row>
    <row r="816" spans="6:31" x14ac:dyDescent="0.35">
      <c r="F816" s="93"/>
      <c r="G816" s="85"/>
      <c r="H816" s="87"/>
      <c r="I816" s="94"/>
      <c r="J816" s="93"/>
      <c r="K816" s="85"/>
      <c r="M816" s="94"/>
      <c r="N816" s="93"/>
      <c r="O816" s="85"/>
      <c r="Q816" s="94"/>
      <c r="R816" s="93"/>
      <c r="S816" s="85"/>
      <c r="U816" s="94"/>
      <c r="V816" s="93"/>
      <c r="W816" s="85"/>
      <c r="Y816" s="94"/>
      <c r="Z816" s="93"/>
      <c r="AA816" s="85"/>
      <c r="AC816" s="94"/>
      <c r="AD816" s="93"/>
      <c r="AE816" s="85"/>
    </row>
    <row r="817" spans="6:31" x14ac:dyDescent="0.35">
      <c r="F817" s="93"/>
      <c r="G817" s="85"/>
      <c r="H817" s="87"/>
      <c r="I817" s="94"/>
      <c r="J817" s="93"/>
      <c r="K817" s="85"/>
      <c r="M817" s="94"/>
      <c r="N817" s="93"/>
      <c r="O817" s="85"/>
      <c r="Q817" s="94"/>
      <c r="R817" s="93"/>
      <c r="S817" s="85"/>
      <c r="U817" s="94"/>
      <c r="V817" s="93"/>
      <c r="W817" s="85"/>
      <c r="Y817" s="94"/>
      <c r="Z817" s="93"/>
      <c r="AA817" s="85"/>
      <c r="AC817" s="94"/>
      <c r="AD817" s="93"/>
      <c r="AE817" s="85"/>
    </row>
    <row r="818" spans="6:31" x14ac:dyDescent="0.35">
      <c r="F818" s="93"/>
      <c r="G818" s="85"/>
      <c r="H818" s="87"/>
      <c r="I818" s="94"/>
      <c r="J818" s="93"/>
      <c r="K818" s="85"/>
      <c r="M818" s="94"/>
      <c r="N818" s="93"/>
      <c r="O818" s="85"/>
      <c r="Q818" s="94"/>
      <c r="R818" s="93"/>
      <c r="S818" s="85"/>
      <c r="U818" s="94"/>
      <c r="V818" s="93"/>
      <c r="W818" s="85"/>
      <c r="Y818" s="94"/>
      <c r="Z818" s="93"/>
      <c r="AA818" s="85"/>
      <c r="AC818" s="94"/>
      <c r="AD818" s="93"/>
      <c r="AE818" s="85"/>
    </row>
    <row r="819" spans="6:31" x14ac:dyDescent="0.35">
      <c r="F819" s="93"/>
      <c r="G819" s="85"/>
      <c r="H819" s="87"/>
      <c r="I819" s="94"/>
      <c r="J819" s="93"/>
      <c r="K819" s="85"/>
      <c r="M819" s="94"/>
      <c r="N819" s="93"/>
      <c r="O819" s="85"/>
      <c r="Q819" s="94"/>
      <c r="R819" s="93"/>
      <c r="S819" s="85"/>
      <c r="U819" s="94"/>
      <c r="V819" s="93"/>
      <c r="W819" s="85"/>
      <c r="Y819" s="94"/>
      <c r="Z819" s="93"/>
      <c r="AA819" s="85"/>
      <c r="AC819" s="94"/>
      <c r="AD819" s="93"/>
      <c r="AE819" s="85"/>
    </row>
    <row r="820" spans="6:31" x14ac:dyDescent="0.35">
      <c r="F820" s="93"/>
      <c r="G820" s="85"/>
      <c r="H820" s="87"/>
      <c r="I820" s="94"/>
      <c r="J820" s="93"/>
      <c r="K820" s="85"/>
      <c r="M820" s="94"/>
      <c r="N820" s="93"/>
      <c r="O820" s="85"/>
      <c r="Q820" s="94"/>
      <c r="R820" s="93"/>
      <c r="S820" s="85"/>
      <c r="U820" s="94"/>
      <c r="V820" s="93"/>
      <c r="W820" s="85"/>
      <c r="Y820" s="94"/>
      <c r="Z820" s="93"/>
      <c r="AA820" s="85"/>
      <c r="AC820" s="94"/>
      <c r="AD820" s="93"/>
      <c r="AE820" s="85"/>
    </row>
    <row r="821" spans="6:31" x14ac:dyDescent="0.35">
      <c r="F821" s="93"/>
      <c r="G821" s="85"/>
      <c r="H821" s="87"/>
      <c r="I821" s="94"/>
      <c r="J821" s="93"/>
      <c r="K821" s="85"/>
      <c r="M821" s="94"/>
      <c r="N821" s="93"/>
      <c r="O821" s="85"/>
      <c r="Q821" s="94"/>
      <c r="R821" s="93"/>
      <c r="S821" s="85"/>
      <c r="U821" s="94"/>
      <c r="V821" s="93"/>
      <c r="W821" s="85"/>
      <c r="Y821" s="94"/>
      <c r="Z821" s="93"/>
      <c r="AA821" s="85"/>
      <c r="AC821" s="94"/>
      <c r="AD821" s="93"/>
      <c r="AE821" s="85"/>
    </row>
    <row r="822" spans="6:31" x14ac:dyDescent="0.35">
      <c r="F822" s="93"/>
      <c r="G822" s="85"/>
      <c r="H822" s="87"/>
      <c r="I822" s="94"/>
      <c r="J822" s="93"/>
      <c r="K822" s="85"/>
      <c r="M822" s="94"/>
      <c r="N822" s="93"/>
      <c r="O822" s="85"/>
      <c r="Q822" s="94"/>
      <c r="R822" s="93"/>
      <c r="S822" s="85"/>
      <c r="U822" s="94"/>
      <c r="V822" s="93"/>
      <c r="W822" s="85"/>
      <c r="Y822" s="94"/>
      <c r="Z822" s="93"/>
      <c r="AA822" s="85"/>
      <c r="AC822" s="94"/>
      <c r="AD822" s="93"/>
      <c r="AE822" s="85"/>
    </row>
    <row r="823" spans="6:31" x14ac:dyDescent="0.35">
      <c r="F823" s="93"/>
      <c r="G823" s="85"/>
      <c r="H823" s="87"/>
      <c r="I823" s="94"/>
      <c r="J823" s="93"/>
      <c r="K823" s="85"/>
      <c r="M823" s="94"/>
      <c r="N823" s="93"/>
      <c r="O823" s="85"/>
      <c r="Q823" s="94"/>
      <c r="R823" s="93"/>
      <c r="S823" s="85"/>
      <c r="U823" s="94"/>
      <c r="V823" s="93"/>
      <c r="W823" s="85"/>
      <c r="Y823" s="94"/>
      <c r="Z823" s="93"/>
      <c r="AA823" s="85"/>
      <c r="AC823" s="94"/>
      <c r="AD823" s="93"/>
      <c r="AE823" s="85"/>
    </row>
    <row r="824" spans="6:31" x14ac:dyDescent="0.35">
      <c r="F824" s="93"/>
      <c r="G824" s="85"/>
      <c r="H824" s="87"/>
      <c r="I824" s="94"/>
      <c r="J824" s="93"/>
      <c r="K824" s="85"/>
      <c r="M824" s="94"/>
      <c r="N824" s="93"/>
      <c r="O824" s="85"/>
      <c r="Q824" s="94"/>
      <c r="R824" s="93"/>
      <c r="S824" s="85"/>
      <c r="U824" s="94"/>
      <c r="V824" s="93"/>
      <c r="W824" s="85"/>
      <c r="Y824" s="94"/>
      <c r="Z824" s="93"/>
      <c r="AA824" s="85"/>
      <c r="AC824" s="94"/>
      <c r="AD824" s="93"/>
      <c r="AE824" s="85"/>
    </row>
    <row r="825" spans="6:31" x14ac:dyDescent="0.35">
      <c r="F825" s="93"/>
      <c r="G825" s="85"/>
      <c r="H825" s="87"/>
      <c r="I825" s="94"/>
      <c r="J825" s="93"/>
      <c r="K825" s="85"/>
      <c r="M825" s="94"/>
      <c r="N825" s="93"/>
      <c r="O825" s="85"/>
      <c r="Q825" s="94"/>
      <c r="R825" s="93"/>
      <c r="S825" s="85"/>
      <c r="U825" s="94"/>
      <c r="V825" s="93"/>
      <c r="W825" s="85"/>
      <c r="Y825" s="94"/>
      <c r="Z825" s="93"/>
      <c r="AA825" s="85"/>
      <c r="AC825" s="94"/>
      <c r="AD825" s="93"/>
      <c r="AE825" s="85"/>
    </row>
    <row r="826" spans="6:31" x14ac:dyDescent="0.35">
      <c r="F826" s="93"/>
      <c r="G826" s="85"/>
      <c r="H826" s="87"/>
      <c r="I826" s="94"/>
      <c r="J826" s="93"/>
      <c r="K826" s="85"/>
      <c r="M826" s="94"/>
      <c r="N826" s="93"/>
      <c r="O826" s="85"/>
      <c r="Q826" s="94"/>
      <c r="R826" s="93"/>
      <c r="S826" s="85"/>
      <c r="U826" s="94"/>
      <c r="V826" s="93"/>
      <c r="W826" s="85"/>
      <c r="Y826" s="94"/>
      <c r="Z826" s="93"/>
      <c r="AA826" s="85"/>
      <c r="AC826" s="94"/>
      <c r="AD826" s="93"/>
      <c r="AE826" s="85"/>
    </row>
    <row r="827" spans="6:31" x14ac:dyDescent="0.35">
      <c r="F827" s="93"/>
      <c r="G827" s="85"/>
      <c r="H827" s="87"/>
      <c r="I827" s="94"/>
      <c r="J827" s="93"/>
      <c r="K827" s="85"/>
      <c r="M827" s="94"/>
      <c r="N827" s="93"/>
      <c r="O827" s="85"/>
      <c r="Q827" s="94"/>
      <c r="R827" s="93"/>
      <c r="S827" s="85"/>
      <c r="U827" s="94"/>
      <c r="V827" s="93"/>
      <c r="W827" s="85"/>
      <c r="Y827" s="94"/>
      <c r="Z827" s="93"/>
      <c r="AA827" s="85"/>
      <c r="AC827" s="94"/>
      <c r="AD827" s="93"/>
      <c r="AE827" s="85"/>
    </row>
    <row r="828" spans="6:31" x14ac:dyDescent="0.35">
      <c r="F828" s="93"/>
      <c r="G828" s="85"/>
      <c r="H828" s="87"/>
      <c r="I828" s="94"/>
      <c r="J828" s="93"/>
      <c r="K828" s="85"/>
      <c r="M828" s="94"/>
      <c r="N828" s="93"/>
      <c r="O828" s="85"/>
      <c r="Q828" s="94"/>
      <c r="R828" s="93"/>
      <c r="S828" s="85"/>
      <c r="U828" s="94"/>
      <c r="V828" s="93"/>
      <c r="W828" s="85"/>
      <c r="Y828" s="94"/>
      <c r="Z828" s="93"/>
      <c r="AA828" s="85"/>
      <c r="AC828" s="94"/>
      <c r="AD828" s="93"/>
      <c r="AE828" s="85"/>
    </row>
    <row r="829" spans="6:31" x14ac:dyDescent="0.35">
      <c r="F829" s="93"/>
      <c r="G829" s="85"/>
      <c r="H829" s="87"/>
      <c r="I829" s="94"/>
      <c r="J829" s="93"/>
      <c r="K829" s="85"/>
      <c r="M829" s="94"/>
      <c r="N829" s="93"/>
      <c r="O829" s="85"/>
      <c r="Q829" s="94"/>
      <c r="R829" s="93"/>
      <c r="S829" s="85"/>
      <c r="U829" s="94"/>
      <c r="V829" s="93"/>
      <c r="W829" s="85"/>
      <c r="Y829" s="94"/>
      <c r="Z829" s="93"/>
      <c r="AA829" s="85"/>
      <c r="AC829" s="94"/>
      <c r="AD829" s="93"/>
      <c r="AE829" s="85"/>
    </row>
    <row r="830" spans="6:31" x14ac:dyDescent="0.35">
      <c r="F830" s="93"/>
      <c r="G830" s="85"/>
      <c r="H830" s="87"/>
      <c r="I830" s="94"/>
      <c r="J830" s="93"/>
      <c r="K830" s="85"/>
      <c r="M830" s="94"/>
      <c r="N830" s="93"/>
      <c r="O830" s="85"/>
      <c r="Q830" s="94"/>
      <c r="R830" s="93"/>
      <c r="S830" s="85"/>
      <c r="U830" s="94"/>
      <c r="V830" s="93"/>
      <c r="W830" s="85"/>
      <c r="Y830" s="94"/>
      <c r="Z830" s="93"/>
      <c r="AA830" s="85"/>
      <c r="AC830" s="94"/>
      <c r="AD830" s="93"/>
      <c r="AE830" s="85"/>
    </row>
    <row r="831" spans="6:31" x14ac:dyDescent="0.35">
      <c r="F831" s="93"/>
      <c r="G831" s="85"/>
      <c r="H831" s="87"/>
      <c r="I831" s="94"/>
      <c r="J831" s="93"/>
      <c r="K831" s="85"/>
      <c r="M831" s="94"/>
      <c r="N831" s="93"/>
      <c r="O831" s="85"/>
      <c r="Q831" s="94"/>
      <c r="R831" s="93"/>
      <c r="S831" s="85"/>
      <c r="U831" s="94"/>
      <c r="V831" s="93"/>
      <c r="W831" s="85"/>
      <c r="Y831" s="94"/>
      <c r="Z831" s="93"/>
      <c r="AA831" s="85"/>
      <c r="AC831" s="94"/>
      <c r="AD831" s="93"/>
      <c r="AE831" s="85"/>
    </row>
    <row r="832" spans="6:31" x14ac:dyDescent="0.35">
      <c r="F832" s="93"/>
      <c r="G832" s="85"/>
      <c r="H832" s="87"/>
      <c r="I832" s="94"/>
      <c r="J832" s="93"/>
      <c r="K832" s="85"/>
      <c r="M832" s="94"/>
      <c r="N832" s="93"/>
      <c r="O832" s="85"/>
      <c r="Q832" s="94"/>
      <c r="R832" s="93"/>
      <c r="S832" s="85"/>
      <c r="U832" s="94"/>
      <c r="V832" s="93"/>
      <c r="W832" s="85"/>
      <c r="Y832" s="94"/>
      <c r="Z832" s="93"/>
      <c r="AA832" s="85"/>
      <c r="AC832" s="94"/>
      <c r="AD832" s="93"/>
      <c r="AE832" s="85"/>
    </row>
    <row r="833" spans="6:31" x14ac:dyDescent="0.35">
      <c r="F833" s="93"/>
      <c r="G833" s="85"/>
      <c r="H833" s="87"/>
      <c r="I833" s="94"/>
      <c r="J833" s="93"/>
      <c r="K833" s="85"/>
      <c r="M833" s="94"/>
      <c r="N833" s="93"/>
      <c r="O833" s="85"/>
      <c r="Q833" s="94"/>
      <c r="R833" s="93"/>
      <c r="S833" s="85"/>
      <c r="U833" s="94"/>
      <c r="V833" s="93"/>
      <c r="W833" s="85"/>
      <c r="Y833" s="94"/>
      <c r="Z833" s="93"/>
      <c r="AA833" s="85"/>
      <c r="AC833" s="94"/>
      <c r="AD833" s="93"/>
      <c r="AE833" s="85"/>
    </row>
    <row r="834" spans="6:31" x14ac:dyDescent="0.35">
      <c r="F834" s="93"/>
      <c r="G834" s="85"/>
      <c r="H834" s="87"/>
      <c r="I834" s="94"/>
      <c r="J834" s="93"/>
      <c r="K834" s="85"/>
      <c r="M834" s="94"/>
      <c r="N834" s="93"/>
      <c r="O834" s="85"/>
      <c r="Q834" s="94"/>
      <c r="R834" s="93"/>
      <c r="S834" s="85"/>
      <c r="U834" s="94"/>
      <c r="V834" s="93"/>
      <c r="W834" s="85"/>
      <c r="Y834" s="94"/>
      <c r="Z834" s="93"/>
      <c r="AA834" s="85"/>
      <c r="AC834" s="94"/>
      <c r="AD834" s="93"/>
      <c r="AE834" s="85"/>
    </row>
    <row r="835" spans="6:31" x14ac:dyDescent="0.35">
      <c r="F835" s="93"/>
      <c r="G835" s="85"/>
      <c r="H835" s="87"/>
      <c r="I835" s="94"/>
      <c r="J835" s="93"/>
      <c r="K835" s="85"/>
      <c r="M835" s="94"/>
      <c r="N835" s="93"/>
      <c r="O835" s="85"/>
      <c r="Q835" s="94"/>
      <c r="R835" s="93"/>
      <c r="S835" s="85"/>
      <c r="U835" s="94"/>
      <c r="V835" s="93"/>
      <c r="W835" s="85"/>
      <c r="Y835" s="94"/>
      <c r="Z835" s="93"/>
      <c r="AA835" s="85"/>
      <c r="AC835" s="94"/>
      <c r="AD835" s="93"/>
      <c r="AE835" s="85"/>
    </row>
    <row r="836" spans="6:31" x14ac:dyDescent="0.35">
      <c r="F836" s="93"/>
      <c r="G836" s="85"/>
      <c r="H836" s="87"/>
      <c r="I836" s="94"/>
      <c r="J836" s="93"/>
      <c r="K836" s="85"/>
      <c r="M836" s="94"/>
      <c r="N836" s="93"/>
      <c r="O836" s="85"/>
      <c r="Q836" s="94"/>
      <c r="R836" s="93"/>
      <c r="S836" s="85"/>
      <c r="U836" s="94"/>
      <c r="V836" s="93"/>
      <c r="W836" s="85"/>
      <c r="Y836" s="94"/>
      <c r="Z836" s="93"/>
      <c r="AA836" s="85"/>
      <c r="AC836" s="94"/>
      <c r="AD836" s="93"/>
      <c r="AE836" s="85"/>
    </row>
    <row r="837" spans="6:31" x14ac:dyDescent="0.35">
      <c r="F837" s="93"/>
      <c r="G837" s="85"/>
      <c r="H837" s="87"/>
      <c r="I837" s="94"/>
      <c r="J837" s="93"/>
      <c r="K837" s="85"/>
      <c r="M837" s="94"/>
      <c r="N837" s="93"/>
      <c r="O837" s="85"/>
      <c r="Q837" s="94"/>
      <c r="R837" s="93"/>
      <c r="S837" s="85"/>
      <c r="U837" s="94"/>
      <c r="V837" s="93"/>
      <c r="W837" s="85"/>
      <c r="Y837" s="94"/>
      <c r="Z837" s="93"/>
      <c r="AA837" s="85"/>
      <c r="AC837" s="94"/>
      <c r="AD837" s="93"/>
      <c r="AE837" s="85"/>
    </row>
    <row r="838" spans="6:31" x14ac:dyDescent="0.35">
      <c r="F838" s="93"/>
      <c r="G838" s="85"/>
      <c r="H838" s="87"/>
      <c r="I838" s="94"/>
      <c r="J838" s="93"/>
      <c r="K838" s="85"/>
      <c r="M838" s="94"/>
      <c r="N838" s="93"/>
      <c r="O838" s="85"/>
      <c r="Q838" s="94"/>
      <c r="R838" s="93"/>
      <c r="S838" s="85"/>
      <c r="U838" s="94"/>
      <c r="V838" s="93"/>
      <c r="W838" s="85"/>
      <c r="Y838" s="94"/>
      <c r="Z838" s="93"/>
      <c r="AA838" s="85"/>
      <c r="AC838" s="94"/>
      <c r="AD838" s="93"/>
      <c r="AE838" s="85"/>
    </row>
    <row r="839" spans="6:31" x14ac:dyDescent="0.35">
      <c r="F839" s="93"/>
      <c r="G839" s="85"/>
      <c r="H839" s="87"/>
      <c r="I839" s="94"/>
      <c r="J839" s="93"/>
      <c r="K839" s="85"/>
      <c r="M839" s="94"/>
      <c r="N839" s="93"/>
      <c r="O839" s="85"/>
      <c r="Q839" s="94"/>
      <c r="R839" s="93"/>
      <c r="S839" s="85"/>
      <c r="U839" s="94"/>
      <c r="V839" s="93"/>
      <c r="W839" s="85"/>
      <c r="Y839" s="94"/>
      <c r="Z839" s="93"/>
      <c r="AA839" s="85"/>
      <c r="AC839" s="94"/>
      <c r="AD839" s="93"/>
      <c r="AE839" s="85"/>
    </row>
    <row r="840" spans="6:31" x14ac:dyDescent="0.35">
      <c r="F840" s="93"/>
      <c r="G840" s="85"/>
      <c r="H840" s="87"/>
      <c r="I840" s="94"/>
      <c r="J840" s="93"/>
      <c r="K840" s="85"/>
      <c r="M840" s="94"/>
      <c r="N840" s="93"/>
      <c r="O840" s="85"/>
      <c r="Q840" s="94"/>
      <c r="R840" s="93"/>
      <c r="S840" s="85"/>
      <c r="U840" s="94"/>
      <c r="V840" s="93"/>
      <c r="W840" s="85"/>
      <c r="Y840" s="94"/>
      <c r="Z840" s="93"/>
      <c r="AA840" s="85"/>
      <c r="AC840" s="94"/>
      <c r="AD840" s="93"/>
      <c r="AE840" s="85"/>
    </row>
    <row r="841" spans="6:31" x14ac:dyDescent="0.35">
      <c r="F841" s="93"/>
      <c r="G841" s="85"/>
      <c r="H841" s="87"/>
      <c r="I841" s="94"/>
      <c r="J841" s="93"/>
      <c r="K841" s="85"/>
      <c r="M841" s="94"/>
      <c r="N841" s="93"/>
      <c r="O841" s="85"/>
      <c r="Q841" s="94"/>
      <c r="R841" s="93"/>
      <c r="S841" s="85"/>
      <c r="U841" s="94"/>
      <c r="V841" s="93"/>
      <c r="W841" s="85"/>
      <c r="Y841" s="94"/>
      <c r="Z841" s="93"/>
      <c r="AA841" s="85"/>
      <c r="AC841" s="94"/>
      <c r="AD841" s="93"/>
      <c r="AE841" s="85"/>
    </row>
    <row r="842" spans="6:31" x14ac:dyDescent="0.35">
      <c r="F842" s="93"/>
      <c r="G842" s="85"/>
      <c r="H842" s="87"/>
      <c r="I842" s="94"/>
      <c r="J842" s="93"/>
      <c r="K842" s="85"/>
      <c r="M842" s="94"/>
      <c r="N842" s="93"/>
      <c r="O842" s="85"/>
      <c r="Q842" s="94"/>
      <c r="R842" s="93"/>
      <c r="S842" s="85"/>
      <c r="U842" s="94"/>
      <c r="V842" s="93"/>
      <c r="W842" s="85"/>
      <c r="Y842" s="94"/>
      <c r="Z842" s="93"/>
      <c r="AA842" s="85"/>
      <c r="AC842" s="94"/>
      <c r="AD842" s="93"/>
      <c r="AE842" s="85"/>
    </row>
    <row r="843" spans="6:31" x14ac:dyDescent="0.35">
      <c r="F843" s="93"/>
      <c r="G843" s="85"/>
      <c r="H843" s="87"/>
      <c r="I843" s="94"/>
      <c r="J843" s="93"/>
      <c r="K843" s="85"/>
      <c r="M843" s="94"/>
      <c r="N843" s="93"/>
      <c r="O843" s="85"/>
      <c r="Q843" s="94"/>
      <c r="R843" s="93"/>
      <c r="S843" s="85"/>
      <c r="U843" s="94"/>
      <c r="V843" s="93"/>
      <c r="W843" s="85"/>
      <c r="Y843" s="94"/>
      <c r="Z843" s="93"/>
      <c r="AA843" s="85"/>
      <c r="AC843" s="94"/>
      <c r="AD843" s="93"/>
      <c r="AE843" s="85"/>
    </row>
    <row r="844" spans="6:31" x14ac:dyDescent="0.35">
      <c r="F844" s="93"/>
      <c r="G844" s="85"/>
      <c r="H844" s="87"/>
      <c r="I844" s="94"/>
      <c r="J844" s="93"/>
      <c r="K844" s="85"/>
      <c r="M844" s="94"/>
      <c r="N844" s="93"/>
      <c r="O844" s="85"/>
      <c r="Q844" s="94"/>
      <c r="R844" s="93"/>
      <c r="S844" s="85"/>
      <c r="U844" s="94"/>
      <c r="V844" s="93"/>
      <c r="W844" s="85"/>
      <c r="Y844" s="94"/>
      <c r="Z844" s="93"/>
      <c r="AA844" s="85"/>
      <c r="AC844" s="94"/>
      <c r="AD844" s="93"/>
      <c r="AE844" s="85"/>
    </row>
    <row r="845" spans="6:31" x14ac:dyDescent="0.35">
      <c r="F845" s="93"/>
      <c r="G845" s="85"/>
      <c r="H845" s="87"/>
      <c r="I845" s="94"/>
      <c r="J845" s="93"/>
      <c r="K845" s="85"/>
      <c r="M845" s="94"/>
      <c r="N845" s="93"/>
      <c r="O845" s="85"/>
      <c r="Q845" s="94"/>
      <c r="R845" s="93"/>
      <c r="S845" s="85"/>
      <c r="U845" s="94"/>
      <c r="V845" s="93"/>
      <c r="W845" s="85"/>
      <c r="Y845" s="94"/>
      <c r="Z845" s="93"/>
      <c r="AA845" s="85"/>
      <c r="AC845" s="94"/>
      <c r="AD845" s="93"/>
      <c r="AE845" s="85"/>
    </row>
    <row r="846" spans="6:31" x14ac:dyDescent="0.35">
      <c r="F846" s="93"/>
      <c r="G846" s="85"/>
      <c r="H846" s="87"/>
      <c r="I846" s="94"/>
      <c r="J846" s="93"/>
      <c r="K846" s="85"/>
      <c r="M846" s="94"/>
      <c r="N846" s="93"/>
      <c r="O846" s="85"/>
      <c r="Q846" s="94"/>
      <c r="R846" s="93"/>
      <c r="S846" s="85"/>
      <c r="U846" s="94"/>
      <c r="V846" s="93"/>
      <c r="W846" s="85"/>
      <c r="Y846" s="94"/>
      <c r="Z846" s="93"/>
      <c r="AA846" s="85"/>
      <c r="AC846" s="94"/>
      <c r="AD846" s="93"/>
      <c r="AE846" s="85"/>
    </row>
    <row r="847" spans="6:31" x14ac:dyDescent="0.35">
      <c r="F847" s="93"/>
      <c r="G847" s="85"/>
      <c r="H847" s="87"/>
      <c r="I847" s="94"/>
      <c r="J847" s="93"/>
      <c r="K847" s="85"/>
      <c r="M847" s="94"/>
      <c r="N847" s="93"/>
      <c r="O847" s="85"/>
      <c r="Q847" s="94"/>
      <c r="R847" s="93"/>
      <c r="S847" s="85"/>
      <c r="U847" s="94"/>
      <c r="V847" s="93"/>
      <c r="W847" s="85"/>
      <c r="Y847" s="94"/>
      <c r="Z847" s="93"/>
      <c r="AA847" s="85"/>
      <c r="AC847" s="94"/>
      <c r="AD847" s="93"/>
      <c r="AE847" s="85"/>
    </row>
    <row r="848" spans="6:31" x14ac:dyDescent="0.35">
      <c r="F848" s="93"/>
      <c r="G848" s="85"/>
      <c r="H848" s="87"/>
      <c r="I848" s="94"/>
      <c r="J848" s="93"/>
      <c r="K848" s="85"/>
      <c r="M848" s="94"/>
      <c r="N848" s="93"/>
      <c r="O848" s="85"/>
      <c r="Q848" s="94"/>
      <c r="R848" s="93"/>
      <c r="S848" s="85"/>
      <c r="U848" s="94"/>
      <c r="V848" s="93"/>
      <c r="W848" s="85"/>
      <c r="Y848" s="94"/>
      <c r="Z848" s="93"/>
      <c r="AA848" s="85"/>
      <c r="AC848" s="94"/>
      <c r="AD848" s="93"/>
      <c r="AE848" s="85"/>
    </row>
    <row r="849" spans="6:31" x14ac:dyDescent="0.35">
      <c r="F849" s="93"/>
      <c r="G849" s="85"/>
      <c r="H849" s="87"/>
      <c r="I849" s="94"/>
      <c r="J849" s="93"/>
      <c r="K849" s="85"/>
      <c r="M849" s="94"/>
      <c r="N849" s="93"/>
      <c r="O849" s="85"/>
      <c r="Q849" s="94"/>
      <c r="R849" s="93"/>
      <c r="S849" s="85"/>
      <c r="U849" s="94"/>
      <c r="V849" s="93"/>
      <c r="W849" s="85"/>
      <c r="Y849" s="94"/>
      <c r="Z849" s="93"/>
      <c r="AA849" s="85"/>
      <c r="AC849" s="94"/>
      <c r="AD849" s="93"/>
      <c r="AE849" s="85"/>
    </row>
    <row r="850" spans="6:31" x14ac:dyDescent="0.35">
      <c r="F850" s="93"/>
      <c r="G850" s="85"/>
      <c r="H850" s="87"/>
      <c r="I850" s="94"/>
      <c r="J850" s="93"/>
      <c r="K850" s="85"/>
      <c r="M850" s="94"/>
      <c r="N850" s="93"/>
      <c r="O850" s="85"/>
      <c r="Q850" s="94"/>
      <c r="R850" s="93"/>
      <c r="S850" s="85"/>
      <c r="U850" s="94"/>
      <c r="V850" s="93"/>
      <c r="W850" s="85"/>
      <c r="Y850" s="94"/>
      <c r="Z850" s="93"/>
      <c r="AA850" s="85"/>
      <c r="AC850" s="94"/>
      <c r="AD850" s="93"/>
      <c r="AE850" s="85"/>
    </row>
    <row r="851" spans="6:31" x14ac:dyDescent="0.35">
      <c r="F851" s="93"/>
      <c r="G851" s="85"/>
      <c r="H851" s="87"/>
      <c r="I851" s="94"/>
      <c r="J851" s="93"/>
      <c r="K851" s="85"/>
      <c r="M851" s="94"/>
      <c r="N851" s="93"/>
      <c r="O851" s="85"/>
      <c r="Q851" s="94"/>
      <c r="R851" s="93"/>
      <c r="S851" s="85"/>
      <c r="U851" s="94"/>
      <c r="V851" s="93"/>
      <c r="W851" s="85"/>
      <c r="Y851" s="94"/>
      <c r="Z851" s="93"/>
      <c r="AA851" s="85"/>
      <c r="AC851" s="94"/>
      <c r="AD851" s="93"/>
      <c r="AE851" s="85"/>
    </row>
    <row r="852" spans="6:31" x14ac:dyDescent="0.35">
      <c r="F852" s="93"/>
      <c r="G852" s="85"/>
      <c r="H852" s="87"/>
      <c r="I852" s="94"/>
      <c r="J852" s="93"/>
      <c r="K852" s="85"/>
      <c r="M852" s="94"/>
      <c r="N852" s="93"/>
      <c r="O852" s="85"/>
      <c r="Q852" s="94"/>
      <c r="R852" s="93"/>
      <c r="S852" s="85"/>
      <c r="U852" s="94"/>
      <c r="V852" s="93"/>
      <c r="W852" s="85"/>
      <c r="Y852" s="94"/>
      <c r="Z852" s="93"/>
      <c r="AA852" s="85"/>
      <c r="AC852" s="94"/>
      <c r="AD852" s="93"/>
      <c r="AE852" s="85"/>
    </row>
    <row r="853" spans="6:31" x14ac:dyDescent="0.35">
      <c r="F853" s="93"/>
      <c r="G853" s="85"/>
      <c r="H853" s="87"/>
      <c r="I853" s="94"/>
      <c r="J853" s="93"/>
      <c r="K853" s="85"/>
      <c r="M853" s="94"/>
      <c r="N853" s="93"/>
      <c r="O853" s="85"/>
      <c r="Q853" s="94"/>
      <c r="R853" s="93"/>
      <c r="S853" s="85"/>
      <c r="U853" s="94"/>
      <c r="V853" s="93"/>
      <c r="W853" s="85"/>
      <c r="Y853" s="94"/>
      <c r="Z853" s="93"/>
      <c r="AA853" s="85"/>
      <c r="AC853" s="94"/>
      <c r="AD853" s="93"/>
      <c r="AE853" s="85"/>
    </row>
    <row r="854" spans="6:31" x14ac:dyDescent="0.35">
      <c r="F854" s="93"/>
      <c r="G854" s="85"/>
      <c r="H854" s="87"/>
      <c r="I854" s="94"/>
      <c r="J854" s="93"/>
      <c r="K854" s="85"/>
      <c r="M854" s="94"/>
      <c r="N854" s="93"/>
      <c r="O854" s="85"/>
      <c r="Q854" s="94"/>
      <c r="R854" s="93"/>
      <c r="S854" s="85"/>
      <c r="U854" s="94"/>
      <c r="V854" s="93"/>
      <c r="W854" s="85"/>
      <c r="Y854" s="94"/>
      <c r="Z854" s="93"/>
      <c r="AA854" s="85"/>
      <c r="AC854" s="94"/>
      <c r="AD854" s="93"/>
      <c r="AE854" s="85"/>
    </row>
    <row r="855" spans="6:31" x14ac:dyDescent="0.35">
      <c r="F855" s="93"/>
      <c r="G855" s="85"/>
      <c r="H855" s="87"/>
      <c r="I855" s="94"/>
      <c r="J855" s="93"/>
      <c r="K855" s="85"/>
      <c r="M855" s="94"/>
      <c r="N855" s="93"/>
      <c r="O855" s="85"/>
      <c r="Q855" s="94"/>
      <c r="R855" s="93"/>
      <c r="S855" s="85"/>
      <c r="U855" s="94"/>
      <c r="V855" s="93"/>
      <c r="W855" s="85"/>
      <c r="Y855" s="94"/>
      <c r="Z855" s="93"/>
      <c r="AA855" s="85"/>
      <c r="AC855" s="94"/>
      <c r="AD855" s="93"/>
      <c r="AE855" s="85"/>
    </row>
    <row r="856" spans="6:31" x14ac:dyDescent="0.35">
      <c r="F856" s="93"/>
      <c r="G856" s="85"/>
      <c r="H856" s="87"/>
      <c r="I856" s="94"/>
      <c r="J856" s="93"/>
      <c r="K856" s="85"/>
      <c r="M856" s="94"/>
      <c r="N856" s="93"/>
      <c r="O856" s="85"/>
      <c r="Q856" s="94"/>
      <c r="R856" s="93"/>
      <c r="S856" s="85"/>
      <c r="U856" s="94"/>
      <c r="V856" s="93"/>
      <c r="W856" s="85"/>
      <c r="Y856" s="94"/>
      <c r="Z856" s="93"/>
      <c r="AA856" s="85"/>
      <c r="AC856" s="94"/>
      <c r="AD856" s="93"/>
      <c r="AE856" s="85"/>
    </row>
    <row r="857" spans="6:31" x14ac:dyDescent="0.35">
      <c r="F857" s="93"/>
      <c r="G857" s="85"/>
      <c r="H857" s="87"/>
      <c r="I857" s="94"/>
      <c r="J857" s="93"/>
      <c r="K857" s="85"/>
      <c r="M857" s="94"/>
      <c r="N857" s="93"/>
      <c r="O857" s="85"/>
      <c r="Q857" s="94"/>
      <c r="R857" s="93"/>
      <c r="S857" s="85"/>
      <c r="U857" s="94"/>
      <c r="V857" s="93"/>
      <c r="W857" s="85"/>
      <c r="Y857" s="94"/>
      <c r="Z857" s="93"/>
      <c r="AA857" s="85"/>
      <c r="AC857" s="94"/>
      <c r="AD857" s="93"/>
      <c r="AE857" s="85"/>
    </row>
    <row r="858" spans="6:31" x14ac:dyDescent="0.35">
      <c r="F858" s="93"/>
      <c r="G858" s="85"/>
      <c r="H858" s="87"/>
      <c r="I858" s="94"/>
      <c r="J858" s="93"/>
      <c r="K858" s="85"/>
      <c r="M858" s="94"/>
      <c r="N858" s="93"/>
      <c r="O858" s="85"/>
      <c r="Q858" s="94"/>
      <c r="R858" s="93"/>
      <c r="S858" s="85"/>
      <c r="U858" s="94"/>
      <c r="V858" s="93"/>
      <c r="W858" s="85"/>
      <c r="Y858" s="94"/>
      <c r="Z858" s="93"/>
      <c r="AA858" s="85"/>
      <c r="AC858" s="94"/>
      <c r="AD858" s="93"/>
      <c r="AE858" s="85"/>
    </row>
    <row r="859" spans="6:31" x14ac:dyDescent="0.35">
      <c r="F859" s="93"/>
      <c r="G859" s="85"/>
      <c r="H859" s="87"/>
      <c r="I859" s="94"/>
      <c r="J859" s="93"/>
      <c r="K859" s="85"/>
      <c r="M859" s="94"/>
      <c r="N859" s="93"/>
      <c r="O859" s="85"/>
      <c r="Q859" s="94"/>
      <c r="R859" s="93"/>
      <c r="S859" s="85"/>
      <c r="U859" s="94"/>
      <c r="V859" s="93"/>
      <c r="W859" s="85"/>
      <c r="Y859" s="94"/>
      <c r="Z859" s="93"/>
      <c r="AA859" s="85"/>
      <c r="AC859" s="94"/>
      <c r="AD859" s="93"/>
      <c r="AE859" s="85"/>
    </row>
    <row r="860" spans="6:31" x14ac:dyDescent="0.35">
      <c r="F860" s="93"/>
      <c r="G860" s="85"/>
      <c r="H860" s="87"/>
      <c r="I860" s="94"/>
      <c r="J860" s="93"/>
      <c r="K860" s="85"/>
      <c r="M860" s="94"/>
      <c r="N860" s="93"/>
      <c r="O860" s="85"/>
      <c r="Q860" s="94"/>
      <c r="R860" s="93"/>
      <c r="S860" s="85"/>
      <c r="U860" s="94"/>
      <c r="V860" s="93"/>
      <c r="W860" s="85"/>
      <c r="Y860" s="94"/>
      <c r="Z860" s="93"/>
      <c r="AA860" s="85"/>
      <c r="AC860" s="94"/>
      <c r="AD860" s="93"/>
      <c r="AE860" s="85"/>
    </row>
    <row r="861" spans="6:31" x14ac:dyDescent="0.35">
      <c r="F861" s="93"/>
      <c r="G861" s="85"/>
      <c r="H861" s="87"/>
      <c r="I861" s="94"/>
      <c r="J861" s="93"/>
      <c r="K861" s="85"/>
      <c r="M861" s="94"/>
      <c r="N861" s="93"/>
      <c r="O861" s="85"/>
      <c r="Q861" s="94"/>
      <c r="R861" s="93"/>
      <c r="S861" s="85"/>
      <c r="U861" s="94"/>
      <c r="V861" s="93"/>
      <c r="W861" s="85"/>
      <c r="Y861" s="94"/>
      <c r="Z861" s="93"/>
      <c r="AA861" s="85"/>
      <c r="AC861" s="94"/>
      <c r="AD861" s="93"/>
      <c r="AE861" s="85"/>
    </row>
    <row r="862" spans="6:31" x14ac:dyDescent="0.35">
      <c r="F862" s="93"/>
      <c r="G862" s="85"/>
      <c r="H862" s="87"/>
      <c r="I862" s="94"/>
      <c r="J862" s="93"/>
      <c r="K862" s="85"/>
      <c r="M862" s="94"/>
      <c r="N862" s="93"/>
      <c r="O862" s="85"/>
      <c r="Q862" s="94"/>
      <c r="R862" s="93"/>
      <c r="S862" s="85"/>
      <c r="U862" s="94"/>
      <c r="V862" s="93"/>
      <c r="W862" s="85"/>
      <c r="Y862" s="94"/>
      <c r="Z862" s="93"/>
      <c r="AA862" s="85"/>
      <c r="AC862" s="94"/>
      <c r="AD862" s="93"/>
      <c r="AE862" s="85"/>
    </row>
    <row r="863" spans="6:31" x14ac:dyDescent="0.35">
      <c r="F863" s="93"/>
      <c r="G863" s="85"/>
      <c r="H863" s="87"/>
      <c r="I863" s="94"/>
      <c r="J863" s="93"/>
      <c r="K863" s="85"/>
      <c r="M863" s="94"/>
      <c r="N863" s="93"/>
      <c r="O863" s="85"/>
      <c r="Q863" s="94"/>
      <c r="R863" s="93"/>
      <c r="S863" s="85"/>
      <c r="U863" s="94"/>
      <c r="V863" s="93"/>
      <c r="W863" s="85"/>
      <c r="Y863" s="94"/>
      <c r="Z863" s="93"/>
      <c r="AA863" s="85"/>
      <c r="AC863" s="94"/>
      <c r="AD863" s="93"/>
      <c r="AE863" s="85"/>
    </row>
    <row r="864" spans="6:31" x14ac:dyDescent="0.35">
      <c r="F864" s="93"/>
      <c r="G864" s="85"/>
      <c r="H864" s="87"/>
      <c r="I864" s="94"/>
      <c r="J864" s="93"/>
      <c r="K864" s="85"/>
      <c r="M864" s="94"/>
      <c r="N864" s="93"/>
      <c r="O864" s="85"/>
      <c r="Q864" s="94"/>
      <c r="R864" s="93"/>
      <c r="S864" s="85"/>
      <c r="U864" s="94"/>
      <c r="V864" s="93"/>
      <c r="W864" s="85"/>
      <c r="Y864" s="94"/>
      <c r="Z864" s="93"/>
      <c r="AA864" s="85"/>
      <c r="AC864" s="94"/>
      <c r="AD864" s="93"/>
      <c r="AE864" s="85"/>
    </row>
    <row r="865" spans="6:31" x14ac:dyDescent="0.35">
      <c r="F865" s="93"/>
      <c r="G865" s="85"/>
      <c r="H865" s="87"/>
      <c r="I865" s="94"/>
      <c r="J865" s="93"/>
      <c r="K865" s="85"/>
      <c r="M865" s="94"/>
      <c r="N865" s="93"/>
      <c r="O865" s="85"/>
      <c r="Q865" s="94"/>
      <c r="R865" s="93"/>
      <c r="S865" s="85"/>
      <c r="U865" s="94"/>
      <c r="V865" s="93"/>
      <c r="W865" s="85"/>
      <c r="Y865" s="94"/>
      <c r="Z865" s="93"/>
      <c r="AA865" s="85"/>
      <c r="AC865" s="94"/>
      <c r="AD865" s="93"/>
      <c r="AE865" s="85"/>
    </row>
    <row r="866" spans="6:31" x14ac:dyDescent="0.35">
      <c r="F866" s="93"/>
      <c r="G866" s="85"/>
      <c r="H866" s="87"/>
      <c r="I866" s="94"/>
      <c r="J866" s="93"/>
      <c r="K866" s="85"/>
      <c r="M866" s="94"/>
      <c r="N866" s="93"/>
      <c r="O866" s="85"/>
      <c r="Q866" s="94"/>
      <c r="R866" s="93"/>
      <c r="S866" s="85"/>
      <c r="U866" s="94"/>
      <c r="V866" s="93"/>
      <c r="W866" s="85"/>
      <c r="Y866" s="94"/>
      <c r="Z866" s="93"/>
      <c r="AA866" s="85"/>
      <c r="AC866" s="94"/>
      <c r="AD866" s="93"/>
      <c r="AE866" s="85"/>
    </row>
    <row r="867" spans="6:31" x14ac:dyDescent="0.35">
      <c r="F867" s="93"/>
      <c r="G867" s="85"/>
      <c r="H867" s="87"/>
      <c r="I867" s="94"/>
      <c r="J867" s="93"/>
      <c r="K867" s="85"/>
      <c r="M867" s="94"/>
      <c r="N867" s="93"/>
      <c r="O867" s="85"/>
      <c r="Q867" s="94"/>
      <c r="R867" s="93"/>
      <c r="S867" s="85"/>
      <c r="U867" s="94"/>
      <c r="V867" s="93"/>
      <c r="W867" s="85"/>
      <c r="Y867" s="94"/>
      <c r="Z867" s="93"/>
      <c r="AA867" s="85"/>
      <c r="AC867" s="94"/>
      <c r="AD867" s="93"/>
      <c r="AE867" s="85"/>
    </row>
    <row r="868" spans="6:31" x14ac:dyDescent="0.35">
      <c r="F868" s="93"/>
      <c r="G868" s="85"/>
      <c r="H868" s="87"/>
      <c r="I868" s="94"/>
      <c r="J868" s="93"/>
      <c r="K868" s="85"/>
      <c r="M868" s="94"/>
      <c r="N868" s="93"/>
      <c r="O868" s="85"/>
      <c r="Q868" s="94"/>
      <c r="R868" s="93"/>
      <c r="S868" s="85"/>
      <c r="U868" s="94"/>
      <c r="V868" s="93"/>
      <c r="W868" s="85"/>
      <c r="Y868" s="94"/>
      <c r="Z868" s="93"/>
      <c r="AA868" s="85"/>
      <c r="AC868" s="94"/>
      <c r="AD868" s="93"/>
      <c r="AE868" s="85"/>
    </row>
    <row r="869" spans="6:31" x14ac:dyDescent="0.35">
      <c r="F869" s="93"/>
      <c r="G869" s="85"/>
      <c r="H869" s="87"/>
      <c r="I869" s="94"/>
      <c r="J869" s="93"/>
      <c r="K869" s="85"/>
      <c r="M869" s="94"/>
      <c r="N869" s="93"/>
      <c r="O869" s="85"/>
      <c r="Q869" s="94"/>
      <c r="R869" s="93"/>
      <c r="S869" s="85"/>
      <c r="U869" s="94"/>
      <c r="V869" s="93"/>
      <c r="W869" s="85"/>
      <c r="Y869" s="94"/>
      <c r="Z869" s="93"/>
      <c r="AA869" s="85"/>
      <c r="AC869" s="94"/>
      <c r="AD869" s="93"/>
      <c r="AE869" s="85"/>
    </row>
    <row r="870" spans="6:31" x14ac:dyDescent="0.35">
      <c r="F870" s="93"/>
      <c r="G870" s="85"/>
      <c r="H870" s="87"/>
      <c r="I870" s="94"/>
      <c r="J870" s="93"/>
      <c r="K870" s="85"/>
      <c r="M870" s="94"/>
      <c r="N870" s="93"/>
      <c r="O870" s="85"/>
      <c r="Q870" s="94"/>
      <c r="R870" s="93"/>
      <c r="S870" s="85"/>
      <c r="U870" s="94"/>
      <c r="V870" s="93"/>
      <c r="W870" s="85"/>
      <c r="Y870" s="94"/>
      <c r="Z870" s="93"/>
      <c r="AA870" s="85"/>
      <c r="AC870" s="94"/>
      <c r="AD870" s="93"/>
      <c r="AE870" s="85"/>
    </row>
    <row r="871" spans="6:31" x14ac:dyDescent="0.35">
      <c r="F871" s="93"/>
      <c r="G871" s="85"/>
      <c r="H871" s="87"/>
      <c r="I871" s="94"/>
      <c r="J871" s="93"/>
      <c r="K871" s="85"/>
      <c r="M871" s="94"/>
      <c r="N871" s="93"/>
      <c r="O871" s="85"/>
      <c r="Q871" s="94"/>
      <c r="R871" s="93"/>
      <c r="S871" s="85"/>
      <c r="U871" s="94"/>
      <c r="V871" s="93"/>
      <c r="W871" s="85"/>
      <c r="Y871" s="94"/>
      <c r="Z871" s="93"/>
      <c r="AA871" s="85"/>
      <c r="AC871" s="94"/>
      <c r="AD871" s="93"/>
      <c r="AE871" s="85"/>
    </row>
    <row r="872" spans="6:31" x14ac:dyDescent="0.35">
      <c r="F872" s="93"/>
      <c r="G872" s="85"/>
      <c r="H872" s="87"/>
      <c r="I872" s="94"/>
      <c r="J872" s="93"/>
      <c r="K872" s="85"/>
      <c r="M872" s="94"/>
      <c r="N872" s="93"/>
      <c r="O872" s="85"/>
      <c r="Q872" s="94"/>
      <c r="R872" s="93"/>
      <c r="S872" s="85"/>
      <c r="U872" s="94"/>
      <c r="V872" s="93"/>
      <c r="W872" s="85"/>
      <c r="Y872" s="94"/>
      <c r="Z872" s="93"/>
      <c r="AA872" s="85"/>
      <c r="AC872" s="94"/>
      <c r="AD872" s="93"/>
      <c r="AE872" s="85"/>
    </row>
    <row r="873" spans="6:31" x14ac:dyDescent="0.35">
      <c r="F873" s="93"/>
      <c r="G873" s="85"/>
      <c r="H873" s="87"/>
      <c r="I873" s="94"/>
      <c r="J873" s="93"/>
      <c r="K873" s="85"/>
      <c r="M873" s="94"/>
      <c r="N873" s="93"/>
      <c r="O873" s="85"/>
      <c r="Q873" s="94"/>
      <c r="R873" s="93"/>
      <c r="S873" s="85"/>
      <c r="U873" s="94"/>
      <c r="V873" s="93"/>
      <c r="W873" s="85"/>
      <c r="Y873" s="94"/>
      <c r="Z873" s="93"/>
      <c r="AA873" s="85"/>
      <c r="AC873" s="94"/>
      <c r="AD873" s="93"/>
      <c r="AE873" s="85"/>
    </row>
    <row r="874" spans="6:31" x14ac:dyDescent="0.35">
      <c r="F874" s="93"/>
      <c r="G874" s="85"/>
      <c r="H874" s="87"/>
      <c r="I874" s="94"/>
      <c r="J874" s="93"/>
      <c r="K874" s="85"/>
      <c r="M874" s="94"/>
      <c r="N874" s="93"/>
      <c r="O874" s="85"/>
      <c r="Q874" s="94"/>
      <c r="R874" s="93"/>
      <c r="S874" s="85"/>
      <c r="U874" s="94"/>
      <c r="V874" s="93"/>
      <c r="W874" s="85"/>
      <c r="Y874" s="94"/>
      <c r="Z874" s="93"/>
      <c r="AA874" s="85"/>
      <c r="AC874" s="94"/>
      <c r="AD874" s="93"/>
      <c r="AE874" s="85"/>
    </row>
    <row r="875" spans="6:31" x14ac:dyDescent="0.35">
      <c r="F875" s="93"/>
      <c r="G875" s="85"/>
      <c r="H875" s="87"/>
      <c r="I875" s="94"/>
      <c r="J875" s="93"/>
      <c r="K875" s="85"/>
      <c r="M875" s="94"/>
      <c r="N875" s="93"/>
      <c r="O875" s="85"/>
      <c r="Q875" s="94"/>
      <c r="R875" s="93"/>
      <c r="S875" s="85"/>
      <c r="U875" s="94"/>
      <c r="V875" s="93"/>
      <c r="W875" s="85"/>
      <c r="Y875" s="94"/>
      <c r="Z875" s="93"/>
      <c r="AA875" s="85"/>
      <c r="AC875" s="94"/>
      <c r="AD875" s="93"/>
      <c r="AE875" s="85"/>
    </row>
    <row r="876" spans="6:31" x14ac:dyDescent="0.35">
      <c r="F876" s="93"/>
      <c r="G876" s="85"/>
      <c r="H876" s="87"/>
      <c r="I876" s="94"/>
      <c r="J876" s="93"/>
      <c r="K876" s="85"/>
      <c r="M876" s="94"/>
      <c r="N876" s="93"/>
      <c r="O876" s="85"/>
      <c r="Q876" s="94"/>
      <c r="R876" s="93"/>
      <c r="S876" s="85"/>
      <c r="U876" s="94"/>
      <c r="V876" s="93"/>
      <c r="W876" s="85"/>
      <c r="Y876" s="94"/>
      <c r="Z876" s="93"/>
      <c r="AA876" s="85"/>
      <c r="AC876" s="94"/>
      <c r="AD876" s="93"/>
      <c r="AE876" s="85"/>
    </row>
    <row r="877" spans="6:31" x14ac:dyDescent="0.35">
      <c r="F877" s="93"/>
      <c r="G877" s="85"/>
      <c r="H877" s="87"/>
      <c r="I877" s="94"/>
      <c r="J877" s="93"/>
      <c r="K877" s="85"/>
      <c r="M877" s="94"/>
      <c r="N877" s="93"/>
      <c r="O877" s="85"/>
      <c r="Q877" s="94"/>
      <c r="R877" s="93"/>
      <c r="S877" s="85"/>
      <c r="U877" s="94"/>
      <c r="V877" s="93"/>
      <c r="W877" s="85"/>
      <c r="Y877" s="94"/>
      <c r="Z877" s="93"/>
      <c r="AA877" s="85"/>
      <c r="AC877" s="94"/>
      <c r="AD877" s="93"/>
      <c r="AE877" s="85"/>
    </row>
    <row r="878" spans="6:31" x14ac:dyDescent="0.35">
      <c r="F878" s="93"/>
      <c r="G878" s="85"/>
      <c r="H878" s="87"/>
      <c r="I878" s="94"/>
      <c r="J878" s="93"/>
      <c r="K878" s="85"/>
      <c r="M878" s="94"/>
      <c r="N878" s="93"/>
      <c r="O878" s="85"/>
      <c r="Q878" s="94"/>
      <c r="R878" s="93"/>
      <c r="S878" s="85"/>
      <c r="U878" s="94"/>
      <c r="V878" s="93"/>
      <c r="W878" s="85"/>
      <c r="Y878" s="94"/>
      <c r="Z878" s="93"/>
      <c r="AA878" s="85"/>
      <c r="AC878" s="94"/>
      <c r="AD878" s="93"/>
      <c r="AE878" s="85"/>
    </row>
    <row r="879" spans="6:31" x14ac:dyDescent="0.35">
      <c r="F879" s="93"/>
      <c r="G879" s="85"/>
      <c r="H879" s="87"/>
      <c r="I879" s="94"/>
      <c r="J879" s="93"/>
      <c r="K879" s="85"/>
      <c r="M879" s="94"/>
      <c r="N879" s="93"/>
      <c r="O879" s="85"/>
      <c r="Q879" s="94"/>
      <c r="R879" s="93"/>
      <c r="S879" s="85"/>
      <c r="U879" s="94"/>
      <c r="V879" s="93"/>
      <c r="W879" s="85"/>
      <c r="Y879" s="94"/>
      <c r="Z879" s="93"/>
      <c r="AA879" s="85"/>
      <c r="AC879" s="94"/>
      <c r="AD879" s="93"/>
      <c r="AE879" s="85"/>
    </row>
    <row r="880" spans="6:31" x14ac:dyDescent="0.35">
      <c r="F880" s="93"/>
      <c r="G880" s="85"/>
      <c r="H880" s="87"/>
      <c r="I880" s="94"/>
      <c r="J880" s="93"/>
      <c r="K880" s="85"/>
      <c r="M880" s="94"/>
      <c r="N880" s="93"/>
      <c r="O880" s="85"/>
      <c r="Q880" s="94"/>
      <c r="R880" s="93"/>
      <c r="S880" s="85"/>
      <c r="U880" s="94"/>
      <c r="V880" s="93"/>
      <c r="W880" s="85"/>
      <c r="Y880" s="94"/>
      <c r="Z880" s="93"/>
      <c r="AA880" s="85"/>
      <c r="AC880" s="94"/>
      <c r="AD880" s="93"/>
      <c r="AE880" s="85"/>
    </row>
    <row r="881" spans="6:31" x14ac:dyDescent="0.35">
      <c r="F881" s="93"/>
      <c r="G881" s="85"/>
      <c r="H881" s="87"/>
      <c r="I881" s="94"/>
      <c r="J881" s="93"/>
      <c r="K881" s="85"/>
      <c r="M881" s="94"/>
      <c r="N881" s="93"/>
      <c r="O881" s="85"/>
      <c r="Q881" s="94"/>
      <c r="R881" s="93"/>
      <c r="S881" s="85"/>
      <c r="U881" s="94"/>
      <c r="V881" s="93"/>
      <c r="W881" s="85"/>
      <c r="Y881" s="94"/>
      <c r="Z881" s="93"/>
      <c r="AA881" s="85"/>
      <c r="AC881" s="94"/>
      <c r="AD881" s="93"/>
      <c r="AE881" s="85"/>
    </row>
    <row r="882" spans="6:31" x14ac:dyDescent="0.35">
      <c r="F882" s="93"/>
      <c r="G882" s="85"/>
      <c r="H882" s="87"/>
      <c r="I882" s="94"/>
      <c r="J882" s="93"/>
      <c r="K882" s="85"/>
      <c r="M882" s="94"/>
      <c r="N882" s="93"/>
      <c r="O882" s="85"/>
      <c r="Q882" s="94"/>
      <c r="R882" s="93"/>
      <c r="S882" s="85"/>
      <c r="U882" s="94"/>
      <c r="V882" s="93"/>
      <c r="W882" s="85"/>
      <c r="Y882" s="94"/>
      <c r="Z882" s="93"/>
      <c r="AA882" s="85"/>
      <c r="AC882" s="94"/>
      <c r="AD882" s="93"/>
      <c r="AE882" s="85"/>
    </row>
    <row r="883" spans="6:31" x14ac:dyDescent="0.35">
      <c r="F883" s="93"/>
      <c r="G883" s="85"/>
      <c r="H883" s="87"/>
      <c r="I883" s="94"/>
      <c r="J883" s="93"/>
      <c r="K883" s="85"/>
      <c r="M883" s="94"/>
      <c r="N883" s="93"/>
      <c r="O883" s="85"/>
      <c r="Q883" s="94"/>
      <c r="R883" s="93"/>
      <c r="S883" s="85"/>
      <c r="U883" s="94"/>
      <c r="V883" s="93"/>
      <c r="W883" s="85"/>
      <c r="Y883" s="94"/>
      <c r="Z883" s="93"/>
      <c r="AA883" s="85"/>
      <c r="AC883" s="94"/>
      <c r="AD883" s="93"/>
      <c r="AE883" s="85"/>
    </row>
    <row r="884" spans="6:31" x14ac:dyDescent="0.35">
      <c r="F884" s="93"/>
      <c r="G884" s="85"/>
      <c r="H884" s="87"/>
      <c r="I884" s="94"/>
      <c r="J884" s="93"/>
      <c r="K884" s="85"/>
      <c r="M884" s="94"/>
      <c r="N884" s="93"/>
      <c r="O884" s="85"/>
      <c r="Q884" s="94"/>
      <c r="R884" s="93"/>
      <c r="S884" s="85"/>
      <c r="U884" s="94"/>
      <c r="V884" s="93"/>
      <c r="W884" s="85"/>
      <c r="Y884" s="94"/>
      <c r="Z884" s="93"/>
      <c r="AA884" s="85"/>
      <c r="AC884" s="94"/>
      <c r="AD884" s="93"/>
      <c r="AE884" s="85"/>
    </row>
    <row r="885" spans="6:31" x14ac:dyDescent="0.35">
      <c r="F885" s="93"/>
      <c r="G885" s="85"/>
      <c r="H885" s="87"/>
      <c r="I885" s="94"/>
      <c r="J885" s="93"/>
      <c r="K885" s="85"/>
      <c r="M885" s="94"/>
      <c r="N885" s="93"/>
      <c r="O885" s="85"/>
      <c r="Q885" s="94"/>
      <c r="R885" s="93"/>
      <c r="S885" s="85"/>
      <c r="U885" s="94"/>
      <c r="V885" s="93"/>
      <c r="W885" s="85"/>
      <c r="Y885" s="94"/>
      <c r="Z885" s="93"/>
      <c r="AA885" s="85"/>
      <c r="AC885" s="94"/>
      <c r="AD885" s="93"/>
      <c r="AE885" s="85"/>
    </row>
    <row r="886" spans="6:31" x14ac:dyDescent="0.35">
      <c r="F886" s="93"/>
      <c r="G886" s="85"/>
      <c r="H886" s="87"/>
      <c r="I886" s="94"/>
      <c r="J886" s="93"/>
      <c r="K886" s="85"/>
      <c r="M886" s="94"/>
      <c r="N886" s="93"/>
      <c r="O886" s="85"/>
      <c r="Q886" s="94"/>
      <c r="R886" s="93"/>
      <c r="S886" s="85"/>
      <c r="U886" s="94"/>
      <c r="V886" s="93"/>
      <c r="W886" s="85"/>
      <c r="Y886" s="94"/>
      <c r="Z886" s="93"/>
      <c r="AA886" s="85"/>
      <c r="AC886" s="94"/>
      <c r="AD886" s="93"/>
      <c r="AE886" s="85"/>
    </row>
    <row r="887" spans="6:31" x14ac:dyDescent="0.35">
      <c r="F887" s="93"/>
      <c r="G887" s="85"/>
      <c r="H887" s="87"/>
      <c r="I887" s="94"/>
      <c r="J887" s="93"/>
      <c r="K887" s="85"/>
      <c r="M887" s="94"/>
      <c r="N887" s="93"/>
      <c r="O887" s="85"/>
      <c r="Q887" s="94"/>
      <c r="R887" s="93"/>
      <c r="S887" s="85"/>
      <c r="U887" s="94"/>
      <c r="V887" s="93"/>
      <c r="W887" s="85"/>
      <c r="Y887" s="94"/>
      <c r="Z887" s="93"/>
      <c r="AA887" s="85"/>
      <c r="AC887" s="94"/>
      <c r="AD887" s="93"/>
      <c r="AE887" s="85"/>
    </row>
    <row r="888" spans="6:31" x14ac:dyDescent="0.35">
      <c r="F888" s="93"/>
      <c r="G888" s="85"/>
      <c r="H888" s="87"/>
      <c r="I888" s="94"/>
      <c r="J888" s="93"/>
      <c r="K888" s="85"/>
      <c r="M888" s="94"/>
      <c r="N888" s="93"/>
      <c r="O888" s="85"/>
      <c r="Q888" s="94"/>
      <c r="R888" s="93"/>
      <c r="S888" s="85"/>
      <c r="U888" s="94"/>
      <c r="V888" s="93"/>
      <c r="W888" s="85"/>
      <c r="Y888" s="94"/>
      <c r="Z888" s="93"/>
      <c r="AA888" s="85"/>
      <c r="AC888" s="94"/>
      <c r="AD888" s="93"/>
      <c r="AE888" s="85"/>
    </row>
    <row r="889" spans="6:31" x14ac:dyDescent="0.35">
      <c r="F889" s="93"/>
      <c r="G889" s="85"/>
      <c r="H889" s="87"/>
      <c r="I889" s="94"/>
      <c r="J889" s="93"/>
      <c r="K889" s="85"/>
      <c r="M889" s="94"/>
      <c r="N889" s="93"/>
      <c r="O889" s="85"/>
      <c r="Q889" s="94"/>
      <c r="R889" s="93"/>
      <c r="S889" s="85"/>
      <c r="U889" s="94"/>
      <c r="V889" s="93"/>
      <c r="W889" s="85"/>
      <c r="Y889" s="94"/>
      <c r="Z889" s="93"/>
      <c r="AA889" s="85"/>
      <c r="AC889" s="94"/>
      <c r="AD889" s="93"/>
      <c r="AE889" s="85"/>
    </row>
    <row r="890" spans="6:31" x14ac:dyDescent="0.35">
      <c r="F890" s="93"/>
      <c r="G890" s="85"/>
      <c r="H890" s="87"/>
      <c r="I890" s="94"/>
      <c r="J890" s="93"/>
      <c r="K890" s="85"/>
      <c r="M890" s="94"/>
      <c r="N890" s="93"/>
      <c r="O890" s="85"/>
      <c r="Q890" s="94"/>
      <c r="R890" s="93"/>
      <c r="S890" s="85"/>
      <c r="U890" s="94"/>
      <c r="V890" s="93"/>
      <c r="W890" s="85"/>
      <c r="Y890" s="94"/>
      <c r="Z890" s="93"/>
      <c r="AA890" s="85"/>
      <c r="AC890" s="94"/>
      <c r="AD890" s="93"/>
      <c r="AE890" s="85"/>
    </row>
    <row r="891" spans="6:31" x14ac:dyDescent="0.35">
      <c r="F891" s="93"/>
      <c r="G891" s="85"/>
      <c r="H891" s="87"/>
      <c r="I891" s="94"/>
      <c r="J891" s="93"/>
      <c r="K891" s="85"/>
      <c r="M891" s="94"/>
      <c r="N891" s="93"/>
      <c r="O891" s="85"/>
      <c r="Q891" s="94"/>
      <c r="R891" s="93"/>
      <c r="S891" s="85"/>
      <c r="U891" s="94"/>
      <c r="V891" s="93"/>
      <c r="W891" s="85"/>
      <c r="Y891" s="94"/>
      <c r="Z891" s="93"/>
      <c r="AA891" s="85"/>
      <c r="AC891" s="94"/>
      <c r="AD891" s="93"/>
      <c r="AE891" s="85"/>
    </row>
    <row r="892" spans="6:31" x14ac:dyDescent="0.35">
      <c r="F892" s="93"/>
      <c r="G892" s="85"/>
      <c r="H892" s="87"/>
      <c r="I892" s="94"/>
      <c r="J892" s="93"/>
      <c r="K892" s="85"/>
      <c r="M892" s="94"/>
      <c r="N892" s="93"/>
      <c r="O892" s="85"/>
      <c r="Q892" s="94"/>
      <c r="R892" s="93"/>
      <c r="S892" s="85"/>
      <c r="U892" s="94"/>
      <c r="V892" s="93"/>
      <c r="W892" s="85"/>
      <c r="Y892" s="94"/>
      <c r="Z892" s="93"/>
      <c r="AA892" s="85"/>
      <c r="AC892" s="94"/>
      <c r="AD892" s="93"/>
      <c r="AE892" s="85"/>
    </row>
    <row r="893" spans="6:31" x14ac:dyDescent="0.35">
      <c r="F893" s="93"/>
      <c r="G893" s="85"/>
      <c r="H893" s="87"/>
      <c r="I893" s="94"/>
      <c r="J893" s="93"/>
      <c r="K893" s="85"/>
      <c r="M893" s="94"/>
      <c r="N893" s="93"/>
      <c r="O893" s="85"/>
      <c r="Q893" s="94"/>
      <c r="R893" s="93"/>
      <c r="S893" s="85"/>
      <c r="U893" s="94"/>
      <c r="V893" s="93"/>
      <c r="W893" s="85"/>
      <c r="Y893" s="94"/>
      <c r="Z893" s="93"/>
      <c r="AA893" s="85"/>
      <c r="AC893" s="94"/>
      <c r="AD893" s="93"/>
      <c r="AE893" s="85"/>
    </row>
    <row r="894" spans="6:31" x14ac:dyDescent="0.35">
      <c r="F894" s="93"/>
      <c r="G894" s="85"/>
      <c r="H894" s="87"/>
      <c r="I894" s="94"/>
      <c r="J894" s="93"/>
      <c r="K894" s="85"/>
      <c r="M894" s="94"/>
      <c r="N894" s="93"/>
      <c r="O894" s="85"/>
      <c r="Q894" s="94"/>
      <c r="R894" s="93"/>
      <c r="S894" s="85"/>
      <c r="U894" s="94"/>
      <c r="V894" s="93"/>
      <c r="W894" s="85"/>
      <c r="Y894" s="94"/>
      <c r="Z894" s="93"/>
      <c r="AA894" s="85"/>
      <c r="AC894" s="94"/>
      <c r="AD894" s="93"/>
      <c r="AE894" s="85"/>
    </row>
    <row r="895" spans="6:31" x14ac:dyDescent="0.35">
      <c r="F895" s="93"/>
      <c r="G895" s="85"/>
      <c r="H895" s="87"/>
      <c r="I895" s="94"/>
      <c r="J895" s="93"/>
      <c r="K895" s="85"/>
      <c r="M895" s="94"/>
      <c r="N895" s="93"/>
      <c r="O895" s="85"/>
      <c r="Q895" s="94"/>
      <c r="R895" s="93"/>
      <c r="S895" s="85"/>
      <c r="U895" s="94"/>
      <c r="V895" s="93"/>
      <c r="W895" s="85"/>
      <c r="Y895" s="94"/>
      <c r="Z895" s="93"/>
      <c r="AA895" s="85"/>
      <c r="AC895" s="94"/>
      <c r="AD895" s="93"/>
      <c r="AE895" s="85"/>
    </row>
    <row r="896" spans="6:31" x14ac:dyDescent="0.35">
      <c r="F896" s="93"/>
      <c r="G896" s="85"/>
      <c r="H896" s="87"/>
      <c r="I896" s="94"/>
      <c r="J896" s="93"/>
      <c r="K896" s="85"/>
      <c r="M896" s="94"/>
      <c r="N896" s="93"/>
      <c r="O896" s="85"/>
      <c r="Q896" s="94"/>
      <c r="R896" s="93"/>
      <c r="S896" s="85"/>
      <c r="U896" s="94"/>
      <c r="V896" s="93"/>
      <c r="W896" s="85"/>
      <c r="Y896" s="94"/>
      <c r="Z896" s="93"/>
      <c r="AA896" s="85"/>
      <c r="AC896" s="94"/>
      <c r="AD896" s="93"/>
      <c r="AE896" s="85"/>
    </row>
    <row r="897" spans="6:31" x14ac:dyDescent="0.35">
      <c r="F897" s="93"/>
      <c r="G897" s="85"/>
      <c r="H897" s="87"/>
      <c r="I897" s="94"/>
      <c r="J897" s="93"/>
      <c r="K897" s="85"/>
      <c r="M897" s="94"/>
      <c r="N897" s="93"/>
      <c r="O897" s="85"/>
      <c r="Q897" s="94"/>
      <c r="R897" s="93"/>
      <c r="S897" s="85"/>
      <c r="U897" s="94"/>
      <c r="V897" s="93"/>
      <c r="W897" s="85"/>
      <c r="Y897" s="94"/>
      <c r="Z897" s="93"/>
      <c r="AA897" s="85"/>
      <c r="AC897" s="94"/>
      <c r="AD897" s="93"/>
      <c r="AE897" s="85"/>
    </row>
    <row r="898" spans="6:31" x14ac:dyDescent="0.35">
      <c r="F898" s="93"/>
      <c r="G898" s="85"/>
      <c r="H898" s="87"/>
      <c r="I898" s="94"/>
      <c r="J898" s="93"/>
      <c r="K898" s="85"/>
      <c r="M898" s="94"/>
      <c r="N898" s="93"/>
      <c r="O898" s="85"/>
      <c r="Q898" s="94"/>
      <c r="R898" s="93"/>
      <c r="S898" s="85"/>
      <c r="U898" s="94"/>
      <c r="V898" s="93"/>
      <c r="W898" s="85"/>
      <c r="Y898" s="94"/>
      <c r="Z898" s="93"/>
      <c r="AA898" s="85"/>
      <c r="AC898" s="94"/>
      <c r="AD898" s="93"/>
      <c r="AE898" s="85"/>
    </row>
    <row r="899" spans="6:31" x14ac:dyDescent="0.35">
      <c r="F899" s="93"/>
      <c r="G899" s="85"/>
      <c r="H899" s="87"/>
      <c r="I899" s="94"/>
      <c r="J899" s="93"/>
      <c r="K899" s="85"/>
      <c r="M899" s="94"/>
      <c r="N899" s="93"/>
      <c r="O899" s="85"/>
      <c r="Q899" s="94"/>
      <c r="R899" s="93"/>
      <c r="S899" s="85"/>
      <c r="U899" s="94"/>
      <c r="V899" s="93"/>
      <c r="W899" s="85"/>
      <c r="Y899" s="94"/>
      <c r="Z899" s="93"/>
      <c r="AA899" s="85"/>
      <c r="AC899" s="94"/>
      <c r="AD899" s="93"/>
      <c r="AE899" s="85"/>
    </row>
    <row r="900" spans="6:31" x14ac:dyDescent="0.35">
      <c r="F900" s="93"/>
      <c r="G900" s="85"/>
      <c r="H900" s="87"/>
      <c r="I900" s="94"/>
      <c r="J900" s="93"/>
      <c r="K900" s="85"/>
      <c r="M900" s="94"/>
      <c r="N900" s="93"/>
      <c r="O900" s="85"/>
      <c r="Q900" s="94"/>
      <c r="R900" s="93"/>
      <c r="S900" s="85"/>
      <c r="U900" s="94"/>
      <c r="V900" s="93"/>
      <c r="W900" s="85"/>
      <c r="Y900" s="94"/>
      <c r="Z900" s="93"/>
      <c r="AA900" s="85"/>
      <c r="AC900" s="94"/>
      <c r="AD900" s="93"/>
      <c r="AE900" s="85"/>
    </row>
    <row r="901" spans="6:31" x14ac:dyDescent="0.35">
      <c r="F901" s="93"/>
      <c r="G901" s="85"/>
      <c r="H901" s="87"/>
      <c r="I901" s="94"/>
      <c r="J901" s="93"/>
      <c r="K901" s="85"/>
      <c r="M901" s="94"/>
      <c r="N901" s="93"/>
      <c r="O901" s="85"/>
      <c r="Q901" s="94"/>
      <c r="R901" s="93"/>
      <c r="S901" s="85"/>
      <c r="U901" s="94"/>
      <c r="V901" s="93"/>
      <c r="W901" s="85"/>
      <c r="Y901" s="94"/>
      <c r="Z901" s="93"/>
      <c r="AA901" s="85"/>
      <c r="AC901" s="94"/>
      <c r="AD901" s="93"/>
      <c r="AE901" s="85"/>
    </row>
    <row r="902" spans="6:31" x14ac:dyDescent="0.35">
      <c r="F902" s="93"/>
      <c r="G902" s="85"/>
      <c r="H902" s="87"/>
      <c r="I902" s="94"/>
      <c r="J902" s="93"/>
      <c r="K902" s="85"/>
      <c r="M902" s="94"/>
      <c r="N902" s="93"/>
      <c r="O902" s="85"/>
      <c r="Q902" s="94"/>
      <c r="R902" s="93"/>
      <c r="S902" s="85"/>
      <c r="U902" s="94"/>
      <c r="V902" s="93"/>
      <c r="W902" s="85"/>
      <c r="Y902" s="94"/>
      <c r="Z902" s="93"/>
      <c r="AA902" s="85"/>
      <c r="AC902" s="94"/>
      <c r="AD902" s="93"/>
      <c r="AE902" s="85"/>
    </row>
    <row r="903" spans="6:31" x14ac:dyDescent="0.35">
      <c r="F903" s="93"/>
      <c r="G903" s="85"/>
      <c r="H903" s="87"/>
      <c r="I903" s="94"/>
      <c r="J903" s="93"/>
      <c r="K903" s="85"/>
      <c r="M903" s="94"/>
      <c r="N903" s="93"/>
      <c r="O903" s="85"/>
      <c r="Q903" s="94"/>
      <c r="R903" s="93"/>
      <c r="S903" s="85"/>
      <c r="U903" s="94"/>
      <c r="V903" s="93"/>
      <c r="W903" s="85"/>
      <c r="Y903" s="94"/>
      <c r="Z903" s="93"/>
      <c r="AA903" s="85"/>
      <c r="AC903" s="94"/>
      <c r="AD903" s="93"/>
      <c r="AE903" s="85"/>
    </row>
    <row r="904" spans="6:31" x14ac:dyDescent="0.35">
      <c r="F904" s="93"/>
      <c r="G904" s="85"/>
      <c r="H904" s="87"/>
      <c r="I904" s="94"/>
      <c r="J904" s="93"/>
      <c r="K904" s="85"/>
      <c r="M904" s="94"/>
      <c r="N904" s="93"/>
      <c r="O904" s="85"/>
      <c r="Q904" s="94"/>
      <c r="R904" s="93"/>
      <c r="S904" s="85"/>
      <c r="U904" s="94"/>
      <c r="V904" s="93"/>
      <c r="W904" s="85"/>
      <c r="Y904" s="94"/>
      <c r="Z904" s="93"/>
      <c r="AA904" s="85"/>
      <c r="AC904" s="94"/>
      <c r="AD904" s="93"/>
      <c r="AE904" s="85"/>
    </row>
    <row r="905" spans="6:31" x14ac:dyDescent="0.35">
      <c r="F905" s="93"/>
      <c r="G905" s="85"/>
      <c r="H905" s="87"/>
      <c r="I905" s="94"/>
      <c r="J905" s="93"/>
      <c r="K905" s="85"/>
      <c r="M905" s="94"/>
      <c r="N905" s="93"/>
      <c r="O905" s="85"/>
      <c r="Q905" s="94"/>
      <c r="R905" s="93"/>
      <c r="S905" s="85"/>
      <c r="U905" s="94"/>
      <c r="V905" s="93"/>
      <c r="W905" s="85"/>
      <c r="Y905" s="94"/>
      <c r="Z905" s="93"/>
      <c r="AA905" s="85"/>
      <c r="AC905" s="94"/>
      <c r="AD905" s="93"/>
      <c r="AE905" s="85"/>
    </row>
    <row r="906" spans="6:31" x14ac:dyDescent="0.35">
      <c r="F906" s="93"/>
      <c r="G906" s="85"/>
      <c r="H906" s="87"/>
      <c r="I906" s="94"/>
      <c r="J906" s="93"/>
      <c r="K906" s="85"/>
      <c r="M906" s="94"/>
      <c r="N906" s="93"/>
      <c r="O906" s="85"/>
      <c r="Q906" s="94"/>
      <c r="R906" s="93"/>
      <c r="S906" s="85"/>
      <c r="U906" s="94"/>
      <c r="V906" s="93"/>
      <c r="W906" s="85"/>
      <c r="Y906" s="94"/>
      <c r="Z906" s="93"/>
      <c r="AA906" s="85"/>
      <c r="AC906" s="94"/>
      <c r="AD906" s="93"/>
      <c r="AE906" s="85"/>
    </row>
    <row r="907" spans="6:31" x14ac:dyDescent="0.35">
      <c r="F907" s="93"/>
      <c r="G907" s="85"/>
      <c r="H907" s="87"/>
      <c r="I907" s="94"/>
      <c r="J907" s="93"/>
      <c r="K907" s="85"/>
      <c r="M907" s="94"/>
      <c r="N907" s="93"/>
      <c r="O907" s="85"/>
      <c r="Q907" s="94"/>
      <c r="R907" s="93"/>
      <c r="S907" s="85"/>
      <c r="U907" s="94"/>
      <c r="V907" s="93"/>
      <c r="W907" s="85"/>
      <c r="Y907" s="94"/>
      <c r="Z907" s="93"/>
      <c r="AA907" s="85"/>
      <c r="AC907" s="94"/>
      <c r="AD907" s="93"/>
      <c r="AE907" s="85"/>
    </row>
    <row r="908" spans="6:31" x14ac:dyDescent="0.35">
      <c r="F908" s="93"/>
      <c r="G908" s="85"/>
      <c r="H908" s="87"/>
      <c r="I908" s="94"/>
      <c r="J908" s="93"/>
      <c r="K908" s="85"/>
      <c r="M908" s="94"/>
      <c r="N908" s="93"/>
      <c r="O908" s="85"/>
      <c r="Q908" s="94"/>
      <c r="R908" s="93"/>
      <c r="S908" s="85"/>
      <c r="U908" s="94"/>
      <c r="V908" s="93"/>
      <c r="W908" s="85"/>
      <c r="Y908" s="94"/>
      <c r="Z908" s="93"/>
      <c r="AA908" s="85"/>
      <c r="AC908" s="94"/>
      <c r="AD908" s="93"/>
      <c r="AE908" s="85"/>
    </row>
    <row r="909" spans="6:31" x14ac:dyDescent="0.35">
      <c r="F909" s="93"/>
      <c r="G909" s="85"/>
      <c r="H909" s="87"/>
      <c r="I909" s="94"/>
      <c r="J909" s="93"/>
      <c r="K909" s="85"/>
      <c r="M909" s="94"/>
      <c r="N909" s="93"/>
      <c r="O909" s="85"/>
      <c r="Q909" s="94"/>
      <c r="R909" s="93"/>
      <c r="S909" s="85"/>
      <c r="U909" s="94"/>
      <c r="V909" s="93"/>
      <c r="W909" s="85"/>
      <c r="Y909" s="94"/>
      <c r="Z909" s="93"/>
      <c r="AA909" s="85"/>
      <c r="AC909" s="94"/>
      <c r="AD909" s="93"/>
      <c r="AE909" s="85"/>
    </row>
    <row r="910" spans="6:31" x14ac:dyDescent="0.35">
      <c r="F910" s="93"/>
      <c r="G910" s="85"/>
      <c r="H910" s="87"/>
      <c r="I910" s="94"/>
      <c r="J910" s="93"/>
      <c r="K910" s="85"/>
      <c r="M910" s="94"/>
      <c r="N910" s="93"/>
      <c r="O910" s="85"/>
      <c r="Q910" s="94"/>
      <c r="R910" s="93"/>
      <c r="S910" s="85"/>
      <c r="U910" s="94"/>
      <c r="V910" s="93"/>
      <c r="W910" s="85"/>
      <c r="Y910" s="94"/>
      <c r="Z910" s="93"/>
      <c r="AA910" s="85"/>
      <c r="AC910" s="94"/>
      <c r="AD910" s="93"/>
      <c r="AE910" s="85"/>
    </row>
    <row r="911" spans="6:31" x14ac:dyDescent="0.35">
      <c r="F911" s="93"/>
      <c r="G911" s="85"/>
      <c r="H911" s="87"/>
      <c r="I911" s="94"/>
      <c r="J911" s="93"/>
      <c r="K911" s="85"/>
      <c r="M911" s="94"/>
      <c r="N911" s="93"/>
      <c r="O911" s="85"/>
      <c r="Q911" s="94"/>
      <c r="R911" s="93"/>
      <c r="S911" s="85"/>
      <c r="U911" s="94"/>
      <c r="V911" s="93"/>
      <c r="W911" s="85"/>
      <c r="Y911" s="94"/>
      <c r="Z911" s="93"/>
      <c r="AA911" s="85"/>
      <c r="AC911" s="94"/>
      <c r="AD911" s="93"/>
      <c r="AE911" s="85"/>
    </row>
    <row r="912" spans="6:31" x14ac:dyDescent="0.35">
      <c r="F912" s="93"/>
      <c r="G912" s="85"/>
      <c r="H912" s="87"/>
      <c r="I912" s="94"/>
      <c r="J912" s="93"/>
      <c r="K912" s="85"/>
      <c r="M912" s="94"/>
      <c r="N912" s="93"/>
      <c r="O912" s="85"/>
      <c r="Q912" s="94"/>
      <c r="R912" s="93"/>
      <c r="S912" s="85"/>
      <c r="U912" s="94"/>
      <c r="V912" s="93"/>
      <c r="W912" s="85"/>
      <c r="Y912" s="94"/>
      <c r="Z912" s="93"/>
      <c r="AA912" s="85"/>
      <c r="AC912" s="94"/>
      <c r="AD912" s="93"/>
      <c r="AE912" s="85"/>
    </row>
    <row r="913" spans="6:31" x14ac:dyDescent="0.35">
      <c r="F913" s="93"/>
      <c r="G913" s="85"/>
      <c r="H913" s="87"/>
      <c r="I913" s="94"/>
      <c r="J913" s="93"/>
      <c r="K913" s="85"/>
      <c r="M913" s="94"/>
      <c r="N913" s="93"/>
      <c r="O913" s="85"/>
      <c r="Q913" s="94"/>
      <c r="R913" s="93"/>
      <c r="S913" s="85"/>
      <c r="U913" s="94"/>
      <c r="V913" s="93"/>
      <c r="W913" s="85"/>
      <c r="Y913" s="94"/>
      <c r="Z913" s="93"/>
      <c r="AA913" s="85"/>
      <c r="AC913" s="94"/>
      <c r="AD913" s="93"/>
      <c r="AE913" s="85"/>
    </row>
    <row r="914" spans="6:31" x14ac:dyDescent="0.35">
      <c r="F914" s="93"/>
      <c r="G914" s="85"/>
      <c r="H914" s="87"/>
      <c r="I914" s="94"/>
      <c r="J914" s="93"/>
      <c r="K914" s="85"/>
      <c r="M914" s="94"/>
      <c r="N914" s="93"/>
      <c r="O914" s="85"/>
      <c r="Q914" s="94"/>
      <c r="R914" s="93"/>
      <c r="S914" s="85"/>
      <c r="U914" s="94"/>
      <c r="V914" s="93"/>
      <c r="W914" s="85"/>
      <c r="Y914" s="94"/>
      <c r="Z914" s="93"/>
      <c r="AA914" s="85"/>
      <c r="AC914" s="94"/>
      <c r="AD914" s="93"/>
      <c r="AE914" s="85"/>
    </row>
    <row r="915" spans="6:31" x14ac:dyDescent="0.35">
      <c r="F915" s="93"/>
      <c r="G915" s="85"/>
      <c r="H915" s="87"/>
      <c r="I915" s="94"/>
      <c r="J915" s="93"/>
      <c r="K915" s="85"/>
      <c r="M915" s="94"/>
      <c r="N915" s="93"/>
      <c r="O915" s="85"/>
      <c r="Q915" s="94"/>
      <c r="R915" s="93"/>
      <c r="S915" s="85"/>
      <c r="U915" s="94"/>
      <c r="V915" s="93"/>
      <c r="W915" s="85"/>
      <c r="Y915" s="94"/>
      <c r="Z915" s="93"/>
      <c r="AA915" s="85"/>
      <c r="AC915" s="94"/>
      <c r="AD915" s="93"/>
      <c r="AE915" s="85"/>
    </row>
    <row r="916" spans="6:31" x14ac:dyDescent="0.35">
      <c r="F916" s="93"/>
      <c r="G916" s="85"/>
      <c r="H916" s="87"/>
      <c r="I916" s="94"/>
      <c r="J916" s="93"/>
      <c r="K916" s="85"/>
      <c r="M916" s="94"/>
      <c r="N916" s="93"/>
      <c r="O916" s="85"/>
      <c r="Q916" s="94"/>
      <c r="R916" s="93"/>
      <c r="S916" s="85"/>
      <c r="U916" s="94"/>
      <c r="V916" s="93"/>
      <c r="W916" s="85"/>
      <c r="Y916" s="94"/>
      <c r="Z916" s="93"/>
      <c r="AA916" s="85"/>
      <c r="AC916" s="94"/>
      <c r="AD916" s="93"/>
      <c r="AE916" s="85"/>
    </row>
    <row r="917" spans="6:31" x14ac:dyDescent="0.35">
      <c r="F917" s="93"/>
      <c r="G917" s="85"/>
      <c r="H917" s="87"/>
      <c r="I917" s="94"/>
      <c r="J917" s="93"/>
      <c r="K917" s="85"/>
      <c r="M917" s="94"/>
      <c r="N917" s="93"/>
      <c r="O917" s="85"/>
      <c r="Q917" s="94"/>
      <c r="R917" s="93"/>
      <c r="S917" s="85"/>
      <c r="U917" s="94"/>
      <c r="V917" s="93"/>
      <c r="W917" s="85"/>
      <c r="Y917" s="94"/>
      <c r="Z917" s="93"/>
      <c r="AA917" s="85"/>
      <c r="AC917" s="94"/>
      <c r="AD917" s="93"/>
      <c r="AE917" s="85"/>
    </row>
    <row r="918" spans="6:31" x14ac:dyDescent="0.35">
      <c r="F918" s="93"/>
      <c r="G918" s="85"/>
      <c r="H918" s="87"/>
      <c r="I918" s="94"/>
      <c r="J918" s="93"/>
      <c r="K918" s="85"/>
      <c r="M918" s="94"/>
      <c r="N918" s="93"/>
      <c r="O918" s="85"/>
      <c r="Q918" s="94"/>
      <c r="R918" s="93"/>
      <c r="S918" s="85"/>
      <c r="U918" s="94"/>
      <c r="V918" s="93"/>
      <c r="W918" s="85"/>
      <c r="Y918" s="94"/>
      <c r="Z918" s="93"/>
      <c r="AA918" s="85"/>
      <c r="AC918" s="94"/>
      <c r="AD918" s="93"/>
      <c r="AE918" s="85"/>
    </row>
    <row r="919" spans="6:31" x14ac:dyDescent="0.35">
      <c r="F919" s="93"/>
      <c r="G919" s="85"/>
      <c r="H919" s="87"/>
      <c r="I919" s="94"/>
      <c r="J919" s="93"/>
      <c r="K919" s="85"/>
      <c r="M919" s="94"/>
      <c r="N919" s="93"/>
      <c r="O919" s="85"/>
      <c r="Q919" s="94"/>
      <c r="R919" s="93"/>
      <c r="S919" s="85"/>
      <c r="U919" s="94"/>
      <c r="V919" s="93"/>
      <c r="W919" s="85"/>
      <c r="Y919" s="94"/>
      <c r="Z919" s="93"/>
      <c r="AA919" s="85"/>
      <c r="AC919" s="94"/>
      <c r="AD919" s="93"/>
      <c r="AE919" s="85"/>
    </row>
    <row r="920" spans="6:31" x14ac:dyDescent="0.35">
      <c r="F920" s="93"/>
      <c r="G920" s="85"/>
      <c r="H920" s="87"/>
      <c r="I920" s="94"/>
      <c r="J920" s="93"/>
      <c r="K920" s="85"/>
      <c r="M920" s="94"/>
      <c r="N920" s="93"/>
      <c r="O920" s="85"/>
      <c r="Q920" s="94"/>
      <c r="R920" s="93"/>
      <c r="S920" s="85"/>
      <c r="U920" s="94"/>
      <c r="V920" s="93"/>
      <c r="W920" s="85"/>
      <c r="Y920" s="94"/>
      <c r="Z920" s="93"/>
      <c r="AA920" s="85"/>
      <c r="AC920" s="94"/>
      <c r="AD920" s="93"/>
      <c r="AE920" s="85"/>
    </row>
    <row r="921" spans="6:31" x14ac:dyDescent="0.35">
      <c r="F921" s="93"/>
      <c r="G921" s="85"/>
      <c r="H921" s="87"/>
      <c r="I921" s="94"/>
      <c r="J921" s="93"/>
      <c r="K921" s="85"/>
      <c r="M921" s="94"/>
      <c r="N921" s="93"/>
      <c r="O921" s="85"/>
      <c r="Q921" s="94"/>
      <c r="R921" s="93"/>
      <c r="S921" s="85"/>
      <c r="U921" s="94"/>
      <c r="V921" s="93"/>
      <c r="W921" s="85"/>
      <c r="Y921" s="94"/>
      <c r="Z921" s="93"/>
      <c r="AA921" s="85"/>
      <c r="AC921" s="94"/>
      <c r="AD921" s="93"/>
      <c r="AE921" s="85"/>
    </row>
    <row r="922" spans="6:31" x14ac:dyDescent="0.35">
      <c r="F922" s="93"/>
      <c r="G922" s="85"/>
      <c r="H922" s="87"/>
      <c r="I922" s="94"/>
      <c r="J922" s="93"/>
      <c r="K922" s="85"/>
      <c r="M922" s="94"/>
      <c r="N922" s="93"/>
      <c r="O922" s="85"/>
      <c r="Q922" s="94"/>
      <c r="R922" s="93"/>
      <c r="S922" s="85"/>
      <c r="U922" s="94"/>
      <c r="V922" s="93"/>
      <c r="W922" s="85"/>
      <c r="Y922" s="94"/>
      <c r="Z922" s="93"/>
      <c r="AA922" s="85"/>
      <c r="AC922" s="94"/>
      <c r="AD922" s="93"/>
      <c r="AE922" s="85"/>
    </row>
    <row r="923" spans="6:31" x14ac:dyDescent="0.35">
      <c r="F923" s="93"/>
      <c r="G923" s="85"/>
      <c r="H923" s="87"/>
      <c r="I923" s="94"/>
      <c r="J923" s="93"/>
      <c r="K923" s="85"/>
      <c r="M923" s="94"/>
      <c r="N923" s="93"/>
      <c r="O923" s="85"/>
      <c r="Q923" s="94"/>
      <c r="R923" s="93"/>
      <c r="S923" s="85"/>
      <c r="U923" s="94"/>
      <c r="V923" s="93"/>
      <c r="W923" s="85"/>
      <c r="Y923" s="94"/>
      <c r="Z923" s="93"/>
      <c r="AA923" s="85"/>
      <c r="AC923" s="94"/>
      <c r="AD923" s="93"/>
      <c r="AE923" s="85"/>
    </row>
    <row r="924" spans="6:31" x14ac:dyDescent="0.35">
      <c r="F924" s="93"/>
      <c r="G924" s="85"/>
      <c r="H924" s="87"/>
      <c r="I924" s="94"/>
      <c r="J924" s="93"/>
      <c r="K924" s="85"/>
      <c r="M924" s="94"/>
      <c r="N924" s="93"/>
      <c r="O924" s="85"/>
      <c r="Q924" s="94"/>
      <c r="R924" s="93"/>
      <c r="S924" s="85"/>
      <c r="U924" s="94"/>
      <c r="V924" s="93"/>
      <c r="W924" s="85"/>
      <c r="Y924" s="94"/>
      <c r="Z924" s="93"/>
      <c r="AA924" s="85"/>
      <c r="AC924" s="94"/>
      <c r="AD924" s="93"/>
      <c r="AE924" s="85"/>
    </row>
    <row r="925" spans="6:31" x14ac:dyDescent="0.35">
      <c r="F925" s="93"/>
      <c r="G925" s="85"/>
      <c r="H925" s="87"/>
      <c r="I925" s="94"/>
      <c r="J925" s="93"/>
      <c r="K925" s="85"/>
      <c r="M925" s="94"/>
      <c r="N925" s="93"/>
      <c r="O925" s="85"/>
      <c r="Q925" s="94"/>
      <c r="R925" s="93"/>
      <c r="S925" s="85"/>
      <c r="U925" s="94"/>
      <c r="V925" s="93"/>
      <c r="W925" s="85"/>
      <c r="Y925" s="94"/>
      <c r="Z925" s="93"/>
      <c r="AA925" s="85"/>
      <c r="AC925" s="94"/>
      <c r="AD925" s="93"/>
      <c r="AE925" s="85"/>
    </row>
    <row r="926" spans="6:31" x14ac:dyDescent="0.35">
      <c r="F926" s="93"/>
      <c r="G926" s="85"/>
      <c r="H926" s="87"/>
      <c r="I926" s="94"/>
      <c r="J926" s="93"/>
      <c r="K926" s="85"/>
      <c r="M926" s="94"/>
      <c r="N926" s="93"/>
      <c r="O926" s="85"/>
      <c r="Q926" s="94"/>
      <c r="R926" s="93"/>
      <c r="S926" s="85"/>
      <c r="U926" s="94"/>
      <c r="V926" s="93"/>
      <c r="W926" s="85"/>
      <c r="Y926" s="94"/>
      <c r="Z926" s="93"/>
      <c r="AA926" s="85"/>
      <c r="AC926" s="94"/>
      <c r="AD926" s="93"/>
      <c r="AE926" s="85"/>
    </row>
    <row r="927" spans="6:31" x14ac:dyDescent="0.35">
      <c r="F927" s="93"/>
      <c r="G927" s="85"/>
      <c r="H927" s="87"/>
      <c r="I927" s="94"/>
      <c r="J927" s="93"/>
      <c r="K927" s="85"/>
      <c r="M927" s="94"/>
      <c r="N927" s="93"/>
      <c r="O927" s="85"/>
      <c r="Q927" s="94"/>
      <c r="R927" s="93"/>
      <c r="S927" s="85"/>
      <c r="U927" s="94"/>
      <c r="V927" s="93"/>
      <c r="W927" s="85"/>
      <c r="Y927" s="94"/>
      <c r="Z927" s="93"/>
      <c r="AA927" s="85"/>
      <c r="AC927" s="94"/>
      <c r="AD927" s="93"/>
      <c r="AE927" s="85"/>
    </row>
    <row r="928" spans="6:31" x14ac:dyDescent="0.35">
      <c r="F928" s="93"/>
      <c r="G928" s="85"/>
      <c r="H928" s="87"/>
      <c r="I928" s="94"/>
      <c r="J928" s="93"/>
      <c r="K928" s="85"/>
      <c r="M928" s="94"/>
      <c r="N928" s="93"/>
      <c r="O928" s="85"/>
      <c r="Q928" s="94"/>
      <c r="R928" s="93"/>
      <c r="S928" s="85"/>
      <c r="U928" s="94"/>
      <c r="V928" s="93"/>
      <c r="W928" s="85"/>
      <c r="Y928" s="94"/>
      <c r="Z928" s="93"/>
      <c r="AA928" s="85"/>
      <c r="AC928" s="94"/>
      <c r="AD928" s="93"/>
      <c r="AE928" s="85"/>
    </row>
    <row r="929" spans="6:31" x14ac:dyDescent="0.35">
      <c r="F929" s="93"/>
      <c r="G929" s="85"/>
      <c r="H929" s="87"/>
      <c r="I929" s="94"/>
      <c r="J929" s="93"/>
      <c r="K929" s="85"/>
      <c r="M929" s="94"/>
      <c r="N929" s="93"/>
      <c r="O929" s="85"/>
      <c r="Q929" s="94"/>
      <c r="R929" s="93"/>
      <c r="S929" s="85"/>
      <c r="U929" s="94"/>
      <c r="V929" s="93"/>
      <c r="W929" s="85"/>
      <c r="Y929" s="94"/>
      <c r="Z929" s="93"/>
      <c r="AA929" s="85"/>
      <c r="AC929" s="94"/>
      <c r="AD929" s="93"/>
      <c r="AE929" s="85"/>
    </row>
    <row r="930" spans="6:31" x14ac:dyDescent="0.35">
      <c r="F930" s="93"/>
      <c r="G930" s="85"/>
      <c r="H930" s="87"/>
      <c r="I930" s="94"/>
      <c r="J930" s="93"/>
      <c r="K930" s="85"/>
      <c r="M930" s="94"/>
      <c r="N930" s="93"/>
      <c r="O930" s="85"/>
      <c r="Q930" s="94"/>
      <c r="R930" s="93"/>
      <c r="S930" s="85"/>
      <c r="U930" s="94"/>
      <c r="V930" s="93"/>
      <c r="W930" s="85"/>
      <c r="Y930" s="94"/>
      <c r="Z930" s="93"/>
      <c r="AA930" s="85"/>
      <c r="AC930" s="94"/>
      <c r="AD930" s="93"/>
      <c r="AE930" s="85"/>
    </row>
    <row r="931" spans="6:31" x14ac:dyDescent="0.35">
      <c r="F931" s="93"/>
      <c r="G931" s="85"/>
      <c r="H931" s="87"/>
      <c r="I931" s="94"/>
      <c r="J931" s="93"/>
      <c r="K931" s="85"/>
      <c r="M931" s="94"/>
      <c r="N931" s="93"/>
      <c r="O931" s="85"/>
      <c r="Q931" s="94"/>
      <c r="R931" s="93"/>
      <c r="S931" s="85"/>
      <c r="U931" s="94"/>
      <c r="V931" s="93"/>
      <c r="W931" s="85"/>
      <c r="Y931" s="94"/>
      <c r="Z931" s="93"/>
      <c r="AA931" s="85"/>
      <c r="AC931" s="94"/>
      <c r="AD931" s="93"/>
      <c r="AE931" s="85"/>
    </row>
    <row r="932" spans="6:31" x14ac:dyDescent="0.35">
      <c r="F932" s="93"/>
      <c r="G932" s="85"/>
      <c r="H932" s="87"/>
      <c r="I932" s="94"/>
      <c r="J932" s="93"/>
      <c r="K932" s="85"/>
      <c r="M932" s="94"/>
      <c r="N932" s="93"/>
      <c r="O932" s="85"/>
      <c r="Q932" s="94"/>
      <c r="R932" s="93"/>
      <c r="S932" s="85"/>
      <c r="U932" s="94"/>
      <c r="V932" s="93"/>
      <c r="W932" s="85"/>
      <c r="Y932" s="94"/>
      <c r="Z932" s="93"/>
      <c r="AA932" s="85"/>
      <c r="AC932" s="94"/>
      <c r="AD932" s="93"/>
      <c r="AE932" s="85"/>
    </row>
    <row r="933" spans="6:31" x14ac:dyDescent="0.35">
      <c r="F933" s="93"/>
      <c r="G933" s="85"/>
      <c r="H933" s="87"/>
      <c r="I933" s="94"/>
      <c r="J933" s="93"/>
      <c r="K933" s="85"/>
      <c r="M933" s="94"/>
      <c r="N933" s="93"/>
      <c r="O933" s="85"/>
      <c r="Q933" s="94"/>
      <c r="R933" s="93"/>
      <c r="S933" s="85"/>
      <c r="U933" s="94"/>
      <c r="V933" s="93"/>
      <c r="W933" s="85"/>
      <c r="Y933" s="94"/>
      <c r="Z933" s="93"/>
      <c r="AA933" s="85"/>
      <c r="AC933" s="94"/>
      <c r="AD933" s="93"/>
      <c r="AE933" s="85"/>
    </row>
    <row r="934" spans="6:31" x14ac:dyDescent="0.35">
      <c r="F934" s="93"/>
      <c r="G934" s="85"/>
      <c r="H934" s="87"/>
      <c r="I934" s="94"/>
      <c r="J934" s="93"/>
      <c r="K934" s="85"/>
      <c r="M934" s="94"/>
      <c r="N934" s="93"/>
      <c r="O934" s="85"/>
      <c r="Q934" s="94"/>
      <c r="R934" s="93"/>
      <c r="S934" s="85"/>
      <c r="U934" s="94"/>
      <c r="V934" s="93"/>
      <c r="W934" s="85"/>
      <c r="Y934" s="94"/>
      <c r="Z934" s="93"/>
      <c r="AA934" s="85"/>
      <c r="AC934" s="94"/>
      <c r="AD934" s="93"/>
      <c r="AE934" s="85"/>
    </row>
    <row r="935" spans="6:31" x14ac:dyDescent="0.35">
      <c r="F935" s="93"/>
      <c r="G935" s="85"/>
      <c r="H935" s="87"/>
      <c r="I935" s="94"/>
      <c r="J935" s="93"/>
      <c r="K935" s="85"/>
      <c r="M935" s="94"/>
      <c r="N935" s="93"/>
      <c r="O935" s="85"/>
      <c r="Q935" s="94"/>
      <c r="R935" s="93"/>
      <c r="S935" s="85"/>
      <c r="U935" s="94"/>
      <c r="V935" s="93"/>
      <c r="W935" s="85"/>
      <c r="Y935" s="94"/>
      <c r="Z935" s="93"/>
      <c r="AA935" s="85"/>
      <c r="AC935" s="94"/>
      <c r="AD935" s="93"/>
      <c r="AE935" s="85"/>
    </row>
    <row r="936" spans="6:31" x14ac:dyDescent="0.35">
      <c r="F936" s="93"/>
      <c r="G936" s="85"/>
      <c r="H936" s="87"/>
      <c r="I936" s="94"/>
      <c r="J936" s="93"/>
      <c r="K936" s="85"/>
      <c r="M936" s="94"/>
      <c r="N936" s="93"/>
      <c r="O936" s="85"/>
      <c r="Q936" s="94"/>
      <c r="R936" s="93"/>
      <c r="S936" s="85"/>
      <c r="U936" s="94"/>
      <c r="V936" s="93"/>
      <c r="W936" s="85"/>
      <c r="Y936" s="94"/>
      <c r="Z936" s="93"/>
      <c r="AA936" s="85"/>
      <c r="AC936" s="94"/>
      <c r="AD936" s="93"/>
      <c r="AE936" s="85"/>
    </row>
    <row r="937" spans="6:31" x14ac:dyDescent="0.35">
      <c r="F937" s="93"/>
      <c r="G937" s="85"/>
      <c r="H937" s="87"/>
      <c r="I937" s="94"/>
      <c r="J937" s="93"/>
      <c r="K937" s="85"/>
      <c r="M937" s="94"/>
      <c r="N937" s="93"/>
      <c r="O937" s="85"/>
      <c r="Q937" s="94"/>
      <c r="R937" s="93"/>
      <c r="S937" s="85"/>
      <c r="U937" s="94"/>
      <c r="V937" s="93"/>
      <c r="W937" s="85"/>
      <c r="Y937" s="94"/>
      <c r="Z937" s="93"/>
      <c r="AA937" s="85"/>
      <c r="AC937" s="94"/>
      <c r="AD937" s="93"/>
      <c r="AE937" s="85"/>
    </row>
    <row r="938" spans="6:31" x14ac:dyDescent="0.35">
      <c r="F938" s="93"/>
      <c r="G938" s="85"/>
      <c r="H938" s="87"/>
      <c r="I938" s="94"/>
      <c r="J938" s="93"/>
      <c r="K938" s="85"/>
      <c r="M938" s="94"/>
      <c r="N938" s="93"/>
      <c r="O938" s="85"/>
      <c r="Q938" s="94"/>
      <c r="R938" s="93"/>
      <c r="S938" s="85"/>
      <c r="U938" s="94"/>
      <c r="V938" s="93"/>
      <c r="W938" s="85"/>
      <c r="Y938" s="94"/>
      <c r="Z938" s="93"/>
      <c r="AA938" s="85"/>
      <c r="AC938" s="94"/>
      <c r="AD938" s="93"/>
      <c r="AE938" s="85"/>
    </row>
    <row r="939" spans="6:31" x14ac:dyDescent="0.35">
      <c r="F939" s="93"/>
      <c r="G939" s="85"/>
      <c r="H939" s="87"/>
      <c r="I939" s="94"/>
      <c r="J939" s="93"/>
      <c r="K939" s="85"/>
      <c r="M939" s="94"/>
      <c r="N939" s="93"/>
      <c r="O939" s="85"/>
      <c r="Q939" s="94"/>
      <c r="R939" s="93"/>
      <c r="S939" s="85"/>
      <c r="U939" s="94"/>
      <c r="V939" s="93"/>
      <c r="W939" s="85"/>
      <c r="Y939" s="94"/>
      <c r="Z939" s="93"/>
      <c r="AA939" s="85"/>
      <c r="AC939" s="94"/>
      <c r="AD939" s="93"/>
      <c r="AE939" s="85"/>
    </row>
    <row r="940" spans="6:31" x14ac:dyDescent="0.35">
      <c r="F940" s="93"/>
      <c r="G940" s="85"/>
      <c r="H940" s="87"/>
      <c r="I940" s="94"/>
      <c r="J940" s="93"/>
      <c r="K940" s="85"/>
      <c r="M940" s="94"/>
      <c r="N940" s="93"/>
      <c r="O940" s="85"/>
      <c r="Q940" s="94"/>
      <c r="R940" s="93"/>
      <c r="S940" s="85"/>
      <c r="U940" s="94"/>
      <c r="V940" s="93"/>
      <c r="W940" s="85"/>
      <c r="Y940" s="94"/>
      <c r="Z940" s="93"/>
      <c r="AA940" s="85"/>
      <c r="AC940" s="94"/>
      <c r="AD940" s="93"/>
      <c r="AE940" s="85"/>
    </row>
    <row r="941" spans="6:31" x14ac:dyDescent="0.35">
      <c r="F941" s="93"/>
      <c r="G941" s="85"/>
      <c r="H941" s="87"/>
      <c r="I941" s="94"/>
      <c r="J941" s="93"/>
      <c r="K941" s="85"/>
      <c r="M941" s="94"/>
      <c r="N941" s="93"/>
      <c r="O941" s="85"/>
      <c r="Q941" s="94"/>
      <c r="R941" s="93"/>
      <c r="S941" s="85"/>
      <c r="U941" s="94"/>
      <c r="V941" s="93"/>
      <c r="W941" s="85"/>
      <c r="Y941" s="94"/>
      <c r="Z941" s="93"/>
      <c r="AA941" s="85"/>
      <c r="AC941" s="94"/>
      <c r="AD941" s="93"/>
      <c r="AE941" s="85"/>
    </row>
    <row r="942" spans="6:31" x14ac:dyDescent="0.35">
      <c r="F942" s="93"/>
      <c r="G942" s="85"/>
      <c r="H942" s="87"/>
      <c r="I942" s="94"/>
      <c r="J942" s="93"/>
      <c r="K942" s="85"/>
      <c r="M942" s="94"/>
      <c r="N942" s="93"/>
      <c r="O942" s="85"/>
      <c r="Q942" s="94"/>
      <c r="R942" s="93"/>
      <c r="S942" s="85"/>
      <c r="U942" s="94"/>
      <c r="V942" s="93"/>
      <c r="W942" s="85"/>
      <c r="Y942" s="94"/>
      <c r="Z942" s="93"/>
      <c r="AA942" s="85"/>
      <c r="AC942" s="94"/>
      <c r="AD942" s="93"/>
      <c r="AE942" s="85"/>
    </row>
    <row r="943" spans="6:31" x14ac:dyDescent="0.35">
      <c r="F943" s="93"/>
      <c r="G943" s="85"/>
      <c r="H943" s="87"/>
      <c r="I943" s="94"/>
      <c r="J943" s="93"/>
      <c r="K943" s="85"/>
      <c r="M943" s="94"/>
      <c r="N943" s="93"/>
      <c r="O943" s="85"/>
      <c r="Q943" s="94"/>
      <c r="R943" s="93"/>
      <c r="S943" s="85"/>
      <c r="U943" s="94"/>
      <c r="V943" s="93"/>
      <c r="W943" s="85"/>
      <c r="Y943" s="94"/>
      <c r="Z943" s="93"/>
      <c r="AA943" s="85"/>
      <c r="AC943" s="94"/>
      <c r="AD943" s="93"/>
      <c r="AE943" s="85"/>
    </row>
    <row r="944" spans="6:31" x14ac:dyDescent="0.35">
      <c r="F944" s="93"/>
      <c r="G944" s="85"/>
      <c r="H944" s="87"/>
      <c r="I944" s="94"/>
      <c r="J944" s="93"/>
      <c r="K944" s="85"/>
      <c r="M944" s="94"/>
      <c r="N944" s="93"/>
      <c r="O944" s="85"/>
      <c r="Q944" s="94"/>
      <c r="R944" s="93"/>
      <c r="S944" s="85"/>
      <c r="U944" s="94"/>
      <c r="V944" s="93"/>
      <c r="W944" s="85"/>
      <c r="Y944" s="94"/>
      <c r="Z944" s="93"/>
      <c r="AA944" s="85"/>
      <c r="AC944" s="94"/>
      <c r="AD944" s="93"/>
      <c r="AE944" s="85"/>
    </row>
    <row r="945" spans="6:31" x14ac:dyDescent="0.35">
      <c r="F945" s="93"/>
      <c r="G945" s="85"/>
      <c r="H945" s="87"/>
      <c r="I945" s="94"/>
      <c r="J945" s="93"/>
      <c r="K945" s="85"/>
      <c r="M945" s="94"/>
      <c r="N945" s="93"/>
      <c r="O945" s="85"/>
      <c r="Q945" s="94"/>
      <c r="R945" s="93"/>
      <c r="S945" s="85"/>
      <c r="U945" s="94"/>
      <c r="V945" s="93"/>
      <c r="W945" s="85"/>
      <c r="Y945" s="94"/>
      <c r="Z945" s="93"/>
      <c r="AA945" s="85"/>
      <c r="AC945" s="94"/>
      <c r="AD945" s="93"/>
      <c r="AE945" s="85"/>
    </row>
    <row r="946" spans="6:31" x14ac:dyDescent="0.35">
      <c r="F946" s="93"/>
      <c r="G946" s="85"/>
      <c r="H946" s="87"/>
      <c r="I946" s="94"/>
      <c r="J946" s="93"/>
      <c r="K946" s="85"/>
      <c r="M946" s="94"/>
      <c r="N946" s="93"/>
      <c r="O946" s="85"/>
      <c r="Q946" s="94"/>
      <c r="R946" s="93"/>
      <c r="S946" s="85"/>
      <c r="U946" s="94"/>
      <c r="V946" s="93"/>
      <c r="W946" s="85"/>
      <c r="Y946" s="94"/>
      <c r="Z946" s="93"/>
      <c r="AA946" s="85"/>
      <c r="AC946" s="94"/>
      <c r="AD946" s="93"/>
      <c r="AE946" s="85"/>
    </row>
    <row r="947" spans="6:31" x14ac:dyDescent="0.35">
      <c r="F947" s="93"/>
      <c r="G947" s="85"/>
      <c r="H947" s="87"/>
      <c r="I947" s="94"/>
      <c r="J947" s="93"/>
      <c r="K947" s="85"/>
      <c r="M947" s="94"/>
      <c r="N947" s="93"/>
      <c r="O947" s="85"/>
      <c r="Q947" s="94"/>
      <c r="R947" s="93"/>
      <c r="S947" s="85"/>
      <c r="U947" s="94"/>
      <c r="V947" s="93"/>
      <c r="W947" s="85"/>
      <c r="Y947" s="94"/>
      <c r="Z947" s="93"/>
      <c r="AA947" s="85"/>
      <c r="AC947" s="94"/>
      <c r="AD947" s="93"/>
      <c r="AE947" s="85"/>
    </row>
    <row r="948" spans="6:31" x14ac:dyDescent="0.35">
      <c r="F948" s="93"/>
      <c r="G948" s="85"/>
      <c r="H948" s="87"/>
      <c r="I948" s="94"/>
      <c r="J948" s="93"/>
      <c r="K948" s="85"/>
      <c r="M948" s="94"/>
      <c r="N948" s="93"/>
      <c r="O948" s="85"/>
      <c r="Q948" s="94"/>
      <c r="R948" s="93"/>
      <c r="S948" s="85"/>
      <c r="U948" s="94"/>
      <c r="V948" s="93"/>
      <c r="W948" s="85"/>
      <c r="Y948" s="94"/>
      <c r="Z948" s="93"/>
      <c r="AA948" s="85"/>
      <c r="AC948" s="94"/>
      <c r="AD948" s="93"/>
      <c r="AE948" s="85"/>
    </row>
    <row r="949" spans="6:31" x14ac:dyDescent="0.35">
      <c r="F949" s="93"/>
      <c r="G949" s="85"/>
      <c r="H949" s="87"/>
      <c r="I949" s="94"/>
      <c r="J949" s="93"/>
      <c r="K949" s="85"/>
      <c r="M949" s="94"/>
      <c r="N949" s="93"/>
      <c r="O949" s="85"/>
      <c r="Q949" s="94"/>
      <c r="R949" s="93"/>
      <c r="S949" s="85"/>
      <c r="U949" s="94"/>
      <c r="V949" s="93"/>
      <c r="W949" s="85"/>
      <c r="Y949" s="94"/>
      <c r="Z949" s="93"/>
      <c r="AA949" s="85"/>
      <c r="AC949" s="94"/>
      <c r="AD949" s="93"/>
      <c r="AE949" s="85"/>
    </row>
    <row r="950" spans="6:31" x14ac:dyDescent="0.35">
      <c r="F950" s="93"/>
      <c r="G950" s="85"/>
      <c r="H950" s="87"/>
      <c r="I950" s="94"/>
      <c r="J950" s="93"/>
      <c r="K950" s="85"/>
      <c r="M950" s="94"/>
      <c r="N950" s="93"/>
      <c r="O950" s="85"/>
      <c r="Q950" s="94"/>
      <c r="R950" s="93"/>
      <c r="S950" s="85"/>
      <c r="U950" s="94"/>
      <c r="V950" s="93"/>
      <c r="W950" s="85"/>
      <c r="Y950" s="94"/>
      <c r="Z950" s="93"/>
      <c r="AA950" s="85"/>
      <c r="AC950" s="94"/>
      <c r="AD950" s="93"/>
      <c r="AE950" s="85"/>
    </row>
    <row r="951" spans="6:31" x14ac:dyDescent="0.35">
      <c r="F951" s="93"/>
      <c r="G951" s="85"/>
      <c r="H951" s="87"/>
      <c r="I951" s="94"/>
      <c r="J951" s="93"/>
      <c r="K951" s="85"/>
      <c r="M951" s="94"/>
      <c r="N951" s="93"/>
      <c r="O951" s="85"/>
      <c r="Q951" s="94"/>
      <c r="R951" s="93"/>
      <c r="S951" s="85"/>
      <c r="U951" s="94"/>
      <c r="V951" s="93"/>
      <c r="W951" s="85"/>
      <c r="Y951" s="94"/>
      <c r="Z951" s="93"/>
      <c r="AA951" s="85"/>
      <c r="AC951" s="94"/>
      <c r="AD951" s="93"/>
      <c r="AE951" s="85"/>
    </row>
    <row r="952" spans="6:31" x14ac:dyDescent="0.35">
      <c r="F952" s="93"/>
      <c r="G952" s="85"/>
      <c r="H952" s="87"/>
      <c r="I952" s="94"/>
      <c r="J952" s="93"/>
      <c r="K952" s="85"/>
      <c r="M952" s="94"/>
      <c r="N952" s="93"/>
      <c r="O952" s="85"/>
      <c r="Q952" s="94"/>
      <c r="R952" s="93"/>
      <c r="S952" s="85"/>
      <c r="U952" s="94"/>
      <c r="V952" s="93"/>
      <c r="W952" s="85"/>
      <c r="Y952" s="94"/>
      <c r="Z952" s="93"/>
      <c r="AA952" s="85"/>
      <c r="AC952" s="94"/>
      <c r="AD952" s="93"/>
      <c r="AE952" s="85"/>
    </row>
    <row r="953" spans="6:31" x14ac:dyDescent="0.35">
      <c r="F953" s="93"/>
      <c r="G953" s="85"/>
      <c r="H953" s="87"/>
      <c r="I953" s="94"/>
      <c r="J953" s="93"/>
      <c r="K953" s="85"/>
      <c r="M953" s="94"/>
      <c r="N953" s="93"/>
      <c r="O953" s="85"/>
      <c r="Q953" s="94"/>
      <c r="R953" s="93"/>
      <c r="S953" s="85"/>
      <c r="U953" s="94"/>
      <c r="V953" s="93"/>
      <c r="W953" s="85"/>
      <c r="Y953" s="94"/>
      <c r="Z953" s="93"/>
      <c r="AA953" s="85"/>
      <c r="AC953" s="94"/>
      <c r="AD953" s="93"/>
      <c r="AE953" s="85"/>
    </row>
    <row r="954" spans="6:31" x14ac:dyDescent="0.35">
      <c r="F954" s="93"/>
      <c r="G954" s="85"/>
      <c r="H954" s="87"/>
      <c r="I954" s="94"/>
      <c r="J954" s="93"/>
      <c r="K954" s="85"/>
      <c r="M954" s="94"/>
      <c r="N954" s="93"/>
      <c r="O954" s="85"/>
      <c r="Q954" s="94"/>
      <c r="R954" s="93"/>
      <c r="S954" s="85"/>
      <c r="U954" s="94"/>
      <c r="V954" s="93"/>
      <c r="W954" s="85"/>
      <c r="Y954" s="94"/>
      <c r="Z954" s="93"/>
      <c r="AA954" s="85"/>
      <c r="AC954" s="94"/>
      <c r="AD954" s="93"/>
      <c r="AE954" s="85"/>
    </row>
    <row r="955" spans="6:31" x14ac:dyDescent="0.35">
      <c r="F955" s="93"/>
      <c r="G955" s="85"/>
      <c r="H955" s="87"/>
      <c r="I955" s="94"/>
      <c r="J955" s="93"/>
      <c r="K955" s="85"/>
      <c r="M955" s="94"/>
      <c r="N955" s="93"/>
      <c r="O955" s="85"/>
      <c r="Q955" s="94"/>
      <c r="R955" s="93"/>
      <c r="S955" s="85"/>
      <c r="U955" s="94"/>
      <c r="V955" s="93"/>
      <c r="W955" s="85"/>
      <c r="Y955" s="94"/>
      <c r="Z955" s="93"/>
      <c r="AA955" s="85"/>
      <c r="AC955" s="94"/>
      <c r="AD955" s="93"/>
      <c r="AE955" s="85"/>
    </row>
    <row r="956" spans="6:31" x14ac:dyDescent="0.35">
      <c r="F956" s="93"/>
      <c r="G956" s="85"/>
      <c r="H956" s="87"/>
      <c r="I956" s="94"/>
      <c r="J956" s="93"/>
      <c r="K956" s="85"/>
      <c r="M956" s="94"/>
      <c r="N956" s="93"/>
      <c r="O956" s="85"/>
      <c r="Q956" s="94"/>
      <c r="R956" s="93"/>
      <c r="S956" s="85"/>
      <c r="U956" s="94"/>
      <c r="V956" s="93"/>
      <c r="W956" s="85"/>
      <c r="Y956" s="94"/>
      <c r="Z956" s="93"/>
      <c r="AA956" s="85"/>
      <c r="AC956" s="94"/>
      <c r="AD956" s="93"/>
      <c r="AE956" s="85"/>
    </row>
    <row r="957" spans="6:31" x14ac:dyDescent="0.35">
      <c r="F957" s="93"/>
      <c r="G957" s="85"/>
      <c r="H957" s="87"/>
      <c r="I957" s="94"/>
      <c r="J957" s="93"/>
      <c r="K957" s="85"/>
      <c r="M957" s="94"/>
      <c r="N957" s="93"/>
      <c r="O957" s="85"/>
      <c r="Q957" s="94"/>
      <c r="R957" s="93"/>
      <c r="S957" s="85"/>
      <c r="U957" s="94"/>
      <c r="V957" s="93"/>
      <c r="W957" s="85"/>
      <c r="Y957" s="94"/>
      <c r="Z957" s="93"/>
      <c r="AA957" s="85"/>
      <c r="AC957" s="94"/>
      <c r="AD957" s="93"/>
      <c r="AE957" s="85"/>
    </row>
    <row r="958" spans="6:31" x14ac:dyDescent="0.35">
      <c r="F958" s="93"/>
      <c r="G958" s="85"/>
      <c r="H958" s="87"/>
      <c r="I958" s="94"/>
      <c r="J958" s="93"/>
      <c r="K958" s="85"/>
      <c r="M958" s="94"/>
      <c r="N958" s="93"/>
      <c r="O958" s="85"/>
      <c r="Q958" s="94"/>
      <c r="R958" s="93"/>
      <c r="S958" s="85"/>
      <c r="U958" s="94"/>
      <c r="V958" s="93"/>
      <c r="W958" s="85"/>
      <c r="Y958" s="94"/>
      <c r="Z958" s="93"/>
      <c r="AA958" s="85"/>
      <c r="AC958" s="94"/>
      <c r="AD958" s="93"/>
      <c r="AE958" s="85"/>
    </row>
    <row r="959" spans="6:31" x14ac:dyDescent="0.35">
      <c r="F959" s="93"/>
      <c r="G959" s="85"/>
      <c r="H959" s="87"/>
      <c r="I959" s="94"/>
      <c r="J959" s="93"/>
      <c r="K959" s="85"/>
      <c r="M959" s="94"/>
      <c r="N959" s="93"/>
      <c r="O959" s="85"/>
      <c r="Q959" s="94"/>
      <c r="R959" s="93"/>
      <c r="S959" s="85"/>
      <c r="U959" s="94"/>
      <c r="V959" s="93"/>
      <c r="W959" s="85"/>
      <c r="Y959" s="94"/>
      <c r="Z959" s="93"/>
      <c r="AA959" s="85"/>
      <c r="AC959" s="94"/>
      <c r="AD959" s="93"/>
      <c r="AE959" s="85"/>
    </row>
    <row r="960" spans="6:31" x14ac:dyDescent="0.35">
      <c r="F960" s="93"/>
      <c r="G960" s="85"/>
      <c r="H960" s="87"/>
      <c r="I960" s="94"/>
      <c r="J960" s="93"/>
      <c r="K960" s="85"/>
      <c r="M960" s="94"/>
      <c r="N960" s="93"/>
      <c r="O960" s="85"/>
      <c r="Q960" s="94"/>
      <c r="R960" s="93"/>
      <c r="S960" s="85"/>
      <c r="U960" s="94"/>
      <c r="V960" s="93"/>
      <c r="W960" s="85"/>
      <c r="Y960" s="94"/>
      <c r="Z960" s="93"/>
      <c r="AA960" s="85"/>
      <c r="AC960" s="94"/>
      <c r="AD960" s="93"/>
      <c r="AE960" s="85"/>
    </row>
    <row r="961" spans="6:31" x14ac:dyDescent="0.35">
      <c r="F961" s="93"/>
      <c r="G961" s="85"/>
      <c r="H961" s="87"/>
      <c r="I961" s="94"/>
      <c r="J961" s="93"/>
      <c r="K961" s="85"/>
      <c r="M961" s="94"/>
      <c r="N961" s="93"/>
      <c r="O961" s="85"/>
      <c r="Q961" s="94"/>
      <c r="R961" s="93"/>
      <c r="S961" s="85"/>
      <c r="U961" s="94"/>
      <c r="V961" s="93"/>
      <c r="W961" s="85"/>
      <c r="Y961" s="94"/>
      <c r="Z961" s="93"/>
      <c r="AA961" s="85"/>
      <c r="AC961" s="94"/>
      <c r="AD961" s="93"/>
      <c r="AE961" s="85"/>
    </row>
    <row r="962" spans="6:31" x14ac:dyDescent="0.35">
      <c r="F962" s="93"/>
      <c r="G962" s="85"/>
      <c r="H962" s="87"/>
      <c r="I962" s="94"/>
      <c r="J962" s="93"/>
      <c r="K962" s="85"/>
      <c r="M962" s="94"/>
      <c r="N962" s="93"/>
      <c r="O962" s="85"/>
      <c r="Q962" s="94"/>
      <c r="R962" s="93"/>
      <c r="S962" s="85"/>
      <c r="U962" s="94"/>
      <c r="V962" s="93"/>
      <c r="W962" s="85"/>
      <c r="Y962" s="94"/>
      <c r="Z962" s="93"/>
      <c r="AA962" s="85"/>
      <c r="AC962" s="94"/>
      <c r="AD962" s="93"/>
      <c r="AE962" s="85"/>
    </row>
    <row r="963" spans="6:31" x14ac:dyDescent="0.35">
      <c r="F963" s="93"/>
      <c r="G963" s="85"/>
      <c r="H963" s="87"/>
      <c r="I963" s="94"/>
      <c r="J963" s="93"/>
      <c r="K963" s="85"/>
      <c r="M963" s="94"/>
      <c r="N963" s="93"/>
      <c r="O963" s="85"/>
      <c r="Q963" s="94"/>
      <c r="R963" s="93"/>
      <c r="S963" s="85"/>
      <c r="U963" s="94"/>
      <c r="V963" s="93"/>
      <c r="W963" s="85"/>
      <c r="Y963" s="94"/>
      <c r="Z963" s="93"/>
      <c r="AA963" s="85"/>
      <c r="AC963" s="94"/>
      <c r="AD963" s="93"/>
      <c r="AE963" s="85"/>
    </row>
    <row r="964" spans="6:31" x14ac:dyDescent="0.35">
      <c r="F964" s="93"/>
      <c r="G964" s="85"/>
      <c r="H964" s="87"/>
      <c r="I964" s="94"/>
      <c r="J964" s="93"/>
      <c r="K964" s="85"/>
      <c r="M964" s="94"/>
      <c r="N964" s="93"/>
      <c r="O964" s="85"/>
      <c r="Q964" s="94"/>
      <c r="R964" s="93"/>
      <c r="S964" s="85"/>
      <c r="U964" s="94"/>
      <c r="V964" s="93"/>
      <c r="W964" s="85"/>
      <c r="Y964" s="94"/>
      <c r="Z964" s="93"/>
      <c r="AA964" s="85"/>
      <c r="AC964" s="94"/>
      <c r="AD964" s="93"/>
      <c r="AE964" s="85"/>
    </row>
    <row r="965" spans="6:31" x14ac:dyDescent="0.35">
      <c r="F965" s="93"/>
      <c r="G965" s="85"/>
      <c r="H965" s="87"/>
      <c r="I965" s="94"/>
      <c r="J965" s="93"/>
      <c r="K965" s="85"/>
      <c r="M965" s="94"/>
      <c r="N965" s="93"/>
      <c r="O965" s="85"/>
      <c r="Q965" s="94"/>
      <c r="R965" s="93"/>
      <c r="S965" s="85"/>
      <c r="U965" s="94"/>
      <c r="V965" s="93"/>
      <c r="W965" s="85"/>
      <c r="Y965" s="94"/>
      <c r="Z965" s="93"/>
      <c r="AA965" s="85"/>
      <c r="AC965" s="94"/>
      <c r="AD965" s="93"/>
      <c r="AE965" s="85"/>
    </row>
    <row r="966" spans="6:31" x14ac:dyDescent="0.35">
      <c r="F966" s="93"/>
      <c r="G966" s="85"/>
      <c r="H966" s="87"/>
      <c r="I966" s="94"/>
      <c r="J966" s="93"/>
      <c r="K966" s="85"/>
      <c r="M966" s="94"/>
      <c r="N966" s="93"/>
      <c r="O966" s="85"/>
      <c r="Q966" s="94"/>
      <c r="R966" s="93"/>
      <c r="S966" s="85"/>
      <c r="U966" s="94"/>
      <c r="V966" s="93"/>
      <c r="W966" s="85"/>
      <c r="Y966" s="94"/>
      <c r="Z966" s="93"/>
      <c r="AA966" s="85"/>
      <c r="AC966" s="94"/>
      <c r="AD966" s="93"/>
      <c r="AE966" s="85"/>
    </row>
    <row r="967" spans="6:31" x14ac:dyDescent="0.35">
      <c r="F967" s="93"/>
      <c r="G967" s="85"/>
      <c r="H967" s="87"/>
      <c r="I967" s="94"/>
      <c r="J967" s="93"/>
      <c r="K967" s="85"/>
      <c r="M967" s="94"/>
      <c r="N967" s="93"/>
      <c r="O967" s="85"/>
      <c r="Q967" s="94"/>
      <c r="R967" s="93"/>
      <c r="S967" s="85"/>
      <c r="U967" s="94"/>
      <c r="V967" s="93"/>
      <c r="W967" s="85"/>
      <c r="Y967" s="94"/>
      <c r="Z967" s="93"/>
      <c r="AA967" s="85"/>
      <c r="AC967" s="94"/>
      <c r="AD967" s="93"/>
      <c r="AE967" s="85"/>
    </row>
    <row r="968" spans="6:31" x14ac:dyDescent="0.35">
      <c r="F968" s="93"/>
      <c r="G968" s="85"/>
      <c r="H968" s="87"/>
      <c r="I968" s="94"/>
      <c r="J968" s="93"/>
      <c r="K968" s="85"/>
      <c r="M968" s="94"/>
      <c r="N968" s="93"/>
      <c r="O968" s="85"/>
      <c r="Q968" s="94"/>
      <c r="R968" s="93"/>
      <c r="S968" s="85"/>
      <c r="U968" s="94"/>
      <c r="V968" s="93"/>
      <c r="W968" s="85"/>
      <c r="Y968" s="94"/>
      <c r="Z968" s="93"/>
      <c r="AA968" s="85"/>
      <c r="AC968" s="94"/>
      <c r="AD968" s="93"/>
      <c r="AE968" s="85"/>
    </row>
    <row r="969" spans="6:31" x14ac:dyDescent="0.35">
      <c r="F969" s="93"/>
      <c r="G969" s="85"/>
      <c r="H969" s="87"/>
      <c r="I969" s="94"/>
      <c r="J969" s="93"/>
      <c r="K969" s="85"/>
      <c r="M969" s="94"/>
      <c r="N969" s="93"/>
      <c r="O969" s="85"/>
      <c r="Q969" s="94"/>
      <c r="R969" s="93"/>
      <c r="S969" s="85"/>
      <c r="U969" s="94"/>
      <c r="V969" s="93"/>
      <c r="W969" s="85"/>
      <c r="Y969" s="94"/>
      <c r="Z969" s="93"/>
      <c r="AA969" s="85"/>
      <c r="AC969" s="94"/>
      <c r="AD969" s="93"/>
      <c r="AE969" s="85"/>
    </row>
    <row r="970" spans="6:31" x14ac:dyDescent="0.35">
      <c r="F970" s="93"/>
      <c r="G970" s="85"/>
      <c r="H970" s="87"/>
      <c r="I970" s="94"/>
      <c r="J970" s="93"/>
      <c r="K970" s="85"/>
      <c r="M970" s="94"/>
      <c r="N970" s="93"/>
      <c r="O970" s="85"/>
      <c r="Q970" s="94"/>
      <c r="R970" s="93"/>
      <c r="S970" s="85"/>
      <c r="U970" s="94"/>
      <c r="V970" s="93"/>
      <c r="W970" s="85"/>
      <c r="Y970" s="94"/>
      <c r="Z970" s="93"/>
      <c r="AA970" s="85"/>
      <c r="AC970" s="94"/>
      <c r="AD970" s="93"/>
      <c r="AE970" s="85"/>
    </row>
    <row r="971" spans="6:31" x14ac:dyDescent="0.35">
      <c r="F971" s="93"/>
      <c r="G971" s="85"/>
      <c r="H971" s="87"/>
      <c r="I971" s="94"/>
      <c r="J971" s="93"/>
      <c r="K971" s="85"/>
      <c r="M971" s="94"/>
      <c r="N971" s="93"/>
      <c r="O971" s="85"/>
      <c r="Q971" s="94"/>
      <c r="R971" s="93"/>
      <c r="S971" s="85"/>
      <c r="U971" s="94"/>
      <c r="V971" s="93"/>
      <c r="W971" s="85"/>
      <c r="Y971" s="94"/>
      <c r="Z971" s="93"/>
      <c r="AA971" s="85"/>
      <c r="AC971" s="94"/>
      <c r="AD971" s="93"/>
      <c r="AE971" s="85"/>
    </row>
    <row r="972" spans="6:31" x14ac:dyDescent="0.35">
      <c r="F972" s="93"/>
      <c r="G972" s="85"/>
      <c r="H972" s="87"/>
      <c r="I972" s="94"/>
      <c r="J972" s="93"/>
      <c r="K972" s="85"/>
      <c r="M972" s="94"/>
      <c r="N972" s="93"/>
      <c r="O972" s="85"/>
      <c r="Q972" s="94"/>
      <c r="R972" s="93"/>
      <c r="S972" s="85"/>
      <c r="U972" s="94"/>
      <c r="V972" s="93"/>
      <c r="W972" s="85"/>
      <c r="Y972" s="94"/>
      <c r="Z972" s="93"/>
      <c r="AA972" s="85"/>
      <c r="AC972" s="94"/>
      <c r="AD972" s="93"/>
      <c r="AE972" s="85"/>
    </row>
    <row r="973" spans="6:31" x14ac:dyDescent="0.35">
      <c r="F973" s="93"/>
      <c r="G973" s="85"/>
      <c r="H973" s="87"/>
      <c r="I973" s="94"/>
      <c r="J973" s="93"/>
      <c r="K973" s="85"/>
      <c r="M973" s="94"/>
      <c r="N973" s="93"/>
      <c r="O973" s="85"/>
      <c r="Q973" s="94"/>
      <c r="R973" s="93"/>
      <c r="S973" s="85"/>
      <c r="U973" s="94"/>
      <c r="V973" s="93"/>
      <c r="W973" s="85"/>
      <c r="Y973" s="94"/>
      <c r="Z973" s="93"/>
      <c r="AA973" s="85"/>
      <c r="AC973" s="94"/>
      <c r="AD973" s="93"/>
      <c r="AE973" s="85"/>
    </row>
    <row r="974" spans="6:31" x14ac:dyDescent="0.35">
      <c r="F974" s="93"/>
      <c r="G974" s="85"/>
      <c r="H974" s="87"/>
      <c r="I974" s="94"/>
      <c r="J974" s="93"/>
      <c r="K974" s="85"/>
      <c r="M974" s="94"/>
      <c r="N974" s="93"/>
      <c r="O974" s="85"/>
      <c r="Q974" s="94"/>
      <c r="R974" s="93"/>
      <c r="S974" s="85"/>
      <c r="U974" s="94"/>
      <c r="V974" s="93"/>
      <c r="W974" s="85"/>
      <c r="Y974" s="94"/>
      <c r="Z974" s="93"/>
      <c r="AA974" s="85"/>
      <c r="AC974" s="94"/>
      <c r="AD974" s="93"/>
      <c r="AE974" s="85"/>
    </row>
    <row r="975" spans="6:31" x14ac:dyDescent="0.35">
      <c r="F975" s="93"/>
      <c r="G975" s="85"/>
      <c r="H975" s="87"/>
      <c r="I975" s="94"/>
      <c r="J975" s="93"/>
      <c r="K975" s="85"/>
      <c r="M975" s="94"/>
      <c r="N975" s="93"/>
      <c r="O975" s="85"/>
      <c r="Q975" s="94"/>
      <c r="R975" s="93"/>
      <c r="S975" s="85"/>
      <c r="U975" s="94"/>
      <c r="V975" s="93"/>
      <c r="W975" s="85"/>
      <c r="Y975" s="94"/>
      <c r="Z975" s="93"/>
      <c r="AA975" s="85"/>
      <c r="AC975" s="94"/>
      <c r="AD975" s="93"/>
      <c r="AE975" s="85"/>
    </row>
    <row r="976" spans="6:31" x14ac:dyDescent="0.35">
      <c r="F976" s="93"/>
      <c r="G976" s="85"/>
      <c r="H976" s="87"/>
      <c r="I976" s="94"/>
      <c r="J976" s="93"/>
      <c r="K976" s="85"/>
      <c r="M976" s="94"/>
      <c r="N976" s="93"/>
      <c r="O976" s="85"/>
      <c r="Q976" s="94"/>
      <c r="R976" s="93"/>
      <c r="S976" s="85"/>
      <c r="U976" s="94"/>
      <c r="V976" s="93"/>
      <c r="W976" s="85"/>
      <c r="Y976" s="94"/>
      <c r="Z976" s="93"/>
      <c r="AA976" s="85"/>
      <c r="AC976" s="94"/>
      <c r="AD976" s="93"/>
      <c r="AE976" s="85"/>
    </row>
    <row r="977" spans="6:31" x14ac:dyDescent="0.35">
      <c r="F977" s="93"/>
      <c r="G977" s="85"/>
      <c r="H977" s="87"/>
      <c r="I977" s="94"/>
      <c r="J977" s="93"/>
      <c r="K977" s="85"/>
      <c r="M977" s="94"/>
      <c r="N977" s="93"/>
      <c r="O977" s="85"/>
      <c r="Q977" s="94"/>
      <c r="R977" s="93"/>
      <c r="S977" s="85"/>
      <c r="U977" s="94"/>
      <c r="V977" s="93"/>
      <c r="W977" s="85"/>
      <c r="Y977" s="94"/>
      <c r="Z977" s="93"/>
      <c r="AA977" s="85"/>
      <c r="AC977" s="94"/>
      <c r="AD977" s="93"/>
      <c r="AE977" s="85"/>
    </row>
    <row r="978" spans="6:31" x14ac:dyDescent="0.35">
      <c r="F978" s="93"/>
      <c r="G978" s="85"/>
      <c r="H978" s="87"/>
      <c r="I978" s="94"/>
      <c r="J978" s="93"/>
      <c r="K978" s="85"/>
      <c r="M978" s="94"/>
      <c r="N978" s="93"/>
      <c r="O978" s="85"/>
      <c r="Q978" s="94"/>
      <c r="R978" s="93"/>
      <c r="S978" s="85"/>
      <c r="U978" s="94"/>
      <c r="V978" s="93"/>
      <c r="W978" s="85"/>
      <c r="Y978" s="94"/>
      <c r="Z978" s="93"/>
      <c r="AA978" s="85"/>
      <c r="AC978" s="94"/>
      <c r="AD978" s="93"/>
      <c r="AE978" s="85"/>
    </row>
    <row r="979" spans="6:31" x14ac:dyDescent="0.35">
      <c r="F979" s="93"/>
      <c r="G979" s="85"/>
      <c r="H979" s="87"/>
      <c r="I979" s="94"/>
      <c r="J979" s="93"/>
      <c r="K979" s="85"/>
      <c r="M979" s="94"/>
      <c r="N979" s="93"/>
      <c r="O979" s="85"/>
      <c r="Q979" s="94"/>
      <c r="R979" s="93"/>
      <c r="S979" s="85"/>
      <c r="U979" s="94"/>
      <c r="V979" s="93"/>
      <c r="W979" s="85"/>
      <c r="Y979" s="94"/>
      <c r="Z979" s="93"/>
      <c r="AA979" s="85"/>
      <c r="AC979" s="94"/>
      <c r="AD979" s="93"/>
      <c r="AE979" s="85"/>
    </row>
    <row r="980" spans="6:31" x14ac:dyDescent="0.35">
      <c r="F980" s="93"/>
      <c r="G980" s="85"/>
      <c r="H980" s="87"/>
      <c r="I980" s="94"/>
      <c r="J980" s="93"/>
      <c r="K980" s="85"/>
      <c r="M980" s="94"/>
      <c r="N980" s="93"/>
      <c r="O980" s="85"/>
      <c r="Q980" s="94"/>
      <c r="R980" s="93"/>
      <c r="S980" s="85"/>
      <c r="U980" s="94"/>
      <c r="V980" s="93"/>
      <c r="W980" s="85"/>
      <c r="Y980" s="94"/>
      <c r="Z980" s="93"/>
      <c r="AA980" s="85"/>
      <c r="AC980" s="94"/>
      <c r="AD980" s="93"/>
      <c r="AE980" s="85"/>
    </row>
    <row r="981" spans="6:31" x14ac:dyDescent="0.35">
      <c r="F981" s="93"/>
      <c r="G981" s="85"/>
      <c r="H981" s="87"/>
      <c r="I981" s="94"/>
      <c r="J981" s="93"/>
      <c r="K981" s="85"/>
      <c r="M981" s="94"/>
      <c r="N981" s="93"/>
      <c r="O981" s="85"/>
      <c r="Q981" s="94"/>
      <c r="R981" s="93"/>
      <c r="S981" s="85"/>
      <c r="U981" s="94"/>
      <c r="V981" s="93"/>
      <c r="W981" s="85"/>
      <c r="Y981" s="94"/>
      <c r="Z981" s="93"/>
      <c r="AA981" s="85"/>
      <c r="AC981" s="94"/>
      <c r="AD981" s="93"/>
      <c r="AE981" s="85"/>
    </row>
    <row r="982" spans="6:31" x14ac:dyDescent="0.35">
      <c r="F982" s="93"/>
      <c r="G982" s="85"/>
      <c r="H982" s="87"/>
      <c r="I982" s="94"/>
      <c r="J982" s="93"/>
      <c r="K982" s="85"/>
      <c r="M982" s="94"/>
      <c r="N982" s="93"/>
      <c r="O982" s="85"/>
      <c r="Q982" s="94"/>
      <c r="R982" s="93"/>
      <c r="S982" s="85"/>
      <c r="U982" s="94"/>
      <c r="V982" s="93"/>
      <c r="W982" s="85"/>
      <c r="Y982" s="94"/>
      <c r="Z982" s="93"/>
      <c r="AA982" s="85"/>
      <c r="AC982" s="94"/>
      <c r="AD982" s="93"/>
      <c r="AE982" s="85"/>
    </row>
    <row r="983" spans="6:31" x14ac:dyDescent="0.35">
      <c r="F983" s="93"/>
      <c r="G983" s="85"/>
      <c r="H983" s="87"/>
      <c r="I983" s="94"/>
      <c r="J983" s="93"/>
      <c r="K983" s="85"/>
      <c r="M983" s="94"/>
      <c r="N983" s="93"/>
      <c r="O983" s="85"/>
      <c r="Q983" s="94"/>
      <c r="R983" s="93"/>
      <c r="S983" s="85"/>
      <c r="U983" s="94"/>
      <c r="V983" s="93"/>
      <c r="W983" s="85"/>
      <c r="Y983" s="94"/>
      <c r="Z983" s="93"/>
      <c r="AA983" s="85"/>
      <c r="AC983" s="94"/>
      <c r="AD983" s="93"/>
      <c r="AE983" s="85"/>
    </row>
    <row r="984" spans="6:31" x14ac:dyDescent="0.35">
      <c r="F984" s="93"/>
      <c r="G984" s="85"/>
      <c r="H984" s="87"/>
      <c r="I984" s="94"/>
      <c r="J984" s="93"/>
      <c r="K984" s="85"/>
      <c r="M984" s="94"/>
      <c r="N984" s="93"/>
      <c r="O984" s="85"/>
      <c r="Q984" s="94"/>
      <c r="R984" s="93"/>
      <c r="S984" s="85"/>
      <c r="U984" s="94"/>
      <c r="V984" s="93"/>
      <c r="W984" s="85"/>
      <c r="Y984" s="94"/>
      <c r="Z984" s="93"/>
      <c r="AA984" s="85"/>
      <c r="AC984" s="94"/>
      <c r="AD984" s="93"/>
      <c r="AE984" s="85"/>
    </row>
    <row r="985" spans="6:31" x14ac:dyDescent="0.35">
      <c r="F985" s="93"/>
      <c r="G985" s="85"/>
      <c r="H985" s="87"/>
      <c r="I985" s="94"/>
      <c r="J985" s="93"/>
      <c r="K985" s="85"/>
      <c r="M985" s="94"/>
      <c r="N985" s="93"/>
      <c r="O985" s="85"/>
      <c r="Q985" s="94"/>
      <c r="R985" s="93"/>
      <c r="S985" s="85"/>
      <c r="U985" s="94"/>
      <c r="V985" s="93"/>
      <c r="W985" s="85"/>
      <c r="Y985" s="94"/>
      <c r="Z985" s="93"/>
      <c r="AA985" s="85"/>
      <c r="AC985" s="94"/>
      <c r="AD985" s="93"/>
      <c r="AE985" s="85"/>
    </row>
    <row r="986" spans="6:31" x14ac:dyDescent="0.35">
      <c r="F986" s="93"/>
      <c r="G986" s="85"/>
      <c r="H986" s="87"/>
      <c r="I986" s="94"/>
      <c r="J986" s="93"/>
      <c r="K986" s="85"/>
      <c r="M986" s="94"/>
      <c r="N986" s="93"/>
      <c r="O986" s="85"/>
      <c r="Q986" s="94"/>
      <c r="R986" s="93"/>
      <c r="S986" s="85"/>
      <c r="U986" s="94"/>
      <c r="V986" s="93"/>
      <c r="W986" s="85"/>
      <c r="Y986" s="94"/>
      <c r="Z986" s="93"/>
      <c r="AA986" s="85"/>
      <c r="AC986" s="94"/>
      <c r="AD986" s="93"/>
      <c r="AE986" s="85"/>
    </row>
    <row r="987" spans="6:31" x14ac:dyDescent="0.35">
      <c r="F987" s="93"/>
      <c r="G987" s="85"/>
      <c r="H987" s="87"/>
      <c r="I987" s="94"/>
      <c r="J987" s="93"/>
      <c r="K987" s="85"/>
      <c r="M987" s="94"/>
      <c r="N987" s="93"/>
      <c r="O987" s="85"/>
      <c r="Q987" s="94"/>
      <c r="R987" s="93"/>
      <c r="S987" s="85"/>
      <c r="U987" s="94"/>
      <c r="V987" s="93"/>
      <c r="W987" s="85"/>
      <c r="Y987" s="94"/>
      <c r="Z987" s="93"/>
      <c r="AA987" s="85"/>
      <c r="AC987" s="94"/>
      <c r="AD987" s="93"/>
      <c r="AE987" s="85"/>
    </row>
    <row r="988" spans="6:31" x14ac:dyDescent="0.35">
      <c r="F988" s="93"/>
      <c r="G988" s="85"/>
      <c r="H988" s="87"/>
      <c r="I988" s="94"/>
      <c r="J988" s="93"/>
      <c r="K988" s="85"/>
      <c r="M988" s="94"/>
      <c r="N988" s="93"/>
      <c r="O988" s="85"/>
      <c r="Q988" s="94"/>
      <c r="R988" s="93"/>
      <c r="S988" s="85"/>
      <c r="U988" s="94"/>
      <c r="V988" s="93"/>
      <c r="W988" s="85"/>
      <c r="Y988" s="94"/>
      <c r="Z988" s="93"/>
      <c r="AA988" s="85"/>
      <c r="AC988" s="94"/>
      <c r="AD988" s="93"/>
      <c r="AE988" s="85"/>
    </row>
    <row r="989" spans="6:31" x14ac:dyDescent="0.35">
      <c r="F989" s="93"/>
      <c r="G989" s="85"/>
      <c r="H989" s="87"/>
      <c r="I989" s="94"/>
      <c r="J989" s="93"/>
      <c r="K989" s="85"/>
      <c r="M989" s="94"/>
      <c r="N989" s="93"/>
      <c r="O989" s="85"/>
      <c r="Q989" s="94"/>
      <c r="R989" s="93"/>
      <c r="S989" s="85"/>
      <c r="U989" s="94"/>
      <c r="V989" s="93"/>
      <c r="W989" s="85"/>
      <c r="Y989" s="94"/>
      <c r="Z989" s="93"/>
      <c r="AA989" s="85"/>
      <c r="AC989" s="94"/>
      <c r="AD989" s="93"/>
      <c r="AE989" s="85"/>
    </row>
    <row r="990" spans="6:31" x14ac:dyDescent="0.35">
      <c r="F990" s="93"/>
      <c r="G990" s="85"/>
      <c r="H990" s="87"/>
      <c r="I990" s="94"/>
      <c r="J990" s="93"/>
      <c r="K990" s="85"/>
      <c r="M990" s="94"/>
      <c r="N990" s="93"/>
      <c r="O990" s="85"/>
      <c r="Q990" s="94"/>
      <c r="R990" s="93"/>
      <c r="S990" s="85"/>
      <c r="U990" s="94"/>
      <c r="V990" s="93"/>
      <c r="W990" s="85"/>
      <c r="Y990" s="94"/>
      <c r="Z990" s="93"/>
      <c r="AA990" s="85"/>
      <c r="AC990" s="94"/>
      <c r="AD990" s="93"/>
      <c r="AE990" s="85"/>
    </row>
    <row r="991" spans="6:31" x14ac:dyDescent="0.35">
      <c r="F991" s="93"/>
      <c r="G991" s="85"/>
      <c r="H991" s="87"/>
      <c r="I991" s="94"/>
      <c r="J991" s="93"/>
      <c r="K991" s="85"/>
      <c r="M991" s="94"/>
      <c r="N991" s="93"/>
      <c r="O991" s="85"/>
      <c r="Q991" s="94"/>
      <c r="R991" s="93"/>
      <c r="S991" s="85"/>
      <c r="U991" s="94"/>
      <c r="V991" s="93"/>
      <c r="W991" s="85"/>
      <c r="Y991" s="94"/>
      <c r="Z991" s="93"/>
      <c r="AA991" s="85"/>
      <c r="AC991" s="94"/>
      <c r="AD991" s="93"/>
      <c r="AE991" s="85"/>
    </row>
    <row r="992" spans="6:31" x14ac:dyDescent="0.35">
      <c r="F992" s="93"/>
      <c r="G992" s="85"/>
      <c r="H992" s="87"/>
      <c r="I992" s="94"/>
      <c r="J992" s="93"/>
      <c r="K992" s="85"/>
      <c r="M992" s="94"/>
      <c r="N992" s="93"/>
      <c r="O992" s="85"/>
      <c r="Q992" s="94"/>
      <c r="R992" s="93"/>
      <c r="S992" s="85"/>
      <c r="U992" s="94"/>
      <c r="V992" s="93"/>
      <c r="W992" s="85"/>
      <c r="Y992" s="94"/>
      <c r="Z992" s="93"/>
      <c r="AA992" s="85"/>
      <c r="AC992" s="94"/>
      <c r="AD992" s="93"/>
      <c r="AE992" s="85"/>
    </row>
    <row r="993" spans="6:31" x14ac:dyDescent="0.35">
      <c r="F993" s="93"/>
      <c r="G993" s="85"/>
      <c r="H993" s="87"/>
      <c r="I993" s="94"/>
      <c r="J993" s="93"/>
      <c r="K993" s="85"/>
      <c r="M993" s="94"/>
      <c r="N993" s="93"/>
      <c r="O993" s="85"/>
      <c r="Q993" s="94"/>
      <c r="R993" s="93"/>
      <c r="S993" s="85"/>
      <c r="U993" s="94"/>
      <c r="V993" s="93"/>
      <c r="W993" s="85"/>
      <c r="Y993" s="94"/>
      <c r="Z993" s="93"/>
      <c r="AA993" s="85"/>
      <c r="AC993" s="94"/>
      <c r="AD993" s="93"/>
      <c r="AE993" s="85"/>
    </row>
    <row r="994" spans="6:31" x14ac:dyDescent="0.35">
      <c r="F994" s="93"/>
      <c r="G994" s="85"/>
      <c r="H994" s="87"/>
      <c r="I994" s="94"/>
      <c r="J994" s="93"/>
      <c r="K994" s="85"/>
      <c r="M994" s="94"/>
      <c r="N994" s="93"/>
      <c r="O994" s="85"/>
      <c r="Q994" s="94"/>
      <c r="R994" s="93"/>
      <c r="S994" s="85"/>
      <c r="U994" s="94"/>
      <c r="V994" s="93"/>
      <c r="W994" s="85"/>
      <c r="Y994" s="94"/>
      <c r="Z994" s="93"/>
      <c r="AA994" s="85"/>
      <c r="AC994" s="94"/>
      <c r="AD994" s="93"/>
      <c r="AE994" s="85"/>
    </row>
    <row r="995" spans="6:31" x14ac:dyDescent="0.35">
      <c r="F995" s="93"/>
      <c r="G995" s="85"/>
      <c r="H995" s="87"/>
      <c r="I995" s="94"/>
      <c r="J995" s="93"/>
      <c r="K995" s="85"/>
      <c r="M995" s="94"/>
      <c r="N995" s="93"/>
      <c r="O995" s="85"/>
      <c r="Q995" s="94"/>
      <c r="R995" s="93"/>
      <c r="S995" s="85"/>
      <c r="U995" s="94"/>
      <c r="V995" s="93"/>
      <c r="W995" s="85"/>
      <c r="Y995" s="94"/>
      <c r="Z995" s="93"/>
      <c r="AA995" s="85"/>
      <c r="AC995" s="94"/>
      <c r="AD995" s="93"/>
      <c r="AE995" s="85"/>
    </row>
    <row r="996" spans="6:31" x14ac:dyDescent="0.35">
      <c r="F996" s="93"/>
      <c r="G996" s="85"/>
      <c r="H996" s="87"/>
      <c r="I996" s="94"/>
      <c r="J996" s="93"/>
      <c r="K996" s="85"/>
      <c r="M996" s="94"/>
      <c r="N996" s="93"/>
      <c r="O996" s="85"/>
      <c r="Q996" s="94"/>
      <c r="R996" s="93"/>
      <c r="S996" s="85"/>
      <c r="U996" s="94"/>
      <c r="V996" s="93"/>
      <c r="W996" s="85"/>
      <c r="Y996" s="94"/>
      <c r="Z996" s="93"/>
      <c r="AA996" s="85"/>
      <c r="AC996" s="94"/>
      <c r="AD996" s="93"/>
      <c r="AE996" s="85"/>
    </row>
    <row r="997" spans="6:31" x14ac:dyDescent="0.35">
      <c r="F997" s="93"/>
      <c r="G997" s="85"/>
      <c r="H997" s="87"/>
      <c r="I997" s="94"/>
      <c r="J997" s="93"/>
      <c r="K997" s="85"/>
      <c r="M997" s="94"/>
      <c r="N997" s="93"/>
      <c r="O997" s="85"/>
      <c r="Q997" s="94"/>
      <c r="R997" s="93"/>
      <c r="S997" s="85"/>
      <c r="U997" s="94"/>
      <c r="V997" s="93"/>
      <c r="W997" s="85"/>
      <c r="Y997" s="94"/>
      <c r="Z997" s="93"/>
      <c r="AA997" s="85"/>
      <c r="AC997" s="94"/>
      <c r="AD997" s="93"/>
      <c r="AE997" s="85"/>
    </row>
    <row r="998" spans="6:31" x14ac:dyDescent="0.35">
      <c r="F998" s="93"/>
      <c r="G998" s="85"/>
      <c r="H998" s="87"/>
      <c r="I998" s="94"/>
      <c r="J998" s="93"/>
      <c r="K998" s="85"/>
      <c r="M998" s="94"/>
      <c r="N998" s="93"/>
      <c r="O998" s="85"/>
      <c r="Q998" s="94"/>
      <c r="R998" s="93"/>
      <c r="S998" s="85"/>
      <c r="U998" s="94"/>
      <c r="V998" s="93"/>
      <c r="W998" s="85"/>
      <c r="Y998" s="94"/>
      <c r="Z998" s="93"/>
      <c r="AA998" s="85"/>
      <c r="AC998" s="94"/>
      <c r="AD998" s="93"/>
      <c r="AE998" s="85"/>
    </row>
    <row r="999" spans="6:31" x14ac:dyDescent="0.35">
      <c r="F999" s="93"/>
      <c r="G999" s="85"/>
      <c r="H999" s="87"/>
      <c r="I999" s="94"/>
      <c r="J999" s="93"/>
      <c r="K999" s="85"/>
      <c r="M999" s="94"/>
      <c r="N999" s="93"/>
      <c r="O999" s="85"/>
      <c r="Q999" s="94"/>
      <c r="R999" s="93"/>
      <c r="S999" s="85"/>
      <c r="U999" s="94"/>
      <c r="V999" s="93"/>
      <c r="W999" s="85"/>
      <c r="Y999" s="94"/>
      <c r="Z999" s="93"/>
      <c r="AA999" s="85"/>
      <c r="AC999" s="94"/>
      <c r="AD999" s="93"/>
      <c r="AE999" s="85"/>
    </row>
    <row r="1000" spans="6:31" x14ac:dyDescent="0.35">
      <c r="F1000" s="93"/>
      <c r="G1000" s="85"/>
      <c r="H1000" s="87"/>
      <c r="I1000" s="94"/>
      <c r="J1000" s="93"/>
      <c r="K1000" s="85"/>
      <c r="Q1000" s="94"/>
      <c r="R1000" s="93"/>
      <c r="S1000" s="85"/>
      <c r="U1000" s="94"/>
      <c r="V1000" s="93"/>
      <c r="W1000" s="85"/>
      <c r="Y1000" s="94"/>
      <c r="Z1000" s="93"/>
      <c r="AA1000" s="85"/>
      <c r="AC1000" s="94"/>
      <c r="AD1000" s="93"/>
      <c r="AE1000" s="85"/>
    </row>
  </sheetData>
  <conditionalFormatting sqref="M13:P19">
    <cfRule type="expression" dxfId="99" priority="39">
      <formula>$A15="Spend to Date"</formula>
    </cfRule>
    <cfRule type="expression" dxfId="98" priority="40">
      <formula>$A15="Spend to Date"</formula>
    </cfRule>
  </conditionalFormatting>
  <conditionalFormatting sqref="M12">
    <cfRule type="expression" dxfId="97" priority="1">
      <formula>$A14="Spend to Date"</formula>
    </cfRule>
    <cfRule type="expression" dxfId="96" priority="2">
      <formula>$A14="Spend to Date"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e618911-af4d-44ef-8a76-c69d29542036" xsi:nil="true"/>
    <lcf76f155ced4ddcb4097134ff3c332f xmlns="9eea002c-9396-4e1c-90ba-81fd5c5bb57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5A55023E9AD24D9C378EBC281C0874" ma:contentTypeVersion="15" ma:contentTypeDescription="Create a new document." ma:contentTypeScope="" ma:versionID="fad2364758f7724727036a8b25108ff2">
  <xsd:schema xmlns:xsd="http://www.w3.org/2001/XMLSchema" xmlns:xs="http://www.w3.org/2001/XMLSchema" xmlns:p="http://schemas.microsoft.com/office/2006/metadata/properties" xmlns:ns2="9eea002c-9396-4e1c-90ba-81fd5c5bb57d" xmlns:ns3="7e618911-af4d-44ef-8a76-c69d29542036" targetNamespace="http://schemas.microsoft.com/office/2006/metadata/properties" ma:root="true" ma:fieldsID="597beaffedbe4e43c50b55bdf72ed036" ns2:_="" ns3:_="">
    <xsd:import namespace="9eea002c-9396-4e1c-90ba-81fd5c5bb57d"/>
    <xsd:import namespace="7e618911-af4d-44ef-8a76-c69d295420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ea002c-9396-4e1c-90ba-81fd5c5bb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e8306dc-c898-4ddd-93ba-ebfdadd862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18911-af4d-44ef-8a76-c69d2954203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70b59c-354c-4cd2-9235-82660625087c}" ma:internalName="TaxCatchAll" ma:showField="CatchAllData" ma:web="7e618911-af4d-44ef-8a76-c69d295420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57B69-AAF9-49C5-960A-8A3E985D8107}">
  <ds:schemaRefs>
    <ds:schemaRef ds:uri="http://schemas.microsoft.com/sharepoint/v3/contenttype/forms"/>
  </ds:schemaRefs>
</ds:datastoreItem>
</file>

<file path=customXml/itemProps2.xml><?xml version="1.0" encoding="utf-8"?>
<ds:datastoreItem xmlns:ds="http://schemas.openxmlformats.org/officeDocument/2006/customXml" ds:itemID="{ED27DF7C-FF3F-458A-A6D1-A3B57BE93EFA}">
  <ds:schemaRefs>
    <ds:schemaRef ds:uri="http://schemas.microsoft.com/office/2006/metadata/properties"/>
    <ds:schemaRef ds:uri="7e618911-af4d-44ef-8a76-c69d29542036"/>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9eea002c-9396-4e1c-90ba-81fd5c5bb57d"/>
    <ds:schemaRef ds:uri="http://www.w3.org/XML/1998/namespace"/>
  </ds:schemaRefs>
</ds:datastoreItem>
</file>

<file path=customXml/itemProps3.xml><?xml version="1.0" encoding="utf-8"?>
<ds:datastoreItem xmlns:ds="http://schemas.openxmlformats.org/officeDocument/2006/customXml" ds:itemID="{6465EFA7-6AA5-4F53-B708-708BEA85A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ea002c-9396-4e1c-90ba-81fd5c5bb57d"/>
    <ds:schemaRef ds:uri="7e618911-af4d-44ef-8a76-c69d29542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Sheet1</vt:lpstr>
      <vt:lpstr>Summary</vt:lpstr>
      <vt:lpstr>1-General</vt:lpstr>
      <vt:lpstr>1-Parks</vt:lpstr>
      <vt:lpstr>1-Buildings</vt:lpstr>
      <vt:lpstr>1-Civic</vt:lpstr>
      <vt:lpstr>1-EMRs</vt:lpstr>
      <vt:lpstr>2-General Reserves</vt:lpstr>
      <vt:lpstr>2-Repairs and Maintenance</vt:lpstr>
      <vt:lpstr>2-Capital</vt:lpstr>
      <vt:lpstr>2-Compliance</vt:lpstr>
      <vt:lpstr>2-Consultancy and H&amp;S</vt:lpstr>
      <vt:lpstr>2-Community Safety</vt:lpstr>
      <vt:lpstr>2-Climate &amp; Ecological</vt:lpstr>
      <vt:lpstr>2-Horticulture</vt:lpstr>
      <vt:lpstr>2-Public Conveniences</vt:lpstr>
      <vt:lpstr>2-Parks and Open Spaces</vt:lpstr>
      <vt:lpstr>2-Waterways and Ponds</vt:lpstr>
      <vt:lpstr>2-Play Areas</vt:lpstr>
      <vt:lpstr>2-Triangle Market</vt:lpstr>
      <vt:lpstr>2-Allotments</vt:lpstr>
      <vt:lpstr>2-Normanston Park</vt:lpstr>
      <vt:lpstr>2-GELP</vt:lpstr>
      <vt:lpstr>2-Links Road Car Park</vt:lpstr>
      <vt:lpstr>2-Denes Oval</vt:lpstr>
      <vt:lpstr>2-Belle Vue Park</vt:lpstr>
      <vt:lpstr>2-Sparrows Nest</vt:lpstr>
      <vt:lpstr>2-The Ness</vt:lpstr>
      <vt:lpstr>2-Sea Wall</vt:lpstr>
      <vt:lpstr>2-Kensington Gardens</vt:lpstr>
      <vt:lpstr>2-Fen Park</vt:lpstr>
      <vt:lpstr>2-Community Halls</vt:lpstr>
      <vt:lpstr>2-Marina Theatre</vt:lpstr>
      <vt:lpstr>2-Town Hall</vt:lpstr>
      <vt:lpstr>TH Justification</vt:lpstr>
      <vt:lpstr>2-Staff</vt:lpstr>
      <vt:lpstr>2-Training</vt:lpstr>
      <vt:lpstr>2-Hamilton House</vt:lpstr>
      <vt:lpstr>2-Unit Two</vt:lpstr>
      <vt:lpstr>2-Grounds Maintenance</vt:lpstr>
      <vt:lpstr>Grounds Maintenance</vt:lpstr>
      <vt:lpstr>2-Professional Services</vt:lpstr>
      <vt:lpstr>2-Events</vt:lpstr>
      <vt:lpstr>2-Grants</vt:lpstr>
      <vt:lpstr>2-Community Engagement</vt:lpstr>
      <vt:lpstr>2-Festive Lights</vt:lpstr>
      <vt:lpstr>2-Civic</vt:lpstr>
      <vt:lpstr>2-Arts and Heritage</vt:lpstr>
      <vt:lpstr>2-CIL and External Funding</vt:lpstr>
      <vt:lpstr>B&amp;L Notes</vt:lpstr>
    </vt:vector>
  </TitlesOfParts>
  <Manager/>
  <Company>Lowestoft Town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Cox</dc:creator>
  <cp:keywords/>
  <dc:description/>
  <cp:lastModifiedBy>James Cox</cp:lastModifiedBy>
  <cp:revision/>
  <cp:lastPrinted>2024-01-11T17:19:19Z</cp:lastPrinted>
  <dcterms:created xsi:type="dcterms:W3CDTF">2022-10-25T09:37:07Z</dcterms:created>
  <dcterms:modified xsi:type="dcterms:W3CDTF">2024-08-12T14:04:23Z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0x010100EB5A55023E9AD24D9C378EBC281C0874</vt:lpwstr>
  </property>
  <property fmtid="{D5CDD505-2E9C-101B-9397-08002B2CF9AE}" pid="3" name="Order">
    <vt:r8>1051800</vt:r8>
  </property>
  <property fmtid="{D5CDD505-2E9C-101B-9397-08002B2CF9AE}" pid="4" name="_ExtendedDescription">
    <vt:lpwstr/>
  </property>
  <property fmtid="{D5CDD505-2E9C-101B-9397-08002B2CF9AE}" pid="5" name="MediaServiceImageTags">
    <vt:lpwstr/>
  </property>
</Properties>
</file>